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Tennis\Bracket of Death\History\Scores History\"/>
    </mc:Choice>
  </mc:AlternateContent>
  <xr:revisionPtr revIDLastSave="0" documentId="13_ncr:1_{30723547-41EE-4FCC-BCB9-3910D4DE5D3D}" xr6:coauthVersionLast="47" xr6:coauthVersionMax="47" xr10:uidLastSave="{00000000-0000-0000-0000-000000000000}"/>
  <bookViews>
    <workbookView xWindow="240" yWindow="60" windowWidth="21950" windowHeight="12900" activeTab="1" xr2:uid="{00000000-000D-0000-FFFF-FFFF00000000}"/>
  </bookViews>
  <sheets>
    <sheet name="Champions" sheetId="1" r:id="rId1"/>
    <sheet name="All Scores" sheetId="2" r:id="rId2"/>
    <sheet name="All Players" sheetId="3" r:id="rId3"/>
    <sheet name="2024-08-31 Mixed" sheetId="4" r:id="rId4"/>
    <sheet name="2024-08-10 W" sheetId="5" r:id="rId5"/>
    <sheet name="2024-07-20 M" sheetId="6" r:id="rId6"/>
    <sheet name="2023-10-07 Mixed" sheetId="7" r:id="rId7"/>
    <sheet name="2023-09-16 W" sheetId="8" r:id="rId8"/>
    <sheet name="2023-08-12 M" sheetId="9" r:id="rId9"/>
    <sheet name="2022-10-15 Mixed" sheetId="10" r:id="rId10"/>
    <sheet name="2022-09-17 Women" sheetId="11" r:id="rId11"/>
    <sheet name="2022-08-27 Men" sheetId="12" r:id="rId12"/>
    <sheet name="2021-10-16 Mixed" sheetId="13" r:id="rId13"/>
    <sheet name="2021-08-28 Men" sheetId="14" r:id="rId14"/>
    <sheet name="2020-10-17 Mixed" sheetId="15" r:id="rId15"/>
    <sheet name="2020-09-26 Women" sheetId="16" r:id="rId16"/>
    <sheet name="2021-06-05 Women" sheetId="17" r:id="rId17"/>
    <sheet name="2020-08-22 Men" sheetId="18" r:id="rId18"/>
    <sheet name="2019-09-07 Mixed" sheetId="19" r:id="rId19"/>
    <sheet name="2019-08-24 Women" sheetId="20" r:id="rId20"/>
    <sheet name="2019-07-06 Men" sheetId="21" r:id="rId21"/>
    <sheet name="2018-09-22 Mixed" sheetId="22" r:id="rId22"/>
    <sheet name="2018-08-25 Men" sheetId="23" r:id="rId23"/>
    <sheet name="2017-10-15 Mixed" sheetId="24" r:id="rId24"/>
    <sheet name="2017-09-24 Men" sheetId="25" r:id="rId25"/>
    <sheet name="2017-09-23 Women" sheetId="26" r:id="rId26"/>
    <sheet name="2016-10-16 Mixed" sheetId="27" r:id="rId27"/>
    <sheet name="2016-07-02 Men" sheetId="28" r:id="rId28"/>
    <sheet name="2015-10-10 Mixed" sheetId="29" r:id="rId29"/>
    <sheet name="2015-05-31 Men" sheetId="30" r:id="rId30"/>
    <sheet name="2014-10-11 Women" sheetId="31" r:id="rId31"/>
    <sheet name="2014-09-28 Mixed" sheetId="32" r:id="rId32"/>
    <sheet name="2014-05-31 Men" sheetId="33" r:id="rId33"/>
    <sheet name="2013-10-13 Mixed" sheetId="34" r:id="rId34"/>
    <sheet name="2013-06-15 Men" sheetId="35" r:id="rId35"/>
    <sheet name="2012-10-14 Men" sheetId="36" r:id="rId36"/>
    <sheet name="2012-06-16 Men" sheetId="37" r:id="rId37"/>
    <sheet name="2011-06-04 Men" sheetId="38" r:id="rId38"/>
    <sheet name="2010-10-03 Men" sheetId="39" r:id="rId39"/>
    <sheet name="2010-05-15 Men" sheetId="40" r:id="rId40"/>
    <sheet name="2009-10-18 Men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41" l="1"/>
  <c r="S20" i="41"/>
  <c r="Q20" i="41"/>
  <c r="O20" i="41"/>
  <c r="E20" i="41"/>
  <c r="D20" i="41"/>
  <c r="C20" i="41"/>
  <c r="X20" i="41" s="1"/>
  <c r="U19" i="41"/>
  <c r="T19" i="41"/>
  <c r="S19" i="41"/>
  <c r="R19" i="41"/>
  <c r="Q19" i="41"/>
  <c r="P19" i="41"/>
  <c r="O19" i="41"/>
  <c r="N19" i="41"/>
  <c r="E19" i="41"/>
  <c r="D19" i="41"/>
  <c r="C19" i="41"/>
  <c r="W17" i="41"/>
  <c r="V17" i="41"/>
  <c r="G17" i="41"/>
  <c r="F17" i="41"/>
  <c r="W16" i="41"/>
  <c r="V16" i="41"/>
  <c r="G16" i="41"/>
  <c r="F16" i="41"/>
  <c r="W15" i="41"/>
  <c r="V15" i="41"/>
  <c r="X15" i="41" s="1"/>
  <c r="G15" i="41"/>
  <c r="H15" i="41" s="1"/>
  <c r="I15" i="41" s="1"/>
  <c r="F15" i="41"/>
  <c r="W14" i="41"/>
  <c r="V14" i="41"/>
  <c r="X14" i="41" s="1"/>
  <c r="J14" i="41"/>
  <c r="K14" i="41" s="1"/>
  <c r="AA10" i="41" s="1"/>
  <c r="G14" i="41"/>
  <c r="F14" i="41"/>
  <c r="H14" i="41" s="1"/>
  <c r="I14" i="41" s="1"/>
  <c r="W13" i="41"/>
  <c r="V13" i="41"/>
  <c r="X13" i="41" s="1"/>
  <c r="I13" i="41"/>
  <c r="G13" i="41"/>
  <c r="F13" i="41"/>
  <c r="H13" i="41" s="1"/>
  <c r="W12" i="41"/>
  <c r="V12" i="41"/>
  <c r="G12" i="41"/>
  <c r="F12" i="41"/>
  <c r="J12" i="41" s="1"/>
  <c r="K12" i="41" s="1"/>
  <c r="AA8" i="41" s="1"/>
  <c r="W11" i="41"/>
  <c r="V11" i="41"/>
  <c r="X11" i="41" s="1"/>
  <c r="G11" i="41"/>
  <c r="F11" i="41"/>
  <c r="W10" i="41"/>
  <c r="X10" i="41" s="1"/>
  <c r="V10" i="41"/>
  <c r="G10" i="41"/>
  <c r="F10" i="41"/>
  <c r="W9" i="41"/>
  <c r="X9" i="41" s="1"/>
  <c r="V9" i="41"/>
  <c r="G9" i="41"/>
  <c r="F9" i="41"/>
  <c r="X8" i="41"/>
  <c r="W8" i="41"/>
  <c r="V8" i="41"/>
  <c r="J8" i="41"/>
  <c r="K8" i="41" s="1"/>
  <c r="AA16" i="41" s="1"/>
  <c r="H8" i="41"/>
  <c r="I8" i="41" s="1"/>
  <c r="G8" i="41"/>
  <c r="F8" i="41"/>
  <c r="W7" i="41"/>
  <c r="V7" i="41"/>
  <c r="X7" i="41" s="1"/>
  <c r="J7" i="41"/>
  <c r="K7" i="41" s="1"/>
  <c r="AA7" i="41" s="1"/>
  <c r="G7" i="41"/>
  <c r="F7" i="41"/>
  <c r="W6" i="41"/>
  <c r="V6" i="41"/>
  <c r="X6" i="41" s="1"/>
  <c r="J6" i="41"/>
  <c r="K6" i="41" s="1"/>
  <c r="AA2" i="41" s="1"/>
  <c r="I6" i="41"/>
  <c r="G6" i="41"/>
  <c r="F6" i="41"/>
  <c r="H6" i="41" s="1"/>
  <c r="W5" i="41"/>
  <c r="V5" i="41"/>
  <c r="X5" i="41" s="1"/>
  <c r="J5" i="41"/>
  <c r="K5" i="41" s="1"/>
  <c r="AA3" i="41" s="1"/>
  <c r="I5" i="41"/>
  <c r="G5" i="41"/>
  <c r="F5" i="41"/>
  <c r="H5" i="41" s="1"/>
  <c r="W4" i="41"/>
  <c r="V4" i="41"/>
  <c r="G4" i="41"/>
  <c r="F4" i="41"/>
  <c r="X3" i="41"/>
  <c r="W3" i="41"/>
  <c r="V3" i="41"/>
  <c r="G3" i="41"/>
  <c r="F3" i="41"/>
  <c r="X2" i="41"/>
  <c r="W2" i="41"/>
  <c r="W19" i="41" s="1"/>
  <c r="V2" i="41"/>
  <c r="V19" i="41" s="1"/>
  <c r="G2" i="41"/>
  <c r="F2" i="41"/>
  <c r="U20" i="40"/>
  <c r="S20" i="40"/>
  <c r="Q20" i="40"/>
  <c r="O20" i="40"/>
  <c r="E20" i="40"/>
  <c r="D20" i="40"/>
  <c r="C20" i="40"/>
  <c r="U19" i="40"/>
  <c r="T19" i="40"/>
  <c r="S19" i="40"/>
  <c r="R19" i="40"/>
  <c r="Q19" i="40"/>
  <c r="P19" i="40"/>
  <c r="O19" i="40"/>
  <c r="N19" i="40"/>
  <c r="E19" i="40"/>
  <c r="D19" i="40"/>
  <c r="C19" i="40"/>
  <c r="W17" i="40"/>
  <c r="V17" i="40"/>
  <c r="X17" i="40" s="1"/>
  <c r="G17" i="40"/>
  <c r="F17" i="40"/>
  <c r="W16" i="40"/>
  <c r="X16" i="40" s="1"/>
  <c r="V16" i="40"/>
  <c r="J16" i="40"/>
  <c r="K16" i="40" s="1"/>
  <c r="AA15" i="40" s="1"/>
  <c r="G16" i="40"/>
  <c r="F16" i="40"/>
  <c r="W15" i="40"/>
  <c r="V15" i="40"/>
  <c r="X15" i="40" s="1"/>
  <c r="J15" i="40"/>
  <c r="K15" i="40" s="1"/>
  <c r="AA13" i="40" s="1"/>
  <c r="G15" i="40"/>
  <c r="F15" i="40"/>
  <c r="W14" i="40"/>
  <c r="V14" i="40"/>
  <c r="X14" i="40" s="1"/>
  <c r="J14" i="40"/>
  <c r="K14" i="40" s="1"/>
  <c r="AA6" i="40" s="1"/>
  <c r="I14" i="40"/>
  <c r="G14" i="40"/>
  <c r="F14" i="40"/>
  <c r="H14" i="40" s="1"/>
  <c r="W13" i="40"/>
  <c r="V13" i="40"/>
  <c r="G13" i="40"/>
  <c r="F13" i="40"/>
  <c r="H13" i="40" s="1"/>
  <c r="I13" i="40" s="1"/>
  <c r="W12" i="40"/>
  <c r="V12" i="40"/>
  <c r="G12" i="40"/>
  <c r="F12" i="40"/>
  <c r="W11" i="40"/>
  <c r="V11" i="40"/>
  <c r="X11" i="40" s="1"/>
  <c r="G11" i="40"/>
  <c r="F11" i="40"/>
  <c r="W10" i="40"/>
  <c r="V10" i="40"/>
  <c r="X10" i="40" s="1"/>
  <c r="H10" i="40"/>
  <c r="G10" i="40"/>
  <c r="F10" i="40"/>
  <c r="W9" i="40"/>
  <c r="X9" i="40" s="1"/>
  <c r="V9" i="40"/>
  <c r="G9" i="40"/>
  <c r="F9" i="40"/>
  <c r="X8" i="40"/>
  <c r="W8" i="40"/>
  <c r="V8" i="40"/>
  <c r="J8" i="40"/>
  <c r="K8" i="40" s="1"/>
  <c r="AA8" i="40" s="1"/>
  <c r="H8" i="40"/>
  <c r="I8" i="40" s="1"/>
  <c r="G8" i="40"/>
  <c r="F8" i="40"/>
  <c r="W7" i="40"/>
  <c r="V7" i="40"/>
  <c r="X7" i="40" s="1"/>
  <c r="G7" i="40"/>
  <c r="F7" i="40"/>
  <c r="W6" i="40"/>
  <c r="V6" i="40"/>
  <c r="X6" i="40" s="1"/>
  <c r="J6" i="40"/>
  <c r="K6" i="40" s="1"/>
  <c r="AA4" i="40" s="1"/>
  <c r="G6" i="40"/>
  <c r="F6" i="40"/>
  <c r="H6" i="40" s="1"/>
  <c r="I6" i="40" s="1"/>
  <c r="W5" i="40"/>
  <c r="V5" i="40"/>
  <c r="J5" i="40"/>
  <c r="K5" i="40" s="1"/>
  <c r="AA12" i="40" s="1"/>
  <c r="G5" i="40"/>
  <c r="F5" i="40"/>
  <c r="W4" i="40"/>
  <c r="V4" i="40"/>
  <c r="X4" i="40" s="1"/>
  <c r="G4" i="40"/>
  <c r="F4" i="40"/>
  <c r="X3" i="40"/>
  <c r="W3" i="40"/>
  <c r="V3" i="40"/>
  <c r="G3" i="40"/>
  <c r="F3" i="40"/>
  <c r="W2" i="40"/>
  <c r="W19" i="40" s="1"/>
  <c r="V2" i="40"/>
  <c r="G2" i="40"/>
  <c r="F2" i="40"/>
  <c r="U20" i="39"/>
  <c r="S20" i="39"/>
  <c r="Q20" i="39"/>
  <c r="O20" i="39"/>
  <c r="E20" i="39"/>
  <c r="D20" i="39"/>
  <c r="C20" i="39"/>
  <c r="V19" i="39"/>
  <c r="U19" i="39"/>
  <c r="T19" i="39"/>
  <c r="S19" i="39"/>
  <c r="R19" i="39"/>
  <c r="Q19" i="39"/>
  <c r="P19" i="39"/>
  <c r="O19" i="39"/>
  <c r="N19" i="39"/>
  <c r="E19" i="39"/>
  <c r="D19" i="39"/>
  <c r="C19" i="39"/>
  <c r="W17" i="39"/>
  <c r="V17" i="39"/>
  <c r="X17" i="39" s="1"/>
  <c r="G17" i="39"/>
  <c r="F17" i="39"/>
  <c r="W16" i="39"/>
  <c r="V16" i="39"/>
  <c r="X16" i="39" s="1"/>
  <c r="H16" i="39"/>
  <c r="G16" i="39"/>
  <c r="F16" i="39"/>
  <c r="I16" i="39" s="1"/>
  <c r="W15" i="39"/>
  <c r="X15" i="39" s="1"/>
  <c r="V15" i="39"/>
  <c r="G15" i="39"/>
  <c r="F15" i="39"/>
  <c r="X14" i="39"/>
  <c r="W14" i="39"/>
  <c r="V14" i="39"/>
  <c r="H14" i="39"/>
  <c r="I14" i="39" s="1"/>
  <c r="G14" i="39"/>
  <c r="F14" i="39"/>
  <c r="W13" i="39"/>
  <c r="V13" i="39"/>
  <c r="X13" i="39" s="1"/>
  <c r="G13" i="39"/>
  <c r="F13" i="39"/>
  <c r="W12" i="39"/>
  <c r="V12" i="39"/>
  <c r="X12" i="39" s="1"/>
  <c r="J12" i="39"/>
  <c r="K12" i="39" s="1"/>
  <c r="AA3" i="39" s="1"/>
  <c r="G12" i="39"/>
  <c r="F12" i="39"/>
  <c r="H12" i="39" s="1"/>
  <c r="I12" i="39" s="1"/>
  <c r="W11" i="39"/>
  <c r="V11" i="39"/>
  <c r="J11" i="39"/>
  <c r="K11" i="39" s="1"/>
  <c r="AA6" i="39" s="1" a="1"/>
  <c r="AA6" i="39" s="1"/>
  <c r="I11" i="39"/>
  <c r="G11" i="39"/>
  <c r="F11" i="39"/>
  <c r="H11" i="39" s="1"/>
  <c r="W10" i="39"/>
  <c r="V10" i="39"/>
  <c r="X10" i="39" s="1"/>
  <c r="G10" i="39"/>
  <c r="F10" i="39"/>
  <c r="X9" i="39"/>
  <c r="W9" i="39"/>
  <c r="V9" i="39"/>
  <c r="G9" i="39"/>
  <c r="F9" i="39"/>
  <c r="W8" i="39"/>
  <c r="X8" i="39" s="1"/>
  <c r="V8" i="39"/>
  <c r="G8" i="39"/>
  <c r="F8" i="39"/>
  <c r="X7" i="39"/>
  <c r="W7" i="39"/>
  <c r="V7" i="39"/>
  <c r="H7" i="39"/>
  <c r="G7" i="39"/>
  <c r="F7" i="39"/>
  <c r="W6" i="39"/>
  <c r="V6" i="39"/>
  <c r="X6" i="39" s="1"/>
  <c r="J6" i="39"/>
  <c r="K6" i="39" s="1"/>
  <c r="AA15" i="39" s="1"/>
  <c r="H6" i="39"/>
  <c r="G6" i="39"/>
  <c r="F6" i="39"/>
  <c r="X5" i="39"/>
  <c r="W5" i="39"/>
  <c r="V5" i="39"/>
  <c r="H5" i="39"/>
  <c r="G5" i="39"/>
  <c r="F5" i="39"/>
  <c r="W4" i="39"/>
  <c r="V4" i="39"/>
  <c r="X4" i="39" s="1"/>
  <c r="H4" i="39"/>
  <c r="G4" i="39"/>
  <c r="F4" i="39"/>
  <c r="W3" i="39"/>
  <c r="V3" i="39"/>
  <c r="X3" i="39" s="1"/>
  <c r="J3" i="39"/>
  <c r="K3" i="39" s="1"/>
  <c r="AA13" i="39" s="1"/>
  <c r="H3" i="39"/>
  <c r="G3" i="39"/>
  <c r="F3" i="39"/>
  <c r="I3" i="39" s="1"/>
  <c r="W2" i="39"/>
  <c r="V2" i="39"/>
  <c r="X2" i="39" s="1"/>
  <c r="G2" i="39"/>
  <c r="F2" i="39"/>
  <c r="U20" i="38"/>
  <c r="S20" i="38"/>
  <c r="Q20" i="38"/>
  <c r="O20" i="38"/>
  <c r="E20" i="38"/>
  <c r="D20" i="38"/>
  <c r="C20" i="38"/>
  <c r="X20" i="38" s="1"/>
  <c r="U19" i="38"/>
  <c r="T19" i="38"/>
  <c r="S19" i="38"/>
  <c r="R19" i="38"/>
  <c r="Q19" i="38"/>
  <c r="P19" i="38"/>
  <c r="O19" i="38"/>
  <c r="N19" i="38"/>
  <c r="E19" i="38"/>
  <c r="D19" i="38"/>
  <c r="C19" i="38"/>
  <c r="W17" i="38"/>
  <c r="V17" i="38"/>
  <c r="X17" i="38" s="1"/>
  <c r="G17" i="38"/>
  <c r="H17" i="38" s="1"/>
  <c r="I17" i="38" s="1"/>
  <c r="F17" i="38"/>
  <c r="W16" i="38"/>
  <c r="V16" i="38"/>
  <c r="X16" i="38" s="1"/>
  <c r="G16" i="38"/>
  <c r="F16" i="38"/>
  <c r="W15" i="38"/>
  <c r="X15" i="38" s="1"/>
  <c r="V15" i="38"/>
  <c r="G15" i="38"/>
  <c r="F15" i="38"/>
  <c r="J15" i="38" s="1"/>
  <c r="K15" i="38" s="1"/>
  <c r="AA6" i="38" s="1"/>
  <c r="X14" i="38"/>
  <c r="W14" i="38"/>
  <c r="V14" i="38"/>
  <c r="G14" i="38"/>
  <c r="F14" i="38"/>
  <c r="X13" i="38"/>
  <c r="W13" i="38"/>
  <c r="V13" i="38"/>
  <c r="G13" i="38"/>
  <c r="F13" i="38"/>
  <c r="X12" i="38"/>
  <c r="W12" i="38"/>
  <c r="V12" i="38"/>
  <c r="G12" i="38"/>
  <c r="F12" i="38"/>
  <c r="X11" i="38"/>
  <c r="W11" i="38"/>
  <c r="V11" i="38"/>
  <c r="G11" i="38"/>
  <c r="F11" i="38"/>
  <c r="X10" i="38"/>
  <c r="W10" i="38"/>
  <c r="V10" i="38"/>
  <c r="H10" i="38"/>
  <c r="I10" i="38" s="1"/>
  <c r="G10" i="38"/>
  <c r="F10" i="38"/>
  <c r="W9" i="38"/>
  <c r="V9" i="38"/>
  <c r="X9" i="38" s="1"/>
  <c r="J9" i="38"/>
  <c r="K9" i="38" s="1"/>
  <c r="AA11" i="38" s="1"/>
  <c r="H9" i="38"/>
  <c r="I9" i="38" s="1"/>
  <c r="G9" i="38"/>
  <c r="F9" i="38"/>
  <c r="W8" i="38"/>
  <c r="V8" i="38"/>
  <c r="X8" i="38" s="1"/>
  <c r="J8" i="38"/>
  <c r="K8" i="38" s="1"/>
  <c r="AA9" i="38" s="1"/>
  <c r="G8" i="38"/>
  <c r="F8" i="38"/>
  <c r="W7" i="38"/>
  <c r="V7" i="38"/>
  <c r="X7" i="38" s="1"/>
  <c r="J7" i="38"/>
  <c r="K7" i="38" s="1"/>
  <c r="AA4" i="38" s="1"/>
  <c r="G7" i="38"/>
  <c r="F7" i="38"/>
  <c r="W6" i="38"/>
  <c r="V6" i="38"/>
  <c r="X6" i="38" s="1"/>
  <c r="G6" i="38"/>
  <c r="F6" i="38"/>
  <c r="W5" i="38"/>
  <c r="V5" i="38"/>
  <c r="X5" i="38" s="1"/>
  <c r="G5" i="38"/>
  <c r="F5" i="38"/>
  <c r="X4" i="38"/>
  <c r="W4" i="38"/>
  <c r="V4" i="38"/>
  <c r="G4" i="38"/>
  <c r="F4" i="38"/>
  <c r="W3" i="38"/>
  <c r="X3" i="38" s="1"/>
  <c r="V3" i="38"/>
  <c r="G3" i="38"/>
  <c r="F3" i="38"/>
  <c r="W2" i="38"/>
  <c r="V2" i="38"/>
  <c r="G2" i="38"/>
  <c r="F2" i="38"/>
  <c r="U20" i="37"/>
  <c r="S20" i="37"/>
  <c r="Q20" i="37"/>
  <c r="O20" i="37"/>
  <c r="E20" i="37"/>
  <c r="D20" i="37"/>
  <c r="C20" i="37"/>
  <c r="U19" i="37"/>
  <c r="T19" i="37"/>
  <c r="S19" i="37"/>
  <c r="R19" i="37"/>
  <c r="Q19" i="37"/>
  <c r="P19" i="37"/>
  <c r="O19" i="37"/>
  <c r="N19" i="37"/>
  <c r="E19" i="37"/>
  <c r="D19" i="37"/>
  <c r="C19" i="37"/>
  <c r="W17" i="37"/>
  <c r="X17" i="37" s="1"/>
  <c r="V17" i="37"/>
  <c r="G17" i="37"/>
  <c r="F17" i="37"/>
  <c r="X16" i="37"/>
  <c r="W16" i="37"/>
  <c r="V16" i="37"/>
  <c r="H16" i="37"/>
  <c r="G16" i="37"/>
  <c r="F16" i="37"/>
  <c r="W15" i="37"/>
  <c r="X15" i="37" s="1"/>
  <c r="V15" i="37"/>
  <c r="H15" i="37"/>
  <c r="G15" i="37"/>
  <c r="F15" i="37"/>
  <c r="J15" i="37" s="1"/>
  <c r="K15" i="37" s="1"/>
  <c r="AA7" i="37" s="1"/>
  <c r="W14" i="37"/>
  <c r="X14" i="37" s="1"/>
  <c r="V14" i="37"/>
  <c r="J14" i="37"/>
  <c r="K14" i="37" s="1"/>
  <c r="AA17" i="37" s="1"/>
  <c r="G14" i="37"/>
  <c r="F14" i="37"/>
  <c r="W13" i="37"/>
  <c r="V13" i="37"/>
  <c r="X13" i="37" s="1"/>
  <c r="J13" i="37"/>
  <c r="K13" i="37" s="1"/>
  <c r="AA2" i="37" s="1"/>
  <c r="I13" i="37"/>
  <c r="H13" i="37"/>
  <c r="G13" i="37"/>
  <c r="F13" i="37"/>
  <c r="W12" i="37"/>
  <c r="V12" i="37"/>
  <c r="X12" i="37" s="1"/>
  <c r="I12" i="37"/>
  <c r="G12" i="37"/>
  <c r="F12" i="37"/>
  <c r="H12" i="37" s="1"/>
  <c r="W11" i="37"/>
  <c r="V11" i="37"/>
  <c r="X11" i="37" s="1"/>
  <c r="J11" i="37"/>
  <c r="K11" i="37" s="1"/>
  <c r="AA9" i="37" s="1"/>
  <c r="G11" i="37"/>
  <c r="F11" i="37"/>
  <c r="W10" i="37"/>
  <c r="V10" i="37"/>
  <c r="X10" i="37" s="1"/>
  <c r="G10" i="37"/>
  <c r="F10" i="37"/>
  <c r="J12" i="37" s="1"/>
  <c r="K12" i="37" s="1"/>
  <c r="AA12" i="37" s="1"/>
  <c r="W9" i="37"/>
  <c r="V9" i="37"/>
  <c r="G9" i="37"/>
  <c r="F9" i="37"/>
  <c r="W8" i="37"/>
  <c r="V8" i="37"/>
  <c r="G8" i="37"/>
  <c r="F8" i="37"/>
  <c r="J8" i="37" s="1"/>
  <c r="K8" i="37" s="1"/>
  <c r="AA5" i="37" s="1"/>
  <c r="X7" i="37"/>
  <c r="W7" i="37"/>
  <c r="V7" i="37"/>
  <c r="H7" i="37"/>
  <c r="G7" i="37"/>
  <c r="F7" i="37"/>
  <c r="X6" i="37"/>
  <c r="W6" i="37"/>
  <c r="V6" i="37"/>
  <c r="K6" i="37"/>
  <c r="AA14" i="37" s="1"/>
  <c r="H6" i="37"/>
  <c r="I6" i="37" s="1"/>
  <c r="G6" i="37"/>
  <c r="F6" i="37"/>
  <c r="W5" i="37"/>
  <c r="V5" i="37"/>
  <c r="X5" i="37" s="1"/>
  <c r="G5" i="37"/>
  <c r="H5" i="37" s="1"/>
  <c r="I5" i="37" s="1"/>
  <c r="F5" i="37"/>
  <c r="W4" i="37"/>
  <c r="V4" i="37"/>
  <c r="X4" i="37" s="1"/>
  <c r="G4" i="37"/>
  <c r="F4" i="37"/>
  <c r="W3" i="37"/>
  <c r="V3" i="37"/>
  <c r="X3" i="37" s="1"/>
  <c r="I3" i="37"/>
  <c r="G3" i="37"/>
  <c r="F3" i="37"/>
  <c r="H3" i="37" s="1"/>
  <c r="X2" i="37"/>
  <c r="W2" i="37"/>
  <c r="V2" i="37"/>
  <c r="G2" i="37"/>
  <c r="G19" i="37" s="1"/>
  <c r="F2" i="37"/>
  <c r="J4" i="37" s="1"/>
  <c r="K4" i="37" s="1"/>
  <c r="AA11" i="37" s="1" a="1"/>
  <c r="AA11" i="37" s="1"/>
  <c r="U20" i="36"/>
  <c r="S20" i="36"/>
  <c r="Q20" i="36"/>
  <c r="O20" i="36"/>
  <c r="E20" i="36"/>
  <c r="D20" i="36"/>
  <c r="C20" i="36"/>
  <c r="U19" i="36"/>
  <c r="T19" i="36"/>
  <c r="S19" i="36"/>
  <c r="R19" i="36"/>
  <c r="Q19" i="36"/>
  <c r="P19" i="36"/>
  <c r="O19" i="36"/>
  <c r="N19" i="36"/>
  <c r="E19" i="36"/>
  <c r="D19" i="36"/>
  <c r="C19" i="36"/>
  <c r="X17" i="36"/>
  <c r="W17" i="36"/>
  <c r="V17" i="36"/>
  <c r="G17" i="36"/>
  <c r="F17" i="36"/>
  <c r="W16" i="36"/>
  <c r="V16" i="36"/>
  <c r="X16" i="36" s="1"/>
  <c r="G16" i="36"/>
  <c r="F16" i="36"/>
  <c r="W15" i="36"/>
  <c r="V15" i="36"/>
  <c r="X15" i="36" s="1"/>
  <c r="I15" i="36"/>
  <c r="G15" i="36"/>
  <c r="F15" i="36"/>
  <c r="H15" i="36" s="1"/>
  <c r="X14" i="36"/>
  <c r="W14" i="36"/>
  <c r="V14" i="36"/>
  <c r="G14" i="36"/>
  <c r="F14" i="36"/>
  <c r="W13" i="36"/>
  <c r="V13" i="36"/>
  <c r="X13" i="36" s="1"/>
  <c r="H13" i="36"/>
  <c r="G13" i="36"/>
  <c r="F13" i="36"/>
  <c r="X12" i="36"/>
  <c r="W12" i="36"/>
  <c r="V12" i="36"/>
  <c r="H12" i="36"/>
  <c r="I12" i="36" s="1"/>
  <c r="G12" i="36"/>
  <c r="F12" i="36"/>
  <c r="X11" i="36"/>
  <c r="W11" i="36"/>
  <c r="V11" i="36"/>
  <c r="H11" i="36"/>
  <c r="G11" i="36"/>
  <c r="F11" i="36"/>
  <c r="X10" i="36"/>
  <c r="W10" i="36"/>
  <c r="V10" i="36"/>
  <c r="I10" i="36"/>
  <c r="H10" i="36"/>
  <c r="G10" i="36"/>
  <c r="F10" i="36"/>
  <c r="W9" i="36"/>
  <c r="V9" i="36"/>
  <c r="X9" i="36" s="1"/>
  <c r="H9" i="36"/>
  <c r="I9" i="36" s="1"/>
  <c r="G9" i="36"/>
  <c r="F9" i="36"/>
  <c r="W8" i="36"/>
  <c r="V8" i="36"/>
  <c r="G8" i="36"/>
  <c r="F8" i="36"/>
  <c r="X7" i="36"/>
  <c r="W7" i="36"/>
  <c r="V7" i="36"/>
  <c r="G7" i="36"/>
  <c r="F7" i="36"/>
  <c r="W6" i="36"/>
  <c r="V6" i="36"/>
  <c r="G6" i="36"/>
  <c r="F6" i="36"/>
  <c r="W5" i="36"/>
  <c r="V5" i="36"/>
  <c r="X5" i="36" s="1"/>
  <c r="H5" i="36"/>
  <c r="I5" i="36" s="1"/>
  <c r="G5" i="36"/>
  <c r="F5" i="36"/>
  <c r="X4" i="36"/>
  <c r="W4" i="36"/>
  <c r="W19" i="36" s="1"/>
  <c r="V4" i="36"/>
  <c r="G4" i="36"/>
  <c r="F4" i="36"/>
  <c r="X3" i="36"/>
  <c r="W3" i="36"/>
  <c r="V3" i="36"/>
  <c r="G3" i="36"/>
  <c r="AC6" i="36" s="1"/>
  <c r="F3" i="36"/>
  <c r="AB6" i="36" s="1"/>
  <c r="X2" i="36"/>
  <c r="W2" i="36"/>
  <c r="V2" i="36"/>
  <c r="J2" i="36"/>
  <c r="K2" i="36" s="1"/>
  <c r="I2" i="36"/>
  <c r="H2" i="36"/>
  <c r="G2" i="36"/>
  <c r="F2" i="36"/>
  <c r="U20" i="35"/>
  <c r="S20" i="35"/>
  <c r="Q20" i="35"/>
  <c r="O20" i="35"/>
  <c r="E20" i="35"/>
  <c r="D20" i="35"/>
  <c r="C20" i="35"/>
  <c r="U19" i="35"/>
  <c r="T19" i="35"/>
  <c r="S19" i="35"/>
  <c r="R19" i="35"/>
  <c r="Q19" i="35"/>
  <c r="P19" i="35"/>
  <c r="O19" i="35"/>
  <c r="N19" i="35"/>
  <c r="E19" i="35"/>
  <c r="D19" i="35"/>
  <c r="C19" i="35"/>
  <c r="W17" i="35"/>
  <c r="V17" i="35"/>
  <c r="X17" i="35" s="1"/>
  <c r="I17" i="35"/>
  <c r="H17" i="35"/>
  <c r="G17" i="35"/>
  <c r="F17" i="35"/>
  <c r="X16" i="35"/>
  <c r="W16" i="35"/>
  <c r="V16" i="35"/>
  <c r="G16" i="35"/>
  <c r="F16" i="35"/>
  <c r="X15" i="35"/>
  <c r="W15" i="35"/>
  <c r="V15" i="35"/>
  <c r="J15" i="35"/>
  <c r="K15" i="35" s="1"/>
  <c r="AA12" i="35" s="1"/>
  <c r="G15" i="35"/>
  <c r="H15" i="35" s="1"/>
  <c r="I15" i="35" s="1"/>
  <c r="F15" i="35"/>
  <c r="W14" i="35"/>
  <c r="V14" i="35"/>
  <c r="J14" i="35"/>
  <c r="K14" i="35" s="1"/>
  <c r="AA13" i="35" s="1"/>
  <c r="G14" i="35"/>
  <c r="F14" i="35"/>
  <c r="J16" i="35" s="1"/>
  <c r="K16" i="35" s="1"/>
  <c r="AA7" i="35" s="1"/>
  <c r="X13" i="35"/>
  <c r="W13" i="35"/>
  <c r="V13" i="35"/>
  <c r="G13" i="35"/>
  <c r="F13" i="35"/>
  <c r="J13" i="35" s="1"/>
  <c r="K13" i="35" s="1"/>
  <c r="AA14" i="35" s="1"/>
  <c r="W12" i="35"/>
  <c r="V12" i="35"/>
  <c r="X12" i="35" s="1"/>
  <c r="H12" i="35"/>
  <c r="G12" i="35"/>
  <c r="F12" i="35"/>
  <c r="W11" i="35"/>
  <c r="V11" i="35"/>
  <c r="X11" i="35" s="1"/>
  <c r="H11" i="35"/>
  <c r="G11" i="35"/>
  <c r="F11" i="35"/>
  <c r="W10" i="35"/>
  <c r="V10" i="35"/>
  <c r="G10" i="35"/>
  <c r="F10" i="35"/>
  <c r="X9" i="35"/>
  <c r="W9" i="35"/>
  <c r="V9" i="35"/>
  <c r="G9" i="35"/>
  <c r="F9" i="35"/>
  <c r="J6" i="35" s="1"/>
  <c r="K6" i="35" s="1"/>
  <c r="AA16" i="35" s="1"/>
  <c r="X8" i="35"/>
  <c r="W8" i="35"/>
  <c r="V8" i="35"/>
  <c r="G8" i="35"/>
  <c r="F8" i="35"/>
  <c r="X7" i="35"/>
  <c r="W7" i="35"/>
  <c r="V7" i="35"/>
  <c r="I7" i="35"/>
  <c r="H7" i="35"/>
  <c r="G7" i="35"/>
  <c r="F7" i="35"/>
  <c r="W6" i="35"/>
  <c r="V6" i="35"/>
  <c r="X6" i="35" s="1"/>
  <c r="I6" i="35"/>
  <c r="H6" i="35"/>
  <c r="G6" i="35"/>
  <c r="F6" i="35"/>
  <c r="W5" i="35"/>
  <c r="V5" i="35"/>
  <c r="X5" i="35" s="1"/>
  <c r="G5" i="35"/>
  <c r="F5" i="35"/>
  <c r="W4" i="35"/>
  <c r="V4" i="35"/>
  <c r="X4" i="35" s="1"/>
  <c r="H4" i="35"/>
  <c r="G4" i="35"/>
  <c r="F4" i="35"/>
  <c r="W3" i="35"/>
  <c r="V3" i="35"/>
  <c r="G3" i="35"/>
  <c r="F3" i="35"/>
  <c r="X2" i="35"/>
  <c r="W2" i="35"/>
  <c r="W19" i="35" s="1"/>
  <c r="V2" i="35"/>
  <c r="G2" i="35"/>
  <c r="F2" i="35"/>
  <c r="W33" i="34"/>
  <c r="V33" i="34"/>
  <c r="X33" i="34" s="1"/>
  <c r="I33" i="34"/>
  <c r="H33" i="34"/>
  <c r="G33" i="34"/>
  <c r="F33" i="34"/>
  <c r="W32" i="34"/>
  <c r="V32" i="34"/>
  <c r="X32" i="34" s="1"/>
  <c r="G32" i="34"/>
  <c r="F32" i="34"/>
  <c r="X31" i="34"/>
  <c r="W31" i="34"/>
  <c r="V31" i="34"/>
  <c r="G31" i="34"/>
  <c r="F31" i="34"/>
  <c r="W30" i="34"/>
  <c r="V30" i="34"/>
  <c r="X30" i="34" s="1"/>
  <c r="H30" i="34"/>
  <c r="G30" i="34"/>
  <c r="F30" i="34"/>
  <c r="W29" i="34"/>
  <c r="V29" i="34"/>
  <c r="G29" i="34"/>
  <c r="F29" i="34"/>
  <c r="X28" i="34"/>
  <c r="W28" i="34"/>
  <c r="V28" i="34"/>
  <c r="J28" i="34"/>
  <c r="K28" i="34" s="1"/>
  <c r="AA20" i="34" s="1"/>
  <c r="I28" i="34"/>
  <c r="H28" i="34"/>
  <c r="G28" i="34"/>
  <c r="F28" i="34"/>
  <c r="J26" i="34" s="1"/>
  <c r="K26" i="34" s="1"/>
  <c r="AA21" i="34" s="1"/>
  <c r="X27" i="34"/>
  <c r="W27" i="34"/>
  <c r="V27" i="34"/>
  <c r="J27" i="34"/>
  <c r="K27" i="34" s="1"/>
  <c r="AA3" i="34" s="1"/>
  <c r="G27" i="34"/>
  <c r="F27" i="34"/>
  <c r="W26" i="34"/>
  <c r="V26" i="34"/>
  <c r="X26" i="34" s="1"/>
  <c r="H26" i="34"/>
  <c r="I26" i="34" s="1"/>
  <c r="G26" i="34"/>
  <c r="F26" i="34"/>
  <c r="W25" i="34"/>
  <c r="V25" i="34"/>
  <c r="G25" i="34"/>
  <c r="F25" i="34"/>
  <c r="X24" i="34"/>
  <c r="W24" i="34"/>
  <c r="V24" i="34"/>
  <c r="G24" i="34"/>
  <c r="F24" i="34"/>
  <c r="W23" i="34"/>
  <c r="V23" i="34"/>
  <c r="X23" i="34" s="1"/>
  <c r="G23" i="34"/>
  <c r="F23" i="34"/>
  <c r="H23" i="34" s="1"/>
  <c r="W22" i="34"/>
  <c r="V22" i="34"/>
  <c r="X22" i="34" s="1"/>
  <c r="G22" i="34"/>
  <c r="F22" i="34"/>
  <c r="J25" i="34" s="1"/>
  <c r="K25" i="34" s="1"/>
  <c r="AA31" i="34" s="1"/>
  <c r="W21" i="34"/>
  <c r="X21" i="34" s="1"/>
  <c r="V21" i="34"/>
  <c r="I21" i="34"/>
  <c r="H21" i="34"/>
  <c r="G21" i="34"/>
  <c r="F21" i="34"/>
  <c r="X20" i="34"/>
  <c r="W20" i="34"/>
  <c r="V20" i="34"/>
  <c r="J20" i="34"/>
  <c r="K20" i="34" s="1"/>
  <c r="AA26" i="34" s="1"/>
  <c r="H20" i="34"/>
  <c r="I20" i="34" s="1"/>
  <c r="G20" i="34"/>
  <c r="F20" i="34"/>
  <c r="W19" i="34"/>
  <c r="V19" i="34"/>
  <c r="X19" i="34" s="1"/>
  <c r="J19" i="34"/>
  <c r="K19" i="34" s="1"/>
  <c r="AA23" i="34" s="1"/>
  <c r="I19" i="34"/>
  <c r="H19" i="34"/>
  <c r="G19" i="34"/>
  <c r="F19" i="34"/>
  <c r="W18" i="34"/>
  <c r="V18" i="34"/>
  <c r="J18" i="34"/>
  <c r="K18" i="34" s="1"/>
  <c r="AA7" i="34" s="1"/>
  <c r="I18" i="34"/>
  <c r="G18" i="34"/>
  <c r="F18" i="34"/>
  <c r="H18" i="34" s="1"/>
  <c r="W17" i="34"/>
  <c r="V17" i="34"/>
  <c r="X17" i="34" s="1"/>
  <c r="G17" i="34"/>
  <c r="F17" i="34"/>
  <c r="X16" i="34"/>
  <c r="W16" i="34"/>
  <c r="V16" i="34"/>
  <c r="G16" i="34"/>
  <c r="F16" i="34"/>
  <c r="W15" i="34"/>
  <c r="V15" i="34"/>
  <c r="G15" i="34"/>
  <c r="F15" i="34"/>
  <c r="J14" i="34" s="1"/>
  <c r="K14" i="34" s="1"/>
  <c r="AA29" i="34" s="1"/>
  <c r="W14" i="34"/>
  <c r="V14" i="34"/>
  <c r="X14" i="34" s="1"/>
  <c r="H14" i="34"/>
  <c r="I14" i="34" s="1"/>
  <c r="G14" i="34"/>
  <c r="F14" i="34"/>
  <c r="X13" i="34"/>
  <c r="W13" i="34"/>
  <c r="V13" i="34"/>
  <c r="H13" i="34"/>
  <c r="G13" i="34"/>
  <c r="F13" i="34"/>
  <c r="X12" i="34"/>
  <c r="W12" i="34"/>
  <c r="V12" i="34"/>
  <c r="K12" i="34"/>
  <c r="AA18" i="34" s="1"/>
  <c r="G12" i="34"/>
  <c r="F12" i="34"/>
  <c r="X11" i="34"/>
  <c r="W11" i="34"/>
  <c r="V11" i="34"/>
  <c r="J11" i="34"/>
  <c r="K11" i="34" s="1"/>
  <c r="AA17" i="34" s="1"/>
  <c r="G11" i="34"/>
  <c r="F11" i="34"/>
  <c r="X10" i="34"/>
  <c r="W10" i="34"/>
  <c r="V10" i="34"/>
  <c r="G10" i="34"/>
  <c r="F10" i="34"/>
  <c r="J10" i="34" s="1"/>
  <c r="K10" i="34" s="1"/>
  <c r="AA9" i="34" s="1"/>
  <c r="X9" i="34"/>
  <c r="W9" i="34"/>
  <c r="V9" i="34"/>
  <c r="H9" i="34"/>
  <c r="G9" i="34"/>
  <c r="F9" i="34"/>
  <c r="X8" i="34"/>
  <c r="W8" i="34"/>
  <c r="V8" i="34"/>
  <c r="H8" i="34"/>
  <c r="I8" i="34" s="1"/>
  <c r="G8" i="34"/>
  <c r="F8" i="34"/>
  <c r="W7" i="34"/>
  <c r="V7" i="34"/>
  <c r="X7" i="34" s="1"/>
  <c r="I7" i="34"/>
  <c r="H7" i="34"/>
  <c r="G7" i="34"/>
  <c r="F7" i="34"/>
  <c r="W6" i="34"/>
  <c r="V6" i="34"/>
  <c r="X6" i="34" s="1"/>
  <c r="G6" i="34"/>
  <c r="F6" i="34"/>
  <c r="X5" i="34"/>
  <c r="W5" i="34"/>
  <c r="V5" i="34"/>
  <c r="G5" i="34"/>
  <c r="F5" i="34"/>
  <c r="W4" i="34"/>
  <c r="V4" i="34"/>
  <c r="X4" i="34" s="1"/>
  <c r="H4" i="34"/>
  <c r="I4" i="34" s="1"/>
  <c r="G4" i="34"/>
  <c r="F4" i="34"/>
  <c r="W3" i="34"/>
  <c r="V3" i="34"/>
  <c r="X3" i="34" s="1"/>
  <c r="G3" i="34"/>
  <c r="F3" i="34"/>
  <c r="X2" i="34"/>
  <c r="W2" i="34"/>
  <c r="V2" i="34"/>
  <c r="J2" i="34"/>
  <c r="K2" i="34" s="1"/>
  <c r="G2" i="34"/>
  <c r="F2" i="34"/>
  <c r="U20" i="33"/>
  <c r="S20" i="33"/>
  <c r="Q20" i="33"/>
  <c r="O20" i="33"/>
  <c r="E20" i="33"/>
  <c r="D20" i="33"/>
  <c r="C20" i="33"/>
  <c r="U19" i="33"/>
  <c r="T19" i="33"/>
  <c r="S19" i="33"/>
  <c r="R19" i="33"/>
  <c r="Q19" i="33"/>
  <c r="P19" i="33"/>
  <c r="O19" i="33"/>
  <c r="N19" i="33"/>
  <c r="E19" i="33"/>
  <c r="D19" i="33"/>
  <c r="C19" i="33"/>
  <c r="W17" i="33"/>
  <c r="V17" i="33"/>
  <c r="G17" i="33"/>
  <c r="F17" i="33"/>
  <c r="W16" i="33"/>
  <c r="V16" i="33"/>
  <c r="X16" i="33" s="1"/>
  <c r="G16" i="33"/>
  <c r="F16" i="33"/>
  <c r="X15" i="33"/>
  <c r="W15" i="33"/>
  <c r="V15" i="33"/>
  <c r="G15" i="33"/>
  <c r="F15" i="33"/>
  <c r="X14" i="33"/>
  <c r="W14" i="33"/>
  <c r="V14" i="33"/>
  <c r="G14" i="33"/>
  <c r="F14" i="33"/>
  <c r="W13" i="33"/>
  <c r="V13" i="33"/>
  <c r="X13" i="33" s="1"/>
  <c r="H13" i="33"/>
  <c r="I13" i="33" s="1"/>
  <c r="G13" i="33"/>
  <c r="F13" i="33"/>
  <c r="W12" i="33"/>
  <c r="V12" i="33"/>
  <c r="I12" i="33"/>
  <c r="G12" i="33"/>
  <c r="F12" i="33"/>
  <c r="H12" i="33" s="1"/>
  <c r="W11" i="33"/>
  <c r="X11" i="33" s="1"/>
  <c r="V11" i="33"/>
  <c r="J11" i="33"/>
  <c r="K11" i="33" s="1"/>
  <c r="AA9" i="33" s="1"/>
  <c r="G11" i="33"/>
  <c r="F11" i="33"/>
  <c r="J12" i="33" s="1"/>
  <c r="K12" i="33" s="1"/>
  <c r="AA17" i="33" s="1"/>
  <c r="W10" i="33"/>
  <c r="V10" i="33"/>
  <c r="X10" i="33" s="1"/>
  <c r="H10" i="33"/>
  <c r="I10" i="33" s="1"/>
  <c r="G10" i="33"/>
  <c r="F10" i="33"/>
  <c r="W9" i="33"/>
  <c r="V9" i="33"/>
  <c r="I9" i="33"/>
  <c r="H9" i="33"/>
  <c r="G9" i="33"/>
  <c r="F9" i="33"/>
  <c r="J9" i="33" s="1"/>
  <c r="K9" i="33" s="1"/>
  <c r="AA11" i="33" s="1"/>
  <c r="W8" i="33"/>
  <c r="X8" i="33" s="1"/>
  <c r="V8" i="33"/>
  <c r="H8" i="33"/>
  <c r="G8" i="33"/>
  <c r="F8" i="33"/>
  <c r="J8" i="33" s="1"/>
  <c r="K8" i="33" s="1"/>
  <c r="AA8" i="33" s="1" a="1"/>
  <c r="AA8" i="33" s="1"/>
  <c r="X7" i="33"/>
  <c r="W7" i="33"/>
  <c r="V7" i="33"/>
  <c r="G7" i="33"/>
  <c r="H7" i="33" s="1"/>
  <c r="I7" i="33" s="1"/>
  <c r="F7" i="33"/>
  <c r="W6" i="33"/>
  <c r="V6" i="33"/>
  <c r="X6" i="33" s="1"/>
  <c r="J6" i="33"/>
  <c r="K6" i="33" s="1"/>
  <c r="AA7" i="33" s="1"/>
  <c r="H6" i="33"/>
  <c r="I6" i="33" s="1"/>
  <c r="G6" i="33"/>
  <c r="F6" i="33"/>
  <c r="X5" i="33"/>
  <c r="W5" i="33"/>
  <c r="W19" i="33" s="1"/>
  <c r="V5" i="33"/>
  <c r="J5" i="33"/>
  <c r="K5" i="33" s="1"/>
  <c r="AA6" i="33" s="1"/>
  <c r="G5" i="33"/>
  <c r="F5" i="33"/>
  <c r="X4" i="33"/>
  <c r="W4" i="33"/>
  <c r="V4" i="33"/>
  <c r="G4" i="33"/>
  <c r="F4" i="33"/>
  <c r="J4" i="33" s="1"/>
  <c r="K4" i="33" s="1"/>
  <c r="AA13" i="33" s="1"/>
  <c r="W3" i="33"/>
  <c r="V3" i="33"/>
  <c r="I3" i="33"/>
  <c r="H3" i="33"/>
  <c r="G3" i="33"/>
  <c r="F3" i="33"/>
  <c r="W2" i="33"/>
  <c r="V2" i="33"/>
  <c r="G2" i="33"/>
  <c r="F2" i="33"/>
  <c r="W33" i="32"/>
  <c r="V33" i="32"/>
  <c r="X33" i="32" s="1"/>
  <c r="G33" i="32"/>
  <c r="F33" i="32"/>
  <c r="X32" i="32"/>
  <c r="W32" i="32"/>
  <c r="V32" i="32"/>
  <c r="G32" i="32"/>
  <c r="F32" i="32"/>
  <c r="W31" i="32"/>
  <c r="V31" i="32"/>
  <c r="X31" i="32" s="1"/>
  <c r="I31" i="32"/>
  <c r="H31" i="32"/>
  <c r="G31" i="32"/>
  <c r="F31" i="32"/>
  <c r="W30" i="32"/>
  <c r="V30" i="32"/>
  <c r="G30" i="32"/>
  <c r="F30" i="32"/>
  <c r="W29" i="32"/>
  <c r="V29" i="32"/>
  <c r="G29" i="32"/>
  <c r="F29" i="32"/>
  <c r="W28" i="32"/>
  <c r="V28" i="32"/>
  <c r="X28" i="32" s="1"/>
  <c r="I28" i="32"/>
  <c r="H28" i="32"/>
  <c r="G28" i="32"/>
  <c r="F28" i="32"/>
  <c r="W27" i="32"/>
  <c r="V27" i="32"/>
  <c r="X27" i="32" s="1"/>
  <c r="J27" i="32"/>
  <c r="K27" i="32" s="1"/>
  <c r="AA5" i="32" s="1"/>
  <c r="G27" i="32"/>
  <c r="F27" i="32"/>
  <c r="X26" i="32"/>
  <c r="W26" i="32"/>
  <c r="V26" i="32"/>
  <c r="G26" i="32"/>
  <c r="F26" i="32"/>
  <c r="J28" i="32" s="1"/>
  <c r="K28" i="32" s="1"/>
  <c r="AA18" i="32" s="1"/>
  <c r="X25" i="32"/>
  <c r="W25" i="32"/>
  <c r="V25" i="32"/>
  <c r="H25" i="32"/>
  <c r="G25" i="32"/>
  <c r="F25" i="32"/>
  <c r="W24" i="32"/>
  <c r="V24" i="32"/>
  <c r="X24" i="32" s="1"/>
  <c r="I24" i="32"/>
  <c r="H24" i="32"/>
  <c r="G24" i="32"/>
  <c r="F24" i="32"/>
  <c r="W23" i="32"/>
  <c r="V23" i="32"/>
  <c r="G23" i="32"/>
  <c r="F23" i="32"/>
  <c r="W22" i="32"/>
  <c r="X22" i="32" s="1"/>
  <c r="V22" i="32"/>
  <c r="G22" i="32"/>
  <c r="F22" i="32"/>
  <c r="X21" i="32"/>
  <c r="W21" i="32"/>
  <c r="V21" i="32"/>
  <c r="G21" i="32"/>
  <c r="F21" i="32"/>
  <c r="J21" i="32" s="1"/>
  <c r="K21" i="32" s="1"/>
  <c r="AA20" i="32" s="1"/>
  <c r="W20" i="32"/>
  <c r="V20" i="32"/>
  <c r="X20" i="32" s="1"/>
  <c r="I20" i="32"/>
  <c r="H20" i="32"/>
  <c r="G20" i="32"/>
  <c r="F20" i="32"/>
  <c r="W19" i="32"/>
  <c r="V19" i="32"/>
  <c r="G19" i="32"/>
  <c r="F19" i="32"/>
  <c r="X18" i="32"/>
  <c r="W18" i="32"/>
  <c r="V18" i="32"/>
  <c r="J18" i="32"/>
  <c r="K18" i="32" s="1"/>
  <c r="AA2" i="32" s="1"/>
  <c r="G18" i="32"/>
  <c r="F18" i="32"/>
  <c r="X17" i="32"/>
  <c r="W17" i="32"/>
  <c r="V17" i="32"/>
  <c r="H17" i="32"/>
  <c r="G17" i="32"/>
  <c r="F17" i="32"/>
  <c r="W16" i="32"/>
  <c r="V16" i="32"/>
  <c r="X16" i="32" s="1"/>
  <c r="H16" i="32"/>
  <c r="I16" i="32" s="1"/>
  <c r="G16" i="32"/>
  <c r="F16" i="32"/>
  <c r="W15" i="32"/>
  <c r="V15" i="32"/>
  <c r="X15" i="32" s="1"/>
  <c r="G15" i="32"/>
  <c r="F15" i="32"/>
  <c r="W14" i="32"/>
  <c r="X14" i="32" s="1"/>
  <c r="V14" i="32"/>
  <c r="G14" i="32"/>
  <c r="F14" i="32"/>
  <c r="J14" i="32" s="1"/>
  <c r="K14" i="32" s="1"/>
  <c r="AA25" i="32" s="1"/>
  <c r="X13" i="32"/>
  <c r="W13" i="32"/>
  <c r="V13" i="32"/>
  <c r="H13" i="32"/>
  <c r="G13" i="32"/>
  <c r="F13" i="32"/>
  <c r="W12" i="32"/>
  <c r="V12" i="32"/>
  <c r="X12" i="32" s="1"/>
  <c r="H12" i="32"/>
  <c r="I12" i="32" s="1"/>
  <c r="G12" i="32"/>
  <c r="F12" i="32"/>
  <c r="W11" i="32"/>
  <c r="V11" i="32"/>
  <c r="X11" i="32" s="1"/>
  <c r="G11" i="32"/>
  <c r="F11" i="32"/>
  <c r="J11" i="32" s="1"/>
  <c r="K11" i="32" s="1"/>
  <c r="AA13" i="32" s="1"/>
  <c r="X10" i="32"/>
  <c r="W10" i="32"/>
  <c r="V10" i="32"/>
  <c r="J10" i="32"/>
  <c r="K10" i="32" s="1"/>
  <c r="AA30" i="32" s="1"/>
  <c r="G10" i="32"/>
  <c r="F10" i="32"/>
  <c r="X9" i="32"/>
  <c r="W9" i="32"/>
  <c r="V9" i="32"/>
  <c r="G9" i="32"/>
  <c r="H9" i="32" s="1"/>
  <c r="F9" i="32"/>
  <c r="W8" i="32"/>
  <c r="V8" i="32"/>
  <c r="X8" i="32" s="1"/>
  <c r="H8" i="32"/>
  <c r="I8" i="32" s="1"/>
  <c r="G8" i="32"/>
  <c r="F8" i="32"/>
  <c r="W7" i="32"/>
  <c r="V7" i="32"/>
  <c r="X7" i="32" s="1"/>
  <c r="J7" i="32"/>
  <c r="K7" i="32" s="1"/>
  <c r="AA27" i="32" s="1"/>
  <c r="G7" i="32"/>
  <c r="F7" i="32"/>
  <c r="W6" i="32"/>
  <c r="X6" i="32" s="1"/>
  <c r="V6" i="32"/>
  <c r="G6" i="32"/>
  <c r="F6" i="32"/>
  <c r="X5" i="32"/>
  <c r="W5" i="32"/>
  <c r="V5" i="32"/>
  <c r="G5" i="32"/>
  <c r="H5" i="32" s="1"/>
  <c r="F5" i="32"/>
  <c r="J5" i="32" s="1"/>
  <c r="K5" i="32" s="1"/>
  <c r="AA3" i="32" s="1"/>
  <c r="W4" i="32"/>
  <c r="V4" i="32"/>
  <c r="X4" i="32" s="1"/>
  <c r="I4" i="32"/>
  <c r="H4" i="32"/>
  <c r="G4" i="32"/>
  <c r="F4" i="32"/>
  <c r="W3" i="32"/>
  <c r="V3" i="32"/>
  <c r="G3" i="32"/>
  <c r="F3" i="32"/>
  <c r="X2" i="32"/>
  <c r="W2" i="32"/>
  <c r="V2" i="32"/>
  <c r="J2" i="32"/>
  <c r="K2" i="32" s="1"/>
  <c r="G2" i="32"/>
  <c r="F2" i="32"/>
  <c r="U20" i="31"/>
  <c r="S20" i="31"/>
  <c r="Q20" i="31"/>
  <c r="O20" i="31"/>
  <c r="E20" i="31"/>
  <c r="D20" i="31"/>
  <c r="C20" i="31"/>
  <c r="U19" i="31"/>
  <c r="T19" i="31"/>
  <c r="S19" i="31"/>
  <c r="R19" i="31"/>
  <c r="Q19" i="31"/>
  <c r="P19" i="31"/>
  <c r="O19" i="31"/>
  <c r="N19" i="31"/>
  <c r="E19" i="31"/>
  <c r="D19" i="31"/>
  <c r="C19" i="31"/>
  <c r="W17" i="31"/>
  <c r="V17" i="31"/>
  <c r="I17" i="31"/>
  <c r="H17" i="31"/>
  <c r="G17" i="31"/>
  <c r="F17" i="31"/>
  <c r="X16" i="31"/>
  <c r="W16" i="31"/>
  <c r="V16" i="31"/>
  <c r="G16" i="31"/>
  <c r="F16" i="31"/>
  <c r="X15" i="31"/>
  <c r="W15" i="31"/>
  <c r="V15" i="31"/>
  <c r="J15" i="31"/>
  <c r="K15" i="31" s="1"/>
  <c r="AA14" i="31" s="1"/>
  <c r="H15" i="31"/>
  <c r="G15" i="31"/>
  <c r="F15" i="31"/>
  <c r="I15" i="31" s="1"/>
  <c r="W14" i="31"/>
  <c r="V14" i="31"/>
  <c r="X14" i="31" s="1"/>
  <c r="H14" i="31"/>
  <c r="I14" i="31" s="1"/>
  <c r="G14" i="31"/>
  <c r="F14" i="31"/>
  <c r="W13" i="31"/>
  <c r="V13" i="31"/>
  <c r="G13" i="31"/>
  <c r="F13" i="31"/>
  <c r="X12" i="31"/>
  <c r="W12" i="31"/>
  <c r="V12" i="31"/>
  <c r="G12" i="31"/>
  <c r="F12" i="31"/>
  <c r="W11" i="31"/>
  <c r="V11" i="31"/>
  <c r="X11" i="31" s="1"/>
  <c r="G11" i="31"/>
  <c r="F11" i="31"/>
  <c r="X10" i="31"/>
  <c r="W10" i="31"/>
  <c r="V10" i="31"/>
  <c r="G10" i="31"/>
  <c r="F10" i="31"/>
  <c r="X9" i="31"/>
  <c r="W9" i="31"/>
  <c r="V9" i="31"/>
  <c r="H9" i="31"/>
  <c r="I9" i="31" s="1"/>
  <c r="G9" i="31"/>
  <c r="F9" i="31"/>
  <c r="W8" i="31"/>
  <c r="V8" i="31"/>
  <c r="X8" i="31" s="1"/>
  <c r="I8" i="31"/>
  <c r="H8" i="31"/>
  <c r="G8" i="31"/>
  <c r="F8" i="31"/>
  <c r="W7" i="31"/>
  <c r="V7" i="31"/>
  <c r="X7" i="31" s="1"/>
  <c r="J7" i="31"/>
  <c r="K7" i="31" s="1"/>
  <c r="AA9" i="31" s="1"/>
  <c r="G7" i="31"/>
  <c r="F7" i="31"/>
  <c r="H7" i="31" s="1"/>
  <c r="I7" i="31" s="1"/>
  <c r="W6" i="31"/>
  <c r="V6" i="31"/>
  <c r="X6" i="31" s="1"/>
  <c r="J6" i="31"/>
  <c r="K6" i="31" s="1"/>
  <c r="AA11" i="31" s="1"/>
  <c r="G6" i="31"/>
  <c r="F6" i="31"/>
  <c r="J9" i="31" s="1"/>
  <c r="K9" i="31" s="1"/>
  <c r="AA15" i="31" s="1"/>
  <c r="X5" i="31"/>
  <c r="W5" i="31"/>
  <c r="V5" i="31"/>
  <c r="G5" i="31"/>
  <c r="F5" i="31"/>
  <c r="W4" i="31"/>
  <c r="V4" i="31"/>
  <c r="X4" i="31" s="1"/>
  <c r="H4" i="31"/>
  <c r="G4" i="31"/>
  <c r="F4" i="31"/>
  <c r="W3" i="31"/>
  <c r="V3" i="31"/>
  <c r="X3" i="31" s="1"/>
  <c r="G3" i="31"/>
  <c r="F3" i="31"/>
  <c r="X2" i="31"/>
  <c r="W2" i="31"/>
  <c r="V2" i="31"/>
  <c r="G2" i="31"/>
  <c r="F2" i="31"/>
  <c r="U20" i="30"/>
  <c r="S20" i="30"/>
  <c r="Q20" i="30"/>
  <c r="O20" i="30"/>
  <c r="E20" i="30"/>
  <c r="D20" i="30"/>
  <c r="C20" i="30"/>
  <c r="X20" i="30" s="1"/>
  <c r="U19" i="30"/>
  <c r="T19" i="30"/>
  <c r="S19" i="30"/>
  <c r="R19" i="30"/>
  <c r="Q19" i="30"/>
  <c r="P19" i="30"/>
  <c r="O19" i="30"/>
  <c r="N19" i="30"/>
  <c r="E19" i="30"/>
  <c r="D19" i="30"/>
  <c r="C19" i="30"/>
  <c r="W17" i="30"/>
  <c r="V17" i="30"/>
  <c r="X17" i="30" s="1"/>
  <c r="G17" i="30"/>
  <c r="F17" i="30"/>
  <c r="X16" i="30"/>
  <c r="W16" i="30"/>
  <c r="V16" i="30"/>
  <c r="K16" i="30"/>
  <c r="G16" i="30"/>
  <c r="F16" i="30"/>
  <c r="X15" i="30"/>
  <c r="W15" i="30"/>
  <c r="V15" i="30"/>
  <c r="G15" i="30"/>
  <c r="F15" i="30"/>
  <c r="X14" i="30"/>
  <c r="W14" i="30"/>
  <c r="V14" i="30"/>
  <c r="H14" i="30"/>
  <c r="I14" i="30" s="1"/>
  <c r="G14" i="30"/>
  <c r="F14" i="30"/>
  <c r="W13" i="30"/>
  <c r="V13" i="30"/>
  <c r="X13" i="30" s="1"/>
  <c r="I13" i="30"/>
  <c r="H13" i="30"/>
  <c r="G13" i="30"/>
  <c r="F13" i="30"/>
  <c r="W12" i="30"/>
  <c r="V12" i="30"/>
  <c r="X12" i="30" s="1"/>
  <c r="J12" i="30"/>
  <c r="K12" i="30" s="1"/>
  <c r="AA11" i="30" s="1"/>
  <c r="G12" i="30"/>
  <c r="F12" i="30"/>
  <c r="H12" i="30" s="1"/>
  <c r="I12" i="30" s="1"/>
  <c r="W11" i="30"/>
  <c r="X11" i="30" s="1"/>
  <c r="V11" i="30"/>
  <c r="J11" i="30"/>
  <c r="K11" i="30" s="1"/>
  <c r="AA4" i="30" s="1"/>
  <c r="G11" i="30"/>
  <c r="F11" i="30"/>
  <c r="X10" i="30"/>
  <c r="W10" i="30"/>
  <c r="V10" i="30"/>
  <c r="G10" i="30"/>
  <c r="H10" i="30" s="1"/>
  <c r="F10" i="30"/>
  <c r="J10" i="30" s="1"/>
  <c r="K10" i="30" s="1"/>
  <c r="AA16" i="30" s="1"/>
  <c r="AA9" i="30"/>
  <c r="W9" i="30"/>
  <c r="V9" i="30"/>
  <c r="X9" i="30" s="1"/>
  <c r="H9" i="30"/>
  <c r="I9" i="30" s="1"/>
  <c r="G9" i="30"/>
  <c r="F9" i="30"/>
  <c r="W8" i="30"/>
  <c r="W19" i="30" s="1"/>
  <c r="V8" i="30"/>
  <c r="G8" i="30"/>
  <c r="F8" i="30"/>
  <c r="X7" i="30"/>
  <c r="W7" i="30"/>
  <c r="V7" i="30"/>
  <c r="G7" i="30"/>
  <c r="F7" i="30"/>
  <c r="X6" i="30"/>
  <c r="W6" i="30"/>
  <c r="V6" i="30"/>
  <c r="H6" i="30"/>
  <c r="I6" i="30" s="1"/>
  <c r="G6" i="30"/>
  <c r="F6" i="30"/>
  <c r="W5" i="30"/>
  <c r="V5" i="30"/>
  <c r="X5" i="30" s="1"/>
  <c r="I5" i="30"/>
  <c r="H5" i="30"/>
  <c r="G5" i="30"/>
  <c r="F5" i="30"/>
  <c r="W4" i="30"/>
  <c r="V4" i="30"/>
  <c r="J4" i="30"/>
  <c r="K4" i="30" s="1"/>
  <c r="AA3" i="30" s="1"/>
  <c r="G4" i="30"/>
  <c r="F4" i="30"/>
  <c r="H4" i="30" s="1"/>
  <c r="I4" i="30" s="1"/>
  <c r="W3" i="30"/>
  <c r="X3" i="30" s="1"/>
  <c r="V3" i="30"/>
  <c r="J3" i="30"/>
  <c r="K3" i="30" s="1"/>
  <c r="AA12" i="30" s="1"/>
  <c r="G3" i="30"/>
  <c r="F3" i="30"/>
  <c r="X2" i="30"/>
  <c r="W2" i="30"/>
  <c r="V2" i="30"/>
  <c r="K2" i="30"/>
  <c r="AA13" i="30" s="1"/>
  <c r="G2" i="30"/>
  <c r="F2" i="30"/>
  <c r="U20" i="29"/>
  <c r="S20" i="29"/>
  <c r="Q20" i="29"/>
  <c r="O20" i="29"/>
  <c r="E20" i="29"/>
  <c r="D20" i="29"/>
  <c r="C20" i="29"/>
  <c r="U19" i="29"/>
  <c r="T19" i="29"/>
  <c r="S19" i="29"/>
  <c r="R19" i="29"/>
  <c r="Q19" i="29"/>
  <c r="P19" i="29"/>
  <c r="O19" i="29"/>
  <c r="N19" i="29"/>
  <c r="E19" i="29"/>
  <c r="D19" i="29"/>
  <c r="C19" i="29"/>
  <c r="W17" i="29"/>
  <c r="V17" i="29"/>
  <c r="X17" i="29" s="1"/>
  <c r="J17" i="29"/>
  <c r="K17" i="29" s="1"/>
  <c r="AA2" i="29" s="1"/>
  <c r="G17" i="29"/>
  <c r="F17" i="29"/>
  <c r="H17" i="29" s="1"/>
  <c r="I17" i="29" s="1"/>
  <c r="W16" i="29"/>
  <c r="X16" i="29" s="1"/>
  <c r="V16" i="29"/>
  <c r="J16" i="29"/>
  <c r="K16" i="29" s="1"/>
  <c r="AA16" i="29" s="1"/>
  <c r="G16" i="29"/>
  <c r="F16" i="29"/>
  <c r="X15" i="29"/>
  <c r="W15" i="29"/>
  <c r="V15" i="29"/>
  <c r="G15" i="29"/>
  <c r="H15" i="29" s="1"/>
  <c r="F15" i="29"/>
  <c r="J15" i="29" s="1"/>
  <c r="K15" i="29" s="1"/>
  <c r="AA8" i="29" s="1"/>
  <c r="W14" i="29"/>
  <c r="V14" i="29"/>
  <c r="X14" i="29" s="1"/>
  <c r="H14" i="29"/>
  <c r="I14" i="29" s="1"/>
  <c r="G14" i="29"/>
  <c r="F14" i="29"/>
  <c r="W13" i="29"/>
  <c r="V13" i="29"/>
  <c r="K13" i="29"/>
  <c r="H13" i="29"/>
  <c r="I13" i="29" s="1"/>
  <c r="G13" i="29"/>
  <c r="F13" i="29"/>
  <c r="W12" i="29"/>
  <c r="V12" i="29"/>
  <c r="G12" i="29"/>
  <c r="F12" i="29"/>
  <c r="X11" i="29"/>
  <c r="W11" i="29"/>
  <c r="V11" i="29"/>
  <c r="G11" i="29"/>
  <c r="F11" i="29"/>
  <c r="X10" i="29"/>
  <c r="W10" i="29"/>
  <c r="V10" i="29"/>
  <c r="G10" i="29"/>
  <c r="F10" i="29"/>
  <c r="W9" i="29"/>
  <c r="V9" i="29"/>
  <c r="X9" i="29" s="1"/>
  <c r="I9" i="29"/>
  <c r="H9" i="29"/>
  <c r="G9" i="29"/>
  <c r="F9" i="29"/>
  <c r="W8" i="29"/>
  <c r="V8" i="29"/>
  <c r="X8" i="29" s="1"/>
  <c r="J8" i="29"/>
  <c r="K8" i="29" s="1"/>
  <c r="AA14" i="29" s="1"/>
  <c r="G8" i="29"/>
  <c r="F8" i="29"/>
  <c r="H8" i="29" s="1"/>
  <c r="I8" i="29" s="1"/>
  <c r="W7" i="29"/>
  <c r="X7" i="29" s="1"/>
  <c r="V7" i="29"/>
  <c r="J7" i="29"/>
  <c r="K7" i="29" s="1"/>
  <c r="AA4" i="29" s="1"/>
  <c r="G7" i="29"/>
  <c r="F7" i="29"/>
  <c r="X6" i="29"/>
  <c r="W6" i="29"/>
  <c r="V6" i="29"/>
  <c r="G6" i="29"/>
  <c r="F6" i="29"/>
  <c r="J6" i="29" s="1"/>
  <c r="K6" i="29" s="1"/>
  <c r="AA6" i="29" s="1"/>
  <c r="AA5" i="29"/>
  <c r="W5" i="29"/>
  <c r="V5" i="29"/>
  <c r="X5" i="29" s="1"/>
  <c r="H5" i="29"/>
  <c r="I5" i="29" s="1"/>
  <c r="G5" i="29"/>
  <c r="F5" i="29"/>
  <c r="W4" i="29"/>
  <c r="V4" i="29"/>
  <c r="G4" i="29"/>
  <c r="F4" i="29"/>
  <c r="W3" i="29"/>
  <c r="X3" i="29" s="1"/>
  <c r="V3" i="29"/>
  <c r="G3" i="29"/>
  <c r="F3" i="29"/>
  <c r="X2" i="29"/>
  <c r="W2" i="29"/>
  <c r="V2" i="29"/>
  <c r="H2" i="29"/>
  <c r="G2" i="29"/>
  <c r="F2" i="29"/>
  <c r="U20" i="28"/>
  <c r="S20" i="28"/>
  <c r="Q20" i="28"/>
  <c r="O20" i="28"/>
  <c r="E20" i="28"/>
  <c r="D20" i="28"/>
  <c r="C20" i="28"/>
  <c r="U19" i="28"/>
  <c r="T19" i="28"/>
  <c r="S19" i="28"/>
  <c r="R19" i="28"/>
  <c r="Q19" i="28"/>
  <c r="P19" i="28"/>
  <c r="O19" i="28"/>
  <c r="N19" i="28"/>
  <c r="E19" i="28"/>
  <c r="D19" i="28"/>
  <c r="C19" i="28"/>
  <c r="X17" i="28"/>
  <c r="W17" i="28"/>
  <c r="V17" i="28"/>
  <c r="J17" i="28"/>
  <c r="K17" i="28" s="1"/>
  <c r="AA10" i="28" s="1"/>
  <c r="G17" i="28"/>
  <c r="F17" i="28"/>
  <c r="X16" i="28"/>
  <c r="W16" i="28"/>
  <c r="V16" i="28"/>
  <c r="H16" i="28"/>
  <c r="I16" i="28" s="1"/>
  <c r="G16" i="28"/>
  <c r="F16" i="28"/>
  <c r="W15" i="28"/>
  <c r="V15" i="28"/>
  <c r="X15" i="28" s="1"/>
  <c r="H15" i="28"/>
  <c r="I15" i="28" s="1"/>
  <c r="G15" i="28"/>
  <c r="F15" i="28"/>
  <c r="W14" i="28"/>
  <c r="V14" i="28"/>
  <c r="X14" i="28" s="1"/>
  <c r="J14" i="28"/>
  <c r="K14" i="28" s="1"/>
  <c r="AA16" i="28" s="1"/>
  <c r="I14" i="28"/>
  <c r="G14" i="28"/>
  <c r="F14" i="28"/>
  <c r="H14" i="28" s="1"/>
  <c r="W13" i="28"/>
  <c r="V13" i="28"/>
  <c r="X13" i="28" s="1"/>
  <c r="G13" i="28"/>
  <c r="F13" i="28"/>
  <c r="X12" i="28"/>
  <c r="W12" i="28"/>
  <c r="V12" i="28"/>
  <c r="G12" i="28"/>
  <c r="F12" i="28"/>
  <c r="W11" i="28"/>
  <c r="V11" i="28"/>
  <c r="X11" i="28" s="1"/>
  <c r="H11" i="28"/>
  <c r="G11" i="28"/>
  <c r="F11" i="28"/>
  <c r="W10" i="28"/>
  <c r="V10" i="28"/>
  <c r="G10" i="28"/>
  <c r="F10" i="28"/>
  <c r="X9" i="28"/>
  <c r="W9" i="28"/>
  <c r="V9" i="28"/>
  <c r="G9" i="28"/>
  <c r="F9" i="28"/>
  <c r="J6" i="28" s="1"/>
  <c r="K6" i="28" s="1"/>
  <c r="AA12" i="28" s="1"/>
  <c r="X8" i="28"/>
  <c r="W8" i="28"/>
  <c r="V8" i="28"/>
  <c r="G8" i="28"/>
  <c r="H8" i="28" s="1"/>
  <c r="I8" i="28" s="1"/>
  <c r="F8" i="28"/>
  <c r="W7" i="28"/>
  <c r="V7" i="28"/>
  <c r="X7" i="28" s="1"/>
  <c r="I7" i="28"/>
  <c r="H7" i="28"/>
  <c r="G7" i="28"/>
  <c r="F7" i="28"/>
  <c r="W6" i="28"/>
  <c r="V6" i="28"/>
  <c r="X6" i="28" s="1"/>
  <c r="G6" i="28"/>
  <c r="F6" i="28"/>
  <c r="H6" i="28" s="1"/>
  <c r="I6" i="28" s="1"/>
  <c r="W5" i="28"/>
  <c r="V5" i="28"/>
  <c r="G5" i="28"/>
  <c r="F5" i="28"/>
  <c r="W4" i="28"/>
  <c r="X4" i="28" s="1"/>
  <c r="V4" i="28"/>
  <c r="G4" i="28"/>
  <c r="F4" i="28"/>
  <c r="X3" i="28"/>
  <c r="W3" i="28"/>
  <c r="V3" i="28"/>
  <c r="G3" i="28"/>
  <c r="F3" i="28"/>
  <c r="W2" i="28"/>
  <c r="W19" i="28" s="1"/>
  <c r="V2" i="28"/>
  <c r="G2" i="28"/>
  <c r="F2" i="28"/>
  <c r="J5" i="28" s="1"/>
  <c r="K5" i="28" s="1"/>
  <c r="AA13" i="28" s="1"/>
  <c r="X36" i="27"/>
  <c r="T36" i="27"/>
  <c r="R36" i="27"/>
  <c r="P36" i="27"/>
  <c r="N36" i="27"/>
  <c r="E36" i="27"/>
  <c r="D36" i="27"/>
  <c r="C36" i="27"/>
  <c r="T35" i="27"/>
  <c r="R35" i="27"/>
  <c r="P35" i="27"/>
  <c r="N35" i="27"/>
  <c r="E35" i="27"/>
  <c r="D35" i="27"/>
  <c r="C35" i="27"/>
  <c r="X33" i="27"/>
  <c r="W33" i="27"/>
  <c r="V33" i="27"/>
  <c r="H33" i="27"/>
  <c r="I33" i="27" s="1"/>
  <c r="G33" i="27"/>
  <c r="F33" i="27"/>
  <c r="W32" i="27"/>
  <c r="V32" i="27"/>
  <c r="X32" i="27" s="1"/>
  <c r="J32" i="27"/>
  <c r="K32" i="27" s="1"/>
  <c r="AA21" i="27" s="1"/>
  <c r="I32" i="27"/>
  <c r="H32" i="27"/>
  <c r="G32" i="27"/>
  <c r="F32" i="27"/>
  <c r="W31" i="27"/>
  <c r="V31" i="27"/>
  <c r="X31" i="27" s="1"/>
  <c r="K31" i="27"/>
  <c r="I31" i="27"/>
  <c r="H31" i="27"/>
  <c r="G31" i="27"/>
  <c r="F31" i="27"/>
  <c r="W30" i="27"/>
  <c r="V30" i="27"/>
  <c r="X30" i="27" s="1"/>
  <c r="J30" i="27"/>
  <c r="K30" i="27" s="1"/>
  <c r="AA18" i="27" s="1"/>
  <c r="G30" i="27"/>
  <c r="F30" i="27"/>
  <c r="H30" i="27" s="1"/>
  <c r="I30" i="27" s="1"/>
  <c r="W29" i="27"/>
  <c r="X29" i="27" s="1"/>
  <c r="V29" i="27"/>
  <c r="G29" i="27"/>
  <c r="F29" i="27"/>
  <c r="J29" i="27" s="1"/>
  <c r="K29" i="27" s="1"/>
  <c r="AA2" i="27" s="1"/>
  <c r="X28" i="27"/>
  <c r="W28" i="27"/>
  <c r="V28" i="27"/>
  <c r="G28" i="27"/>
  <c r="H28" i="27" s="1"/>
  <c r="I28" i="27" s="1"/>
  <c r="F28" i="27"/>
  <c r="W27" i="27"/>
  <c r="V27" i="27"/>
  <c r="X27" i="27" s="1"/>
  <c r="H27" i="27"/>
  <c r="G27" i="27"/>
  <c r="F27" i="27"/>
  <c r="J27" i="27" s="1"/>
  <c r="K27" i="27" s="1"/>
  <c r="AA25" i="27" s="1"/>
  <c r="W26" i="27"/>
  <c r="V26" i="27"/>
  <c r="X26" i="27" s="1"/>
  <c r="G26" i="27"/>
  <c r="F26" i="27"/>
  <c r="X25" i="27"/>
  <c r="W25" i="27"/>
  <c r="V25" i="27"/>
  <c r="J25" i="27"/>
  <c r="K25" i="27" s="1"/>
  <c r="AA17" i="27" s="1"/>
  <c r="G25" i="27"/>
  <c r="F25" i="27"/>
  <c r="X24" i="27"/>
  <c r="W24" i="27"/>
  <c r="V24" i="27"/>
  <c r="H24" i="27"/>
  <c r="I24" i="27" s="1"/>
  <c r="G24" i="27"/>
  <c r="F24" i="27"/>
  <c r="W23" i="27"/>
  <c r="V23" i="27"/>
  <c r="X23" i="27" s="1"/>
  <c r="I23" i="27"/>
  <c r="H23" i="27"/>
  <c r="G23" i="27"/>
  <c r="F23" i="27"/>
  <c r="W22" i="27"/>
  <c r="V22" i="27"/>
  <c r="X22" i="27" s="1"/>
  <c r="J22" i="27"/>
  <c r="K22" i="27" s="1"/>
  <c r="AA7" i="27" s="1"/>
  <c r="G22" i="27"/>
  <c r="F22" i="27"/>
  <c r="H22" i="27" s="1"/>
  <c r="I22" i="27" s="1"/>
  <c r="W21" i="27"/>
  <c r="X21" i="27" s="1"/>
  <c r="V21" i="27"/>
  <c r="G21" i="27"/>
  <c r="F21" i="27"/>
  <c r="J21" i="27" s="1"/>
  <c r="K21" i="27" s="1"/>
  <c r="AA4" i="27" s="1"/>
  <c r="X20" i="27"/>
  <c r="W20" i="27"/>
  <c r="V20" i="27"/>
  <c r="G20" i="27"/>
  <c r="H20" i="27" s="1"/>
  <c r="I20" i="27" s="1"/>
  <c r="F20" i="27"/>
  <c r="J20" i="27" s="1"/>
  <c r="K20" i="27" s="1"/>
  <c r="AA16" i="27" s="1"/>
  <c r="AA19" i="27"/>
  <c r="W19" i="27"/>
  <c r="V19" i="27"/>
  <c r="X19" i="27" s="1"/>
  <c r="K19" i="27"/>
  <c r="AA30" i="27" s="1"/>
  <c r="G19" i="27"/>
  <c r="H19" i="27" s="1"/>
  <c r="I19" i="27" s="1"/>
  <c r="F19" i="27"/>
  <c r="W18" i="27"/>
  <c r="V18" i="27"/>
  <c r="X18" i="27" s="1"/>
  <c r="H18" i="27"/>
  <c r="G18" i="27"/>
  <c r="F18" i="27"/>
  <c r="W17" i="27"/>
  <c r="V17" i="27"/>
  <c r="X17" i="27" s="1"/>
  <c r="G17" i="27"/>
  <c r="F17" i="27"/>
  <c r="X16" i="27"/>
  <c r="W16" i="27"/>
  <c r="V16" i="27"/>
  <c r="K16" i="27"/>
  <c r="G16" i="27"/>
  <c r="F16" i="27"/>
  <c r="X15" i="27"/>
  <c r="W15" i="27"/>
  <c r="V15" i="27"/>
  <c r="G15" i="27"/>
  <c r="F15" i="27"/>
  <c r="X14" i="27"/>
  <c r="W14" i="27"/>
  <c r="V14" i="27"/>
  <c r="H14" i="27"/>
  <c r="I14" i="27" s="1"/>
  <c r="G14" i="27"/>
  <c r="F14" i="27"/>
  <c r="AA13" i="27"/>
  <c r="W13" i="27"/>
  <c r="V13" i="27"/>
  <c r="X13" i="27" s="1"/>
  <c r="I13" i="27"/>
  <c r="H13" i="27"/>
  <c r="G13" i="27"/>
  <c r="F13" i="27"/>
  <c r="W12" i="27"/>
  <c r="V12" i="27"/>
  <c r="X12" i="27" s="1"/>
  <c r="J12" i="27"/>
  <c r="K12" i="27" s="1"/>
  <c r="AA23" i="27" s="1"/>
  <c r="G12" i="27"/>
  <c r="F12" i="27"/>
  <c r="H12" i="27" s="1"/>
  <c r="I12" i="27" s="1"/>
  <c r="W11" i="27"/>
  <c r="X11" i="27" s="1"/>
  <c r="V11" i="27"/>
  <c r="G11" i="27"/>
  <c r="F11" i="27"/>
  <c r="J11" i="27" s="1"/>
  <c r="K11" i="27" s="1"/>
  <c r="AA10" i="27" s="1"/>
  <c r="X10" i="27"/>
  <c r="W10" i="27"/>
  <c r="V10" i="27"/>
  <c r="G10" i="27"/>
  <c r="F10" i="27"/>
  <c r="J10" i="27" s="1"/>
  <c r="K10" i="27" s="1"/>
  <c r="AA26" i="27" s="1"/>
  <c r="W9" i="27"/>
  <c r="V9" i="27"/>
  <c r="X9" i="27" s="1"/>
  <c r="H9" i="27"/>
  <c r="G9" i="27"/>
  <c r="F9" i="27"/>
  <c r="W8" i="27"/>
  <c r="V8" i="27"/>
  <c r="X8" i="27" s="1"/>
  <c r="G8" i="27"/>
  <c r="F8" i="27"/>
  <c r="X7" i="27"/>
  <c r="W7" i="27"/>
  <c r="V7" i="27"/>
  <c r="G7" i="27"/>
  <c r="F7" i="27"/>
  <c r="X6" i="27"/>
  <c r="W6" i="27"/>
  <c r="V6" i="27"/>
  <c r="H6" i="27"/>
  <c r="I6" i="27" s="1"/>
  <c r="G6" i="27"/>
  <c r="F6" i="27"/>
  <c r="W5" i="27"/>
  <c r="V5" i="27"/>
  <c r="X5" i="27" s="1"/>
  <c r="I5" i="27"/>
  <c r="H5" i="27"/>
  <c r="G5" i="27"/>
  <c r="F5" i="27"/>
  <c r="W4" i="27"/>
  <c r="V4" i="27"/>
  <c r="X4" i="27" s="1"/>
  <c r="J4" i="27"/>
  <c r="K4" i="27" s="1"/>
  <c r="AA31" i="27" s="1"/>
  <c r="G4" i="27"/>
  <c r="F4" i="27"/>
  <c r="W3" i="27"/>
  <c r="X3" i="27" s="1"/>
  <c r="V3" i="27"/>
  <c r="G3" i="27"/>
  <c r="F3" i="27"/>
  <c r="J3" i="27" s="1"/>
  <c r="K3" i="27" s="1"/>
  <c r="AA11" i="27" s="1"/>
  <c r="X2" i="27"/>
  <c r="W2" i="27"/>
  <c r="V2" i="27"/>
  <c r="G2" i="27"/>
  <c r="H2" i="27" s="1"/>
  <c r="F2" i="27"/>
  <c r="J2" i="27" s="1"/>
  <c r="K2" i="27" s="1"/>
  <c r="U21" i="26"/>
  <c r="T21" i="26"/>
  <c r="S21" i="26"/>
  <c r="R21" i="26"/>
  <c r="Q21" i="26"/>
  <c r="P21" i="26"/>
  <c r="O21" i="26"/>
  <c r="N21" i="26"/>
  <c r="U20" i="26"/>
  <c r="S20" i="26"/>
  <c r="Q20" i="26"/>
  <c r="O20" i="26"/>
  <c r="E20" i="26"/>
  <c r="D20" i="26"/>
  <c r="C20" i="26"/>
  <c r="X20" i="26" s="1"/>
  <c r="U19" i="26"/>
  <c r="T19" i="26"/>
  <c r="S19" i="26"/>
  <c r="R19" i="26"/>
  <c r="Q19" i="26"/>
  <c r="P19" i="26"/>
  <c r="O19" i="26"/>
  <c r="N19" i="26"/>
  <c r="E19" i="26"/>
  <c r="D19" i="26"/>
  <c r="C19" i="26"/>
  <c r="X17" i="26"/>
  <c r="W17" i="26"/>
  <c r="V17" i="26"/>
  <c r="G17" i="26"/>
  <c r="F17" i="26"/>
  <c r="W16" i="26"/>
  <c r="V16" i="26"/>
  <c r="X16" i="26" s="1"/>
  <c r="H16" i="26"/>
  <c r="G16" i="26"/>
  <c r="F16" i="26"/>
  <c r="J16" i="26" s="1"/>
  <c r="K16" i="26" s="1"/>
  <c r="AA13" i="26" s="1"/>
  <c r="W15" i="26"/>
  <c r="V15" i="26"/>
  <c r="X15" i="26" s="1"/>
  <c r="G15" i="26"/>
  <c r="F15" i="26"/>
  <c r="X14" i="26"/>
  <c r="W14" i="26"/>
  <c r="V14" i="26"/>
  <c r="G14" i="26"/>
  <c r="F14" i="26"/>
  <c r="X13" i="26"/>
  <c r="W13" i="26"/>
  <c r="V13" i="26"/>
  <c r="H13" i="26"/>
  <c r="I13" i="26" s="1"/>
  <c r="G13" i="26"/>
  <c r="F13" i="26"/>
  <c r="W12" i="26"/>
  <c r="V12" i="26"/>
  <c r="X12" i="26" s="1"/>
  <c r="I12" i="26"/>
  <c r="H12" i="26"/>
  <c r="G12" i="26"/>
  <c r="F12" i="26"/>
  <c r="W11" i="26"/>
  <c r="V11" i="26"/>
  <c r="X11" i="26" s="1"/>
  <c r="J11" i="26"/>
  <c r="K11" i="26" s="1"/>
  <c r="AA7" i="26" s="1"/>
  <c r="G11" i="26"/>
  <c r="F11" i="26"/>
  <c r="H11" i="26" s="1"/>
  <c r="I11" i="26" s="1"/>
  <c r="W10" i="26"/>
  <c r="X10" i="26" s="1"/>
  <c r="V10" i="26"/>
  <c r="G10" i="26"/>
  <c r="F10" i="26"/>
  <c r="J10" i="26" s="1"/>
  <c r="K10" i="26" s="1"/>
  <c r="AA14" i="26" s="1"/>
  <c r="X9" i="26"/>
  <c r="W9" i="26"/>
  <c r="V9" i="26"/>
  <c r="G9" i="26"/>
  <c r="H9" i="26" s="1"/>
  <c r="F9" i="26"/>
  <c r="J9" i="26" s="1"/>
  <c r="K9" i="26" s="1"/>
  <c r="AA3" i="26" s="1"/>
  <c r="W8" i="26"/>
  <c r="V8" i="26"/>
  <c r="X8" i="26" s="1"/>
  <c r="H8" i="26"/>
  <c r="G8" i="26"/>
  <c r="F8" i="26"/>
  <c r="W7" i="26"/>
  <c r="V7" i="26"/>
  <c r="X7" i="26" s="1"/>
  <c r="G7" i="26"/>
  <c r="F7" i="26"/>
  <c r="X6" i="26"/>
  <c r="W6" i="26"/>
  <c r="V6" i="26"/>
  <c r="G6" i="26"/>
  <c r="H6" i="26" s="1"/>
  <c r="F6" i="26"/>
  <c r="X5" i="26"/>
  <c r="W5" i="26"/>
  <c r="V5" i="26"/>
  <c r="H5" i="26"/>
  <c r="I5" i="26" s="1"/>
  <c r="G5" i="26"/>
  <c r="F5" i="26"/>
  <c r="W4" i="26"/>
  <c r="V4" i="26"/>
  <c r="X4" i="26" s="1"/>
  <c r="I4" i="26"/>
  <c r="H4" i="26"/>
  <c r="G4" i="26"/>
  <c r="F4" i="26"/>
  <c r="W3" i="26"/>
  <c r="V3" i="26"/>
  <c r="X3" i="26" s="1"/>
  <c r="J3" i="26"/>
  <c r="K3" i="26" s="1"/>
  <c r="AA16" i="26" s="1"/>
  <c r="G3" i="26"/>
  <c r="F3" i="26"/>
  <c r="H3" i="26" s="1"/>
  <c r="I3" i="26" s="1"/>
  <c r="W2" i="26"/>
  <c r="X2" i="26" s="1"/>
  <c r="V2" i="26"/>
  <c r="G2" i="26"/>
  <c r="G19" i="26" s="1"/>
  <c r="F2" i="26"/>
  <c r="J2" i="26" s="1"/>
  <c r="K2" i="26" s="1"/>
  <c r="AA5" i="26" s="1"/>
  <c r="U21" i="25"/>
  <c r="T21" i="25"/>
  <c r="S21" i="25"/>
  <c r="R21" i="25"/>
  <c r="Q21" i="25"/>
  <c r="P21" i="25"/>
  <c r="O21" i="25"/>
  <c r="N21" i="25"/>
  <c r="X20" i="25"/>
  <c r="U20" i="25"/>
  <c r="S20" i="25"/>
  <c r="Q20" i="25"/>
  <c r="O20" i="25"/>
  <c r="E20" i="25"/>
  <c r="D20" i="25"/>
  <c r="C20" i="25"/>
  <c r="U19" i="25"/>
  <c r="T19" i="25"/>
  <c r="S19" i="25"/>
  <c r="R19" i="25"/>
  <c r="Q19" i="25"/>
  <c r="P19" i="25"/>
  <c r="O19" i="25"/>
  <c r="N19" i="25"/>
  <c r="E19" i="25"/>
  <c r="D19" i="25"/>
  <c r="C19" i="25"/>
  <c r="W17" i="25"/>
  <c r="X17" i="25" s="1"/>
  <c r="V17" i="25"/>
  <c r="G17" i="25"/>
  <c r="F17" i="25"/>
  <c r="J17" i="25" s="1"/>
  <c r="K17" i="25" s="1"/>
  <c r="AA3" i="25" s="1"/>
  <c r="X16" i="25"/>
  <c r="W16" i="25"/>
  <c r="V16" i="25"/>
  <c r="G16" i="25"/>
  <c r="F16" i="25"/>
  <c r="J16" i="25" s="1"/>
  <c r="K16" i="25" s="1"/>
  <c r="AA7" i="25" s="1"/>
  <c r="W15" i="25"/>
  <c r="V15" i="25"/>
  <c r="X15" i="25" s="1"/>
  <c r="H15" i="25"/>
  <c r="G15" i="25"/>
  <c r="F15" i="25"/>
  <c r="W14" i="25"/>
  <c r="V14" i="25"/>
  <c r="X14" i="25" s="1"/>
  <c r="G14" i="25"/>
  <c r="F14" i="25"/>
  <c r="X13" i="25"/>
  <c r="W13" i="25"/>
  <c r="V13" i="25"/>
  <c r="J13" i="25"/>
  <c r="K13" i="25" s="1"/>
  <c r="AA15" i="25" s="1"/>
  <c r="G13" i="25"/>
  <c r="F13" i="25"/>
  <c r="X12" i="25"/>
  <c r="W12" i="25"/>
  <c r="V12" i="25"/>
  <c r="H12" i="25"/>
  <c r="I12" i="25" s="1"/>
  <c r="G12" i="25"/>
  <c r="F12" i="25"/>
  <c r="W11" i="25"/>
  <c r="V11" i="25"/>
  <c r="X11" i="25" s="1"/>
  <c r="J11" i="25"/>
  <c r="K11" i="25" s="1"/>
  <c r="AA9" i="25" s="1"/>
  <c r="I11" i="25"/>
  <c r="H11" i="25"/>
  <c r="G11" i="25"/>
  <c r="F11" i="25"/>
  <c r="W10" i="25"/>
  <c r="V10" i="25"/>
  <c r="X10" i="25" s="1"/>
  <c r="J10" i="25"/>
  <c r="K10" i="25" s="1"/>
  <c r="AA14" i="25" s="1"/>
  <c r="G10" i="25"/>
  <c r="F10" i="25"/>
  <c r="H10" i="25" s="1"/>
  <c r="I10" i="25" s="1"/>
  <c r="W9" i="25"/>
  <c r="X9" i="25" s="1"/>
  <c r="V9" i="25"/>
  <c r="G9" i="25"/>
  <c r="F9" i="25"/>
  <c r="X8" i="25"/>
  <c r="W8" i="25"/>
  <c r="V8" i="25"/>
  <c r="G8" i="25"/>
  <c r="F8" i="25"/>
  <c r="W7" i="25"/>
  <c r="V7" i="25"/>
  <c r="X7" i="25" s="1"/>
  <c r="H7" i="25"/>
  <c r="G7" i="25"/>
  <c r="F7" i="25"/>
  <c r="W6" i="25"/>
  <c r="V6" i="25"/>
  <c r="G6" i="25"/>
  <c r="F6" i="25"/>
  <c r="X5" i="25"/>
  <c r="W5" i="25"/>
  <c r="V5" i="25"/>
  <c r="J5" i="25"/>
  <c r="K5" i="25" s="1"/>
  <c r="AA6" i="25" s="1"/>
  <c r="G5" i="25"/>
  <c r="F5" i="25"/>
  <c r="X4" i="25"/>
  <c r="W4" i="25"/>
  <c r="V4" i="25"/>
  <c r="H4" i="25"/>
  <c r="I4" i="25" s="1"/>
  <c r="G4" i="25"/>
  <c r="F4" i="25"/>
  <c r="W3" i="25"/>
  <c r="V3" i="25"/>
  <c r="X3" i="25" s="1"/>
  <c r="J3" i="25"/>
  <c r="K3" i="25" s="1"/>
  <c r="AA16" i="25" s="1"/>
  <c r="H3" i="25"/>
  <c r="I3" i="25" s="1"/>
  <c r="G3" i="25"/>
  <c r="F3" i="25"/>
  <c r="W2" i="25"/>
  <c r="V2" i="25"/>
  <c r="J2" i="25"/>
  <c r="K2" i="25" s="1"/>
  <c r="G2" i="25"/>
  <c r="F2" i="25"/>
  <c r="U20" i="24"/>
  <c r="S20" i="24"/>
  <c r="Q20" i="24"/>
  <c r="O20" i="24"/>
  <c r="E20" i="24"/>
  <c r="D20" i="24"/>
  <c r="C20" i="24"/>
  <c r="U19" i="24"/>
  <c r="T19" i="24"/>
  <c r="S19" i="24"/>
  <c r="R19" i="24"/>
  <c r="Q19" i="24"/>
  <c r="P19" i="24"/>
  <c r="O19" i="24"/>
  <c r="N19" i="24"/>
  <c r="E19" i="24"/>
  <c r="D19" i="24"/>
  <c r="C19" i="24"/>
  <c r="W17" i="24"/>
  <c r="V17" i="24"/>
  <c r="X17" i="24" s="1"/>
  <c r="H17" i="24"/>
  <c r="I17" i="24" s="1"/>
  <c r="G17" i="24"/>
  <c r="F17" i="24"/>
  <c r="W16" i="24"/>
  <c r="V16" i="24"/>
  <c r="X16" i="24" s="1"/>
  <c r="I16" i="24"/>
  <c r="G16" i="24"/>
  <c r="F16" i="24"/>
  <c r="H16" i="24" s="1"/>
  <c r="W15" i="24"/>
  <c r="X15" i="24" s="1"/>
  <c r="V15" i="24"/>
  <c r="G15" i="24"/>
  <c r="F15" i="24"/>
  <c r="X14" i="24"/>
  <c r="W14" i="24"/>
  <c r="V14" i="24"/>
  <c r="G14" i="24"/>
  <c r="F14" i="24"/>
  <c r="W13" i="24"/>
  <c r="V13" i="24"/>
  <c r="X13" i="24" s="1"/>
  <c r="G13" i="24"/>
  <c r="F13" i="24"/>
  <c r="W12" i="24"/>
  <c r="X12" i="24" s="1"/>
  <c r="V12" i="24"/>
  <c r="G12" i="24"/>
  <c r="F12" i="24"/>
  <c r="W11" i="24"/>
  <c r="X11" i="24" s="1"/>
  <c r="V11" i="24"/>
  <c r="G11" i="24"/>
  <c r="F11" i="24"/>
  <c r="X10" i="24"/>
  <c r="W10" i="24"/>
  <c r="V10" i="24"/>
  <c r="H10" i="24"/>
  <c r="I10" i="24" s="1"/>
  <c r="G10" i="24"/>
  <c r="F10" i="24"/>
  <c r="W9" i="24"/>
  <c r="V9" i="24"/>
  <c r="X9" i="24" s="1"/>
  <c r="H9" i="24"/>
  <c r="I9" i="24" s="1"/>
  <c r="G9" i="24"/>
  <c r="F9" i="24"/>
  <c r="W8" i="24"/>
  <c r="V8" i="24"/>
  <c r="J8" i="24"/>
  <c r="K8" i="24" s="1"/>
  <c r="AA16" i="24" s="1"/>
  <c r="I8" i="24"/>
  <c r="G8" i="24"/>
  <c r="F8" i="24"/>
  <c r="H8" i="24" s="1"/>
  <c r="X7" i="24"/>
  <c r="W7" i="24"/>
  <c r="V7" i="24"/>
  <c r="J7" i="24"/>
  <c r="K7" i="24" s="1"/>
  <c r="AA4" i="24" s="1"/>
  <c r="G7" i="24"/>
  <c r="F7" i="24"/>
  <c r="J9" i="24" s="1"/>
  <c r="K9" i="24" s="1"/>
  <c r="AA14" i="24" s="1"/>
  <c r="X6" i="24"/>
  <c r="W6" i="24"/>
  <c r="V6" i="24"/>
  <c r="H6" i="24"/>
  <c r="G6" i="24"/>
  <c r="F6" i="24"/>
  <c r="W5" i="24"/>
  <c r="V5" i="24"/>
  <c r="H5" i="24"/>
  <c r="I5" i="24" s="1"/>
  <c r="G5" i="24"/>
  <c r="F5" i="24"/>
  <c r="J5" i="24" s="1"/>
  <c r="K5" i="24" s="1"/>
  <c r="AA8" i="24" s="1"/>
  <c r="W4" i="24"/>
  <c r="X4" i="24" s="1"/>
  <c r="V4" i="24"/>
  <c r="J4" i="24"/>
  <c r="K4" i="24" s="1"/>
  <c r="AA15" i="24" s="1"/>
  <c r="G4" i="24"/>
  <c r="F4" i="24"/>
  <c r="W3" i="24"/>
  <c r="X3" i="24" s="1"/>
  <c r="V3" i="24"/>
  <c r="G3" i="24"/>
  <c r="F3" i="24"/>
  <c r="F19" i="24" s="1"/>
  <c r="X2" i="24"/>
  <c r="W2" i="24"/>
  <c r="V2" i="24"/>
  <c r="V19" i="24" s="1"/>
  <c r="G2" i="24"/>
  <c r="F2" i="24"/>
  <c r="U20" i="23"/>
  <c r="S20" i="23"/>
  <c r="Q20" i="23"/>
  <c r="O20" i="23"/>
  <c r="E20" i="23"/>
  <c r="D20" i="23"/>
  <c r="C20" i="23"/>
  <c r="U19" i="23"/>
  <c r="T19" i="23"/>
  <c r="S19" i="23"/>
  <c r="R19" i="23"/>
  <c r="Q19" i="23"/>
  <c r="P19" i="23"/>
  <c r="O19" i="23"/>
  <c r="N19" i="23"/>
  <c r="E19" i="23"/>
  <c r="D19" i="23"/>
  <c r="C19" i="23"/>
  <c r="W17" i="23"/>
  <c r="X17" i="23" s="1"/>
  <c r="V17" i="23"/>
  <c r="G17" i="23"/>
  <c r="F17" i="23"/>
  <c r="J17" i="23" s="1"/>
  <c r="K17" i="23" s="1"/>
  <c r="AA14" i="23" s="1"/>
  <c r="W16" i="23"/>
  <c r="V16" i="23"/>
  <c r="X16" i="23" s="1"/>
  <c r="H16" i="23"/>
  <c r="I16" i="23" s="1"/>
  <c r="G16" i="23"/>
  <c r="F16" i="23"/>
  <c r="W15" i="23"/>
  <c r="V15" i="23"/>
  <c r="X15" i="23" s="1"/>
  <c r="G15" i="23"/>
  <c r="F15" i="23"/>
  <c r="J15" i="23" s="1"/>
  <c r="K15" i="23" s="1"/>
  <c r="AA9" i="23" s="1"/>
  <c r="W14" i="23"/>
  <c r="V14" i="23"/>
  <c r="X14" i="23" s="1"/>
  <c r="G14" i="23"/>
  <c r="F14" i="23"/>
  <c r="J16" i="23" s="1"/>
  <c r="K16" i="23" s="1"/>
  <c r="AA4" i="23" s="1"/>
  <c r="W13" i="23"/>
  <c r="X13" i="23" s="1"/>
  <c r="V13" i="23"/>
  <c r="G13" i="23"/>
  <c r="F13" i="23"/>
  <c r="X12" i="23"/>
  <c r="W12" i="23"/>
  <c r="V12" i="23"/>
  <c r="G12" i="23"/>
  <c r="F12" i="23"/>
  <c r="J12" i="23" s="1"/>
  <c r="K12" i="23" s="1"/>
  <c r="AA12" i="23" s="1"/>
  <c r="W11" i="23"/>
  <c r="V11" i="23"/>
  <c r="X11" i="23" s="1"/>
  <c r="H11" i="23"/>
  <c r="I11" i="23" s="1"/>
  <c r="G11" i="23"/>
  <c r="F11" i="23"/>
  <c r="W10" i="23"/>
  <c r="X10" i="23" s="1"/>
  <c r="V10" i="23"/>
  <c r="K10" i="23"/>
  <c r="H10" i="23"/>
  <c r="I10" i="23" s="1"/>
  <c r="G10" i="23"/>
  <c r="F10" i="23"/>
  <c r="W9" i="23"/>
  <c r="X9" i="23" s="1"/>
  <c r="V9" i="23"/>
  <c r="J9" i="23"/>
  <c r="K9" i="23" s="1"/>
  <c r="AA2" i="23" s="1"/>
  <c r="I9" i="23"/>
  <c r="G9" i="23"/>
  <c r="F9" i="23"/>
  <c r="H9" i="23" s="1"/>
  <c r="X8" i="23"/>
  <c r="W8" i="23"/>
  <c r="V8" i="23"/>
  <c r="J8" i="23"/>
  <c r="K8" i="23" s="1"/>
  <c r="AA3" i="23" s="1"/>
  <c r="G8" i="23"/>
  <c r="H8" i="23" s="1"/>
  <c r="I8" i="23" s="1"/>
  <c r="F8" i="23"/>
  <c r="W7" i="23"/>
  <c r="X7" i="23" s="1"/>
  <c r="V7" i="23"/>
  <c r="H7" i="23"/>
  <c r="I7" i="23" s="1"/>
  <c r="G7" i="23"/>
  <c r="F7" i="23"/>
  <c r="AA6" i="23"/>
  <c r="W6" i="23"/>
  <c r="V6" i="23"/>
  <c r="X6" i="23" s="1"/>
  <c r="G6" i="23"/>
  <c r="F6" i="23"/>
  <c r="W5" i="23"/>
  <c r="V5" i="23"/>
  <c r="X5" i="23" s="1"/>
  <c r="G5" i="23"/>
  <c r="F5" i="23"/>
  <c r="W4" i="23"/>
  <c r="X4" i="23" s="1"/>
  <c r="V4" i="23"/>
  <c r="G4" i="23"/>
  <c r="F4" i="23"/>
  <c r="X3" i="23"/>
  <c r="W3" i="23"/>
  <c r="V3" i="23"/>
  <c r="G3" i="23"/>
  <c r="F3" i="23"/>
  <c r="W2" i="23"/>
  <c r="V2" i="23"/>
  <c r="H2" i="23"/>
  <c r="G2" i="23"/>
  <c r="G19" i="23" s="1"/>
  <c r="F2" i="23"/>
  <c r="U20" i="22"/>
  <c r="S20" i="22"/>
  <c r="Q20" i="22"/>
  <c r="O20" i="22"/>
  <c r="E20" i="22"/>
  <c r="D20" i="22"/>
  <c r="C20" i="22"/>
  <c r="U19" i="22"/>
  <c r="T19" i="22"/>
  <c r="S19" i="22"/>
  <c r="R19" i="22"/>
  <c r="Q19" i="22"/>
  <c r="P19" i="22"/>
  <c r="O19" i="22"/>
  <c r="N19" i="22"/>
  <c r="E19" i="22"/>
  <c r="D19" i="22"/>
  <c r="C19" i="22"/>
  <c r="X17" i="22"/>
  <c r="W17" i="22"/>
  <c r="V17" i="22"/>
  <c r="G17" i="22"/>
  <c r="F17" i="22"/>
  <c r="W16" i="22"/>
  <c r="V16" i="22"/>
  <c r="X16" i="22" s="1"/>
  <c r="H16" i="22"/>
  <c r="I16" i="22" s="1"/>
  <c r="G16" i="22"/>
  <c r="F16" i="22"/>
  <c r="J16" i="22" s="1"/>
  <c r="K16" i="22" s="1"/>
  <c r="AA3" i="22" s="1"/>
  <c r="W15" i="22"/>
  <c r="X15" i="22" s="1"/>
  <c r="V15" i="22"/>
  <c r="J15" i="22"/>
  <c r="K15" i="22" s="1"/>
  <c r="AA9" i="22" s="1"/>
  <c r="G15" i="22"/>
  <c r="F15" i="22"/>
  <c r="H15" i="22" s="1"/>
  <c r="I15" i="22" s="1"/>
  <c r="X14" i="22"/>
  <c r="W14" i="22"/>
  <c r="V14" i="22"/>
  <c r="J14" i="22"/>
  <c r="K14" i="22" s="1"/>
  <c r="AA12" i="22" s="1"/>
  <c r="G14" i="22"/>
  <c r="H14" i="22" s="1"/>
  <c r="F14" i="22"/>
  <c r="I14" i="22" s="1"/>
  <c r="X13" i="22"/>
  <c r="W13" i="22"/>
  <c r="V13" i="22"/>
  <c r="H13" i="22"/>
  <c r="I13" i="22" s="1"/>
  <c r="G13" i="22"/>
  <c r="F13" i="22"/>
  <c r="J13" i="22" s="1"/>
  <c r="K13" i="22" s="1"/>
  <c r="AA11" i="22" s="1"/>
  <c r="W12" i="22"/>
  <c r="V12" i="22"/>
  <c r="X12" i="22" s="1"/>
  <c r="I12" i="22"/>
  <c r="H12" i="22"/>
  <c r="G12" i="22"/>
  <c r="F12" i="22"/>
  <c r="W11" i="22"/>
  <c r="V11" i="22"/>
  <c r="X11" i="22" s="1"/>
  <c r="G11" i="22"/>
  <c r="F11" i="22"/>
  <c r="W10" i="22"/>
  <c r="X10" i="22" s="1"/>
  <c r="V10" i="22"/>
  <c r="G10" i="22"/>
  <c r="F10" i="22"/>
  <c r="X9" i="22"/>
  <c r="W9" i="22"/>
  <c r="V9" i="22"/>
  <c r="H9" i="22"/>
  <c r="G9" i="22"/>
  <c r="F9" i="22"/>
  <c r="W8" i="22"/>
  <c r="V8" i="22"/>
  <c r="X8" i="22" s="1"/>
  <c r="X19" i="22" s="1"/>
  <c r="H8" i="22"/>
  <c r="I8" i="22" s="1"/>
  <c r="G8" i="22"/>
  <c r="F8" i="22"/>
  <c r="W7" i="22"/>
  <c r="X7" i="22" s="1"/>
  <c r="V7" i="22"/>
  <c r="J7" i="22"/>
  <c r="K7" i="22" s="1"/>
  <c r="AA6" i="22" s="1"/>
  <c r="I7" i="22"/>
  <c r="G7" i="22"/>
  <c r="F7" i="22"/>
  <c r="H7" i="22" s="1"/>
  <c r="X6" i="22"/>
  <c r="W6" i="22"/>
  <c r="V6" i="22"/>
  <c r="K6" i="22"/>
  <c r="AA10" i="22" s="1"/>
  <c r="G6" i="22"/>
  <c r="F6" i="22"/>
  <c r="H6" i="22" s="1"/>
  <c r="I6" i="22" s="1"/>
  <c r="X5" i="22"/>
  <c r="W5" i="22"/>
  <c r="V5" i="22"/>
  <c r="V19" i="22" s="1"/>
  <c r="J5" i="22"/>
  <c r="K5" i="22" s="1"/>
  <c r="AA14" i="22" s="1"/>
  <c r="G5" i="22"/>
  <c r="H5" i="22" s="1"/>
  <c r="F5" i="22"/>
  <c r="X4" i="22"/>
  <c r="W4" i="22"/>
  <c r="V4" i="22"/>
  <c r="H4" i="22"/>
  <c r="I4" i="22" s="1"/>
  <c r="G4" i="22"/>
  <c r="F4" i="22"/>
  <c r="X3" i="22"/>
  <c r="W3" i="22"/>
  <c r="V3" i="22"/>
  <c r="H3" i="22"/>
  <c r="I3" i="22" s="1"/>
  <c r="G3" i="22"/>
  <c r="F3" i="22"/>
  <c r="X2" i="22"/>
  <c r="W2" i="22"/>
  <c r="V2" i="22"/>
  <c r="J2" i="22"/>
  <c r="K2" i="22" s="1"/>
  <c r="H2" i="22"/>
  <c r="G2" i="22"/>
  <c r="G19" i="22" s="1"/>
  <c r="F2" i="22"/>
  <c r="J4" i="22" s="1"/>
  <c r="K4" i="22" s="1"/>
  <c r="AA13" i="22" s="1"/>
  <c r="U20" i="21"/>
  <c r="S20" i="21"/>
  <c r="Q20" i="21"/>
  <c r="O20" i="21"/>
  <c r="E20" i="21"/>
  <c r="D20" i="21"/>
  <c r="C20" i="21"/>
  <c r="X20" i="21" s="1"/>
  <c r="U19" i="21"/>
  <c r="T19" i="21"/>
  <c r="S19" i="21"/>
  <c r="R19" i="21"/>
  <c r="Q19" i="21"/>
  <c r="P19" i="21"/>
  <c r="O19" i="21"/>
  <c r="N19" i="21"/>
  <c r="E19" i="21"/>
  <c r="D19" i="21"/>
  <c r="C19" i="21"/>
  <c r="X17" i="21"/>
  <c r="W17" i="21"/>
  <c r="V17" i="21"/>
  <c r="I17" i="21"/>
  <c r="G17" i="21"/>
  <c r="F17" i="21"/>
  <c r="H17" i="21" s="1"/>
  <c r="X16" i="21"/>
  <c r="W16" i="21"/>
  <c r="V16" i="21"/>
  <c r="H16" i="21"/>
  <c r="I16" i="21" s="1"/>
  <c r="G16" i="21"/>
  <c r="F16" i="21"/>
  <c r="W15" i="21"/>
  <c r="V15" i="21"/>
  <c r="X15" i="21" s="1"/>
  <c r="H15" i="21"/>
  <c r="I15" i="21" s="1"/>
  <c r="G15" i="21"/>
  <c r="F15" i="21"/>
  <c r="W14" i="21"/>
  <c r="V14" i="21"/>
  <c r="X14" i="21" s="1"/>
  <c r="G14" i="21"/>
  <c r="F14" i="21"/>
  <c r="J17" i="21" s="1"/>
  <c r="K17" i="21" s="1"/>
  <c r="AA16" i="21" s="1"/>
  <c r="W13" i="21"/>
  <c r="X13" i="21" s="1"/>
  <c r="V13" i="21"/>
  <c r="G13" i="21"/>
  <c r="F13" i="21"/>
  <c r="W12" i="21"/>
  <c r="X12" i="21" s="1"/>
  <c r="V12" i="21"/>
  <c r="G12" i="21"/>
  <c r="H12" i="21" s="1"/>
  <c r="F12" i="21"/>
  <c r="W11" i="21"/>
  <c r="V11" i="21"/>
  <c r="X11" i="21" s="1"/>
  <c r="G11" i="21"/>
  <c r="F11" i="21"/>
  <c r="W10" i="21"/>
  <c r="V10" i="21"/>
  <c r="X10" i="21" s="1"/>
  <c r="G10" i="21"/>
  <c r="F10" i="21"/>
  <c r="H10" i="21" s="1"/>
  <c r="X9" i="21"/>
  <c r="W9" i="21"/>
  <c r="V9" i="21"/>
  <c r="G9" i="21"/>
  <c r="F9" i="21"/>
  <c r="X8" i="21"/>
  <c r="W8" i="21"/>
  <c r="V8" i="21"/>
  <c r="H8" i="21"/>
  <c r="I8" i="21" s="1"/>
  <c r="G8" i="21"/>
  <c r="F8" i="21"/>
  <c r="W7" i="21"/>
  <c r="V7" i="21"/>
  <c r="X7" i="21" s="1"/>
  <c r="H7" i="21"/>
  <c r="I7" i="21" s="1"/>
  <c r="G7" i="21"/>
  <c r="F7" i="21"/>
  <c r="W6" i="21"/>
  <c r="V6" i="21"/>
  <c r="X6" i="21" s="1"/>
  <c r="J6" i="21"/>
  <c r="K6" i="21" s="1"/>
  <c r="AA10" i="21" s="1"/>
  <c r="G6" i="21"/>
  <c r="F6" i="21"/>
  <c r="X5" i="21"/>
  <c r="W5" i="21"/>
  <c r="V5" i="21"/>
  <c r="J5" i="21"/>
  <c r="K5" i="21" s="1"/>
  <c r="AA14" i="21" s="1"/>
  <c r="G5" i="21"/>
  <c r="F5" i="21"/>
  <c r="X4" i="21"/>
  <c r="W4" i="21"/>
  <c r="V4" i="21"/>
  <c r="G4" i="21"/>
  <c r="F4" i="21"/>
  <c r="W3" i="21"/>
  <c r="V3" i="21"/>
  <c r="X3" i="21" s="1"/>
  <c r="G3" i="21"/>
  <c r="F3" i="21"/>
  <c r="J3" i="21" s="1"/>
  <c r="K3" i="21" s="1"/>
  <c r="AA3" i="21" s="1"/>
  <c r="W2" i="21"/>
  <c r="W19" i="21" s="1"/>
  <c r="V2" i="21"/>
  <c r="I2" i="21"/>
  <c r="G2" i="21"/>
  <c r="F2" i="21"/>
  <c r="H2" i="21" s="1"/>
  <c r="U20" i="20"/>
  <c r="S20" i="20"/>
  <c r="Q20" i="20"/>
  <c r="E20" i="20"/>
  <c r="D20" i="20"/>
  <c r="C20" i="20"/>
  <c r="U19" i="20"/>
  <c r="T19" i="20"/>
  <c r="S19" i="20"/>
  <c r="R19" i="20"/>
  <c r="Q19" i="20"/>
  <c r="P19" i="20"/>
  <c r="E19" i="20"/>
  <c r="D19" i="20"/>
  <c r="C19" i="20"/>
  <c r="W17" i="20"/>
  <c r="V17" i="20"/>
  <c r="X17" i="20" s="1"/>
  <c r="G17" i="20"/>
  <c r="F17" i="20"/>
  <c r="W16" i="20"/>
  <c r="X16" i="20" s="1"/>
  <c r="V16" i="20"/>
  <c r="J16" i="20"/>
  <c r="K16" i="20" s="1"/>
  <c r="AA15" i="20" s="1"/>
  <c r="G16" i="20"/>
  <c r="F16" i="20"/>
  <c r="X15" i="20"/>
  <c r="W15" i="20"/>
  <c r="V15" i="20"/>
  <c r="H15" i="20"/>
  <c r="G15" i="20"/>
  <c r="F15" i="20"/>
  <c r="W14" i="20"/>
  <c r="V14" i="20"/>
  <c r="X14" i="20" s="1"/>
  <c r="H14" i="20"/>
  <c r="I14" i="20" s="1"/>
  <c r="G14" i="20"/>
  <c r="F14" i="20"/>
  <c r="W13" i="20"/>
  <c r="V13" i="20"/>
  <c r="X13" i="20" s="1"/>
  <c r="I13" i="20"/>
  <c r="G13" i="20"/>
  <c r="F13" i="20"/>
  <c r="H13" i="20" s="1"/>
  <c r="X12" i="20"/>
  <c r="W12" i="20"/>
  <c r="V12" i="20"/>
  <c r="J12" i="20"/>
  <c r="K12" i="20" s="1"/>
  <c r="AA7" i="20" s="1"/>
  <c r="G12" i="20"/>
  <c r="F12" i="20"/>
  <c r="X11" i="20"/>
  <c r="W11" i="20"/>
  <c r="V11" i="20"/>
  <c r="G11" i="20"/>
  <c r="H11" i="20" s="1"/>
  <c r="I11" i="20" s="1"/>
  <c r="F11" i="20"/>
  <c r="W10" i="20"/>
  <c r="V10" i="20"/>
  <c r="X10" i="20" s="1"/>
  <c r="H10" i="20"/>
  <c r="I10" i="20" s="1"/>
  <c r="G10" i="20"/>
  <c r="F10" i="20"/>
  <c r="W9" i="20"/>
  <c r="V9" i="20"/>
  <c r="X9" i="20" s="1"/>
  <c r="I9" i="20"/>
  <c r="G9" i="20"/>
  <c r="F9" i="20"/>
  <c r="H9" i="20" s="1"/>
  <c r="X8" i="20"/>
  <c r="W8" i="20"/>
  <c r="V8" i="20"/>
  <c r="G8" i="20"/>
  <c r="F8" i="20"/>
  <c r="X7" i="20"/>
  <c r="W7" i="20"/>
  <c r="V7" i="20"/>
  <c r="K7" i="20"/>
  <c r="AA12" i="20" s="1"/>
  <c r="G7" i="20"/>
  <c r="F7" i="20"/>
  <c r="J9" i="20" s="1"/>
  <c r="K9" i="20" s="1"/>
  <c r="AA2" i="20" s="1"/>
  <c r="X6" i="20"/>
  <c r="W6" i="20"/>
  <c r="V6" i="20"/>
  <c r="G6" i="20"/>
  <c r="F6" i="20"/>
  <c r="W5" i="20"/>
  <c r="V5" i="20"/>
  <c r="X5" i="20" s="1"/>
  <c r="G5" i="20"/>
  <c r="F5" i="20"/>
  <c r="W4" i="20"/>
  <c r="X4" i="20" s="1"/>
  <c r="V4" i="20"/>
  <c r="J4" i="20"/>
  <c r="K4" i="20" s="1"/>
  <c r="AA11" i="20" s="1"/>
  <c r="G4" i="20"/>
  <c r="F4" i="20"/>
  <c r="X3" i="20"/>
  <c r="W3" i="20"/>
  <c r="V3" i="20"/>
  <c r="G3" i="20"/>
  <c r="H3" i="20" s="1"/>
  <c r="F3" i="20"/>
  <c r="X2" i="20"/>
  <c r="X19" i="20" s="1"/>
  <c r="W2" i="20"/>
  <c r="V2" i="20"/>
  <c r="G2" i="20"/>
  <c r="G19" i="20" s="1"/>
  <c r="F2" i="20"/>
  <c r="U20" i="19"/>
  <c r="S20" i="19"/>
  <c r="Q20" i="19"/>
  <c r="O20" i="19"/>
  <c r="E20" i="19"/>
  <c r="D20" i="19"/>
  <c r="C20" i="19"/>
  <c r="X20" i="19" s="1"/>
  <c r="U19" i="19"/>
  <c r="T19" i="19"/>
  <c r="S19" i="19"/>
  <c r="R19" i="19"/>
  <c r="Q19" i="19"/>
  <c r="P19" i="19"/>
  <c r="O19" i="19"/>
  <c r="N19" i="19"/>
  <c r="E19" i="19"/>
  <c r="D19" i="19"/>
  <c r="C19" i="19"/>
  <c r="Z17" i="19"/>
  <c r="X17" i="19"/>
  <c r="W17" i="19"/>
  <c r="V17" i="19"/>
  <c r="G17" i="19"/>
  <c r="F17" i="19"/>
  <c r="Z16" i="19"/>
  <c r="W16" i="19"/>
  <c r="V16" i="19"/>
  <c r="X16" i="19" s="1"/>
  <c r="G16" i="19"/>
  <c r="F16" i="19"/>
  <c r="Z15" i="19"/>
  <c r="W15" i="19"/>
  <c r="V15" i="19"/>
  <c r="H15" i="19"/>
  <c r="I15" i="19" s="1"/>
  <c r="G15" i="19"/>
  <c r="F15" i="19"/>
  <c r="Z14" i="19"/>
  <c r="X14" i="19"/>
  <c r="W14" i="19"/>
  <c r="V14" i="19"/>
  <c r="I14" i="19"/>
  <c r="G14" i="19"/>
  <c r="F14" i="19"/>
  <c r="H14" i="19" s="1"/>
  <c r="Z13" i="19"/>
  <c r="X13" i="19"/>
  <c r="W13" i="19"/>
  <c r="V13" i="19"/>
  <c r="G13" i="19"/>
  <c r="F13" i="19"/>
  <c r="Z12" i="19"/>
  <c r="W12" i="19"/>
  <c r="V12" i="19"/>
  <c r="X12" i="19" s="1"/>
  <c r="G12" i="19"/>
  <c r="H12" i="19" s="1"/>
  <c r="I12" i="19" s="1"/>
  <c r="F12" i="19"/>
  <c r="Z11" i="19"/>
  <c r="X11" i="19"/>
  <c r="W11" i="19"/>
  <c r="V11" i="19"/>
  <c r="H11" i="19"/>
  <c r="I11" i="19" s="1"/>
  <c r="G11" i="19"/>
  <c r="F11" i="19"/>
  <c r="Z10" i="19"/>
  <c r="X10" i="19"/>
  <c r="W10" i="19"/>
  <c r="V10" i="19"/>
  <c r="I10" i="19"/>
  <c r="G10" i="19"/>
  <c r="F10" i="19"/>
  <c r="H10" i="19" s="1"/>
  <c r="Z9" i="19"/>
  <c r="W9" i="19"/>
  <c r="V9" i="19"/>
  <c r="X9" i="19" s="1"/>
  <c r="G9" i="19"/>
  <c r="F9" i="19"/>
  <c r="Z8" i="19"/>
  <c r="W8" i="19"/>
  <c r="V8" i="19"/>
  <c r="X8" i="19" s="1"/>
  <c r="H8" i="19"/>
  <c r="I8" i="19" s="1"/>
  <c r="G8" i="19"/>
  <c r="F8" i="19"/>
  <c r="Z7" i="19"/>
  <c r="X7" i="19"/>
  <c r="W7" i="19"/>
  <c r="V7" i="19"/>
  <c r="G7" i="19"/>
  <c r="F7" i="19"/>
  <c r="Z6" i="19"/>
  <c r="W6" i="19"/>
  <c r="V6" i="19"/>
  <c r="X6" i="19" s="1"/>
  <c r="G6" i="19"/>
  <c r="F6" i="19"/>
  <c r="Z5" i="19"/>
  <c r="W5" i="19"/>
  <c r="X5" i="19" s="1"/>
  <c r="V5" i="19"/>
  <c r="H5" i="19"/>
  <c r="G5" i="19"/>
  <c r="F5" i="19"/>
  <c r="I5" i="19" s="1"/>
  <c r="Z4" i="19"/>
  <c r="X4" i="19"/>
  <c r="W4" i="19"/>
  <c r="V4" i="19"/>
  <c r="G4" i="19"/>
  <c r="F4" i="19"/>
  <c r="Z3" i="19"/>
  <c r="W3" i="19"/>
  <c r="V3" i="19"/>
  <c r="X3" i="19" s="1"/>
  <c r="G3" i="19"/>
  <c r="G19" i="19" s="1"/>
  <c r="F3" i="19"/>
  <c r="Z2" i="19"/>
  <c r="W2" i="19"/>
  <c r="X2" i="19" s="1"/>
  <c r="V2" i="19"/>
  <c r="H2" i="19"/>
  <c r="G2" i="19"/>
  <c r="F2" i="19"/>
  <c r="U20" i="18"/>
  <c r="S20" i="18"/>
  <c r="Q20" i="18"/>
  <c r="O20" i="18"/>
  <c r="E20" i="18"/>
  <c r="D20" i="18"/>
  <c r="C20" i="18"/>
  <c r="X20" i="18" s="1"/>
  <c r="U19" i="18"/>
  <c r="T19" i="18"/>
  <c r="S19" i="18"/>
  <c r="R19" i="18"/>
  <c r="Q19" i="18"/>
  <c r="P19" i="18"/>
  <c r="O19" i="18"/>
  <c r="N19" i="18"/>
  <c r="E19" i="18"/>
  <c r="D19" i="18"/>
  <c r="C19" i="18"/>
  <c r="Z17" i="18"/>
  <c r="W17" i="18"/>
  <c r="V17" i="18"/>
  <c r="X17" i="18" s="1"/>
  <c r="G17" i="18"/>
  <c r="F17" i="18"/>
  <c r="Z16" i="18"/>
  <c r="W16" i="18"/>
  <c r="X16" i="18" s="1"/>
  <c r="V16" i="18"/>
  <c r="H16" i="18"/>
  <c r="I16" i="18" s="1"/>
  <c r="G16" i="18"/>
  <c r="F16" i="18"/>
  <c r="Z15" i="18"/>
  <c r="W15" i="18"/>
  <c r="V15" i="18"/>
  <c r="X15" i="18" s="1"/>
  <c r="I15" i="18"/>
  <c r="G15" i="18"/>
  <c r="F15" i="18"/>
  <c r="H15" i="18" s="1"/>
  <c r="Z14" i="18"/>
  <c r="W14" i="18"/>
  <c r="V14" i="18"/>
  <c r="X14" i="18" s="1"/>
  <c r="G14" i="18"/>
  <c r="F14" i="18"/>
  <c r="H14" i="18" s="1"/>
  <c r="I14" i="18" s="1"/>
  <c r="Z13" i="18"/>
  <c r="W13" i="18"/>
  <c r="V13" i="18"/>
  <c r="X13" i="18" s="1"/>
  <c r="G13" i="18"/>
  <c r="H13" i="18" s="1"/>
  <c r="I13" i="18" s="1"/>
  <c r="F13" i="18"/>
  <c r="Z12" i="18"/>
  <c r="X12" i="18"/>
  <c r="W12" i="18"/>
  <c r="V12" i="18"/>
  <c r="G12" i="18"/>
  <c r="F12" i="18"/>
  <c r="Z11" i="18"/>
  <c r="W11" i="18"/>
  <c r="V11" i="18"/>
  <c r="X11" i="18" s="1"/>
  <c r="G11" i="18"/>
  <c r="F11" i="18"/>
  <c r="Z10" i="18"/>
  <c r="W10" i="18"/>
  <c r="X10" i="18" s="1"/>
  <c r="V10" i="18"/>
  <c r="H10" i="18"/>
  <c r="G10" i="18"/>
  <c r="F10" i="18"/>
  <c r="I10" i="18" s="1"/>
  <c r="Z9" i="18"/>
  <c r="X9" i="18"/>
  <c r="W9" i="18"/>
  <c r="V9" i="18"/>
  <c r="G9" i="18"/>
  <c r="F9" i="18"/>
  <c r="H9" i="18" s="1"/>
  <c r="Z8" i="18"/>
  <c r="W8" i="18"/>
  <c r="V8" i="18"/>
  <c r="X8" i="18" s="1"/>
  <c r="G8" i="18"/>
  <c r="H8" i="18" s="1"/>
  <c r="I8" i="18" s="1"/>
  <c r="F8" i="18"/>
  <c r="Z7" i="18"/>
  <c r="W7" i="18"/>
  <c r="X7" i="18" s="1"/>
  <c r="V7" i="18"/>
  <c r="H7" i="18"/>
  <c r="I7" i="18" s="1"/>
  <c r="G7" i="18"/>
  <c r="F7" i="18"/>
  <c r="Z6" i="18"/>
  <c r="W6" i="18"/>
  <c r="V6" i="18"/>
  <c r="X6" i="18" s="1"/>
  <c r="G6" i="18"/>
  <c r="F6" i="18"/>
  <c r="H6" i="18" s="1"/>
  <c r="I6" i="18" s="1"/>
  <c r="Z5" i="18"/>
  <c r="W5" i="18"/>
  <c r="V5" i="18"/>
  <c r="G5" i="18"/>
  <c r="H5" i="18" s="1"/>
  <c r="I5" i="18" s="1"/>
  <c r="F5" i="18"/>
  <c r="Z4" i="18"/>
  <c r="X4" i="18"/>
  <c r="W4" i="18"/>
  <c r="V4" i="18"/>
  <c r="G4" i="18"/>
  <c r="F4" i="18"/>
  <c r="Z3" i="18"/>
  <c r="W3" i="18"/>
  <c r="V3" i="18"/>
  <c r="X3" i="18" s="1"/>
  <c r="G3" i="18"/>
  <c r="F3" i="18"/>
  <c r="Z2" i="18"/>
  <c r="X2" i="18"/>
  <c r="W2" i="18"/>
  <c r="V2" i="18"/>
  <c r="V19" i="18" s="1"/>
  <c r="G2" i="18"/>
  <c r="F2" i="18"/>
  <c r="U20" i="17"/>
  <c r="S20" i="17"/>
  <c r="Q20" i="17"/>
  <c r="O20" i="17"/>
  <c r="E20" i="17"/>
  <c r="D20" i="17"/>
  <c r="C20" i="17"/>
  <c r="U19" i="17"/>
  <c r="T19" i="17"/>
  <c r="S19" i="17"/>
  <c r="R19" i="17"/>
  <c r="Q19" i="17"/>
  <c r="P19" i="17"/>
  <c r="O19" i="17"/>
  <c r="N19" i="17"/>
  <c r="E19" i="17"/>
  <c r="D19" i="17"/>
  <c r="C19" i="17"/>
  <c r="Z17" i="17"/>
  <c r="W17" i="17"/>
  <c r="V17" i="17"/>
  <c r="G17" i="17"/>
  <c r="F17" i="17"/>
  <c r="AA16" i="17"/>
  <c r="Z16" i="17"/>
  <c r="X16" i="17"/>
  <c r="W16" i="17"/>
  <c r="V16" i="17"/>
  <c r="G16" i="17"/>
  <c r="F16" i="17"/>
  <c r="Z15" i="17"/>
  <c r="X15" i="17"/>
  <c r="W15" i="17"/>
  <c r="V15" i="17"/>
  <c r="G15" i="17"/>
  <c r="F15" i="17"/>
  <c r="Z14" i="17"/>
  <c r="W14" i="17"/>
  <c r="V14" i="17"/>
  <c r="X14" i="17" s="1"/>
  <c r="G14" i="17"/>
  <c r="F14" i="17"/>
  <c r="Z13" i="17"/>
  <c r="W13" i="17"/>
  <c r="V13" i="17"/>
  <c r="X13" i="17" s="1"/>
  <c r="H13" i="17"/>
  <c r="I13" i="17" s="1"/>
  <c r="G13" i="17"/>
  <c r="F13" i="17"/>
  <c r="Z12" i="17"/>
  <c r="W12" i="17"/>
  <c r="X12" i="17" s="1"/>
  <c r="V12" i="17"/>
  <c r="H12" i="17"/>
  <c r="I12" i="17" s="1"/>
  <c r="G12" i="17"/>
  <c r="F12" i="17"/>
  <c r="Z11" i="17"/>
  <c r="W11" i="17"/>
  <c r="V11" i="17"/>
  <c r="X11" i="17" s="1"/>
  <c r="G11" i="17"/>
  <c r="F11" i="17"/>
  <c r="H11" i="17" s="1"/>
  <c r="I11" i="17" s="1"/>
  <c r="Z10" i="17"/>
  <c r="W10" i="17"/>
  <c r="V10" i="17"/>
  <c r="G10" i="17"/>
  <c r="H10" i="17" s="1"/>
  <c r="I10" i="17" s="1"/>
  <c r="F10" i="17"/>
  <c r="Z9" i="17"/>
  <c r="W9" i="17"/>
  <c r="V9" i="17"/>
  <c r="X9" i="17" s="1"/>
  <c r="G9" i="17"/>
  <c r="F9" i="17"/>
  <c r="Z8" i="17"/>
  <c r="W8" i="17"/>
  <c r="V8" i="17"/>
  <c r="X8" i="17" s="1"/>
  <c r="G8" i="17"/>
  <c r="F8" i="17"/>
  <c r="Z7" i="17"/>
  <c r="W7" i="17"/>
  <c r="X7" i="17" s="1"/>
  <c r="V7" i="17"/>
  <c r="G7" i="17"/>
  <c r="F7" i="17"/>
  <c r="H7" i="17" s="1"/>
  <c r="Z6" i="17"/>
  <c r="X6" i="17"/>
  <c r="W6" i="17"/>
  <c r="V6" i="17"/>
  <c r="G6" i="17"/>
  <c r="F6" i="17"/>
  <c r="H6" i="17" s="1"/>
  <c r="I6" i="17" s="1"/>
  <c r="Z5" i="17"/>
  <c r="W5" i="17"/>
  <c r="V5" i="17"/>
  <c r="X5" i="17" s="1"/>
  <c r="H5" i="17"/>
  <c r="I5" i="17" s="1"/>
  <c r="G5" i="17"/>
  <c r="F5" i="17"/>
  <c r="Z4" i="17"/>
  <c r="W4" i="17"/>
  <c r="X4" i="17" s="1"/>
  <c r="V4" i="17"/>
  <c r="I4" i="17"/>
  <c r="H4" i="17"/>
  <c r="G4" i="17"/>
  <c r="F4" i="17"/>
  <c r="Z3" i="17"/>
  <c r="W3" i="17"/>
  <c r="V3" i="17"/>
  <c r="X3" i="17" s="1"/>
  <c r="G3" i="17"/>
  <c r="F3" i="17"/>
  <c r="Z2" i="17"/>
  <c r="W2" i="17"/>
  <c r="W19" i="17" s="1"/>
  <c r="V2" i="17"/>
  <c r="X2" i="17" s="1"/>
  <c r="G2" i="17"/>
  <c r="F2" i="17"/>
  <c r="U20" i="16"/>
  <c r="S20" i="16"/>
  <c r="Q20" i="16"/>
  <c r="O20" i="16"/>
  <c r="E20" i="16"/>
  <c r="D20" i="16"/>
  <c r="C20" i="16"/>
  <c r="X20" i="16" s="1"/>
  <c r="U19" i="16"/>
  <c r="T19" i="16"/>
  <c r="S19" i="16"/>
  <c r="R19" i="16"/>
  <c r="Q19" i="16"/>
  <c r="P19" i="16"/>
  <c r="O19" i="16"/>
  <c r="N19" i="16"/>
  <c r="E19" i="16"/>
  <c r="D19" i="16"/>
  <c r="C19" i="16"/>
  <c r="Z17" i="16"/>
  <c r="W17" i="16"/>
  <c r="V17" i="16"/>
  <c r="X17" i="16" s="1"/>
  <c r="G17" i="16"/>
  <c r="F17" i="16"/>
  <c r="H17" i="16" s="1"/>
  <c r="Z16" i="16"/>
  <c r="W16" i="16"/>
  <c r="V16" i="16"/>
  <c r="X16" i="16" s="1"/>
  <c r="G16" i="16"/>
  <c r="H16" i="16" s="1"/>
  <c r="I16" i="16" s="1"/>
  <c r="F16" i="16"/>
  <c r="Z15" i="16"/>
  <c r="W15" i="16"/>
  <c r="X15" i="16" s="1"/>
  <c r="V15" i="16"/>
  <c r="G15" i="16"/>
  <c r="F15" i="16"/>
  <c r="Z14" i="16"/>
  <c r="W14" i="16"/>
  <c r="V14" i="16"/>
  <c r="X14" i="16" s="1"/>
  <c r="G14" i="16"/>
  <c r="F14" i="16"/>
  <c r="Z13" i="16"/>
  <c r="W13" i="16"/>
  <c r="X13" i="16" s="1"/>
  <c r="V13" i="16"/>
  <c r="G13" i="16"/>
  <c r="F13" i="16"/>
  <c r="Z12" i="16"/>
  <c r="X12" i="16"/>
  <c r="W12" i="16"/>
  <c r="V12" i="16"/>
  <c r="H12" i="16"/>
  <c r="I12" i="16" s="1"/>
  <c r="G12" i="16"/>
  <c r="F12" i="16"/>
  <c r="Z11" i="16"/>
  <c r="W11" i="16"/>
  <c r="V11" i="16"/>
  <c r="X11" i="16" s="1"/>
  <c r="G11" i="16"/>
  <c r="H11" i="16" s="1"/>
  <c r="I11" i="16" s="1"/>
  <c r="F11" i="16"/>
  <c r="Z10" i="16"/>
  <c r="X10" i="16"/>
  <c r="W10" i="16"/>
  <c r="V10" i="16"/>
  <c r="G10" i="16"/>
  <c r="F10" i="16"/>
  <c r="Z9" i="16"/>
  <c r="X9" i="16"/>
  <c r="W9" i="16"/>
  <c r="V9" i="16"/>
  <c r="G9" i="16"/>
  <c r="F9" i="16"/>
  <c r="H9" i="16" s="1"/>
  <c r="Z8" i="16"/>
  <c r="W8" i="16"/>
  <c r="V8" i="16"/>
  <c r="X8" i="16" s="1"/>
  <c r="G8" i="16"/>
  <c r="H8" i="16" s="1"/>
  <c r="I8" i="16" s="1"/>
  <c r="F8" i="16"/>
  <c r="Z7" i="16"/>
  <c r="X7" i="16"/>
  <c r="W7" i="16"/>
  <c r="V7" i="16"/>
  <c r="G7" i="16"/>
  <c r="F7" i="16"/>
  <c r="H7" i="16" s="1"/>
  <c r="I7" i="16" s="1"/>
  <c r="Z6" i="16"/>
  <c r="W6" i="16"/>
  <c r="V6" i="16"/>
  <c r="X6" i="16" s="1"/>
  <c r="G6" i="16"/>
  <c r="F6" i="16"/>
  <c r="H6" i="16" s="1"/>
  <c r="Z5" i="16"/>
  <c r="W5" i="16"/>
  <c r="X5" i="16" s="1"/>
  <c r="V5" i="16"/>
  <c r="H5" i="16"/>
  <c r="G5" i="16"/>
  <c r="F5" i="16"/>
  <c r="Z4" i="16"/>
  <c r="W4" i="16"/>
  <c r="V4" i="16"/>
  <c r="X4" i="16" s="1"/>
  <c r="G4" i="16"/>
  <c r="F4" i="16"/>
  <c r="Z3" i="16"/>
  <c r="W3" i="16"/>
  <c r="V3" i="16"/>
  <c r="X3" i="16" s="1"/>
  <c r="G3" i="16"/>
  <c r="G19" i="16" s="1"/>
  <c r="F3" i="16"/>
  <c r="Z2" i="16"/>
  <c r="X2" i="16"/>
  <c r="W2" i="16"/>
  <c r="W19" i="16" s="1"/>
  <c r="V2" i="16"/>
  <c r="G2" i="16"/>
  <c r="F2" i="16"/>
  <c r="U20" i="15"/>
  <c r="S20" i="15"/>
  <c r="Q20" i="15"/>
  <c r="O20" i="15"/>
  <c r="E20" i="15"/>
  <c r="D20" i="15"/>
  <c r="C20" i="15"/>
  <c r="U19" i="15"/>
  <c r="T19" i="15"/>
  <c r="S19" i="15"/>
  <c r="R19" i="15"/>
  <c r="Q19" i="15"/>
  <c r="P19" i="15"/>
  <c r="O19" i="15"/>
  <c r="N19" i="15"/>
  <c r="E19" i="15"/>
  <c r="D19" i="15"/>
  <c r="C19" i="15"/>
  <c r="Z17" i="15"/>
  <c r="W17" i="15"/>
  <c r="V17" i="15"/>
  <c r="X17" i="15" s="1"/>
  <c r="H17" i="15"/>
  <c r="I17" i="15" s="1"/>
  <c r="G17" i="15"/>
  <c r="F17" i="15"/>
  <c r="Z16" i="15"/>
  <c r="X16" i="15"/>
  <c r="W16" i="15"/>
  <c r="V16" i="15"/>
  <c r="G16" i="15"/>
  <c r="F16" i="15"/>
  <c r="Z15" i="15"/>
  <c r="W15" i="15"/>
  <c r="V15" i="15"/>
  <c r="X15" i="15" s="1"/>
  <c r="I15" i="15"/>
  <c r="G15" i="15"/>
  <c r="F15" i="15"/>
  <c r="H15" i="15" s="1"/>
  <c r="Z14" i="15"/>
  <c r="W14" i="15"/>
  <c r="V14" i="15"/>
  <c r="X14" i="15" s="1"/>
  <c r="H14" i="15"/>
  <c r="I14" i="15" s="1"/>
  <c r="G14" i="15"/>
  <c r="F14" i="15"/>
  <c r="Z13" i="15"/>
  <c r="W13" i="15"/>
  <c r="X13" i="15" s="1"/>
  <c r="V13" i="15"/>
  <c r="G13" i="15"/>
  <c r="F13" i="15"/>
  <c r="H13" i="15" s="1"/>
  <c r="I13" i="15" s="1"/>
  <c r="Z12" i="15"/>
  <c r="W12" i="15"/>
  <c r="X12" i="15" s="1"/>
  <c r="V12" i="15"/>
  <c r="G12" i="15"/>
  <c r="F12" i="15"/>
  <c r="Z11" i="15"/>
  <c r="W11" i="15"/>
  <c r="V11" i="15"/>
  <c r="X11" i="15" s="1"/>
  <c r="G11" i="15"/>
  <c r="F11" i="15"/>
  <c r="Z10" i="15"/>
  <c r="X10" i="15"/>
  <c r="W10" i="15"/>
  <c r="V10" i="15"/>
  <c r="G10" i="15"/>
  <c r="F10" i="15"/>
  <c r="Z9" i="15"/>
  <c r="X9" i="15"/>
  <c r="W9" i="15"/>
  <c r="V9" i="15"/>
  <c r="G9" i="15"/>
  <c r="F9" i="15"/>
  <c r="H9" i="15" s="1"/>
  <c r="I9" i="15" s="1"/>
  <c r="Z8" i="15"/>
  <c r="W8" i="15"/>
  <c r="X8" i="15" s="1"/>
  <c r="V8" i="15"/>
  <c r="G8" i="15"/>
  <c r="F8" i="15"/>
  <c r="H8" i="15" s="1"/>
  <c r="I8" i="15" s="1"/>
  <c r="Z7" i="15"/>
  <c r="W7" i="15"/>
  <c r="V7" i="15"/>
  <c r="X7" i="15" s="1"/>
  <c r="H7" i="15"/>
  <c r="I7" i="15" s="1"/>
  <c r="G7" i="15"/>
  <c r="F7" i="15"/>
  <c r="Z6" i="15"/>
  <c r="W6" i="15"/>
  <c r="V6" i="15"/>
  <c r="X6" i="15" s="1"/>
  <c r="H6" i="15"/>
  <c r="I6" i="15" s="1"/>
  <c r="G6" i="15"/>
  <c r="F6" i="15"/>
  <c r="Z5" i="15"/>
  <c r="W5" i="15"/>
  <c r="V5" i="15"/>
  <c r="G5" i="15"/>
  <c r="F5" i="15"/>
  <c r="Z4" i="15"/>
  <c r="W4" i="15"/>
  <c r="V4" i="15"/>
  <c r="X4" i="15" s="1"/>
  <c r="I4" i="15"/>
  <c r="H4" i="15"/>
  <c r="G4" i="15"/>
  <c r="F4" i="15"/>
  <c r="Z3" i="15"/>
  <c r="W3" i="15"/>
  <c r="V3" i="15"/>
  <c r="X3" i="15" s="1"/>
  <c r="H3" i="15"/>
  <c r="I3" i="15" s="1"/>
  <c r="G3" i="15"/>
  <c r="F3" i="15"/>
  <c r="Z2" i="15"/>
  <c r="W2" i="15"/>
  <c r="V2" i="15"/>
  <c r="V19" i="15" s="1"/>
  <c r="G2" i="15"/>
  <c r="F2" i="15"/>
  <c r="H2" i="15" s="1"/>
  <c r="U20" i="14"/>
  <c r="S20" i="14"/>
  <c r="Q20" i="14"/>
  <c r="O20" i="14"/>
  <c r="E20" i="14"/>
  <c r="D20" i="14"/>
  <c r="C20" i="14"/>
  <c r="U19" i="14"/>
  <c r="T19" i="14"/>
  <c r="S19" i="14"/>
  <c r="R19" i="14"/>
  <c r="Q19" i="14"/>
  <c r="P19" i="14"/>
  <c r="O19" i="14"/>
  <c r="N19" i="14"/>
  <c r="E19" i="14"/>
  <c r="D19" i="14"/>
  <c r="C19" i="14"/>
  <c r="Z17" i="14"/>
  <c r="W17" i="14"/>
  <c r="V17" i="14"/>
  <c r="X17" i="14" s="1"/>
  <c r="I17" i="14"/>
  <c r="H17" i="14"/>
  <c r="G17" i="14"/>
  <c r="F17" i="14"/>
  <c r="Z16" i="14"/>
  <c r="AA16" i="14" s="1"/>
  <c r="W16" i="14"/>
  <c r="V16" i="14"/>
  <c r="I16" i="14"/>
  <c r="G16" i="14"/>
  <c r="F16" i="14"/>
  <c r="H16" i="14" s="1"/>
  <c r="Z15" i="14"/>
  <c r="W15" i="14"/>
  <c r="X15" i="14" s="1"/>
  <c r="V15" i="14"/>
  <c r="G15" i="14"/>
  <c r="F15" i="14"/>
  <c r="Z14" i="14"/>
  <c r="W14" i="14"/>
  <c r="V14" i="14"/>
  <c r="X14" i="14" s="1"/>
  <c r="G14" i="14"/>
  <c r="F14" i="14"/>
  <c r="Z13" i="14"/>
  <c r="X13" i="14"/>
  <c r="W13" i="14"/>
  <c r="V13" i="14"/>
  <c r="G13" i="14"/>
  <c r="F13" i="14"/>
  <c r="Z12" i="14"/>
  <c r="W12" i="14"/>
  <c r="V12" i="14"/>
  <c r="X12" i="14" s="1"/>
  <c r="H12" i="14"/>
  <c r="G12" i="14"/>
  <c r="F12" i="14"/>
  <c r="Z11" i="14"/>
  <c r="X11" i="14"/>
  <c r="W11" i="14"/>
  <c r="V11" i="14"/>
  <c r="I11" i="14"/>
  <c r="H11" i="14"/>
  <c r="G11" i="14"/>
  <c r="F11" i="14"/>
  <c r="Z10" i="14"/>
  <c r="X10" i="14"/>
  <c r="W10" i="14"/>
  <c r="V10" i="14"/>
  <c r="G10" i="14"/>
  <c r="F10" i="14"/>
  <c r="Z9" i="14"/>
  <c r="W9" i="14"/>
  <c r="V9" i="14"/>
  <c r="X9" i="14" s="1"/>
  <c r="I9" i="14"/>
  <c r="H9" i="14"/>
  <c r="G9" i="14"/>
  <c r="F9" i="14"/>
  <c r="Z8" i="14"/>
  <c r="W8" i="14"/>
  <c r="V8" i="14"/>
  <c r="X8" i="14" s="1"/>
  <c r="H8" i="14"/>
  <c r="I8" i="14" s="1"/>
  <c r="G8" i="14"/>
  <c r="F8" i="14"/>
  <c r="Z7" i="14"/>
  <c r="W7" i="14"/>
  <c r="V7" i="14"/>
  <c r="G7" i="14"/>
  <c r="F7" i="14"/>
  <c r="Z6" i="14"/>
  <c r="W6" i="14"/>
  <c r="V6" i="14"/>
  <c r="X6" i="14" s="1"/>
  <c r="G6" i="14"/>
  <c r="F6" i="14"/>
  <c r="Z5" i="14"/>
  <c r="W5" i="14"/>
  <c r="X5" i="14" s="1"/>
  <c r="V5" i="14"/>
  <c r="G5" i="14"/>
  <c r="F5" i="14"/>
  <c r="Z4" i="14"/>
  <c r="X4" i="14"/>
  <c r="W4" i="14"/>
  <c r="V4" i="14"/>
  <c r="H4" i="14"/>
  <c r="G4" i="14"/>
  <c r="F4" i="14"/>
  <c r="Z3" i="14"/>
  <c r="W3" i="14"/>
  <c r="V3" i="14"/>
  <c r="G3" i="14"/>
  <c r="F3" i="14"/>
  <c r="Z2" i="14"/>
  <c r="X2" i="14"/>
  <c r="W2" i="14"/>
  <c r="V2" i="14"/>
  <c r="I2" i="14"/>
  <c r="H2" i="14"/>
  <c r="G2" i="14"/>
  <c r="F2" i="14"/>
  <c r="U20" i="13"/>
  <c r="S20" i="13"/>
  <c r="Q20" i="13"/>
  <c r="O20" i="13"/>
  <c r="E20" i="13"/>
  <c r="D20" i="13"/>
  <c r="C20" i="13"/>
  <c r="X20" i="13" s="1"/>
  <c r="U19" i="13"/>
  <c r="T19" i="13"/>
  <c r="S19" i="13"/>
  <c r="R19" i="13"/>
  <c r="Q19" i="13"/>
  <c r="P19" i="13"/>
  <c r="O19" i="13"/>
  <c r="N19" i="13"/>
  <c r="E19" i="13"/>
  <c r="D19" i="13"/>
  <c r="C19" i="13"/>
  <c r="Z17" i="13"/>
  <c r="X17" i="13"/>
  <c r="W17" i="13"/>
  <c r="V17" i="13"/>
  <c r="G17" i="13"/>
  <c r="F17" i="13"/>
  <c r="Z16" i="13"/>
  <c r="X16" i="13"/>
  <c r="W16" i="13"/>
  <c r="V16" i="13"/>
  <c r="G16" i="13"/>
  <c r="F16" i="13"/>
  <c r="Z15" i="13"/>
  <c r="W15" i="13"/>
  <c r="V15" i="13"/>
  <c r="I15" i="13"/>
  <c r="H15" i="13"/>
  <c r="G15" i="13"/>
  <c r="F15" i="13"/>
  <c r="Z14" i="13"/>
  <c r="W14" i="13"/>
  <c r="V14" i="13"/>
  <c r="X14" i="13" s="1"/>
  <c r="H14" i="13"/>
  <c r="I14" i="13" s="1"/>
  <c r="G14" i="13"/>
  <c r="F14" i="13"/>
  <c r="Z13" i="13"/>
  <c r="W13" i="13"/>
  <c r="V13" i="13"/>
  <c r="X13" i="13" s="1"/>
  <c r="I13" i="13"/>
  <c r="H13" i="13"/>
  <c r="G13" i="13"/>
  <c r="F13" i="13"/>
  <c r="Z12" i="13"/>
  <c r="W12" i="13"/>
  <c r="V12" i="13"/>
  <c r="X12" i="13" s="1"/>
  <c r="G12" i="13"/>
  <c r="F12" i="13"/>
  <c r="Z11" i="13"/>
  <c r="W11" i="13"/>
  <c r="V11" i="13"/>
  <c r="X11" i="13" s="1"/>
  <c r="G11" i="13"/>
  <c r="F11" i="13"/>
  <c r="H11" i="13" s="1"/>
  <c r="Z10" i="13"/>
  <c r="X10" i="13"/>
  <c r="W10" i="13"/>
  <c r="V10" i="13"/>
  <c r="G10" i="13"/>
  <c r="F10" i="13"/>
  <c r="Z9" i="13"/>
  <c r="X9" i="13"/>
  <c r="W9" i="13"/>
  <c r="V9" i="13"/>
  <c r="I9" i="13"/>
  <c r="H9" i="13"/>
  <c r="G9" i="13"/>
  <c r="F9" i="13"/>
  <c r="Z8" i="13"/>
  <c r="W8" i="13"/>
  <c r="X8" i="13" s="1"/>
  <c r="V8" i="13"/>
  <c r="I8" i="13"/>
  <c r="H8" i="13"/>
  <c r="G8" i="13"/>
  <c r="F8" i="13"/>
  <c r="Z7" i="13"/>
  <c r="W7" i="13"/>
  <c r="V7" i="13"/>
  <c r="X7" i="13" s="1"/>
  <c r="I7" i="13"/>
  <c r="H7" i="13"/>
  <c r="G7" i="13"/>
  <c r="F7" i="13"/>
  <c r="Z6" i="13"/>
  <c r="W6" i="13"/>
  <c r="V6" i="13"/>
  <c r="X6" i="13" s="1"/>
  <c r="H6" i="13"/>
  <c r="I6" i="13" s="1"/>
  <c r="G6" i="13"/>
  <c r="F6" i="13"/>
  <c r="Z5" i="13"/>
  <c r="W5" i="13"/>
  <c r="V5" i="13"/>
  <c r="X5" i="13" s="1"/>
  <c r="I5" i="13"/>
  <c r="H5" i="13"/>
  <c r="G5" i="13"/>
  <c r="F5" i="13"/>
  <c r="Z4" i="13"/>
  <c r="W4" i="13"/>
  <c r="W19" i="13" s="1"/>
  <c r="V4" i="13"/>
  <c r="X4" i="13" s="1"/>
  <c r="G4" i="13"/>
  <c r="F4" i="13"/>
  <c r="Z3" i="13"/>
  <c r="W3" i="13"/>
  <c r="V3" i="13"/>
  <c r="X3" i="13" s="1"/>
  <c r="G3" i="13"/>
  <c r="F3" i="13"/>
  <c r="Z2" i="13"/>
  <c r="W2" i="13"/>
  <c r="V2" i="13"/>
  <c r="V19" i="13" s="1"/>
  <c r="G2" i="13"/>
  <c r="G19" i="13" s="1"/>
  <c r="F2" i="13"/>
  <c r="U20" i="12"/>
  <c r="S20" i="12"/>
  <c r="Q20" i="12"/>
  <c r="O20" i="12"/>
  <c r="E20" i="12"/>
  <c r="D20" i="12"/>
  <c r="C20" i="12"/>
  <c r="X20" i="12" s="1"/>
  <c r="U19" i="12"/>
  <c r="T19" i="12"/>
  <c r="S19" i="12"/>
  <c r="R19" i="12"/>
  <c r="Q19" i="12"/>
  <c r="P19" i="12"/>
  <c r="O19" i="12"/>
  <c r="N19" i="12"/>
  <c r="E19" i="12"/>
  <c r="D19" i="12"/>
  <c r="C19" i="12"/>
  <c r="Z17" i="12"/>
  <c r="X17" i="12"/>
  <c r="W17" i="12"/>
  <c r="V17" i="12"/>
  <c r="G17" i="12"/>
  <c r="F17" i="12"/>
  <c r="Z16" i="12"/>
  <c r="W16" i="12"/>
  <c r="V16" i="12"/>
  <c r="X16" i="12" s="1"/>
  <c r="H16" i="12"/>
  <c r="I16" i="12" s="1"/>
  <c r="G16" i="12"/>
  <c r="F16" i="12"/>
  <c r="Z15" i="12"/>
  <c r="W15" i="12"/>
  <c r="V15" i="12"/>
  <c r="X15" i="12" s="1"/>
  <c r="H15" i="12"/>
  <c r="I15" i="12" s="1"/>
  <c r="G15" i="12"/>
  <c r="F15" i="12"/>
  <c r="Z14" i="12"/>
  <c r="W14" i="12"/>
  <c r="V14" i="12"/>
  <c r="X14" i="12" s="1"/>
  <c r="I14" i="12"/>
  <c r="H14" i="12"/>
  <c r="G14" i="12"/>
  <c r="F14" i="12"/>
  <c r="Z13" i="12"/>
  <c r="X13" i="12"/>
  <c r="W13" i="12"/>
  <c r="V13" i="12"/>
  <c r="G13" i="12"/>
  <c r="F13" i="12"/>
  <c r="Z12" i="12"/>
  <c r="X12" i="12"/>
  <c r="W12" i="12"/>
  <c r="V12" i="12"/>
  <c r="G12" i="12"/>
  <c r="F12" i="12"/>
  <c r="Z11" i="12"/>
  <c r="W11" i="12"/>
  <c r="V11" i="12"/>
  <c r="X11" i="12" s="1"/>
  <c r="H11" i="12"/>
  <c r="I11" i="12" s="1"/>
  <c r="G11" i="12"/>
  <c r="F11" i="12"/>
  <c r="Z10" i="12"/>
  <c r="W10" i="12"/>
  <c r="V10" i="12"/>
  <c r="X10" i="12" s="1"/>
  <c r="I10" i="12"/>
  <c r="H10" i="12"/>
  <c r="G10" i="12"/>
  <c r="F10" i="12"/>
  <c r="Z9" i="12"/>
  <c r="X9" i="12"/>
  <c r="W9" i="12"/>
  <c r="V9" i="12"/>
  <c r="G9" i="12"/>
  <c r="F9" i="12"/>
  <c r="Z8" i="12"/>
  <c r="X8" i="12"/>
  <c r="W8" i="12"/>
  <c r="V8" i="12"/>
  <c r="G8" i="12"/>
  <c r="F8" i="12"/>
  <c r="Z7" i="12"/>
  <c r="W7" i="12"/>
  <c r="V7" i="12"/>
  <c r="X7" i="12" s="1"/>
  <c r="H7" i="12"/>
  <c r="I7" i="12" s="1"/>
  <c r="G7" i="12"/>
  <c r="F7" i="12"/>
  <c r="Z6" i="12"/>
  <c r="W6" i="12"/>
  <c r="V6" i="12"/>
  <c r="X6" i="12" s="1"/>
  <c r="I6" i="12"/>
  <c r="H6" i="12"/>
  <c r="G6" i="12"/>
  <c r="F6" i="12"/>
  <c r="Z5" i="12"/>
  <c r="X5" i="12"/>
  <c r="W5" i="12"/>
  <c r="V5" i="12"/>
  <c r="G5" i="12"/>
  <c r="F5" i="12"/>
  <c r="Z4" i="12"/>
  <c r="X4" i="12"/>
  <c r="W4" i="12"/>
  <c r="V4" i="12"/>
  <c r="G4" i="12"/>
  <c r="G19" i="12" s="1"/>
  <c r="F4" i="12"/>
  <c r="F19" i="12" s="1"/>
  <c r="Z3" i="12"/>
  <c r="W3" i="12"/>
  <c r="V3" i="12"/>
  <c r="X3" i="12" s="1"/>
  <c r="H3" i="12"/>
  <c r="I3" i="12" s="1"/>
  <c r="G3" i="12"/>
  <c r="F3" i="12"/>
  <c r="AA2" i="12"/>
  <c r="Z2" i="12"/>
  <c r="W2" i="12"/>
  <c r="W19" i="12" s="1"/>
  <c r="V2" i="12"/>
  <c r="X2" i="12" s="1"/>
  <c r="I2" i="12"/>
  <c r="H2" i="12"/>
  <c r="G2" i="12"/>
  <c r="F2" i="12"/>
  <c r="U20" i="11"/>
  <c r="S20" i="11"/>
  <c r="Q20" i="11"/>
  <c r="O20" i="11"/>
  <c r="E20" i="11"/>
  <c r="D20" i="11"/>
  <c r="C20" i="11"/>
  <c r="X20" i="11" s="1"/>
  <c r="U19" i="11"/>
  <c r="T19" i="11"/>
  <c r="S19" i="11"/>
  <c r="R19" i="11"/>
  <c r="Q19" i="11"/>
  <c r="P19" i="11"/>
  <c r="O19" i="11"/>
  <c r="N19" i="11"/>
  <c r="E19" i="11"/>
  <c r="D19" i="11"/>
  <c r="C19" i="11"/>
  <c r="Z17" i="11"/>
  <c r="W17" i="11"/>
  <c r="V17" i="11"/>
  <c r="X17" i="11" s="1"/>
  <c r="H17" i="11"/>
  <c r="I17" i="11" s="1"/>
  <c r="G17" i="11"/>
  <c r="F17" i="11"/>
  <c r="AA16" i="11"/>
  <c r="Z16" i="11"/>
  <c r="W16" i="11"/>
  <c r="V16" i="11"/>
  <c r="X16" i="11" s="1"/>
  <c r="I16" i="11"/>
  <c r="H16" i="11"/>
  <c r="G16" i="11"/>
  <c r="F16" i="11"/>
  <c r="Z15" i="11"/>
  <c r="X15" i="11"/>
  <c r="W15" i="11"/>
  <c r="V15" i="11"/>
  <c r="G15" i="11"/>
  <c r="F15" i="11"/>
  <c r="Z14" i="11"/>
  <c r="X14" i="11"/>
  <c r="W14" i="11"/>
  <c r="V14" i="11"/>
  <c r="G14" i="11"/>
  <c r="F14" i="11"/>
  <c r="Z13" i="11"/>
  <c r="W13" i="11"/>
  <c r="V13" i="11"/>
  <c r="X13" i="11" s="1"/>
  <c r="H13" i="11"/>
  <c r="I13" i="11" s="1"/>
  <c r="G13" i="11"/>
  <c r="F13" i="11"/>
  <c r="Z12" i="11"/>
  <c r="W12" i="11"/>
  <c r="V12" i="11"/>
  <c r="X12" i="11" s="1"/>
  <c r="I12" i="11"/>
  <c r="H12" i="11"/>
  <c r="G12" i="11"/>
  <c r="F12" i="11"/>
  <c r="Z11" i="11"/>
  <c r="X11" i="11"/>
  <c r="W11" i="11"/>
  <c r="V11" i="11"/>
  <c r="I11" i="11"/>
  <c r="H11" i="11"/>
  <c r="G11" i="11"/>
  <c r="F11" i="11"/>
  <c r="Z10" i="11"/>
  <c r="X10" i="11"/>
  <c r="W10" i="11"/>
  <c r="V10" i="11"/>
  <c r="G10" i="11"/>
  <c r="F10" i="11"/>
  <c r="Z9" i="11"/>
  <c r="X9" i="11"/>
  <c r="W9" i="11"/>
  <c r="V9" i="11"/>
  <c r="G9" i="11"/>
  <c r="F9" i="11"/>
  <c r="Z8" i="11"/>
  <c r="W8" i="11"/>
  <c r="V8" i="11"/>
  <c r="X8" i="11" s="1"/>
  <c r="H8" i="11"/>
  <c r="I8" i="11" s="1"/>
  <c r="G8" i="11"/>
  <c r="F8" i="11"/>
  <c r="Z7" i="11"/>
  <c r="W7" i="11"/>
  <c r="V7" i="11"/>
  <c r="I7" i="11"/>
  <c r="H7" i="11"/>
  <c r="G7" i="11"/>
  <c r="F7" i="11"/>
  <c r="Z6" i="11"/>
  <c r="X6" i="11"/>
  <c r="W6" i="11"/>
  <c r="V6" i="11"/>
  <c r="G6" i="11"/>
  <c r="F6" i="11"/>
  <c r="Z5" i="11"/>
  <c r="X5" i="11"/>
  <c r="W5" i="11"/>
  <c r="V5" i="11"/>
  <c r="G5" i="11"/>
  <c r="F5" i="11"/>
  <c r="Z4" i="11"/>
  <c r="W4" i="11"/>
  <c r="V4" i="11"/>
  <c r="X4" i="11" s="1"/>
  <c r="G4" i="11"/>
  <c r="F4" i="11"/>
  <c r="Z3" i="11"/>
  <c r="W3" i="11"/>
  <c r="V3" i="11"/>
  <c r="H3" i="11"/>
  <c r="I3" i="11" s="1"/>
  <c r="G3" i="11"/>
  <c r="F3" i="11"/>
  <c r="Z2" i="11"/>
  <c r="X2" i="11"/>
  <c r="W2" i="11"/>
  <c r="V2" i="11"/>
  <c r="V19" i="11" s="1"/>
  <c r="G2" i="11"/>
  <c r="F2" i="11"/>
  <c r="U20" i="10"/>
  <c r="S20" i="10"/>
  <c r="Q20" i="10"/>
  <c r="O20" i="10"/>
  <c r="E20" i="10"/>
  <c r="D20" i="10"/>
  <c r="C20" i="10"/>
  <c r="U19" i="10"/>
  <c r="T19" i="10"/>
  <c r="S19" i="10"/>
  <c r="R19" i="10"/>
  <c r="Q19" i="10"/>
  <c r="P19" i="10"/>
  <c r="O19" i="10"/>
  <c r="N19" i="10"/>
  <c r="E19" i="10"/>
  <c r="D19" i="10"/>
  <c r="C19" i="10"/>
  <c r="Z17" i="10"/>
  <c r="W17" i="10"/>
  <c r="V17" i="10"/>
  <c r="X17" i="10" s="1"/>
  <c r="I17" i="10"/>
  <c r="H17" i="10"/>
  <c r="G17" i="10"/>
  <c r="F17" i="10"/>
  <c r="Z16" i="10"/>
  <c r="X16" i="10"/>
  <c r="W16" i="10"/>
  <c r="V16" i="10"/>
  <c r="I16" i="10"/>
  <c r="G16" i="10"/>
  <c r="F16" i="10"/>
  <c r="H16" i="10" s="1"/>
  <c r="Z15" i="10"/>
  <c r="X15" i="10"/>
  <c r="W15" i="10"/>
  <c r="V15" i="10"/>
  <c r="G15" i="10"/>
  <c r="F15" i="10"/>
  <c r="Z14" i="10"/>
  <c r="W14" i="10"/>
  <c r="V14" i="10"/>
  <c r="X14" i="10" s="1"/>
  <c r="H14" i="10"/>
  <c r="I14" i="10" s="1"/>
  <c r="G14" i="10"/>
  <c r="F14" i="10"/>
  <c r="Z13" i="10"/>
  <c r="W13" i="10"/>
  <c r="V13" i="10"/>
  <c r="I13" i="10"/>
  <c r="H13" i="10"/>
  <c r="G13" i="10"/>
  <c r="F13" i="10"/>
  <c r="Z12" i="10"/>
  <c r="X12" i="10"/>
  <c r="W12" i="10"/>
  <c r="V12" i="10"/>
  <c r="G12" i="10"/>
  <c r="F12" i="10"/>
  <c r="Z11" i="10"/>
  <c r="X11" i="10"/>
  <c r="W11" i="10"/>
  <c r="V11" i="10"/>
  <c r="G11" i="10"/>
  <c r="F11" i="10"/>
  <c r="Z10" i="10"/>
  <c r="W10" i="10"/>
  <c r="V10" i="10"/>
  <c r="X10" i="10" s="1"/>
  <c r="G10" i="10"/>
  <c r="H10" i="10" s="1"/>
  <c r="I10" i="10" s="1"/>
  <c r="F10" i="10"/>
  <c r="Z9" i="10"/>
  <c r="W9" i="10"/>
  <c r="V9" i="10"/>
  <c r="H9" i="10"/>
  <c r="I9" i="10" s="1"/>
  <c r="G9" i="10"/>
  <c r="F9" i="10"/>
  <c r="Z8" i="10"/>
  <c r="X8" i="10"/>
  <c r="W8" i="10"/>
  <c r="V8" i="10"/>
  <c r="I8" i="10"/>
  <c r="G8" i="10"/>
  <c r="F8" i="10"/>
  <c r="H8" i="10" s="1"/>
  <c r="Z7" i="10"/>
  <c r="X7" i="10"/>
  <c r="W7" i="10"/>
  <c r="V7" i="10"/>
  <c r="G7" i="10"/>
  <c r="F7" i="10"/>
  <c r="Z6" i="10"/>
  <c r="W6" i="10"/>
  <c r="V6" i="10"/>
  <c r="X6" i="10" s="1"/>
  <c r="H6" i="10"/>
  <c r="I6" i="10" s="1"/>
  <c r="G6" i="10"/>
  <c r="F6" i="10"/>
  <c r="Z5" i="10"/>
  <c r="W5" i="10"/>
  <c r="V5" i="10"/>
  <c r="H5" i="10"/>
  <c r="I5" i="10" s="1"/>
  <c r="G5" i="10"/>
  <c r="F5" i="10"/>
  <c r="Z4" i="10"/>
  <c r="W4" i="10"/>
  <c r="X4" i="10" s="1"/>
  <c r="V4" i="10"/>
  <c r="I4" i="10"/>
  <c r="G4" i="10"/>
  <c r="F4" i="10"/>
  <c r="H4" i="10" s="1"/>
  <c r="Z3" i="10"/>
  <c r="X3" i="10"/>
  <c r="W3" i="10"/>
  <c r="V3" i="10"/>
  <c r="G3" i="10"/>
  <c r="F3" i="10"/>
  <c r="Z2" i="10"/>
  <c r="W2" i="10"/>
  <c r="V2" i="10"/>
  <c r="X2" i="10" s="1"/>
  <c r="H2" i="10"/>
  <c r="G2" i="10"/>
  <c r="F2" i="10"/>
  <c r="U20" i="9"/>
  <c r="S20" i="9"/>
  <c r="Q20" i="9"/>
  <c r="O20" i="9"/>
  <c r="E20" i="9"/>
  <c r="D20" i="9"/>
  <c r="C20" i="9"/>
  <c r="X20" i="9" s="1"/>
  <c r="U19" i="9"/>
  <c r="T19" i="9"/>
  <c r="S19" i="9"/>
  <c r="R19" i="9"/>
  <c r="Q19" i="9"/>
  <c r="P19" i="9"/>
  <c r="O19" i="9"/>
  <c r="N19" i="9"/>
  <c r="E19" i="9"/>
  <c r="D19" i="9"/>
  <c r="C19" i="9"/>
  <c r="Z17" i="9"/>
  <c r="X17" i="9"/>
  <c r="W17" i="9"/>
  <c r="V17" i="9"/>
  <c r="G17" i="9"/>
  <c r="F17" i="9"/>
  <c r="Z16" i="9"/>
  <c r="W16" i="9"/>
  <c r="V16" i="9"/>
  <c r="X16" i="9" s="1"/>
  <c r="G16" i="9"/>
  <c r="H16" i="9" s="1"/>
  <c r="I16" i="9" s="1"/>
  <c r="F16" i="9"/>
  <c r="Z15" i="9"/>
  <c r="W15" i="9"/>
  <c r="V15" i="9"/>
  <c r="X15" i="9" s="1"/>
  <c r="I15" i="9"/>
  <c r="H15" i="9"/>
  <c r="G15" i="9"/>
  <c r="F15" i="9"/>
  <c r="Z14" i="9"/>
  <c r="W14" i="9"/>
  <c r="X14" i="9" s="1"/>
  <c r="V14" i="9"/>
  <c r="G14" i="9"/>
  <c r="F14" i="9"/>
  <c r="H14" i="9" s="1"/>
  <c r="Z13" i="9"/>
  <c r="X13" i="9"/>
  <c r="W13" i="9"/>
  <c r="V13" i="9"/>
  <c r="G13" i="9"/>
  <c r="F13" i="9"/>
  <c r="Z12" i="9"/>
  <c r="W12" i="9"/>
  <c r="V12" i="9"/>
  <c r="X12" i="9" s="1"/>
  <c r="G12" i="9"/>
  <c r="H12" i="9" s="1"/>
  <c r="I12" i="9" s="1"/>
  <c r="F12" i="9"/>
  <c r="Z11" i="9"/>
  <c r="W11" i="9"/>
  <c r="V11" i="9"/>
  <c r="X11" i="9" s="1"/>
  <c r="I11" i="9"/>
  <c r="H11" i="9"/>
  <c r="G11" i="9"/>
  <c r="F11" i="9"/>
  <c r="Z10" i="9"/>
  <c r="X10" i="9"/>
  <c r="W10" i="9"/>
  <c r="V10" i="9"/>
  <c r="G10" i="9"/>
  <c r="F10" i="9"/>
  <c r="H10" i="9" s="1"/>
  <c r="Z9" i="9"/>
  <c r="X9" i="9"/>
  <c r="W9" i="9"/>
  <c r="V9" i="9"/>
  <c r="G9" i="9"/>
  <c r="F9" i="9"/>
  <c r="Z8" i="9"/>
  <c r="W8" i="9"/>
  <c r="V8" i="9"/>
  <c r="X8" i="9" s="1"/>
  <c r="G8" i="9"/>
  <c r="H8" i="9" s="1"/>
  <c r="I8" i="9" s="1"/>
  <c r="F8" i="9"/>
  <c r="Z7" i="9"/>
  <c r="W7" i="9"/>
  <c r="V7" i="9"/>
  <c r="X7" i="9" s="1"/>
  <c r="H7" i="9"/>
  <c r="I7" i="9" s="1"/>
  <c r="G7" i="9"/>
  <c r="F7" i="9"/>
  <c r="AA6" i="9"/>
  <c r="Z6" i="9"/>
  <c r="W6" i="9"/>
  <c r="V6" i="9"/>
  <c r="H6" i="9"/>
  <c r="I6" i="9" s="1"/>
  <c r="G6" i="9"/>
  <c r="F6" i="9"/>
  <c r="Z5" i="9"/>
  <c r="X5" i="9"/>
  <c r="W5" i="9"/>
  <c r="V5" i="9"/>
  <c r="I5" i="9"/>
  <c r="G5" i="9"/>
  <c r="F5" i="9"/>
  <c r="H5" i="9" s="1"/>
  <c r="Z4" i="9"/>
  <c r="X4" i="9"/>
  <c r="W4" i="9"/>
  <c r="V4" i="9"/>
  <c r="G4" i="9"/>
  <c r="F4" i="9"/>
  <c r="Z3" i="9"/>
  <c r="W3" i="9"/>
  <c r="V3" i="9"/>
  <c r="X3" i="9" s="1"/>
  <c r="H3" i="9"/>
  <c r="I3" i="9" s="1"/>
  <c r="G3" i="9"/>
  <c r="F3" i="9"/>
  <c r="Z2" i="9"/>
  <c r="W2" i="9"/>
  <c r="W19" i="9" s="1"/>
  <c r="V2" i="9"/>
  <c r="I2" i="9"/>
  <c r="H2" i="9"/>
  <c r="G2" i="9"/>
  <c r="F2" i="9"/>
  <c r="U20" i="8"/>
  <c r="S20" i="8"/>
  <c r="Q20" i="8"/>
  <c r="O20" i="8"/>
  <c r="E20" i="8"/>
  <c r="D20" i="8"/>
  <c r="C20" i="8"/>
  <c r="X20" i="8" s="1"/>
  <c r="U19" i="8"/>
  <c r="T19" i="8"/>
  <c r="S19" i="8"/>
  <c r="R19" i="8"/>
  <c r="Q19" i="8"/>
  <c r="P19" i="8"/>
  <c r="O19" i="8"/>
  <c r="N19" i="8"/>
  <c r="E19" i="8"/>
  <c r="D19" i="8"/>
  <c r="C19" i="8"/>
  <c r="Z17" i="8"/>
  <c r="W17" i="8"/>
  <c r="V17" i="8"/>
  <c r="X17" i="8" s="1"/>
  <c r="G17" i="8"/>
  <c r="F17" i="8"/>
  <c r="Z16" i="8"/>
  <c r="W16" i="8"/>
  <c r="V16" i="8"/>
  <c r="X16" i="8" s="1"/>
  <c r="G16" i="8"/>
  <c r="H16" i="8" s="1"/>
  <c r="I16" i="8" s="1"/>
  <c r="F16" i="8"/>
  <c r="Z15" i="8"/>
  <c r="W15" i="8"/>
  <c r="V15" i="8"/>
  <c r="X15" i="8" s="1"/>
  <c r="G15" i="8"/>
  <c r="F15" i="8"/>
  <c r="Z14" i="8"/>
  <c r="W14" i="8"/>
  <c r="X14" i="8" s="1"/>
  <c r="V14" i="8"/>
  <c r="G14" i="8"/>
  <c r="F14" i="8"/>
  <c r="Z13" i="8"/>
  <c r="W13" i="8"/>
  <c r="V13" i="8"/>
  <c r="X13" i="8" s="1"/>
  <c r="G13" i="8"/>
  <c r="F13" i="8"/>
  <c r="Z12" i="8"/>
  <c r="W12" i="8"/>
  <c r="V12" i="8"/>
  <c r="X12" i="8" s="1"/>
  <c r="G12" i="8"/>
  <c r="H12" i="8" s="1"/>
  <c r="I12" i="8" s="1"/>
  <c r="F12" i="8"/>
  <c r="Z11" i="8"/>
  <c r="W11" i="8"/>
  <c r="V11" i="8"/>
  <c r="X11" i="8" s="1"/>
  <c r="G11" i="8"/>
  <c r="F11" i="8"/>
  <c r="Z10" i="8"/>
  <c r="W10" i="8"/>
  <c r="X10" i="8" s="1"/>
  <c r="V10" i="8"/>
  <c r="G10" i="8"/>
  <c r="F10" i="8"/>
  <c r="Z9" i="8"/>
  <c r="W9" i="8"/>
  <c r="X9" i="8" s="1"/>
  <c r="V9" i="8"/>
  <c r="H9" i="8"/>
  <c r="I9" i="8" s="1"/>
  <c r="G9" i="8"/>
  <c r="F9" i="8"/>
  <c r="Z8" i="8"/>
  <c r="X8" i="8"/>
  <c r="W8" i="8"/>
  <c r="V8" i="8"/>
  <c r="G8" i="8"/>
  <c r="F8" i="8"/>
  <c r="H8" i="8" s="1"/>
  <c r="Z7" i="8"/>
  <c r="X7" i="8"/>
  <c r="W7" i="8"/>
  <c r="V7" i="8"/>
  <c r="H7" i="8"/>
  <c r="G7" i="8"/>
  <c r="F7" i="8"/>
  <c r="Z6" i="8"/>
  <c r="W6" i="8"/>
  <c r="V6" i="8"/>
  <c r="X6" i="8" s="1"/>
  <c r="I6" i="8"/>
  <c r="H6" i="8"/>
  <c r="G6" i="8"/>
  <c r="F6" i="8"/>
  <c r="Z5" i="8"/>
  <c r="W5" i="8"/>
  <c r="X5" i="8" s="1"/>
  <c r="V5" i="8"/>
  <c r="H5" i="8"/>
  <c r="I5" i="8" s="1"/>
  <c r="G5" i="8"/>
  <c r="F5" i="8"/>
  <c r="Z4" i="8"/>
  <c r="W4" i="8"/>
  <c r="V4" i="8"/>
  <c r="X4" i="8" s="1"/>
  <c r="G4" i="8"/>
  <c r="F4" i="8"/>
  <c r="Z3" i="8"/>
  <c r="X3" i="8"/>
  <c r="W3" i="8"/>
  <c r="V3" i="8"/>
  <c r="G3" i="8"/>
  <c r="F3" i="8"/>
  <c r="Z2" i="8"/>
  <c r="X2" i="8"/>
  <c r="X19" i="8" s="1"/>
  <c r="W2" i="8"/>
  <c r="W19" i="8" s="1"/>
  <c r="V2" i="8"/>
  <c r="G2" i="8"/>
  <c r="G19" i="8" s="1"/>
  <c r="F2" i="8"/>
  <c r="H2" i="8" s="1"/>
  <c r="V20" i="7"/>
  <c r="T20" i="7"/>
  <c r="R20" i="7"/>
  <c r="P20" i="7"/>
  <c r="E20" i="7"/>
  <c r="D20" i="7"/>
  <c r="C20" i="7"/>
  <c r="Y20" i="7" s="1"/>
  <c r="V19" i="7"/>
  <c r="U19" i="7"/>
  <c r="T19" i="7"/>
  <c r="S19" i="7"/>
  <c r="R19" i="7"/>
  <c r="Q19" i="7"/>
  <c r="P19" i="7"/>
  <c r="O19" i="7"/>
  <c r="E19" i="7"/>
  <c r="D19" i="7"/>
  <c r="C19" i="7"/>
  <c r="AA17" i="7"/>
  <c r="X17" i="7"/>
  <c r="W17" i="7"/>
  <c r="Y17" i="7" s="1"/>
  <c r="G17" i="7"/>
  <c r="F17" i="7"/>
  <c r="AA16" i="7"/>
  <c r="Y16" i="7"/>
  <c r="X16" i="7"/>
  <c r="W16" i="7"/>
  <c r="G16" i="7"/>
  <c r="F16" i="7"/>
  <c r="AA15" i="7"/>
  <c r="X15" i="7"/>
  <c r="W15" i="7"/>
  <c r="Y15" i="7" s="1"/>
  <c r="I15" i="7"/>
  <c r="J15" i="7" s="1"/>
  <c r="H15" i="7"/>
  <c r="G15" i="7"/>
  <c r="F15" i="7"/>
  <c r="AA14" i="7"/>
  <c r="Y14" i="7"/>
  <c r="X14" i="7"/>
  <c r="W14" i="7"/>
  <c r="G14" i="7"/>
  <c r="H14" i="7" s="1"/>
  <c r="F14" i="7"/>
  <c r="AA13" i="7"/>
  <c r="X13" i="7"/>
  <c r="W13" i="7"/>
  <c r="Y13" i="7" s="1"/>
  <c r="G13" i="7"/>
  <c r="F13" i="7"/>
  <c r="AA12" i="7"/>
  <c r="Y12" i="7"/>
  <c r="X12" i="7"/>
  <c r="W12" i="7"/>
  <c r="G12" i="7"/>
  <c r="F12" i="7"/>
  <c r="AA11" i="7"/>
  <c r="X11" i="7"/>
  <c r="W11" i="7"/>
  <c r="Y11" i="7" s="1"/>
  <c r="G11" i="7"/>
  <c r="F11" i="7"/>
  <c r="H11" i="7" s="1"/>
  <c r="AA10" i="7"/>
  <c r="Y10" i="7"/>
  <c r="X10" i="7"/>
  <c r="W10" i="7"/>
  <c r="G10" i="7"/>
  <c r="H10" i="7" s="1"/>
  <c r="F10" i="7"/>
  <c r="AA9" i="7"/>
  <c r="X9" i="7"/>
  <c r="W9" i="7"/>
  <c r="Y9" i="7" s="1"/>
  <c r="G9" i="7"/>
  <c r="F9" i="7"/>
  <c r="AA8" i="7"/>
  <c r="Y8" i="7"/>
  <c r="X8" i="7"/>
  <c r="W8" i="7"/>
  <c r="G8" i="7"/>
  <c r="F8" i="7"/>
  <c r="AA7" i="7"/>
  <c r="X7" i="7"/>
  <c r="W7" i="7"/>
  <c r="Y7" i="7" s="1"/>
  <c r="G7" i="7"/>
  <c r="F7" i="7"/>
  <c r="H7" i="7" s="1"/>
  <c r="AA6" i="7"/>
  <c r="Y6" i="7"/>
  <c r="X6" i="7"/>
  <c r="W6" i="7"/>
  <c r="G6" i="7"/>
  <c r="H6" i="7" s="1"/>
  <c r="F6" i="7"/>
  <c r="AA5" i="7"/>
  <c r="X5" i="7"/>
  <c r="W5" i="7"/>
  <c r="Y5" i="7" s="1"/>
  <c r="G5" i="7"/>
  <c r="F5" i="7"/>
  <c r="AA4" i="7"/>
  <c r="Y4" i="7"/>
  <c r="X4" i="7"/>
  <c r="W4" i="7"/>
  <c r="G4" i="7"/>
  <c r="F4" i="7"/>
  <c r="AA3" i="7"/>
  <c r="X3" i="7"/>
  <c r="W3" i="7"/>
  <c r="W19" i="7" s="1"/>
  <c r="G3" i="7"/>
  <c r="F3" i="7"/>
  <c r="H3" i="7" s="1"/>
  <c r="AA2" i="7"/>
  <c r="Y2" i="7"/>
  <c r="X2" i="7"/>
  <c r="X19" i="7" s="1"/>
  <c r="W2" i="7"/>
  <c r="G2" i="7"/>
  <c r="H2" i="7" s="1"/>
  <c r="F2" i="7"/>
  <c r="F19" i="7" s="1"/>
  <c r="X20" i="6"/>
  <c r="V20" i="6"/>
  <c r="T20" i="6"/>
  <c r="R20" i="6"/>
  <c r="G20" i="6"/>
  <c r="F20" i="6"/>
  <c r="E20" i="6"/>
  <c r="X19" i="6"/>
  <c r="W19" i="6"/>
  <c r="V19" i="6"/>
  <c r="U19" i="6"/>
  <c r="T19" i="6"/>
  <c r="S19" i="6"/>
  <c r="R19" i="6"/>
  <c r="Q19" i="6"/>
  <c r="G19" i="6"/>
  <c r="F19" i="6"/>
  <c r="E19" i="6"/>
  <c r="AC17" i="6"/>
  <c r="AA17" i="6"/>
  <c r="Z17" i="6"/>
  <c r="Y17" i="6"/>
  <c r="I17" i="6"/>
  <c r="J17" i="6" s="1"/>
  <c r="H17" i="6"/>
  <c r="A17" i="6"/>
  <c r="AC16" i="6"/>
  <c r="Z16" i="6"/>
  <c r="AA16" i="6" s="1"/>
  <c r="Y16" i="6"/>
  <c r="I16" i="6"/>
  <c r="H16" i="6"/>
  <c r="A16" i="6"/>
  <c r="AC15" i="6"/>
  <c r="Z15" i="6"/>
  <c r="Y15" i="6"/>
  <c r="AA15" i="6" s="1"/>
  <c r="K15" i="6"/>
  <c r="I15" i="6"/>
  <c r="H15" i="6"/>
  <c r="J15" i="6" s="1"/>
  <c r="A15" i="6"/>
  <c r="AC14" i="6"/>
  <c r="Z14" i="6"/>
  <c r="Y14" i="6"/>
  <c r="AA14" i="6" s="1"/>
  <c r="J14" i="6"/>
  <c r="K14" i="6" s="1"/>
  <c r="I14" i="6"/>
  <c r="H14" i="6"/>
  <c r="A14" i="6"/>
  <c r="AC13" i="6"/>
  <c r="AA13" i="6"/>
  <c r="Z13" i="6"/>
  <c r="Y13" i="6"/>
  <c r="I13" i="6"/>
  <c r="J13" i="6" s="1"/>
  <c r="H13" i="6"/>
  <c r="A13" i="6"/>
  <c r="AC12" i="6"/>
  <c r="Z12" i="6"/>
  <c r="AA12" i="6" s="1"/>
  <c r="Y12" i="6"/>
  <c r="I12" i="6"/>
  <c r="H12" i="6"/>
  <c r="A12" i="6"/>
  <c r="AC11" i="6"/>
  <c r="Z11" i="6"/>
  <c r="Y11" i="6"/>
  <c r="AA11" i="6" s="1"/>
  <c r="I11" i="6"/>
  <c r="H11" i="6"/>
  <c r="A11" i="6"/>
  <c r="AC10" i="6"/>
  <c r="Z10" i="6"/>
  <c r="Y10" i="6"/>
  <c r="AA10" i="6" s="1"/>
  <c r="J10" i="6"/>
  <c r="K10" i="6" s="1"/>
  <c r="I10" i="6"/>
  <c r="H10" i="6"/>
  <c r="A10" i="6"/>
  <c r="AC9" i="6"/>
  <c r="AA9" i="6"/>
  <c r="Z9" i="6"/>
  <c r="Y9" i="6"/>
  <c r="I9" i="6"/>
  <c r="J9" i="6" s="1"/>
  <c r="H9" i="6"/>
  <c r="A9" i="6"/>
  <c r="AC8" i="6"/>
  <c r="AA8" i="6"/>
  <c r="Z8" i="6"/>
  <c r="Y8" i="6"/>
  <c r="I8" i="6"/>
  <c r="H8" i="6"/>
  <c r="A8" i="6"/>
  <c r="AC7" i="6"/>
  <c r="Z7" i="6"/>
  <c r="Y7" i="6"/>
  <c r="AA7" i="6" s="1"/>
  <c r="I7" i="6"/>
  <c r="H7" i="6"/>
  <c r="J7" i="6" s="1"/>
  <c r="A7" i="6"/>
  <c r="AC6" i="6"/>
  <c r="Z6" i="6"/>
  <c r="Y6" i="6"/>
  <c r="AA6" i="6" s="1"/>
  <c r="J6" i="6"/>
  <c r="I6" i="6"/>
  <c r="H6" i="6"/>
  <c r="A6" i="6"/>
  <c r="AC5" i="6"/>
  <c r="AA5" i="6"/>
  <c r="Z5" i="6"/>
  <c r="Y5" i="6"/>
  <c r="I5" i="6"/>
  <c r="H5" i="6"/>
  <c r="A5" i="6"/>
  <c r="AC4" i="6"/>
  <c r="Z4" i="6"/>
  <c r="AA4" i="6" s="1"/>
  <c r="Y4" i="6"/>
  <c r="I4" i="6"/>
  <c r="H4" i="6"/>
  <c r="H19" i="6" s="1"/>
  <c r="A4" i="6"/>
  <c r="AC3" i="6"/>
  <c r="Z3" i="6"/>
  <c r="Y3" i="6"/>
  <c r="I3" i="6"/>
  <c r="H3" i="6"/>
  <c r="A3" i="6"/>
  <c r="AC2" i="6"/>
  <c r="Z2" i="6"/>
  <c r="Y2" i="6"/>
  <c r="K2" i="6"/>
  <c r="J2" i="6"/>
  <c r="I2" i="6"/>
  <c r="H2" i="6"/>
  <c r="W20" i="5"/>
  <c r="U20" i="5"/>
  <c r="S20" i="5"/>
  <c r="Q20" i="5"/>
  <c r="G20" i="5"/>
  <c r="F20" i="5"/>
  <c r="E20" i="5"/>
  <c r="Z20" i="5" s="1"/>
  <c r="W19" i="5"/>
  <c r="V19" i="5"/>
  <c r="U19" i="5"/>
  <c r="T19" i="5"/>
  <c r="S19" i="5"/>
  <c r="R19" i="5"/>
  <c r="Q19" i="5"/>
  <c r="P19" i="5"/>
  <c r="G19" i="5"/>
  <c r="F19" i="5"/>
  <c r="E19" i="5"/>
  <c r="AB17" i="5"/>
  <c r="Y17" i="5"/>
  <c r="X17" i="5"/>
  <c r="Z17" i="5" s="1"/>
  <c r="J17" i="5"/>
  <c r="I17" i="5"/>
  <c r="H17" i="5"/>
  <c r="A17" i="5"/>
  <c r="AB16" i="5"/>
  <c r="Z16" i="5"/>
  <c r="Y16" i="5"/>
  <c r="X16" i="5"/>
  <c r="J16" i="5"/>
  <c r="I16" i="5"/>
  <c r="H16" i="5"/>
  <c r="A16" i="5"/>
  <c r="AB15" i="5"/>
  <c r="Z15" i="5"/>
  <c r="Y15" i="5"/>
  <c r="X15" i="5"/>
  <c r="I15" i="5"/>
  <c r="H15" i="5"/>
  <c r="A15" i="5"/>
  <c r="AB14" i="5"/>
  <c r="Y14" i="5"/>
  <c r="X14" i="5"/>
  <c r="Z14" i="5" s="1"/>
  <c r="I14" i="5"/>
  <c r="H14" i="5"/>
  <c r="J14" i="5" s="1"/>
  <c r="A14" i="5"/>
  <c r="AB13" i="5"/>
  <c r="Y13" i="5"/>
  <c r="X13" i="5"/>
  <c r="Z13" i="5" s="1"/>
  <c r="K13" i="5"/>
  <c r="J13" i="5"/>
  <c r="I13" i="5"/>
  <c r="H13" i="5"/>
  <c r="A13" i="5"/>
  <c r="AB12" i="5"/>
  <c r="Z12" i="5"/>
  <c r="Y12" i="5"/>
  <c r="X12" i="5"/>
  <c r="I12" i="5"/>
  <c r="J12" i="5" s="1"/>
  <c r="H12" i="5"/>
  <c r="A12" i="5"/>
  <c r="AB11" i="5"/>
  <c r="Z11" i="5"/>
  <c r="Y11" i="5"/>
  <c r="X11" i="5"/>
  <c r="I11" i="5"/>
  <c r="H11" i="5"/>
  <c r="J11" i="5" s="1"/>
  <c r="A11" i="5"/>
  <c r="AB10" i="5"/>
  <c r="Y10" i="5"/>
  <c r="X10" i="5"/>
  <c r="K10" i="5"/>
  <c r="I10" i="5"/>
  <c r="H10" i="5"/>
  <c r="J10" i="5" s="1"/>
  <c r="L10" i="5" s="1"/>
  <c r="A10" i="5"/>
  <c r="AB9" i="5"/>
  <c r="Z9" i="5"/>
  <c r="Y9" i="5"/>
  <c r="X9" i="5"/>
  <c r="I9" i="5"/>
  <c r="J9" i="5" s="1"/>
  <c r="H9" i="5"/>
  <c r="A9" i="5"/>
  <c r="AB8" i="5"/>
  <c r="Z8" i="5"/>
  <c r="Y8" i="5"/>
  <c r="X8" i="5"/>
  <c r="L8" i="5"/>
  <c r="J8" i="5"/>
  <c r="K8" i="5" s="1"/>
  <c r="I8" i="5"/>
  <c r="H8" i="5"/>
  <c r="A8" i="5"/>
  <c r="AB7" i="5"/>
  <c r="Y7" i="5"/>
  <c r="X7" i="5"/>
  <c r="Z7" i="5" s="1"/>
  <c r="I7" i="5"/>
  <c r="H7" i="5"/>
  <c r="A7" i="5"/>
  <c r="AB6" i="5"/>
  <c r="Y6" i="5"/>
  <c r="X6" i="5"/>
  <c r="J6" i="5"/>
  <c r="I6" i="5"/>
  <c r="H6" i="5"/>
  <c r="K6" i="5" s="1"/>
  <c r="A6" i="5"/>
  <c r="AB5" i="5"/>
  <c r="Y5" i="5"/>
  <c r="X5" i="5"/>
  <c r="Z5" i="5" s="1"/>
  <c r="K5" i="5"/>
  <c r="J5" i="5"/>
  <c r="I5" i="5"/>
  <c r="H5" i="5"/>
  <c r="A5" i="5"/>
  <c r="AB4" i="5"/>
  <c r="Y4" i="5"/>
  <c r="Z4" i="5" s="1"/>
  <c r="X4" i="5"/>
  <c r="J4" i="5"/>
  <c r="I4" i="5"/>
  <c r="H4" i="5"/>
  <c r="A4" i="5"/>
  <c r="AB3" i="5"/>
  <c r="Z3" i="5"/>
  <c r="Y3" i="5"/>
  <c r="X3" i="5"/>
  <c r="I3" i="5"/>
  <c r="I19" i="5" s="1"/>
  <c r="H3" i="5"/>
  <c r="A3" i="5"/>
  <c r="AB2" i="5"/>
  <c r="Y2" i="5"/>
  <c r="X2" i="5"/>
  <c r="I2" i="5"/>
  <c r="H2" i="5"/>
  <c r="W20" i="4"/>
  <c r="U20" i="4"/>
  <c r="S20" i="4"/>
  <c r="Q20" i="4"/>
  <c r="G20" i="4"/>
  <c r="F20" i="4"/>
  <c r="E20" i="4"/>
  <c r="Z20" i="4" s="1"/>
  <c r="W19" i="4"/>
  <c r="V19" i="4"/>
  <c r="U19" i="4"/>
  <c r="T19" i="4"/>
  <c r="S19" i="4"/>
  <c r="R19" i="4"/>
  <c r="Q19" i="4"/>
  <c r="P19" i="4"/>
  <c r="G19" i="4"/>
  <c r="F19" i="4"/>
  <c r="E19" i="4"/>
  <c r="AB17" i="4"/>
  <c r="Y17" i="4"/>
  <c r="X17" i="4"/>
  <c r="Z17" i="4" s="1"/>
  <c r="I17" i="4"/>
  <c r="H17" i="4"/>
  <c r="J17" i="4" s="1"/>
  <c r="A17" i="4"/>
  <c r="AB16" i="4"/>
  <c r="Z16" i="4"/>
  <c r="Y16" i="4"/>
  <c r="X16" i="4"/>
  <c r="K16" i="4"/>
  <c r="J16" i="4"/>
  <c r="I16" i="4"/>
  <c r="H16" i="4"/>
  <c r="A16" i="4"/>
  <c r="AB15" i="4"/>
  <c r="Z15" i="4"/>
  <c r="Y15" i="4"/>
  <c r="X15" i="4"/>
  <c r="J15" i="4"/>
  <c r="K15" i="4" s="1"/>
  <c r="I15" i="4"/>
  <c r="H15" i="4"/>
  <c r="A15" i="4"/>
  <c r="AB14" i="4"/>
  <c r="Y14" i="4"/>
  <c r="X14" i="4"/>
  <c r="Z14" i="4" s="1"/>
  <c r="I14" i="4"/>
  <c r="H14" i="4"/>
  <c r="A14" i="4"/>
  <c r="AB13" i="4"/>
  <c r="Y13" i="4"/>
  <c r="X13" i="4"/>
  <c r="Z13" i="4" s="1"/>
  <c r="I13" i="4"/>
  <c r="H13" i="4"/>
  <c r="A13" i="4"/>
  <c r="AB12" i="4"/>
  <c r="Y12" i="4"/>
  <c r="X12" i="4"/>
  <c r="Z12" i="4" s="1"/>
  <c r="L12" i="4"/>
  <c r="K12" i="4"/>
  <c r="J12" i="4"/>
  <c r="I12" i="4"/>
  <c r="H12" i="4"/>
  <c r="A12" i="4"/>
  <c r="AB11" i="4"/>
  <c r="Z11" i="4"/>
  <c r="Y11" i="4"/>
  <c r="X11" i="4"/>
  <c r="J11" i="4"/>
  <c r="I11" i="4"/>
  <c r="H11" i="4"/>
  <c r="A11" i="4"/>
  <c r="AB10" i="4"/>
  <c r="Y10" i="4"/>
  <c r="Z10" i="4" s="1"/>
  <c r="X10" i="4"/>
  <c r="K10" i="4"/>
  <c r="J10" i="4"/>
  <c r="L10" i="4" s="1"/>
  <c r="I10" i="4"/>
  <c r="H10" i="4"/>
  <c r="A10" i="4"/>
  <c r="AB9" i="4"/>
  <c r="Y9" i="4"/>
  <c r="X9" i="4"/>
  <c r="L9" i="4"/>
  <c r="K9" i="4"/>
  <c r="I9" i="4"/>
  <c r="H9" i="4"/>
  <c r="J9" i="4" s="1"/>
  <c r="A9" i="4"/>
  <c r="AB8" i="4"/>
  <c r="Y8" i="4"/>
  <c r="X8" i="4"/>
  <c r="Z8" i="4" s="1"/>
  <c r="J8" i="4"/>
  <c r="I8" i="4"/>
  <c r="H8" i="4"/>
  <c r="A8" i="4"/>
  <c r="AB7" i="4"/>
  <c r="Z7" i="4"/>
  <c r="Y7" i="4"/>
  <c r="X7" i="4"/>
  <c r="K7" i="4"/>
  <c r="J7" i="4"/>
  <c r="L7" i="4" s="1"/>
  <c r="I7" i="4"/>
  <c r="H7" i="4"/>
  <c r="A7" i="4"/>
  <c r="AB6" i="4"/>
  <c r="Z6" i="4"/>
  <c r="Y6" i="4"/>
  <c r="X6" i="4"/>
  <c r="I6" i="4"/>
  <c r="H6" i="4"/>
  <c r="A6" i="4"/>
  <c r="AB5" i="4"/>
  <c r="Y5" i="4"/>
  <c r="X5" i="4"/>
  <c r="Z5" i="4" s="1"/>
  <c r="J5" i="4"/>
  <c r="I5" i="4"/>
  <c r="H5" i="4"/>
  <c r="K5" i="4" s="1"/>
  <c r="A5" i="4"/>
  <c r="AB4" i="4"/>
  <c r="Y4" i="4"/>
  <c r="X4" i="4"/>
  <c r="Z4" i="4" s="1"/>
  <c r="J4" i="4"/>
  <c r="I4" i="4"/>
  <c r="H4" i="4"/>
  <c r="A4" i="4"/>
  <c r="AB3" i="4"/>
  <c r="Y3" i="4"/>
  <c r="X3" i="4"/>
  <c r="Z3" i="4" s="1"/>
  <c r="I3" i="4"/>
  <c r="H3" i="4"/>
  <c r="A3" i="4"/>
  <c r="AB2" i="4"/>
  <c r="Y2" i="4"/>
  <c r="X2" i="4"/>
  <c r="Z2" i="4" s="1"/>
  <c r="J2" i="4"/>
  <c r="I2" i="4"/>
  <c r="I19" i="4" s="1"/>
  <c r="H2" i="4"/>
  <c r="F458" i="3"/>
  <c r="E458" i="3"/>
  <c r="D458" i="3"/>
  <c r="C458" i="3"/>
  <c r="A458" i="3"/>
  <c r="B458" i="3" s="1"/>
  <c r="F457" i="3"/>
  <c r="E457" i="3"/>
  <c r="D457" i="3"/>
  <c r="C457" i="3"/>
  <c r="A457" i="3"/>
  <c r="B457" i="3" s="1"/>
  <c r="F456" i="3"/>
  <c r="E456" i="3"/>
  <c r="D456" i="3"/>
  <c r="C456" i="3"/>
  <c r="A456" i="3"/>
  <c r="B456" i="3" s="1"/>
  <c r="F455" i="3"/>
  <c r="E455" i="3"/>
  <c r="D455" i="3"/>
  <c r="C455" i="3"/>
  <c r="A455" i="3"/>
  <c r="B455" i="3" s="1"/>
  <c r="F454" i="3"/>
  <c r="E454" i="3"/>
  <c r="D454" i="3"/>
  <c r="C454" i="3"/>
  <c r="A454" i="3"/>
  <c r="B454" i="3" s="1"/>
  <c r="F453" i="3"/>
  <c r="E453" i="3"/>
  <c r="D453" i="3"/>
  <c r="C453" i="3"/>
  <c r="A453" i="3"/>
  <c r="B453" i="3" s="1"/>
  <c r="F452" i="3"/>
  <c r="E452" i="3"/>
  <c r="D452" i="3"/>
  <c r="C452" i="3"/>
  <c r="A452" i="3"/>
  <c r="B452" i="3" s="1"/>
  <c r="F451" i="3"/>
  <c r="E451" i="3"/>
  <c r="G451" i="3" s="1"/>
  <c r="D451" i="3"/>
  <c r="C451" i="3"/>
  <c r="A451" i="3"/>
  <c r="B451" i="3" s="1"/>
  <c r="F450" i="3"/>
  <c r="E450" i="3"/>
  <c r="D450" i="3"/>
  <c r="C450" i="3"/>
  <c r="A450" i="3"/>
  <c r="B450" i="3" s="1"/>
  <c r="F449" i="3"/>
  <c r="E449" i="3"/>
  <c r="D449" i="3"/>
  <c r="C449" i="3"/>
  <c r="A449" i="3"/>
  <c r="B449" i="3" s="1"/>
  <c r="F448" i="3"/>
  <c r="E448" i="3"/>
  <c r="D448" i="3"/>
  <c r="C448" i="3"/>
  <c r="A448" i="3"/>
  <c r="B448" i="3" s="1"/>
  <c r="F447" i="3"/>
  <c r="E447" i="3"/>
  <c r="D447" i="3"/>
  <c r="C447" i="3"/>
  <c r="A447" i="3"/>
  <c r="B447" i="3" s="1"/>
  <c r="F446" i="3"/>
  <c r="E446" i="3"/>
  <c r="D446" i="3"/>
  <c r="C446" i="3"/>
  <c r="A446" i="3"/>
  <c r="B446" i="3" s="1"/>
  <c r="F445" i="3"/>
  <c r="E445" i="3"/>
  <c r="D445" i="3"/>
  <c r="C445" i="3"/>
  <c r="A445" i="3"/>
  <c r="B445" i="3" s="1"/>
  <c r="F444" i="3"/>
  <c r="E444" i="3"/>
  <c r="D444" i="3"/>
  <c r="C444" i="3"/>
  <c r="A444" i="3"/>
  <c r="B444" i="3" s="1"/>
  <c r="F443" i="3"/>
  <c r="E443" i="3"/>
  <c r="D443" i="3"/>
  <c r="C443" i="3"/>
  <c r="A443" i="3"/>
  <c r="B443" i="3" s="1"/>
  <c r="F442" i="3"/>
  <c r="E442" i="3"/>
  <c r="D442" i="3"/>
  <c r="C442" i="3"/>
  <c r="A442" i="3"/>
  <c r="B442" i="3" s="1"/>
  <c r="F441" i="3"/>
  <c r="E441" i="3"/>
  <c r="D441" i="3"/>
  <c r="C441" i="3"/>
  <c r="A441" i="3"/>
  <c r="B441" i="3" s="1"/>
  <c r="F440" i="3"/>
  <c r="E440" i="3"/>
  <c r="D440" i="3"/>
  <c r="C440" i="3"/>
  <c r="A440" i="3"/>
  <c r="B440" i="3" s="1"/>
  <c r="F439" i="3"/>
  <c r="E439" i="3"/>
  <c r="D439" i="3"/>
  <c r="C439" i="3"/>
  <c r="A439" i="3"/>
  <c r="B439" i="3" s="1"/>
  <c r="F438" i="3"/>
  <c r="E438" i="3"/>
  <c r="D438" i="3"/>
  <c r="C438" i="3"/>
  <c r="A438" i="3"/>
  <c r="B438" i="3" s="1"/>
  <c r="F437" i="3"/>
  <c r="E437" i="3"/>
  <c r="D437" i="3"/>
  <c r="C437" i="3"/>
  <c r="A437" i="3"/>
  <c r="B437" i="3" s="1"/>
  <c r="F436" i="3"/>
  <c r="E436" i="3"/>
  <c r="D436" i="3"/>
  <c r="C436" i="3"/>
  <c r="A436" i="3"/>
  <c r="B436" i="3" s="1"/>
  <c r="F435" i="3"/>
  <c r="E435" i="3"/>
  <c r="D435" i="3"/>
  <c r="C435" i="3"/>
  <c r="A435" i="3"/>
  <c r="B435" i="3" s="1"/>
  <c r="F434" i="3"/>
  <c r="E434" i="3"/>
  <c r="D434" i="3"/>
  <c r="C434" i="3"/>
  <c r="A434" i="3"/>
  <c r="B434" i="3" s="1"/>
  <c r="F433" i="3"/>
  <c r="E433" i="3"/>
  <c r="D433" i="3"/>
  <c r="C433" i="3"/>
  <c r="A433" i="3"/>
  <c r="B433" i="3" s="1"/>
  <c r="F432" i="3"/>
  <c r="E432" i="3"/>
  <c r="D432" i="3"/>
  <c r="C432" i="3"/>
  <c r="A432" i="3"/>
  <c r="B432" i="3" s="1"/>
  <c r="F431" i="3"/>
  <c r="E431" i="3"/>
  <c r="D431" i="3"/>
  <c r="C431" i="3"/>
  <c r="A431" i="3"/>
  <c r="B431" i="3" s="1"/>
  <c r="F430" i="3"/>
  <c r="E430" i="3"/>
  <c r="D430" i="3"/>
  <c r="C430" i="3"/>
  <c r="A430" i="3"/>
  <c r="B430" i="3" s="1"/>
  <c r="F429" i="3"/>
  <c r="E429" i="3"/>
  <c r="D429" i="3"/>
  <c r="C429" i="3"/>
  <c r="A429" i="3"/>
  <c r="B429" i="3" s="1"/>
  <c r="F428" i="3"/>
  <c r="E428" i="3"/>
  <c r="D428" i="3"/>
  <c r="C428" i="3"/>
  <c r="A428" i="3"/>
  <c r="B428" i="3" s="1"/>
  <c r="F427" i="3"/>
  <c r="E427" i="3"/>
  <c r="D427" i="3"/>
  <c r="C427" i="3"/>
  <c r="A427" i="3"/>
  <c r="B427" i="3" s="1"/>
  <c r="F426" i="3"/>
  <c r="E426" i="3"/>
  <c r="D426" i="3"/>
  <c r="C426" i="3"/>
  <c r="A426" i="3"/>
  <c r="B426" i="3" s="1"/>
  <c r="F425" i="3"/>
  <c r="E425" i="3"/>
  <c r="D425" i="3"/>
  <c r="C425" i="3"/>
  <c r="A425" i="3"/>
  <c r="B425" i="3" s="1"/>
  <c r="F424" i="3"/>
  <c r="E424" i="3"/>
  <c r="D424" i="3"/>
  <c r="C424" i="3"/>
  <c r="A424" i="3"/>
  <c r="B424" i="3" s="1"/>
  <c r="F423" i="3"/>
  <c r="E423" i="3"/>
  <c r="D423" i="3"/>
  <c r="C423" i="3"/>
  <c r="A423" i="3"/>
  <c r="B423" i="3" s="1"/>
  <c r="F422" i="3"/>
  <c r="E422" i="3"/>
  <c r="D422" i="3"/>
  <c r="C422" i="3"/>
  <c r="A422" i="3"/>
  <c r="B422" i="3" s="1"/>
  <c r="F421" i="3"/>
  <c r="E421" i="3"/>
  <c r="D421" i="3"/>
  <c r="C421" i="3"/>
  <c r="A421" i="3"/>
  <c r="B421" i="3" s="1"/>
  <c r="F420" i="3"/>
  <c r="E420" i="3"/>
  <c r="D420" i="3"/>
  <c r="C420" i="3"/>
  <c r="A420" i="3"/>
  <c r="B420" i="3" s="1"/>
  <c r="F419" i="3"/>
  <c r="E419" i="3"/>
  <c r="D419" i="3"/>
  <c r="C419" i="3"/>
  <c r="A419" i="3"/>
  <c r="B419" i="3" s="1"/>
  <c r="F418" i="3"/>
  <c r="E418" i="3"/>
  <c r="D418" i="3"/>
  <c r="C418" i="3"/>
  <c r="A418" i="3"/>
  <c r="B418" i="3" s="1"/>
  <c r="F417" i="3"/>
  <c r="E417" i="3"/>
  <c r="D417" i="3"/>
  <c r="C417" i="3"/>
  <c r="A417" i="3"/>
  <c r="B417" i="3" s="1"/>
  <c r="F416" i="3"/>
  <c r="E416" i="3"/>
  <c r="D416" i="3"/>
  <c r="C416" i="3"/>
  <c r="A416" i="3"/>
  <c r="B416" i="3" s="1"/>
  <c r="F415" i="3"/>
  <c r="E415" i="3"/>
  <c r="D415" i="3"/>
  <c r="C415" i="3"/>
  <c r="A415" i="3"/>
  <c r="B415" i="3" s="1"/>
  <c r="F414" i="3"/>
  <c r="E414" i="3"/>
  <c r="D414" i="3"/>
  <c r="C414" i="3"/>
  <c r="A414" i="3"/>
  <c r="B414" i="3" s="1"/>
  <c r="F413" i="3"/>
  <c r="E413" i="3"/>
  <c r="D413" i="3"/>
  <c r="C413" i="3"/>
  <c r="A413" i="3"/>
  <c r="B413" i="3" s="1"/>
  <c r="F412" i="3"/>
  <c r="E412" i="3"/>
  <c r="D412" i="3"/>
  <c r="C412" i="3"/>
  <c r="A412" i="3"/>
  <c r="B412" i="3" s="1"/>
  <c r="F411" i="3"/>
  <c r="E411" i="3"/>
  <c r="D411" i="3"/>
  <c r="C411" i="3"/>
  <c r="A411" i="3"/>
  <c r="B411" i="3" s="1"/>
  <c r="F410" i="3"/>
  <c r="E410" i="3"/>
  <c r="D410" i="3"/>
  <c r="C410" i="3"/>
  <c r="A410" i="3"/>
  <c r="B410" i="3" s="1"/>
  <c r="F409" i="3"/>
  <c r="E409" i="3"/>
  <c r="D409" i="3"/>
  <c r="C409" i="3"/>
  <c r="A409" i="3"/>
  <c r="B409" i="3" s="1"/>
  <c r="F408" i="3"/>
  <c r="E408" i="3"/>
  <c r="D408" i="3"/>
  <c r="C408" i="3"/>
  <c r="A408" i="3"/>
  <c r="B408" i="3" s="1"/>
  <c r="F407" i="3"/>
  <c r="E407" i="3"/>
  <c r="D407" i="3"/>
  <c r="C407" i="3"/>
  <c r="A407" i="3"/>
  <c r="B407" i="3" s="1"/>
  <c r="F406" i="3"/>
  <c r="E406" i="3"/>
  <c r="D406" i="3"/>
  <c r="C406" i="3"/>
  <c r="A406" i="3"/>
  <c r="B406" i="3" s="1"/>
  <c r="F405" i="3"/>
  <c r="E405" i="3"/>
  <c r="D405" i="3"/>
  <c r="C405" i="3"/>
  <c r="A405" i="3"/>
  <c r="B405" i="3" s="1"/>
  <c r="F404" i="3"/>
  <c r="E404" i="3"/>
  <c r="D404" i="3"/>
  <c r="C404" i="3"/>
  <c r="A404" i="3"/>
  <c r="B404" i="3" s="1"/>
  <c r="F403" i="3"/>
  <c r="E403" i="3"/>
  <c r="D403" i="3"/>
  <c r="C403" i="3"/>
  <c r="A403" i="3"/>
  <c r="B403" i="3" s="1"/>
  <c r="F402" i="3"/>
  <c r="E402" i="3"/>
  <c r="D402" i="3"/>
  <c r="C402" i="3"/>
  <c r="A402" i="3"/>
  <c r="B402" i="3" s="1"/>
  <c r="F401" i="3"/>
  <c r="E401" i="3"/>
  <c r="D401" i="3"/>
  <c r="C401" i="3"/>
  <c r="A401" i="3"/>
  <c r="B401" i="3" s="1"/>
  <c r="F400" i="3"/>
  <c r="E400" i="3"/>
  <c r="D400" i="3"/>
  <c r="C400" i="3"/>
  <c r="A400" i="3"/>
  <c r="B400" i="3" s="1"/>
  <c r="F399" i="3"/>
  <c r="E399" i="3"/>
  <c r="D399" i="3"/>
  <c r="C399" i="3"/>
  <c r="A399" i="3"/>
  <c r="B399" i="3" s="1"/>
  <c r="F398" i="3"/>
  <c r="E398" i="3"/>
  <c r="D398" i="3"/>
  <c r="C398" i="3"/>
  <c r="A398" i="3"/>
  <c r="B398" i="3" s="1"/>
  <c r="F397" i="3"/>
  <c r="E397" i="3"/>
  <c r="D397" i="3"/>
  <c r="C397" i="3"/>
  <c r="A397" i="3"/>
  <c r="B397" i="3" s="1"/>
  <c r="F396" i="3"/>
  <c r="E396" i="3"/>
  <c r="D396" i="3"/>
  <c r="C396" i="3"/>
  <c r="A396" i="3"/>
  <c r="B396" i="3" s="1"/>
  <c r="F395" i="3"/>
  <c r="E395" i="3"/>
  <c r="D395" i="3"/>
  <c r="C395" i="3"/>
  <c r="A395" i="3"/>
  <c r="B395" i="3" s="1"/>
  <c r="F394" i="3"/>
  <c r="E394" i="3"/>
  <c r="D394" i="3"/>
  <c r="C394" i="3"/>
  <c r="A394" i="3"/>
  <c r="B394" i="3" s="1"/>
  <c r="F393" i="3"/>
  <c r="E393" i="3"/>
  <c r="D393" i="3"/>
  <c r="C393" i="3"/>
  <c r="A393" i="3"/>
  <c r="B393" i="3" s="1"/>
  <c r="F392" i="3"/>
  <c r="E392" i="3"/>
  <c r="D392" i="3"/>
  <c r="C392" i="3"/>
  <c r="A392" i="3"/>
  <c r="B392" i="3" s="1"/>
  <c r="F391" i="3"/>
  <c r="E391" i="3"/>
  <c r="D391" i="3"/>
  <c r="C391" i="3"/>
  <c r="A391" i="3"/>
  <c r="B391" i="3" s="1"/>
  <c r="F390" i="3"/>
  <c r="E390" i="3"/>
  <c r="D390" i="3"/>
  <c r="C390" i="3"/>
  <c r="A390" i="3"/>
  <c r="B390" i="3" s="1"/>
  <c r="F389" i="3"/>
  <c r="E389" i="3"/>
  <c r="D389" i="3"/>
  <c r="C389" i="3"/>
  <c r="A389" i="3"/>
  <c r="B389" i="3" s="1"/>
  <c r="F388" i="3"/>
  <c r="E388" i="3"/>
  <c r="D388" i="3"/>
  <c r="C388" i="3"/>
  <c r="A388" i="3"/>
  <c r="B388" i="3" s="1"/>
  <c r="F387" i="3"/>
  <c r="E387" i="3"/>
  <c r="D387" i="3"/>
  <c r="C387" i="3"/>
  <c r="A387" i="3"/>
  <c r="B387" i="3" s="1"/>
  <c r="F386" i="3"/>
  <c r="E386" i="3"/>
  <c r="D386" i="3"/>
  <c r="C386" i="3"/>
  <c r="A386" i="3"/>
  <c r="B386" i="3" s="1"/>
  <c r="F385" i="3"/>
  <c r="E385" i="3"/>
  <c r="D385" i="3"/>
  <c r="C385" i="3"/>
  <c r="A385" i="3"/>
  <c r="B385" i="3" s="1"/>
  <c r="F384" i="3"/>
  <c r="E384" i="3"/>
  <c r="D384" i="3"/>
  <c r="C384" i="3"/>
  <c r="A384" i="3"/>
  <c r="B384" i="3" s="1"/>
  <c r="F383" i="3"/>
  <c r="E383" i="3"/>
  <c r="D383" i="3"/>
  <c r="C383" i="3"/>
  <c r="A383" i="3"/>
  <c r="B383" i="3" s="1"/>
  <c r="F382" i="3"/>
  <c r="E382" i="3"/>
  <c r="D382" i="3"/>
  <c r="C382" i="3"/>
  <c r="A382" i="3"/>
  <c r="B382" i="3" s="1"/>
  <c r="F381" i="3"/>
  <c r="E381" i="3"/>
  <c r="D381" i="3"/>
  <c r="C381" i="3"/>
  <c r="A381" i="3"/>
  <c r="B381" i="3" s="1"/>
  <c r="F380" i="3"/>
  <c r="E380" i="3"/>
  <c r="D380" i="3"/>
  <c r="C380" i="3"/>
  <c r="A380" i="3"/>
  <c r="B380" i="3" s="1"/>
  <c r="F379" i="3"/>
  <c r="E379" i="3"/>
  <c r="D379" i="3"/>
  <c r="C379" i="3"/>
  <c r="A379" i="3"/>
  <c r="B379" i="3" s="1"/>
  <c r="F378" i="3"/>
  <c r="E378" i="3"/>
  <c r="D378" i="3"/>
  <c r="C378" i="3"/>
  <c r="A378" i="3"/>
  <c r="B378" i="3" s="1"/>
  <c r="F377" i="3"/>
  <c r="E377" i="3"/>
  <c r="D377" i="3"/>
  <c r="C377" i="3"/>
  <c r="A377" i="3"/>
  <c r="B377" i="3" s="1"/>
  <c r="F376" i="3"/>
  <c r="E376" i="3"/>
  <c r="D376" i="3"/>
  <c r="C376" i="3"/>
  <c r="A376" i="3"/>
  <c r="B376" i="3" s="1"/>
  <c r="F375" i="3"/>
  <c r="E375" i="3"/>
  <c r="D375" i="3"/>
  <c r="C375" i="3"/>
  <c r="A375" i="3"/>
  <c r="B375" i="3" s="1"/>
  <c r="F374" i="3"/>
  <c r="E374" i="3"/>
  <c r="D374" i="3"/>
  <c r="C374" i="3"/>
  <c r="A374" i="3"/>
  <c r="B374" i="3" s="1"/>
  <c r="F373" i="3"/>
  <c r="E373" i="3"/>
  <c r="D373" i="3"/>
  <c r="C373" i="3"/>
  <c r="A373" i="3"/>
  <c r="B373" i="3" s="1"/>
  <c r="F372" i="3"/>
  <c r="E372" i="3"/>
  <c r="D372" i="3"/>
  <c r="C372" i="3"/>
  <c r="A372" i="3"/>
  <c r="B372" i="3" s="1"/>
  <c r="F371" i="3"/>
  <c r="E371" i="3"/>
  <c r="D371" i="3"/>
  <c r="C371" i="3"/>
  <c r="A371" i="3"/>
  <c r="B371" i="3" s="1"/>
  <c r="F370" i="3"/>
  <c r="E370" i="3"/>
  <c r="D370" i="3"/>
  <c r="C370" i="3"/>
  <c r="A370" i="3"/>
  <c r="B370" i="3" s="1"/>
  <c r="F369" i="3"/>
  <c r="E369" i="3"/>
  <c r="D369" i="3"/>
  <c r="C369" i="3"/>
  <c r="A369" i="3"/>
  <c r="B369" i="3" s="1"/>
  <c r="F368" i="3"/>
  <c r="E368" i="3"/>
  <c r="D368" i="3"/>
  <c r="C368" i="3"/>
  <c r="A368" i="3"/>
  <c r="B368" i="3" s="1"/>
  <c r="F367" i="3"/>
  <c r="E367" i="3"/>
  <c r="D367" i="3"/>
  <c r="C367" i="3"/>
  <c r="A367" i="3"/>
  <c r="B367" i="3" s="1"/>
  <c r="F366" i="3"/>
  <c r="E366" i="3"/>
  <c r="D366" i="3"/>
  <c r="C366" i="3"/>
  <c r="A366" i="3"/>
  <c r="B366" i="3" s="1"/>
  <c r="F365" i="3"/>
  <c r="E365" i="3"/>
  <c r="D365" i="3"/>
  <c r="C365" i="3"/>
  <c r="A365" i="3"/>
  <c r="B365" i="3" s="1"/>
  <c r="F364" i="3"/>
  <c r="E364" i="3"/>
  <c r="D364" i="3"/>
  <c r="C364" i="3"/>
  <c r="A364" i="3"/>
  <c r="B364" i="3" s="1"/>
  <c r="F363" i="3"/>
  <c r="E363" i="3"/>
  <c r="D363" i="3"/>
  <c r="C363" i="3"/>
  <c r="A363" i="3"/>
  <c r="B363" i="3" s="1"/>
  <c r="F362" i="3"/>
  <c r="E362" i="3"/>
  <c r="D362" i="3"/>
  <c r="C362" i="3"/>
  <c r="A362" i="3"/>
  <c r="B362" i="3" s="1"/>
  <c r="F361" i="3"/>
  <c r="E361" i="3"/>
  <c r="D361" i="3"/>
  <c r="C361" i="3"/>
  <c r="A361" i="3"/>
  <c r="B361" i="3" s="1"/>
  <c r="F360" i="3"/>
  <c r="E360" i="3"/>
  <c r="D360" i="3"/>
  <c r="C360" i="3"/>
  <c r="A360" i="3"/>
  <c r="B360" i="3" s="1"/>
  <c r="F359" i="3"/>
  <c r="E359" i="3"/>
  <c r="D359" i="3"/>
  <c r="C359" i="3"/>
  <c r="A359" i="3"/>
  <c r="B359" i="3" s="1"/>
  <c r="F358" i="3"/>
  <c r="E358" i="3"/>
  <c r="D358" i="3"/>
  <c r="C358" i="3"/>
  <c r="A358" i="3"/>
  <c r="B358" i="3" s="1"/>
  <c r="F357" i="3"/>
  <c r="E357" i="3"/>
  <c r="D357" i="3"/>
  <c r="C357" i="3"/>
  <c r="A357" i="3"/>
  <c r="B357" i="3" s="1"/>
  <c r="F356" i="3"/>
  <c r="E356" i="3"/>
  <c r="D356" i="3"/>
  <c r="C356" i="3"/>
  <c r="A356" i="3"/>
  <c r="B356" i="3" s="1"/>
  <c r="F355" i="3"/>
  <c r="E355" i="3"/>
  <c r="D355" i="3"/>
  <c r="C355" i="3"/>
  <c r="A355" i="3"/>
  <c r="B355" i="3" s="1"/>
  <c r="F354" i="3"/>
  <c r="E354" i="3"/>
  <c r="D354" i="3"/>
  <c r="C354" i="3"/>
  <c r="A354" i="3"/>
  <c r="B354" i="3" s="1"/>
  <c r="F353" i="3"/>
  <c r="E353" i="3"/>
  <c r="D353" i="3"/>
  <c r="C353" i="3"/>
  <c r="A353" i="3"/>
  <c r="B353" i="3" s="1"/>
  <c r="F352" i="3"/>
  <c r="E352" i="3"/>
  <c r="D352" i="3"/>
  <c r="C352" i="3"/>
  <c r="A352" i="3"/>
  <c r="B352" i="3" s="1"/>
  <c r="F351" i="3"/>
  <c r="E351" i="3"/>
  <c r="D351" i="3"/>
  <c r="C351" i="3"/>
  <c r="A351" i="3"/>
  <c r="B351" i="3" s="1"/>
  <c r="F350" i="3"/>
  <c r="E350" i="3"/>
  <c r="D350" i="3"/>
  <c r="C350" i="3"/>
  <c r="A350" i="3"/>
  <c r="B350" i="3" s="1"/>
  <c r="F349" i="3"/>
  <c r="E349" i="3"/>
  <c r="D349" i="3"/>
  <c r="C349" i="3"/>
  <c r="A349" i="3"/>
  <c r="B349" i="3" s="1"/>
  <c r="F348" i="3"/>
  <c r="E348" i="3"/>
  <c r="D348" i="3"/>
  <c r="C348" i="3"/>
  <c r="A348" i="3"/>
  <c r="B348" i="3" s="1"/>
  <c r="F347" i="3"/>
  <c r="E347" i="3"/>
  <c r="D347" i="3"/>
  <c r="C347" i="3"/>
  <c r="A347" i="3"/>
  <c r="B347" i="3" s="1"/>
  <c r="F346" i="3"/>
  <c r="E346" i="3"/>
  <c r="D346" i="3"/>
  <c r="C346" i="3"/>
  <c r="A346" i="3"/>
  <c r="B346" i="3" s="1"/>
  <c r="F345" i="3"/>
  <c r="E345" i="3"/>
  <c r="D345" i="3"/>
  <c r="C345" i="3"/>
  <c r="A345" i="3"/>
  <c r="B345" i="3" s="1"/>
  <c r="F344" i="3"/>
  <c r="E344" i="3"/>
  <c r="D344" i="3"/>
  <c r="C344" i="3"/>
  <c r="A344" i="3"/>
  <c r="B344" i="3" s="1"/>
  <c r="F343" i="3"/>
  <c r="E343" i="3"/>
  <c r="D343" i="3"/>
  <c r="C343" i="3"/>
  <c r="A343" i="3"/>
  <c r="B343" i="3" s="1"/>
  <c r="F342" i="3"/>
  <c r="E342" i="3"/>
  <c r="D342" i="3"/>
  <c r="C342" i="3"/>
  <c r="A342" i="3"/>
  <c r="B342" i="3" s="1"/>
  <c r="F341" i="3"/>
  <c r="E341" i="3"/>
  <c r="D341" i="3"/>
  <c r="C341" i="3"/>
  <c r="A341" i="3"/>
  <c r="B341" i="3" s="1"/>
  <c r="F340" i="3"/>
  <c r="E340" i="3"/>
  <c r="D340" i="3"/>
  <c r="C340" i="3"/>
  <c r="A340" i="3"/>
  <c r="B340" i="3" s="1"/>
  <c r="F339" i="3"/>
  <c r="E339" i="3"/>
  <c r="D339" i="3"/>
  <c r="C339" i="3"/>
  <c r="A339" i="3"/>
  <c r="B339" i="3" s="1"/>
  <c r="F338" i="3"/>
  <c r="E338" i="3"/>
  <c r="D338" i="3"/>
  <c r="C338" i="3"/>
  <c r="A338" i="3"/>
  <c r="B338" i="3" s="1"/>
  <c r="F337" i="3"/>
  <c r="E337" i="3"/>
  <c r="D337" i="3"/>
  <c r="C337" i="3"/>
  <c r="A337" i="3"/>
  <c r="B337" i="3" s="1"/>
  <c r="F336" i="3"/>
  <c r="E336" i="3"/>
  <c r="D336" i="3"/>
  <c r="C336" i="3"/>
  <c r="A336" i="3"/>
  <c r="B336" i="3" s="1"/>
  <c r="F335" i="3"/>
  <c r="E335" i="3"/>
  <c r="D335" i="3"/>
  <c r="C335" i="3"/>
  <c r="A335" i="3"/>
  <c r="B335" i="3" s="1"/>
  <c r="F334" i="3"/>
  <c r="E334" i="3"/>
  <c r="D334" i="3"/>
  <c r="C334" i="3"/>
  <c r="A334" i="3"/>
  <c r="B334" i="3" s="1"/>
  <c r="F333" i="3"/>
  <c r="E333" i="3"/>
  <c r="D333" i="3"/>
  <c r="C333" i="3"/>
  <c r="A333" i="3"/>
  <c r="B333" i="3" s="1"/>
  <c r="F332" i="3"/>
  <c r="E332" i="3"/>
  <c r="D332" i="3"/>
  <c r="C332" i="3"/>
  <c r="A332" i="3"/>
  <c r="B332" i="3" s="1"/>
  <c r="F331" i="3"/>
  <c r="E331" i="3"/>
  <c r="D331" i="3"/>
  <c r="C331" i="3"/>
  <c r="A331" i="3"/>
  <c r="B331" i="3" s="1"/>
  <c r="F330" i="3"/>
  <c r="E330" i="3"/>
  <c r="D330" i="3"/>
  <c r="C330" i="3"/>
  <c r="A330" i="3"/>
  <c r="B330" i="3" s="1"/>
  <c r="F329" i="3"/>
  <c r="E329" i="3"/>
  <c r="D329" i="3"/>
  <c r="C329" i="3"/>
  <c r="A329" i="3"/>
  <c r="B329" i="3" s="1"/>
  <c r="F328" i="3"/>
  <c r="E328" i="3"/>
  <c r="D328" i="3"/>
  <c r="C328" i="3"/>
  <c r="A328" i="3"/>
  <c r="B328" i="3" s="1"/>
  <c r="F327" i="3"/>
  <c r="E327" i="3"/>
  <c r="D327" i="3"/>
  <c r="C327" i="3"/>
  <c r="A327" i="3"/>
  <c r="B327" i="3" s="1"/>
  <c r="F326" i="3"/>
  <c r="E326" i="3"/>
  <c r="D326" i="3"/>
  <c r="C326" i="3"/>
  <c r="A326" i="3"/>
  <c r="B326" i="3" s="1"/>
  <c r="F325" i="3"/>
  <c r="E325" i="3"/>
  <c r="D325" i="3"/>
  <c r="C325" i="3"/>
  <c r="A325" i="3"/>
  <c r="B325" i="3" s="1"/>
  <c r="F324" i="3"/>
  <c r="E324" i="3"/>
  <c r="D324" i="3"/>
  <c r="C324" i="3"/>
  <c r="A324" i="3"/>
  <c r="B324" i="3" s="1"/>
  <c r="F323" i="3"/>
  <c r="E323" i="3"/>
  <c r="D323" i="3"/>
  <c r="C323" i="3"/>
  <c r="A323" i="3"/>
  <c r="B323" i="3" s="1"/>
  <c r="F322" i="3"/>
  <c r="E322" i="3"/>
  <c r="D322" i="3"/>
  <c r="C322" i="3"/>
  <c r="A322" i="3"/>
  <c r="B322" i="3" s="1"/>
  <c r="F321" i="3"/>
  <c r="E321" i="3"/>
  <c r="D321" i="3"/>
  <c r="C321" i="3"/>
  <c r="A321" i="3"/>
  <c r="B321" i="3" s="1"/>
  <c r="F320" i="3"/>
  <c r="E320" i="3"/>
  <c r="D320" i="3"/>
  <c r="C320" i="3"/>
  <c r="A320" i="3"/>
  <c r="B320" i="3" s="1"/>
  <c r="F319" i="3"/>
  <c r="E319" i="3"/>
  <c r="D319" i="3"/>
  <c r="C319" i="3"/>
  <c r="A319" i="3"/>
  <c r="B319" i="3" s="1"/>
  <c r="F318" i="3"/>
  <c r="E318" i="3"/>
  <c r="D318" i="3"/>
  <c r="C318" i="3"/>
  <c r="A318" i="3"/>
  <c r="B318" i="3" s="1"/>
  <c r="F317" i="3"/>
  <c r="E317" i="3"/>
  <c r="D317" i="3"/>
  <c r="C317" i="3"/>
  <c r="A317" i="3"/>
  <c r="B317" i="3" s="1"/>
  <c r="F316" i="3"/>
  <c r="E316" i="3"/>
  <c r="D316" i="3"/>
  <c r="C316" i="3"/>
  <c r="A316" i="3"/>
  <c r="B316" i="3" s="1"/>
  <c r="F315" i="3"/>
  <c r="E315" i="3"/>
  <c r="D315" i="3"/>
  <c r="C315" i="3"/>
  <c r="A315" i="3"/>
  <c r="B315" i="3" s="1"/>
  <c r="F314" i="3"/>
  <c r="E314" i="3"/>
  <c r="D314" i="3"/>
  <c r="C314" i="3"/>
  <c r="A314" i="3"/>
  <c r="B314" i="3" s="1"/>
  <c r="F313" i="3"/>
  <c r="E313" i="3"/>
  <c r="D313" i="3"/>
  <c r="C313" i="3"/>
  <c r="A313" i="3"/>
  <c r="B313" i="3" s="1"/>
  <c r="F312" i="3"/>
  <c r="E312" i="3"/>
  <c r="D312" i="3"/>
  <c r="C312" i="3"/>
  <c r="A312" i="3"/>
  <c r="B312" i="3" s="1"/>
  <c r="F311" i="3"/>
  <c r="E311" i="3"/>
  <c r="D311" i="3"/>
  <c r="C311" i="3"/>
  <c r="A311" i="3"/>
  <c r="B311" i="3" s="1"/>
  <c r="F310" i="3"/>
  <c r="E310" i="3"/>
  <c r="D310" i="3"/>
  <c r="C310" i="3"/>
  <c r="A310" i="3"/>
  <c r="B310" i="3" s="1"/>
  <c r="F309" i="3"/>
  <c r="E309" i="3"/>
  <c r="D309" i="3"/>
  <c r="C309" i="3"/>
  <c r="A309" i="3"/>
  <c r="B309" i="3" s="1"/>
  <c r="F308" i="3"/>
  <c r="E308" i="3"/>
  <c r="D308" i="3"/>
  <c r="C308" i="3"/>
  <c r="A308" i="3"/>
  <c r="B308" i="3" s="1"/>
  <c r="F307" i="3"/>
  <c r="E307" i="3"/>
  <c r="D307" i="3"/>
  <c r="C307" i="3"/>
  <c r="A307" i="3"/>
  <c r="B307" i="3" s="1"/>
  <c r="F306" i="3"/>
  <c r="E306" i="3"/>
  <c r="D306" i="3"/>
  <c r="C306" i="3"/>
  <c r="A306" i="3"/>
  <c r="B306" i="3" s="1"/>
  <c r="F305" i="3"/>
  <c r="E305" i="3"/>
  <c r="D305" i="3"/>
  <c r="C305" i="3"/>
  <c r="A305" i="3"/>
  <c r="B305" i="3" s="1"/>
  <c r="F304" i="3"/>
  <c r="E304" i="3"/>
  <c r="D304" i="3"/>
  <c r="C304" i="3"/>
  <c r="A304" i="3"/>
  <c r="B304" i="3" s="1"/>
  <c r="F303" i="3"/>
  <c r="E303" i="3"/>
  <c r="D303" i="3"/>
  <c r="C303" i="3"/>
  <c r="A303" i="3"/>
  <c r="B303" i="3" s="1"/>
  <c r="F302" i="3"/>
  <c r="E302" i="3"/>
  <c r="D302" i="3"/>
  <c r="C302" i="3"/>
  <c r="A302" i="3"/>
  <c r="B302" i="3" s="1"/>
  <c r="F301" i="3"/>
  <c r="E301" i="3"/>
  <c r="D301" i="3"/>
  <c r="C301" i="3"/>
  <c r="A301" i="3"/>
  <c r="B301" i="3" s="1"/>
  <c r="F300" i="3"/>
  <c r="E300" i="3"/>
  <c r="D300" i="3"/>
  <c r="C300" i="3"/>
  <c r="A300" i="3"/>
  <c r="B300" i="3" s="1"/>
  <c r="F299" i="3"/>
  <c r="E299" i="3"/>
  <c r="D299" i="3"/>
  <c r="C299" i="3"/>
  <c r="A299" i="3"/>
  <c r="B299" i="3" s="1"/>
  <c r="F298" i="3"/>
  <c r="E298" i="3"/>
  <c r="D298" i="3"/>
  <c r="C298" i="3"/>
  <c r="A298" i="3"/>
  <c r="B298" i="3" s="1"/>
  <c r="F297" i="3"/>
  <c r="E297" i="3"/>
  <c r="D297" i="3"/>
  <c r="C297" i="3"/>
  <c r="A297" i="3"/>
  <c r="B297" i="3" s="1"/>
  <c r="F296" i="3"/>
  <c r="E296" i="3"/>
  <c r="D296" i="3"/>
  <c r="C296" i="3"/>
  <c r="A296" i="3"/>
  <c r="B296" i="3" s="1"/>
  <c r="F295" i="3"/>
  <c r="E295" i="3"/>
  <c r="D295" i="3"/>
  <c r="C295" i="3"/>
  <c r="A295" i="3"/>
  <c r="B295" i="3" s="1"/>
  <c r="F294" i="3"/>
  <c r="E294" i="3"/>
  <c r="D294" i="3"/>
  <c r="C294" i="3"/>
  <c r="A294" i="3"/>
  <c r="B294" i="3" s="1"/>
  <c r="F293" i="3"/>
  <c r="E293" i="3"/>
  <c r="D293" i="3"/>
  <c r="C293" i="3"/>
  <c r="A293" i="3"/>
  <c r="B293" i="3" s="1"/>
  <c r="F292" i="3"/>
  <c r="E292" i="3"/>
  <c r="D292" i="3"/>
  <c r="C292" i="3"/>
  <c r="A292" i="3"/>
  <c r="B292" i="3" s="1"/>
  <c r="F291" i="3"/>
  <c r="E291" i="3"/>
  <c r="D291" i="3"/>
  <c r="C291" i="3"/>
  <c r="A291" i="3"/>
  <c r="B291" i="3" s="1"/>
  <c r="F290" i="3"/>
  <c r="E290" i="3"/>
  <c r="D290" i="3"/>
  <c r="C290" i="3"/>
  <c r="A290" i="3"/>
  <c r="B290" i="3" s="1"/>
  <c r="F289" i="3"/>
  <c r="E289" i="3"/>
  <c r="D289" i="3"/>
  <c r="C289" i="3"/>
  <c r="A289" i="3"/>
  <c r="B289" i="3" s="1"/>
  <c r="F288" i="3"/>
  <c r="E288" i="3"/>
  <c r="D288" i="3"/>
  <c r="C288" i="3"/>
  <c r="A288" i="3"/>
  <c r="B288" i="3" s="1"/>
  <c r="F287" i="3"/>
  <c r="E287" i="3"/>
  <c r="D287" i="3"/>
  <c r="C287" i="3"/>
  <c r="A287" i="3"/>
  <c r="B287" i="3" s="1"/>
  <c r="F286" i="3"/>
  <c r="E286" i="3"/>
  <c r="D286" i="3"/>
  <c r="C286" i="3"/>
  <c r="A286" i="3"/>
  <c r="B286" i="3" s="1"/>
  <c r="F285" i="3"/>
  <c r="E285" i="3"/>
  <c r="D285" i="3"/>
  <c r="C285" i="3"/>
  <c r="A285" i="3"/>
  <c r="B285" i="3" s="1"/>
  <c r="F284" i="3"/>
  <c r="E284" i="3"/>
  <c r="D284" i="3"/>
  <c r="C284" i="3"/>
  <c r="A284" i="3"/>
  <c r="B284" i="3" s="1"/>
  <c r="F283" i="3"/>
  <c r="E283" i="3"/>
  <c r="D283" i="3"/>
  <c r="C283" i="3"/>
  <c r="A283" i="3"/>
  <c r="B283" i="3" s="1"/>
  <c r="F282" i="3"/>
  <c r="E282" i="3"/>
  <c r="D282" i="3"/>
  <c r="C282" i="3"/>
  <c r="A282" i="3"/>
  <c r="B282" i="3" s="1"/>
  <c r="F281" i="3"/>
  <c r="E281" i="3"/>
  <c r="D281" i="3"/>
  <c r="C281" i="3"/>
  <c r="A281" i="3"/>
  <c r="B281" i="3" s="1"/>
  <c r="F280" i="3"/>
  <c r="E280" i="3"/>
  <c r="D280" i="3"/>
  <c r="C280" i="3"/>
  <c r="A280" i="3"/>
  <c r="B280" i="3" s="1"/>
  <c r="F279" i="3"/>
  <c r="E279" i="3"/>
  <c r="D279" i="3"/>
  <c r="C279" i="3"/>
  <c r="A279" i="3"/>
  <c r="B279" i="3" s="1"/>
  <c r="F278" i="3"/>
  <c r="E278" i="3"/>
  <c r="D278" i="3"/>
  <c r="C278" i="3"/>
  <c r="A278" i="3"/>
  <c r="B278" i="3" s="1"/>
  <c r="F277" i="3"/>
  <c r="E277" i="3"/>
  <c r="D277" i="3"/>
  <c r="C277" i="3"/>
  <c r="A277" i="3"/>
  <c r="B277" i="3" s="1"/>
  <c r="F276" i="3"/>
  <c r="E276" i="3"/>
  <c r="D276" i="3"/>
  <c r="C276" i="3"/>
  <c r="A276" i="3"/>
  <c r="B276" i="3" s="1"/>
  <c r="F275" i="3"/>
  <c r="E275" i="3"/>
  <c r="D275" i="3"/>
  <c r="C275" i="3"/>
  <c r="A275" i="3"/>
  <c r="B275" i="3" s="1"/>
  <c r="F274" i="3"/>
  <c r="E274" i="3"/>
  <c r="D274" i="3"/>
  <c r="C274" i="3"/>
  <c r="A274" i="3"/>
  <c r="B274" i="3" s="1"/>
  <c r="F273" i="3"/>
  <c r="E273" i="3"/>
  <c r="D273" i="3"/>
  <c r="C273" i="3"/>
  <c r="A273" i="3"/>
  <c r="B273" i="3" s="1"/>
  <c r="F272" i="3"/>
  <c r="E272" i="3"/>
  <c r="D272" i="3"/>
  <c r="C272" i="3"/>
  <c r="A272" i="3"/>
  <c r="B272" i="3" s="1"/>
  <c r="F271" i="3"/>
  <c r="E271" i="3"/>
  <c r="D271" i="3"/>
  <c r="C271" i="3"/>
  <c r="A271" i="3"/>
  <c r="B271" i="3" s="1"/>
  <c r="F270" i="3"/>
  <c r="E270" i="3"/>
  <c r="D270" i="3"/>
  <c r="C270" i="3"/>
  <c r="A270" i="3"/>
  <c r="B270" i="3" s="1"/>
  <c r="F269" i="3"/>
  <c r="E269" i="3"/>
  <c r="D269" i="3"/>
  <c r="C269" i="3"/>
  <c r="A269" i="3"/>
  <c r="B269" i="3" s="1"/>
  <c r="F268" i="3"/>
  <c r="E268" i="3"/>
  <c r="D268" i="3"/>
  <c r="C268" i="3"/>
  <c r="A268" i="3"/>
  <c r="B268" i="3" s="1"/>
  <c r="F267" i="3"/>
  <c r="E267" i="3"/>
  <c r="D267" i="3"/>
  <c r="C267" i="3"/>
  <c r="A267" i="3"/>
  <c r="B267" i="3" s="1"/>
  <c r="F266" i="3"/>
  <c r="E266" i="3"/>
  <c r="D266" i="3"/>
  <c r="C266" i="3"/>
  <c r="A266" i="3"/>
  <c r="B266" i="3" s="1"/>
  <c r="F265" i="3"/>
  <c r="E265" i="3"/>
  <c r="D265" i="3"/>
  <c r="C265" i="3"/>
  <c r="A265" i="3"/>
  <c r="B265" i="3" s="1"/>
  <c r="F264" i="3"/>
  <c r="E264" i="3"/>
  <c r="D264" i="3"/>
  <c r="C264" i="3"/>
  <c r="A264" i="3"/>
  <c r="B264" i="3" s="1"/>
  <c r="F263" i="3"/>
  <c r="E263" i="3"/>
  <c r="D263" i="3"/>
  <c r="C263" i="3"/>
  <c r="A263" i="3"/>
  <c r="B263" i="3" s="1"/>
  <c r="F262" i="3"/>
  <c r="E262" i="3"/>
  <c r="D262" i="3"/>
  <c r="C262" i="3"/>
  <c r="A262" i="3"/>
  <c r="B262" i="3" s="1"/>
  <c r="F261" i="3"/>
  <c r="E261" i="3"/>
  <c r="D261" i="3"/>
  <c r="C261" i="3"/>
  <c r="A261" i="3"/>
  <c r="B261" i="3" s="1"/>
  <c r="F260" i="3"/>
  <c r="E260" i="3"/>
  <c r="D260" i="3"/>
  <c r="C260" i="3"/>
  <c r="A260" i="3"/>
  <c r="B260" i="3" s="1"/>
  <c r="F259" i="3"/>
  <c r="E259" i="3"/>
  <c r="D259" i="3"/>
  <c r="C259" i="3"/>
  <c r="A259" i="3"/>
  <c r="B259" i="3" s="1"/>
  <c r="F258" i="3"/>
  <c r="E258" i="3"/>
  <c r="D258" i="3"/>
  <c r="C258" i="3"/>
  <c r="A258" i="3"/>
  <c r="B258" i="3" s="1"/>
  <c r="F257" i="3"/>
  <c r="E257" i="3"/>
  <c r="D257" i="3"/>
  <c r="C257" i="3"/>
  <c r="A257" i="3"/>
  <c r="B257" i="3" s="1"/>
  <c r="F256" i="3"/>
  <c r="E256" i="3"/>
  <c r="D256" i="3"/>
  <c r="C256" i="3"/>
  <c r="A256" i="3"/>
  <c r="B256" i="3" s="1"/>
  <c r="F255" i="3"/>
  <c r="E255" i="3"/>
  <c r="D255" i="3"/>
  <c r="C255" i="3"/>
  <c r="A255" i="3"/>
  <c r="B255" i="3" s="1"/>
  <c r="F254" i="3"/>
  <c r="E254" i="3"/>
  <c r="D254" i="3"/>
  <c r="C254" i="3"/>
  <c r="A254" i="3"/>
  <c r="B254" i="3" s="1"/>
  <c r="F253" i="3"/>
  <c r="E253" i="3"/>
  <c r="D253" i="3"/>
  <c r="C253" i="3"/>
  <c r="A253" i="3"/>
  <c r="B253" i="3" s="1"/>
  <c r="F252" i="3"/>
  <c r="E252" i="3"/>
  <c r="D252" i="3"/>
  <c r="C252" i="3"/>
  <c r="A252" i="3"/>
  <c r="B252" i="3" s="1"/>
  <c r="F251" i="3"/>
  <c r="E251" i="3"/>
  <c r="D251" i="3"/>
  <c r="C251" i="3"/>
  <c r="A251" i="3"/>
  <c r="B251" i="3" s="1"/>
  <c r="F250" i="3"/>
  <c r="E250" i="3"/>
  <c r="D250" i="3"/>
  <c r="C250" i="3"/>
  <c r="A250" i="3"/>
  <c r="B250" i="3" s="1"/>
  <c r="F249" i="3"/>
  <c r="E249" i="3"/>
  <c r="D249" i="3"/>
  <c r="C249" i="3"/>
  <c r="A249" i="3"/>
  <c r="B249" i="3" s="1"/>
  <c r="F248" i="3"/>
  <c r="E248" i="3"/>
  <c r="D248" i="3"/>
  <c r="C248" i="3"/>
  <c r="A248" i="3"/>
  <c r="B248" i="3" s="1"/>
  <c r="F247" i="3"/>
  <c r="E247" i="3"/>
  <c r="D247" i="3"/>
  <c r="C247" i="3"/>
  <c r="A247" i="3"/>
  <c r="B247" i="3" s="1"/>
  <c r="F246" i="3"/>
  <c r="E246" i="3"/>
  <c r="D246" i="3"/>
  <c r="C246" i="3"/>
  <c r="A246" i="3"/>
  <c r="B246" i="3" s="1"/>
  <c r="F245" i="3"/>
  <c r="E245" i="3"/>
  <c r="D245" i="3"/>
  <c r="C245" i="3"/>
  <c r="A245" i="3"/>
  <c r="B245" i="3" s="1"/>
  <c r="F244" i="3"/>
  <c r="E244" i="3"/>
  <c r="D244" i="3"/>
  <c r="C244" i="3"/>
  <c r="A244" i="3"/>
  <c r="B244" i="3" s="1"/>
  <c r="F243" i="3"/>
  <c r="E243" i="3"/>
  <c r="D243" i="3"/>
  <c r="C243" i="3"/>
  <c r="A243" i="3"/>
  <c r="B243" i="3" s="1"/>
  <c r="F242" i="3"/>
  <c r="E242" i="3"/>
  <c r="D242" i="3"/>
  <c r="C242" i="3"/>
  <c r="A242" i="3"/>
  <c r="B242" i="3" s="1"/>
  <c r="F241" i="3"/>
  <c r="E241" i="3"/>
  <c r="D241" i="3"/>
  <c r="C241" i="3"/>
  <c r="A241" i="3"/>
  <c r="B241" i="3" s="1"/>
  <c r="F240" i="3"/>
  <c r="E240" i="3"/>
  <c r="D240" i="3"/>
  <c r="C240" i="3"/>
  <c r="A240" i="3"/>
  <c r="B240" i="3" s="1"/>
  <c r="F239" i="3"/>
  <c r="E239" i="3"/>
  <c r="D239" i="3"/>
  <c r="C239" i="3"/>
  <c r="A239" i="3"/>
  <c r="B239" i="3" s="1"/>
  <c r="F238" i="3"/>
  <c r="E238" i="3"/>
  <c r="D238" i="3"/>
  <c r="C238" i="3"/>
  <c r="A238" i="3"/>
  <c r="B238" i="3" s="1"/>
  <c r="F237" i="3"/>
  <c r="E237" i="3"/>
  <c r="D237" i="3"/>
  <c r="C237" i="3"/>
  <c r="A237" i="3"/>
  <c r="B237" i="3" s="1"/>
  <c r="F236" i="3"/>
  <c r="E236" i="3"/>
  <c r="D236" i="3"/>
  <c r="C236" i="3"/>
  <c r="A236" i="3"/>
  <c r="B236" i="3" s="1"/>
  <c r="F235" i="3"/>
  <c r="E235" i="3"/>
  <c r="D235" i="3"/>
  <c r="C235" i="3"/>
  <c r="A235" i="3"/>
  <c r="B235" i="3" s="1"/>
  <c r="F234" i="3"/>
  <c r="E234" i="3"/>
  <c r="D234" i="3"/>
  <c r="C234" i="3"/>
  <c r="A234" i="3"/>
  <c r="B234" i="3" s="1"/>
  <c r="F233" i="3"/>
  <c r="E233" i="3"/>
  <c r="D233" i="3"/>
  <c r="C233" i="3"/>
  <c r="A233" i="3"/>
  <c r="B233" i="3" s="1"/>
  <c r="F232" i="3"/>
  <c r="E232" i="3"/>
  <c r="D232" i="3"/>
  <c r="C232" i="3"/>
  <c r="A232" i="3"/>
  <c r="B232" i="3" s="1"/>
  <c r="F231" i="3"/>
  <c r="E231" i="3"/>
  <c r="D231" i="3"/>
  <c r="C231" i="3"/>
  <c r="A231" i="3"/>
  <c r="B231" i="3" s="1"/>
  <c r="F230" i="3"/>
  <c r="E230" i="3"/>
  <c r="D230" i="3"/>
  <c r="C230" i="3"/>
  <c r="A230" i="3"/>
  <c r="B230" i="3" s="1"/>
  <c r="F229" i="3"/>
  <c r="E229" i="3"/>
  <c r="D229" i="3"/>
  <c r="C229" i="3"/>
  <c r="A229" i="3"/>
  <c r="B229" i="3" s="1"/>
  <c r="F228" i="3"/>
  <c r="E228" i="3"/>
  <c r="D228" i="3"/>
  <c r="C228" i="3"/>
  <c r="A228" i="3"/>
  <c r="B228" i="3" s="1"/>
  <c r="F227" i="3"/>
  <c r="E227" i="3"/>
  <c r="D227" i="3"/>
  <c r="C227" i="3"/>
  <c r="A227" i="3"/>
  <c r="B227" i="3" s="1"/>
  <c r="F226" i="3"/>
  <c r="E226" i="3"/>
  <c r="D226" i="3"/>
  <c r="C226" i="3"/>
  <c r="A226" i="3"/>
  <c r="B226" i="3" s="1"/>
  <c r="F225" i="3"/>
  <c r="E225" i="3"/>
  <c r="D225" i="3"/>
  <c r="C225" i="3"/>
  <c r="A225" i="3"/>
  <c r="B225" i="3" s="1"/>
  <c r="F224" i="3"/>
  <c r="E224" i="3"/>
  <c r="D224" i="3"/>
  <c r="C224" i="3"/>
  <c r="A224" i="3"/>
  <c r="B224" i="3" s="1"/>
  <c r="F223" i="3"/>
  <c r="E223" i="3"/>
  <c r="D223" i="3"/>
  <c r="C223" i="3"/>
  <c r="A223" i="3"/>
  <c r="B223" i="3" s="1"/>
  <c r="F222" i="3"/>
  <c r="E222" i="3"/>
  <c r="D222" i="3"/>
  <c r="C222" i="3"/>
  <c r="A222" i="3"/>
  <c r="B222" i="3" s="1"/>
  <c r="F221" i="3"/>
  <c r="E221" i="3"/>
  <c r="D221" i="3"/>
  <c r="C221" i="3"/>
  <c r="A221" i="3"/>
  <c r="B221" i="3" s="1"/>
  <c r="F220" i="3"/>
  <c r="E220" i="3"/>
  <c r="D220" i="3"/>
  <c r="C220" i="3"/>
  <c r="A220" i="3"/>
  <c r="B220" i="3" s="1"/>
  <c r="F219" i="3"/>
  <c r="E219" i="3"/>
  <c r="D219" i="3"/>
  <c r="C219" i="3"/>
  <c r="A219" i="3"/>
  <c r="B219" i="3" s="1"/>
  <c r="F218" i="3"/>
  <c r="E218" i="3"/>
  <c r="D218" i="3"/>
  <c r="C218" i="3"/>
  <c r="A218" i="3"/>
  <c r="B218" i="3" s="1"/>
  <c r="F217" i="3"/>
  <c r="E217" i="3"/>
  <c r="D217" i="3"/>
  <c r="C217" i="3"/>
  <c r="A217" i="3"/>
  <c r="B217" i="3" s="1"/>
  <c r="F216" i="3"/>
  <c r="E216" i="3"/>
  <c r="D216" i="3"/>
  <c r="C216" i="3"/>
  <c r="A216" i="3"/>
  <c r="B216" i="3" s="1"/>
  <c r="F215" i="3"/>
  <c r="E215" i="3"/>
  <c r="D215" i="3"/>
  <c r="C215" i="3"/>
  <c r="A215" i="3"/>
  <c r="B215" i="3" s="1"/>
  <c r="F214" i="3"/>
  <c r="E214" i="3"/>
  <c r="D214" i="3"/>
  <c r="C214" i="3"/>
  <c r="A214" i="3"/>
  <c r="B214" i="3" s="1"/>
  <c r="F213" i="3"/>
  <c r="E213" i="3"/>
  <c r="D213" i="3"/>
  <c r="C213" i="3"/>
  <c r="A213" i="3"/>
  <c r="B213" i="3" s="1"/>
  <c r="F212" i="3"/>
  <c r="E212" i="3"/>
  <c r="D212" i="3"/>
  <c r="C212" i="3"/>
  <c r="A212" i="3"/>
  <c r="B212" i="3" s="1"/>
  <c r="F211" i="3"/>
  <c r="E211" i="3"/>
  <c r="D211" i="3"/>
  <c r="C211" i="3"/>
  <c r="A211" i="3"/>
  <c r="B211" i="3" s="1"/>
  <c r="F210" i="3"/>
  <c r="E210" i="3"/>
  <c r="D210" i="3"/>
  <c r="C210" i="3"/>
  <c r="A210" i="3"/>
  <c r="B210" i="3" s="1"/>
  <c r="F209" i="3"/>
  <c r="E209" i="3"/>
  <c r="D209" i="3"/>
  <c r="C209" i="3"/>
  <c r="A209" i="3"/>
  <c r="B209" i="3" s="1"/>
  <c r="F208" i="3"/>
  <c r="E208" i="3"/>
  <c r="D208" i="3"/>
  <c r="C208" i="3"/>
  <c r="A208" i="3"/>
  <c r="B208" i="3" s="1"/>
  <c r="F207" i="3"/>
  <c r="E207" i="3"/>
  <c r="D207" i="3"/>
  <c r="C207" i="3"/>
  <c r="A207" i="3"/>
  <c r="B207" i="3" s="1"/>
  <c r="F206" i="3"/>
  <c r="E206" i="3"/>
  <c r="D206" i="3"/>
  <c r="C206" i="3"/>
  <c r="A206" i="3"/>
  <c r="B206" i="3" s="1"/>
  <c r="F205" i="3"/>
  <c r="E205" i="3"/>
  <c r="D205" i="3"/>
  <c r="C205" i="3"/>
  <c r="A205" i="3"/>
  <c r="B205" i="3" s="1"/>
  <c r="F204" i="3"/>
  <c r="E204" i="3"/>
  <c r="D204" i="3"/>
  <c r="C204" i="3"/>
  <c r="A204" i="3"/>
  <c r="B204" i="3" s="1"/>
  <c r="F203" i="3"/>
  <c r="E203" i="3"/>
  <c r="D203" i="3"/>
  <c r="C203" i="3"/>
  <c r="A203" i="3"/>
  <c r="B203" i="3" s="1"/>
  <c r="F202" i="3"/>
  <c r="E202" i="3"/>
  <c r="D202" i="3"/>
  <c r="C202" i="3"/>
  <c r="A202" i="3"/>
  <c r="B202" i="3" s="1"/>
  <c r="F201" i="3"/>
  <c r="E201" i="3"/>
  <c r="D201" i="3"/>
  <c r="C201" i="3"/>
  <c r="A201" i="3"/>
  <c r="B201" i="3" s="1"/>
  <c r="F200" i="3"/>
  <c r="E200" i="3"/>
  <c r="D200" i="3"/>
  <c r="C200" i="3"/>
  <c r="A200" i="3"/>
  <c r="B200" i="3" s="1"/>
  <c r="F199" i="3"/>
  <c r="E199" i="3"/>
  <c r="D199" i="3"/>
  <c r="C199" i="3"/>
  <c r="A199" i="3"/>
  <c r="B199" i="3" s="1"/>
  <c r="F198" i="3"/>
  <c r="E198" i="3"/>
  <c r="D198" i="3"/>
  <c r="C198" i="3"/>
  <c r="A198" i="3"/>
  <c r="B198" i="3" s="1"/>
  <c r="F197" i="3"/>
  <c r="E197" i="3"/>
  <c r="D197" i="3"/>
  <c r="C197" i="3"/>
  <c r="A197" i="3"/>
  <c r="B197" i="3" s="1"/>
  <c r="F196" i="3"/>
  <c r="E196" i="3"/>
  <c r="D196" i="3"/>
  <c r="C196" i="3"/>
  <c r="A196" i="3"/>
  <c r="B196" i="3" s="1"/>
  <c r="F195" i="3"/>
  <c r="E195" i="3"/>
  <c r="D195" i="3"/>
  <c r="C195" i="3"/>
  <c r="A195" i="3"/>
  <c r="B195" i="3" s="1"/>
  <c r="F194" i="3"/>
  <c r="E194" i="3"/>
  <c r="D194" i="3"/>
  <c r="C194" i="3"/>
  <c r="A194" i="3"/>
  <c r="B194" i="3" s="1"/>
  <c r="F193" i="3"/>
  <c r="E193" i="3"/>
  <c r="D193" i="3"/>
  <c r="C193" i="3"/>
  <c r="A193" i="3"/>
  <c r="B193" i="3" s="1"/>
  <c r="F192" i="3"/>
  <c r="E192" i="3"/>
  <c r="D192" i="3"/>
  <c r="C192" i="3"/>
  <c r="A192" i="3"/>
  <c r="B192" i="3" s="1"/>
  <c r="F191" i="3"/>
  <c r="E191" i="3"/>
  <c r="D191" i="3"/>
  <c r="C191" i="3"/>
  <c r="A191" i="3"/>
  <c r="B191" i="3" s="1"/>
  <c r="F190" i="3"/>
  <c r="E190" i="3"/>
  <c r="D190" i="3"/>
  <c r="C190" i="3"/>
  <c r="A190" i="3"/>
  <c r="B190" i="3" s="1"/>
  <c r="F189" i="3"/>
  <c r="E189" i="3"/>
  <c r="D189" i="3"/>
  <c r="C189" i="3"/>
  <c r="A189" i="3"/>
  <c r="B189" i="3" s="1"/>
  <c r="F188" i="3"/>
  <c r="E188" i="3"/>
  <c r="D188" i="3"/>
  <c r="C188" i="3"/>
  <c r="A188" i="3"/>
  <c r="B188" i="3" s="1"/>
  <c r="F187" i="3"/>
  <c r="E187" i="3"/>
  <c r="D187" i="3"/>
  <c r="C187" i="3"/>
  <c r="A187" i="3"/>
  <c r="B187" i="3" s="1"/>
  <c r="F186" i="3"/>
  <c r="E186" i="3"/>
  <c r="D186" i="3"/>
  <c r="C186" i="3"/>
  <c r="A186" i="3"/>
  <c r="B186" i="3" s="1"/>
  <c r="F185" i="3"/>
  <c r="E185" i="3"/>
  <c r="D185" i="3"/>
  <c r="C185" i="3"/>
  <c r="A185" i="3"/>
  <c r="B185" i="3" s="1"/>
  <c r="F184" i="3"/>
  <c r="E184" i="3"/>
  <c r="D184" i="3"/>
  <c r="C184" i="3"/>
  <c r="A184" i="3"/>
  <c r="B184" i="3" s="1"/>
  <c r="F183" i="3"/>
  <c r="E183" i="3"/>
  <c r="D183" i="3"/>
  <c r="C183" i="3"/>
  <c r="A183" i="3"/>
  <c r="B183" i="3" s="1"/>
  <c r="F182" i="3"/>
  <c r="E182" i="3"/>
  <c r="D182" i="3"/>
  <c r="C182" i="3"/>
  <c r="A182" i="3"/>
  <c r="B182" i="3" s="1"/>
  <c r="F181" i="3"/>
  <c r="E181" i="3"/>
  <c r="D181" i="3"/>
  <c r="C181" i="3"/>
  <c r="A181" i="3"/>
  <c r="B181" i="3" s="1"/>
  <c r="F180" i="3"/>
  <c r="E180" i="3"/>
  <c r="D180" i="3"/>
  <c r="C180" i="3"/>
  <c r="A180" i="3"/>
  <c r="B180" i="3" s="1"/>
  <c r="F179" i="3"/>
  <c r="E179" i="3"/>
  <c r="D179" i="3"/>
  <c r="C179" i="3"/>
  <c r="A179" i="3"/>
  <c r="B179" i="3" s="1"/>
  <c r="F178" i="3"/>
  <c r="E178" i="3"/>
  <c r="D178" i="3"/>
  <c r="C178" i="3"/>
  <c r="A178" i="3"/>
  <c r="B178" i="3" s="1"/>
  <c r="F177" i="3"/>
  <c r="E177" i="3"/>
  <c r="D177" i="3"/>
  <c r="C177" i="3"/>
  <c r="A177" i="3"/>
  <c r="B177" i="3" s="1"/>
  <c r="F176" i="3"/>
  <c r="E176" i="3"/>
  <c r="D176" i="3"/>
  <c r="C176" i="3"/>
  <c r="A176" i="3"/>
  <c r="B176" i="3" s="1"/>
  <c r="F175" i="3"/>
  <c r="E175" i="3"/>
  <c r="D175" i="3"/>
  <c r="C175" i="3"/>
  <c r="A175" i="3"/>
  <c r="B175" i="3" s="1"/>
  <c r="F174" i="3"/>
  <c r="E174" i="3"/>
  <c r="D174" i="3"/>
  <c r="C174" i="3"/>
  <c r="A174" i="3"/>
  <c r="B174" i="3" s="1"/>
  <c r="F173" i="3"/>
  <c r="E173" i="3"/>
  <c r="D173" i="3"/>
  <c r="C173" i="3"/>
  <c r="A173" i="3"/>
  <c r="B173" i="3" s="1"/>
  <c r="F172" i="3"/>
  <c r="E172" i="3"/>
  <c r="D172" i="3"/>
  <c r="C172" i="3"/>
  <c r="A172" i="3"/>
  <c r="B172" i="3" s="1"/>
  <c r="F171" i="3"/>
  <c r="E171" i="3"/>
  <c r="D171" i="3"/>
  <c r="C171" i="3"/>
  <c r="A171" i="3"/>
  <c r="B171" i="3" s="1"/>
  <c r="F170" i="3"/>
  <c r="E170" i="3"/>
  <c r="D170" i="3"/>
  <c r="C170" i="3"/>
  <c r="A170" i="3"/>
  <c r="B170" i="3" s="1"/>
  <c r="F169" i="3"/>
  <c r="E169" i="3"/>
  <c r="D169" i="3"/>
  <c r="C169" i="3"/>
  <c r="A169" i="3"/>
  <c r="B169" i="3" s="1"/>
  <c r="F168" i="3"/>
  <c r="E168" i="3"/>
  <c r="D168" i="3"/>
  <c r="C168" i="3"/>
  <c r="A168" i="3"/>
  <c r="B168" i="3" s="1"/>
  <c r="F167" i="3"/>
  <c r="E167" i="3"/>
  <c r="D167" i="3"/>
  <c r="C167" i="3"/>
  <c r="A167" i="3"/>
  <c r="B167" i="3" s="1"/>
  <c r="F166" i="3"/>
  <c r="E166" i="3"/>
  <c r="D166" i="3"/>
  <c r="C166" i="3"/>
  <c r="A166" i="3"/>
  <c r="B166" i="3" s="1"/>
  <c r="F165" i="3"/>
  <c r="E165" i="3"/>
  <c r="D165" i="3"/>
  <c r="C165" i="3"/>
  <c r="A165" i="3"/>
  <c r="B165" i="3" s="1"/>
  <c r="F164" i="3"/>
  <c r="E164" i="3"/>
  <c r="D164" i="3"/>
  <c r="C164" i="3"/>
  <c r="A164" i="3"/>
  <c r="B164" i="3" s="1"/>
  <c r="F163" i="3"/>
  <c r="E163" i="3"/>
  <c r="D163" i="3"/>
  <c r="C163" i="3"/>
  <c r="A163" i="3"/>
  <c r="B163" i="3" s="1"/>
  <c r="F162" i="3"/>
  <c r="E162" i="3"/>
  <c r="D162" i="3"/>
  <c r="C162" i="3"/>
  <c r="A162" i="3"/>
  <c r="B162" i="3" s="1"/>
  <c r="F161" i="3"/>
  <c r="E161" i="3"/>
  <c r="D161" i="3"/>
  <c r="C161" i="3"/>
  <c r="A161" i="3"/>
  <c r="B161" i="3" s="1"/>
  <c r="F160" i="3"/>
  <c r="E160" i="3"/>
  <c r="D160" i="3"/>
  <c r="C160" i="3"/>
  <c r="A160" i="3"/>
  <c r="B160" i="3" s="1"/>
  <c r="F159" i="3"/>
  <c r="E159" i="3"/>
  <c r="D159" i="3"/>
  <c r="C159" i="3"/>
  <c r="A159" i="3"/>
  <c r="B159" i="3" s="1"/>
  <c r="F158" i="3"/>
  <c r="E158" i="3"/>
  <c r="D158" i="3"/>
  <c r="C158" i="3"/>
  <c r="A158" i="3"/>
  <c r="B158" i="3" s="1"/>
  <c r="F157" i="3"/>
  <c r="E157" i="3"/>
  <c r="D157" i="3"/>
  <c r="C157" i="3"/>
  <c r="A157" i="3"/>
  <c r="B157" i="3" s="1"/>
  <c r="F156" i="3"/>
  <c r="E156" i="3"/>
  <c r="D156" i="3"/>
  <c r="C156" i="3"/>
  <c r="A156" i="3"/>
  <c r="B156" i="3" s="1"/>
  <c r="F155" i="3"/>
  <c r="E155" i="3"/>
  <c r="D155" i="3"/>
  <c r="C155" i="3"/>
  <c r="A155" i="3"/>
  <c r="B155" i="3" s="1"/>
  <c r="F154" i="3"/>
  <c r="E154" i="3"/>
  <c r="D154" i="3"/>
  <c r="C154" i="3"/>
  <c r="A154" i="3"/>
  <c r="B154" i="3" s="1"/>
  <c r="F153" i="3"/>
  <c r="E153" i="3"/>
  <c r="D153" i="3"/>
  <c r="C153" i="3"/>
  <c r="A153" i="3"/>
  <c r="B153" i="3" s="1"/>
  <c r="F152" i="3"/>
  <c r="E152" i="3"/>
  <c r="D152" i="3"/>
  <c r="C152" i="3"/>
  <c r="A152" i="3"/>
  <c r="B152" i="3" s="1"/>
  <c r="F151" i="3"/>
  <c r="E151" i="3"/>
  <c r="D151" i="3"/>
  <c r="C151" i="3"/>
  <c r="A151" i="3"/>
  <c r="B151" i="3" s="1"/>
  <c r="F150" i="3"/>
  <c r="E150" i="3"/>
  <c r="D150" i="3"/>
  <c r="C150" i="3"/>
  <c r="A150" i="3"/>
  <c r="B150" i="3" s="1"/>
  <c r="F149" i="3"/>
  <c r="E149" i="3"/>
  <c r="D149" i="3"/>
  <c r="C149" i="3"/>
  <c r="A149" i="3"/>
  <c r="B149" i="3" s="1"/>
  <c r="F148" i="3"/>
  <c r="E148" i="3"/>
  <c r="D148" i="3"/>
  <c r="C148" i="3"/>
  <c r="A148" i="3"/>
  <c r="B148" i="3" s="1"/>
  <c r="F147" i="3"/>
  <c r="E147" i="3"/>
  <c r="D147" i="3"/>
  <c r="C147" i="3"/>
  <c r="A147" i="3"/>
  <c r="B147" i="3" s="1"/>
  <c r="F146" i="3"/>
  <c r="E146" i="3"/>
  <c r="D146" i="3"/>
  <c r="C146" i="3"/>
  <c r="A146" i="3"/>
  <c r="B146" i="3" s="1"/>
  <c r="F145" i="3"/>
  <c r="E145" i="3"/>
  <c r="D145" i="3"/>
  <c r="C145" i="3"/>
  <c r="A145" i="3"/>
  <c r="B145" i="3" s="1"/>
  <c r="F144" i="3"/>
  <c r="E144" i="3"/>
  <c r="D144" i="3"/>
  <c r="C144" i="3"/>
  <c r="A144" i="3"/>
  <c r="B144" i="3" s="1"/>
  <c r="F143" i="3"/>
  <c r="E143" i="3"/>
  <c r="D143" i="3"/>
  <c r="C143" i="3"/>
  <c r="A143" i="3"/>
  <c r="B143" i="3" s="1"/>
  <c r="F142" i="3"/>
  <c r="E142" i="3"/>
  <c r="D142" i="3"/>
  <c r="C142" i="3"/>
  <c r="A142" i="3"/>
  <c r="B142" i="3" s="1"/>
  <c r="F141" i="3"/>
  <c r="E141" i="3"/>
  <c r="D141" i="3"/>
  <c r="C141" i="3"/>
  <c r="A141" i="3"/>
  <c r="B141" i="3" s="1"/>
  <c r="F140" i="3"/>
  <c r="E140" i="3"/>
  <c r="D140" i="3"/>
  <c r="C140" i="3"/>
  <c r="A140" i="3"/>
  <c r="B140" i="3" s="1"/>
  <c r="F139" i="3"/>
  <c r="E139" i="3"/>
  <c r="D139" i="3"/>
  <c r="C139" i="3"/>
  <c r="A139" i="3"/>
  <c r="B139" i="3" s="1"/>
  <c r="F138" i="3"/>
  <c r="E138" i="3"/>
  <c r="D138" i="3"/>
  <c r="C138" i="3"/>
  <c r="A138" i="3"/>
  <c r="B138" i="3" s="1"/>
  <c r="F137" i="3"/>
  <c r="E137" i="3"/>
  <c r="D137" i="3"/>
  <c r="C137" i="3"/>
  <c r="A137" i="3"/>
  <c r="B137" i="3" s="1"/>
  <c r="F136" i="3"/>
  <c r="E136" i="3"/>
  <c r="D136" i="3"/>
  <c r="C136" i="3"/>
  <c r="A136" i="3"/>
  <c r="B136" i="3" s="1"/>
  <c r="F135" i="3"/>
  <c r="E135" i="3"/>
  <c r="D135" i="3"/>
  <c r="C135" i="3"/>
  <c r="A135" i="3"/>
  <c r="B135" i="3" s="1"/>
  <c r="F134" i="3"/>
  <c r="E134" i="3"/>
  <c r="D134" i="3"/>
  <c r="C134" i="3"/>
  <c r="A134" i="3"/>
  <c r="B134" i="3" s="1"/>
  <c r="F133" i="3"/>
  <c r="E133" i="3"/>
  <c r="D133" i="3"/>
  <c r="C133" i="3"/>
  <c r="A133" i="3"/>
  <c r="B133" i="3" s="1"/>
  <c r="F132" i="3"/>
  <c r="E132" i="3"/>
  <c r="D132" i="3"/>
  <c r="C132" i="3"/>
  <c r="A132" i="3"/>
  <c r="B132" i="3" s="1"/>
  <c r="F131" i="3"/>
  <c r="E131" i="3"/>
  <c r="D131" i="3"/>
  <c r="C131" i="3"/>
  <c r="A131" i="3"/>
  <c r="B131" i="3" s="1"/>
  <c r="F130" i="3"/>
  <c r="E130" i="3"/>
  <c r="D130" i="3"/>
  <c r="C130" i="3"/>
  <c r="A130" i="3"/>
  <c r="B130" i="3" s="1"/>
  <c r="F129" i="3"/>
  <c r="E129" i="3"/>
  <c r="D129" i="3"/>
  <c r="C129" i="3"/>
  <c r="A129" i="3"/>
  <c r="B129" i="3" s="1"/>
  <c r="F128" i="3"/>
  <c r="E128" i="3"/>
  <c r="D128" i="3"/>
  <c r="C128" i="3"/>
  <c r="A128" i="3"/>
  <c r="B128" i="3" s="1"/>
  <c r="F127" i="3"/>
  <c r="E127" i="3"/>
  <c r="D127" i="3"/>
  <c r="C127" i="3"/>
  <c r="A127" i="3"/>
  <c r="B127" i="3" s="1"/>
  <c r="F126" i="3"/>
  <c r="E126" i="3"/>
  <c r="D126" i="3"/>
  <c r="C126" i="3"/>
  <c r="A126" i="3"/>
  <c r="B126" i="3" s="1"/>
  <c r="F125" i="3"/>
  <c r="E125" i="3"/>
  <c r="D125" i="3"/>
  <c r="C125" i="3"/>
  <c r="A125" i="3"/>
  <c r="B125" i="3" s="1"/>
  <c r="F124" i="3"/>
  <c r="E124" i="3"/>
  <c r="D124" i="3"/>
  <c r="C124" i="3"/>
  <c r="A124" i="3"/>
  <c r="B124" i="3" s="1"/>
  <c r="F123" i="3"/>
  <c r="E123" i="3"/>
  <c r="D123" i="3"/>
  <c r="C123" i="3"/>
  <c r="A123" i="3"/>
  <c r="B123" i="3" s="1"/>
  <c r="F122" i="3"/>
  <c r="E122" i="3"/>
  <c r="D122" i="3"/>
  <c r="C122" i="3"/>
  <c r="A122" i="3"/>
  <c r="B122" i="3" s="1"/>
  <c r="F121" i="3"/>
  <c r="E121" i="3"/>
  <c r="D121" i="3"/>
  <c r="C121" i="3"/>
  <c r="A121" i="3"/>
  <c r="B121" i="3" s="1"/>
  <c r="F120" i="3"/>
  <c r="E120" i="3"/>
  <c r="D120" i="3"/>
  <c r="C120" i="3"/>
  <c r="A120" i="3"/>
  <c r="B120" i="3" s="1"/>
  <c r="F119" i="3"/>
  <c r="E119" i="3"/>
  <c r="D119" i="3"/>
  <c r="C119" i="3"/>
  <c r="A119" i="3"/>
  <c r="B119" i="3" s="1"/>
  <c r="F118" i="3"/>
  <c r="E118" i="3"/>
  <c r="D118" i="3"/>
  <c r="C118" i="3"/>
  <c r="A118" i="3"/>
  <c r="B118" i="3" s="1"/>
  <c r="F117" i="3"/>
  <c r="E117" i="3"/>
  <c r="D117" i="3"/>
  <c r="C117" i="3"/>
  <c r="A117" i="3"/>
  <c r="B117" i="3" s="1"/>
  <c r="F116" i="3"/>
  <c r="E116" i="3"/>
  <c r="D116" i="3"/>
  <c r="C116" i="3"/>
  <c r="A116" i="3"/>
  <c r="B116" i="3" s="1"/>
  <c r="F115" i="3"/>
  <c r="E115" i="3"/>
  <c r="D115" i="3"/>
  <c r="C115" i="3"/>
  <c r="A115" i="3"/>
  <c r="B115" i="3" s="1"/>
  <c r="F114" i="3"/>
  <c r="E114" i="3"/>
  <c r="D114" i="3"/>
  <c r="C114" i="3"/>
  <c r="A114" i="3"/>
  <c r="B114" i="3" s="1"/>
  <c r="F113" i="3"/>
  <c r="E113" i="3"/>
  <c r="D113" i="3"/>
  <c r="C113" i="3"/>
  <c r="A113" i="3"/>
  <c r="B113" i="3" s="1"/>
  <c r="F112" i="3"/>
  <c r="E112" i="3"/>
  <c r="D112" i="3"/>
  <c r="C112" i="3"/>
  <c r="A112" i="3"/>
  <c r="B112" i="3" s="1"/>
  <c r="F111" i="3"/>
  <c r="E111" i="3"/>
  <c r="D111" i="3"/>
  <c r="C111" i="3"/>
  <c r="A111" i="3"/>
  <c r="B111" i="3" s="1"/>
  <c r="F110" i="3"/>
  <c r="E110" i="3"/>
  <c r="D110" i="3"/>
  <c r="C110" i="3"/>
  <c r="A110" i="3"/>
  <c r="B110" i="3" s="1"/>
  <c r="F109" i="3"/>
  <c r="E109" i="3"/>
  <c r="D109" i="3"/>
  <c r="C109" i="3"/>
  <c r="A109" i="3"/>
  <c r="B109" i="3" s="1"/>
  <c r="F108" i="3"/>
  <c r="E108" i="3"/>
  <c r="D108" i="3"/>
  <c r="C108" i="3"/>
  <c r="A108" i="3"/>
  <c r="B108" i="3" s="1"/>
  <c r="F107" i="3"/>
  <c r="E107" i="3"/>
  <c r="D107" i="3"/>
  <c r="C107" i="3"/>
  <c r="A107" i="3"/>
  <c r="B107" i="3" s="1"/>
  <c r="F106" i="3"/>
  <c r="E106" i="3"/>
  <c r="D106" i="3"/>
  <c r="C106" i="3"/>
  <c r="A106" i="3"/>
  <c r="B106" i="3" s="1"/>
  <c r="F105" i="3"/>
  <c r="E105" i="3"/>
  <c r="D105" i="3"/>
  <c r="C105" i="3"/>
  <c r="A105" i="3"/>
  <c r="B105" i="3" s="1"/>
  <c r="F104" i="3"/>
  <c r="E104" i="3"/>
  <c r="D104" i="3"/>
  <c r="C104" i="3"/>
  <c r="A104" i="3"/>
  <c r="B104" i="3" s="1"/>
  <c r="F103" i="3"/>
  <c r="E103" i="3"/>
  <c r="D103" i="3"/>
  <c r="C103" i="3"/>
  <c r="A103" i="3"/>
  <c r="B103" i="3" s="1"/>
  <c r="F102" i="3"/>
  <c r="E102" i="3"/>
  <c r="D102" i="3"/>
  <c r="C102" i="3"/>
  <c r="A102" i="3"/>
  <c r="B102" i="3" s="1"/>
  <c r="F101" i="3"/>
  <c r="E101" i="3"/>
  <c r="D101" i="3"/>
  <c r="C101" i="3"/>
  <c r="A101" i="3"/>
  <c r="B101" i="3" s="1"/>
  <c r="F100" i="3"/>
  <c r="E100" i="3"/>
  <c r="D100" i="3"/>
  <c r="C100" i="3"/>
  <c r="A100" i="3"/>
  <c r="B100" i="3" s="1"/>
  <c r="F99" i="3"/>
  <c r="E99" i="3"/>
  <c r="D99" i="3"/>
  <c r="C99" i="3"/>
  <c r="A99" i="3"/>
  <c r="B99" i="3" s="1"/>
  <c r="F98" i="3"/>
  <c r="E98" i="3"/>
  <c r="D98" i="3"/>
  <c r="C98" i="3"/>
  <c r="A98" i="3"/>
  <c r="B98" i="3" s="1"/>
  <c r="F97" i="3"/>
  <c r="E97" i="3"/>
  <c r="D97" i="3"/>
  <c r="C97" i="3"/>
  <c r="A97" i="3"/>
  <c r="B97" i="3" s="1"/>
  <c r="F96" i="3"/>
  <c r="E96" i="3"/>
  <c r="D96" i="3"/>
  <c r="C96" i="3"/>
  <c r="A96" i="3"/>
  <c r="B96" i="3" s="1"/>
  <c r="F95" i="3"/>
  <c r="E95" i="3"/>
  <c r="D95" i="3"/>
  <c r="C95" i="3"/>
  <c r="A95" i="3"/>
  <c r="B95" i="3" s="1"/>
  <c r="F94" i="3"/>
  <c r="E94" i="3"/>
  <c r="D94" i="3"/>
  <c r="C94" i="3"/>
  <c r="A94" i="3"/>
  <c r="B94" i="3" s="1"/>
  <c r="F93" i="3"/>
  <c r="E93" i="3"/>
  <c r="D93" i="3"/>
  <c r="C93" i="3"/>
  <c r="A93" i="3"/>
  <c r="B93" i="3" s="1"/>
  <c r="F92" i="3"/>
  <c r="E92" i="3"/>
  <c r="D92" i="3"/>
  <c r="C92" i="3"/>
  <c r="A92" i="3"/>
  <c r="B92" i="3" s="1"/>
  <c r="F91" i="3"/>
  <c r="E91" i="3"/>
  <c r="D91" i="3"/>
  <c r="C91" i="3"/>
  <c r="A91" i="3"/>
  <c r="B91" i="3" s="1"/>
  <c r="F90" i="3"/>
  <c r="E90" i="3"/>
  <c r="D90" i="3"/>
  <c r="C90" i="3"/>
  <c r="A90" i="3"/>
  <c r="B90" i="3" s="1"/>
  <c r="F89" i="3"/>
  <c r="E89" i="3"/>
  <c r="D89" i="3"/>
  <c r="C89" i="3"/>
  <c r="A89" i="3"/>
  <c r="B89" i="3" s="1"/>
  <c r="F88" i="3"/>
  <c r="E88" i="3"/>
  <c r="D88" i="3"/>
  <c r="C88" i="3"/>
  <c r="A88" i="3"/>
  <c r="B88" i="3" s="1"/>
  <c r="F87" i="3"/>
  <c r="E87" i="3"/>
  <c r="D87" i="3"/>
  <c r="C87" i="3"/>
  <c r="A87" i="3"/>
  <c r="B87" i="3" s="1"/>
  <c r="F86" i="3"/>
  <c r="E86" i="3"/>
  <c r="D86" i="3"/>
  <c r="C86" i="3"/>
  <c r="A86" i="3"/>
  <c r="B86" i="3" s="1"/>
  <c r="F85" i="3"/>
  <c r="E85" i="3"/>
  <c r="D85" i="3"/>
  <c r="C85" i="3"/>
  <c r="A85" i="3"/>
  <c r="B85" i="3" s="1"/>
  <c r="F84" i="3"/>
  <c r="E84" i="3"/>
  <c r="D84" i="3"/>
  <c r="C84" i="3"/>
  <c r="A84" i="3"/>
  <c r="B84" i="3" s="1"/>
  <c r="F83" i="3"/>
  <c r="E83" i="3"/>
  <c r="D83" i="3"/>
  <c r="C83" i="3"/>
  <c r="A83" i="3"/>
  <c r="B83" i="3" s="1"/>
  <c r="F82" i="3"/>
  <c r="E82" i="3"/>
  <c r="D82" i="3"/>
  <c r="C82" i="3"/>
  <c r="A82" i="3"/>
  <c r="B82" i="3" s="1"/>
  <c r="F81" i="3"/>
  <c r="E81" i="3"/>
  <c r="D81" i="3"/>
  <c r="C81" i="3"/>
  <c r="A81" i="3"/>
  <c r="B81" i="3" s="1"/>
  <c r="F80" i="3"/>
  <c r="E80" i="3"/>
  <c r="D80" i="3"/>
  <c r="C80" i="3"/>
  <c r="A80" i="3"/>
  <c r="B80" i="3" s="1"/>
  <c r="F79" i="3"/>
  <c r="E79" i="3"/>
  <c r="D79" i="3"/>
  <c r="C79" i="3"/>
  <c r="A79" i="3"/>
  <c r="B79" i="3" s="1"/>
  <c r="F78" i="3"/>
  <c r="E78" i="3"/>
  <c r="D78" i="3"/>
  <c r="C78" i="3"/>
  <c r="A78" i="3"/>
  <c r="B78" i="3" s="1"/>
  <c r="F77" i="3"/>
  <c r="E77" i="3"/>
  <c r="D77" i="3"/>
  <c r="C77" i="3"/>
  <c r="A77" i="3"/>
  <c r="B77" i="3" s="1"/>
  <c r="F76" i="3"/>
  <c r="E76" i="3"/>
  <c r="D76" i="3"/>
  <c r="C76" i="3"/>
  <c r="A76" i="3"/>
  <c r="B76" i="3" s="1"/>
  <c r="F75" i="3"/>
  <c r="E75" i="3"/>
  <c r="D75" i="3"/>
  <c r="C75" i="3"/>
  <c r="A75" i="3"/>
  <c r="B75" i="3" s="1"/>
  <c r="F74" i="3"/>
  <c r="E74" i="3"/>
  <c r="D74" i="3"/>
  <c r="C74" i="3"/>
  <c r="A74" i="3"/>
  <c r="B74" i="3" s="1"/>
  <c r="F73" i="3"/>
  <c r="E73" i="3"/>
  <c r="D73" i="3"/>
  <c r="C73" i="3"/>
  <c r="A73" i="3"/>
  <c r="B73" i="3" s="1"/>
  <c r="F72" i="3"/>
  <c r="E72" i="3"/>
  <c r="D72" i="3"/>
  <c r="C72" i="3"/>
  <c r="A72" i="3"/>
  <c r="B72" i="3" s="1"/>
  <c r="F71" i="3"/>
  <c r="E71" i="3"/>
  <c r="D71" i="3"/>
  <c r="C71" i="3"/>
  <c r="A71" i="3"/>
  <c r="B71" i="3" s="1"/>
  <c r="F70" i="3"/>
  <c r="E70" i="3"/>
  <c r="D70" i="3"/>
  <c r="C70" i="3"/>
  <c r="A70" i="3"/>
  <c r="B70" i="3" s="1"/>
  <c r="F69" i="3"/>
  <c r="E69" i="3"/>
  <c r="D69" i="3"/>
  <c r="C69" i="3"/>
  <c r="A69" i="3"/>
  <c r="B69" i="3" s="1"/>
  <c r="F68" i="3"/>
  <c r="E68" i="3"/>
  <c r="D68" i="3"/>
  <c r="C68" i="3"/>
  <c r="A68" i="3"/>
  <c r="B68" i="3" s="1"/>
  <c r="F67" i="3"/>
  <c r="E67" i="3"/>
  <c r="D67" i="3"/>
  <c r="C67" i="3"/>
  <c r="A67" i="3"/>
  <c r="B67" i="3" s="1"/>
  <c r="F66" i="3"/>
  <c r="E66" i="3"/>
  <c r="D66" i="3"/>
  <c r="C66" i="3"/>
  <c r="A66" i="3"/>
  <c r="B66" i="3" s="1"/>
  <c r="F65" i="3"/>
  <c r="E65" i="3"/>
  <c r="D65" i="3"/>
  <c r="C65" i="3"/>
  <c r="A65" i="3"/>
  <c r="B65" i="3" s="1"/>
  <c r="F64" i="3"/>
  <c r="E64" i="3"/>
  <c r="D64" i="3"/>
  <c r="C64" i="3"/>
  <c r="A64" i="3"/>
  <c r="B64" i="3" s="1"/>
  <c r="F63" i="3"/>
  <c r="E63" i="3"/>
  <c r="D63" i="3"/>
  <c r="C63" i="3"/>
  <c r="A63" i="3"/>
  <c r="B63" i="3" s="1"/>
  <c r="F62" i="3"/>
  <c r="E62" i="3"/>
  <c r="D62" i="3"/>
  <c r="C62" i="3"/>
  <c r="A62" i="3"/>
  <c r="B62" i="3" s="1"/>
  <c r="F61" i="3"/>
  <c r="E61" i="3"/>
  <c r="D61" i="3"/>
  <c r="C61" i="3"/>
  <c r="A61" i="3"/>
  <c r="B61" i="3" s="1"/>
  <c r="F60" i="3"/>
  <c r="E60" i="3"/>
  <c r="D60" i="3"/>
  <c r="C60" i="3"/>
  <c r="A60" i="3"/>
  <c r="B60" i="3" s="1"/>
  <c r="F59" i="3"/>
  <c r="E59" i="3"/>
  <c r="D59" i="3"/>
  <c r="C59" i="3"/>
  <c r="A59" i="3"/>
  <c r="B59" i="3" s="1"/>
  <c r="F58" i="3"/>
  <c r="E58" i="3"/>
  <c r="D58" i="3"/>
  <c r="C58" i="3"/>
  <c r="A58" i="3"/>
  <c r="B58" i="3" s="1"/>
  <c r="F57" i="3"/>
  <c r="E57" i="3"/>
  <c r="D57" i="3"/>
  <c r="C57" i="3"/>
  <c r="A57" i="3"/>
  <c r="B57" i="3" s="1"/>
  <c r="F56" i="3"/>
  <c r="E56" i="3"/>
  <c r="D56" i="3"/>
  <c r="C56" i="3"/>
  <c r="A56" i="3"/>
  <c r="B56" i="3" s="1"/>
  <c r="F55" i="3"/>
  <c r="E55" i="3"/>
  <c r="D55" i="3"/>
  <c r="C55" i="3"/>
  <c r="A55" i="3"/>
  <c r="B55" i="3" s="1"/>
  <c r="F54" i="3"/>
  <c r="E54" i="3"/>
  <c r="D54" i="3"/>
  <c r="C54" i="3"/>
  <c r="A54" i="3"/>
  <c r="B54" i="3" s="1"/>
  <c r="F53" i="3"/>
  <c r="E53" i="3"/>
  <c r="D53" i="3"/>
  <c r="C53" i="3"/>
  <c r="A53" i="3"/>
  <c r="B53" i="3" s="1"/>
  <c r="F52" i="3"/>
  <c r="E52" i="3"/>
  <c r="D52" i="3"/>
  <c r="C52" i="3"/>
  <c r="A52" i="3"/>
  <c r="B52" i="3" s="1"/>
  <c r="F51" i="3"/>
  <c r="E51" i="3"/>
  <c r="D51" i="3"/>
  <c r="C51" i="3"/>
  <c r="A51" i="3"/>
  <c r="B51" i="3" s="1"/>
  <c r="F50" i="3"/>
  <c r="E50" i="3"/>
  <c r="D50" i="3"/>
  <c r="C50" i="3"/>
  <c r="A50" i="3"/>
  <c r="B50" i="3" s="1"/>
  <c r="F49" i="3"/>
  <c r="E49" i="3"/>
  <c r="D49" i="3"/>
  <c r="C49" i="3"/>
  <c r="A49" i="3"/>
  <c r="B49" i="3" s="1"/>
  <c r="F48" i="3"/>
  <c r="E48" i="3"/>
  <c r="D48" i="3"/>
  <c r="C48" i="3"/>
  <c r="A48" i="3"/>
  <c r="B48" i="3" s="1"/>
  <c r="F47" i="3"/>
  <c r="E47" i="3"/>
  <c r="D47" i="3"/>
  <c r="C47" i="3"/>
  <c r="A47" i="3"/>
  <c r="B47" i="3" s="1"/>
  <c r="F46" i="3"/>
  <c r="E46" i="3"/>
  <c r="D46" i="3"/>
  <c r="C46" i="3"/>
  <c r="A46" i="3"/>
  <c r="B46" i="3" s="1"/>
  <c r="F45" i="3"/>
  <c r="E45" i="3"/>
  <c r="D45" i="3"/>
  <c r="C45" i="3"/>
  <c r="A45" i="3"/>
  <c r="B45" i="3" s="1"/>
  <c r="F44" i="3"/>
  <c r="E44" i="3"/>
  <c r="D44" i="3"/>
  <c r="C44" i="3"/>
  <c r="A44" i="3"/>
  <c r="B44" i="3" s="1"/>
  <c r="F43" i="3"/>
  <c r="E43" i="3"/>
  <c r="D43" i="3"/>
  <c r="C43" i="3"/>
  <c r="A43" i="3"/>
  <c r="B43" i="3" s="1"/>
  <c r="F42" i="3"/>
  <c r="E42" i="3"/>
  <c r="D42" i="3"/>
  <c r="C42" i="3"/>
  <c r="A42" i="3"/>
  <c r="B42" i="3" s="1"/>
  <c r="F41" i="3"/>
  <c r="E41" i="3"/>
  <c r="D41" i="3"/>
  <c r="C41" i="3"/>
  <c r="A41" i="3"/>
  <c r="B41" i="3" s="1"/>
  <c r="F40" i="3"/>
  <c r="E40" i="3"/>
  <c r="D40" i="3"/>
  <c r="C40" i="3"/>
  <c r="A40" i="3"/>
  <c r="B40" i="3" s="1"/>
  <c r="U39" i="3"/>
  <c r="F39" i="3"/>
  <c r="E39" i="3"/>
  <c r="D39" i="3"/>
  <c r="C39" i="3"/>
  <c r="A39" i="3"/>
  <c r="B39" i="3" s="1"/>
  <c r="U38" i="3"/>
  <c r="F38" i="3"/>
  <c r="E38" i="3"/>
  <c r="D38" i="3"/>
  <c r="C38" i="3"/>
  <c r="A38" i="3"/>
  <c r="B38" i="3" s="1"/>
  <c r="U37" i="3"/>
  <c r="F37" i="3"/>
  <c r="E37" i="3"/>
  <c r="D37" i="3"/>
  <c r="C37" i="3"/>
  <c r="A37" i="3"/>
  <c r="B37" i="3" s="1"/>
  <c r="U36" i="3"/>
  <c r="F36" i="3"/>
  <c r="E36" i="3"/>
  <c r="D36" i="3"/>
  <c r="C36" i="3"/>
  <c r="A36" i="3"/>
  <c r="B36" i="3" s="1"/>
  <c r="U35" i="3"/>
  <c r="F35" i="3"/>
  <c r="E35" i="3"/>
  <c r="D35" i="3"/>
  <c r="C35" i="3"/>
  <c r="A35" i="3"/>
  <c r="B35" i="3" s="1"/>
  <c r="U34" i="3"/>
  <c r="M34" i="3"/>
  <c r="F34" i="3"/>
  <c r="E34" i="3"/>
  <c r="D34" i="3"/>
  <c r="C34" i="3"/>
  <c r="A34" i="3"/>
  <c r="B34" i="3" s="1"/>
  <c r="U33" i="3"/>
  <c r="M33" i="3"/>
  <c r="F33" i="3"/>
  <c r="E33" i="3"/>
  <c r="D33" i="3"/>
  <c r="C33" i="3"/>
  <c r="A33" i="3"/>
  <c r="B33" i="3" s="1"/>
  <c r="U32" i="3"/>
  <c r="M32" i="3"/>
  <c r="F32" i="3"/>
  <c r="E32" i="3"/>
  <c r="D32" i="3"/>
  <c r="C32" i="3"/>
  <c r="A32" i="3"/>
  <c r="B32" i="3" s="1"/>
  <c r="U31" i="3"/>
  <c r="M31" i="3"/>
  <c r="F31" i="3"/>
  <c r="E31" i="3"/>
  <c r="D31" i="3"/>
  <c r="C31" i="3"/>
  <c r="A31" i="3"/>
  <c r="B31" i="3" s="1"/>
  <c r="U30" i="3"/>
  <c r="M30" i="3"/>
  <c r="F30" i="3"/>
  <c r="E30" i="3"/>
  <c r="D30" i="3"/>
  <c r="C30" i="3"/>
  <c r="A30" i="3"/>
  <c r="B30" i="3" s="1"/>
  <c r="U29" i="3"/>
  <c r="M29" i="3"/>
  <c r="F29" i="3"/>
  <c r="E29" i="3"/>
  <c r="D29" i="3"/>
  <c r="C29" i="3"/>
  <c r="A29" i="3"/>
  <c r="B29" i="3" s="1"/>
  <c r="U28" i="3"/>
  <c r="M28" i="3"/>
  <c r="F28" i="3"/>
  <c r="E28" i="3"/>
  <c r="D28" i="3"/>
  <c r="C28" i="3"/>
  <c r="A28" i="3"/>
  <c r="B28" i="3" s="1"/>
  <c r="U27" i="3"/>
  <c r="M27" i="3"/>
  <c r="F27" i="3"/>
  <c r="E27" i="3"/>
  <c r="D27" i="3"/>
  <c r="C27" i="3"/>
  <c r="A27" i="3"/>
  <c r="B27" i="3" s="1"/>
  <c r="U26" i="3"/>
  <c r="M26" i="3"/>
  <c r="F26" i="3"/>
  <c r="E26" i="3"/>
  <c r="D26" i="3"/>
  <c r="C26" i="3"/>
  <c r="A26" i="3"/>
  <c r="B26" i="3" s="1"/>
  <c r="U25" i="3"/>
  <c r="M25" i="3"/>
  <c r="F25" i="3"/>
  <c r="E25" i="3"/>
  <c r="D25" i="3"/>
  <c r="C25" i="3"/>
  <c r="A25" i="3"/>
  <c r="B25" i="3" s="1"/>
  <c r="U24" i="3"/>
  <c r="M24" i="3"/>
  <c r="F24" i="3"/>
  <c r="E24" i="3"/>
  <c r="D24" i="3"/>
  <c r="C24" i="3"/>
  <c r="A24" i="3"/>
  <c r="B24" i="3" s="1"/>
  <c r="U23" i="3"/>
  <c r="M23" i="3"/>
  <c r="F23" i="3"/>
  <c r="E23" i="3"/>
  <c r="D23" i="3"/>
  <c r="C23" i="3"/>
  <c r="A23" i="3"/>
  <c r="B23" i="3" s="1"/>
  <c r="U22" i="3"/>
  <c r="M22" i="3"/>
  <c r="F22" i="3"/>
  <c r="E22" i="3"/>
  <c r="D22" i="3"/>
  <c r="C22" i="3"/>
  <c r="A22" i="3"/>
  <c r="B22" i="3" s="1"/>
  <c r="U21" i="3"/>
  <c r="M21" i="3"/>
  <c r="F21" i="3"/>
  <c r="E21" i="3"/>
  <c r="D21" i="3"/>
  <c r="C21" i="3"/>
  <c r="A21" i="3"/>
  <c r="B21" i="3" s="1"/>
  <c r="U20" i="3"/>
  <c r="M20" i="3"/>
  <c r="F20" i="3"/>
  <c r="E20" i="3"/>
  <c r="D20" i="3"/>
  <c r="C20" i="3"/>
  <c r="A20" i="3"/>
  <c r="B20" i="3" s="1"/>
  <c r="U19" i="3"/>
  <c r="M19" i="3"/>
  <c r="F19" i="3"/>
  <c r="E19" i="3"/>
  <c r="D19" i="3"/>
  <c r="C19" i="3"/>
  <c r="A19" i="3"/>
  <c r="B19" i="3" s="1"/>
  <c r="U18" i="3"/>
  <c r="F18" i="3"/>
  <c r="E18" i="3"/>
  <c r="D18" i="3"/>
  <c r="C18" i="3"/>
  <c r="A18" i="3"/>
  <c r="B18" i="3" s="1"/>
  <c r="U17" i="3"/>
  <c r="M17" i="3"/>
  <c r="F17" i="3"/>
  <c r="E17" i="3"/>
  <c r="D17" i="3"/>
  <c r="C17" i="3"/>
  <c r="A17" i="3"/>
  <c r="B17" i="3" s="1"/>
  <c r="U16" i="3"/>
  <c r="M16" i="3"/>
  <c r="F16" i="3"/>
  <c r="E16" i="3"/>
  <c r="D16" i="3"/>
  <c r="C16" i="3"/>
  <c r="A16" i="3"/>
  <c r="B16" i="3" s="1"/>
  <c r="U15" i="3"/>
  <c r="M15" i="3"/>
  <c r="F15" i="3"/>
  <c r="E15" i="3"/>
  <c r="D15" i="3"/>
  <c r="C15" i="3"/>
  <c r="A15" i="3"/>
  <c r="B15" i="3" s="1"/>
  <c r="U14" i="3"/>
  <c r="M14" i="3"/>
  <c r="F14" i="3"/>
  <c r="E14" i="3"/>
  <c r="D14" i="3"/>
  <c r="C14" i="3"/>
  <c r="A14" i="3"/>
  <c r="B14" i="3" s="1"/>
  <c r="U13" i="3"/>
  <c r="M13" i="3"/>
  <c r="F13" i="3"/>
  <c r="E13" i="3"/>
  <c r="D13" i="3"/>
  <c r="C13" i="3"/>
  <c r="A13" i="3"/>
  <c r="B13" i="3" s="1"/>
  <c r="U12" i="3"/>
  <c r="M12" i="3"/>
  <c r="F12" i="3"/>
  <c r="E12" i="3"/>
  <c r="D12" i="3"/>
  <c r="C12" i="3"/>
  <c r="A12" i="3"/>
  <c r="B12" i="3" s="1"/>
  <c r="U11" i="3"/>
  <c r="M11" i="3"/>
  <c r="F11" i="3"/>
  <c r="E11" i="3"/>
  <c r="D11" i="3"/>
  <c r="C11" i="3"/>
  <c r="A11" i="3"/>
  <c r="B11" i="3" s="1"/>
  <c r="U10" i="3"/>
  <c r="M10" i="3"/>
  <c r="F10" i="3"/>
  <c r="E10" i="3"/>
  <c r="D10" i="3"/>
  <c r="C10" i="3"/>
  <c r="A10" i="3"/>
  <c r="B10" i="3" s="1"/>
  <c r="U9" i="3"/>
  <c r="M9" i="3"/>
  <c r="F9" i="3"/>
  <c r="E9" i="3"/>
  <c r="D9" i="3"/>
  <c r="C9" i="3"/>
  <c r="A9" i="3"/>
  <c r="B9" i="3" s="1"/>
  <c r="U8" i="3"/>
  <c r="M8" i="3"/>
  <c r="F8" i="3"/>
  <c r="E8" i="3"/>
  <c r="D8" i="3"/>
  <c r="C8" i="3"/>
  <c r="A8" i="3"/>
  <c r="B8" i="3" s="1"/>
  <c r="U7" i="3"/>
  <c r="M7" i="3"/>
  <c r="F7" i="3"/>
  <c r="E7" i="3"/>
  <c r="D7" i="3"/>
  <c r="C7" i="3"/>
  <c r="A7" i="3"/>
  <c r="B7" i="3" s="1"/>
  <c r="U6" i="3"/>
  <c r="M6" i="3"/>
  <c r="F6" i="3"/>
  <c r="E6" i="3"/>
  <c r="D6" i="3"/>
  <c r="C6" i="3"/>
  <c r="A6" i="3"/>
  <c r="B6" i="3" s="1"/>
  <c r="U5" i="3"/>
  <c r="M5" i="3"/>
  <c r="F5" i="3"/>
  <c r="E5" i="3"/>
  <c r="D5" i="3"/>
  <c r="C5" i="3"/>
  <c r="A5" i="3"/>
  <c r="B5" i="3" s="1"/>
  <c r="U4" i="3"/>
  <c r="M4" i="3"/>
  <c r="F4" i="3"/>
  <c r="E4" i="3"/>
  <c r="D4" i="3"/>
  <c r="C4" i="3"/>
  <c r="A4" i="3"/>
  <c r="B4" i="3" s="1"/>
  <c r="U3" i="3"/>
  <c r="M3" i="3"/>
  <c r="F3" i="3"/>
  <c r="E3" i="3"/>
  <c r="D3" i="3"/>
  <c r="C3" i="3"/>
  <c r="A3" i="3"/>
  <c r="B3" i="3" s="1"/>
  <c r="U2" i="3"/>
  <c r="M2" i="3"/>
  <c r="F2" i="3"/>
  <c r="E2" i="3"/>
  <c r="D2" i="3"/>
  <c r="C2" i="3"/>
  <c r="A2" i="3"/>
  <c r="B2" i="3" s="1"/>
  <c r="AH657" i="2"/>
  <c r="AG657" i="2"/>
  <c r="AF657" i="2"/>
  <c r="Y657" i="2"/>
  <c r="Z657" i="2" s="1"/>
  <c r="X657" i="2"/>
  <c r="M657" i="2"/>
  <c r="J657" i="2"/>
  <c r="I657" i="2"/>
  <c r="H657" i="2"/>
  <c r="AG656" i="2"/>
  <c r="AH656" i="2" s="1"/>
  <c r="AF656" i="2"/>
  <c r="Y656" i="2"/>
  <c r="X656" i="2"/>
  <c r="Z656" i="2" s="1"/>
  <c r="M656" i="2"/>
  <c r="I656" i="2"/>
  <c r="J656" i="2" s="1"/>
  <c r="H656" i="2"/>
  <c r="AG655" i="2"/>
  <c r="AH655" i="2" s="1"/>
  <c r="AF655" i="2"/>
  <c r="Y655" i="2"/>
  <c r="X655" i="2"/>
  <c r="Z655" i="2" s="1"/>
  <c r="M655" i="2"/>
  <c r="I655" i="2"/>
  <c r="H655" i="2"/>
  <c r="AF654" i="2"/>
  <c r="AG654" i="2" s="1"/>
  <c r="AH654" i="2" s="1"/>
  <c r="Y654" i="2"/>
  <c r="X654" i="2"/>
  <c r="M654" i="2"/>
  <c r="L654" i="2"/>
  <c r="K654" i="2"/>
  <c r="J654" i="2"/>
  <c r="I654" i="2"/>
  <c r="H654" i="2"/>
  <c r="AH653" i="2"/>
  <c r="AG653" i="2"/>
  <c r="AF653" i="2"/>
  <c r="Z653" i="2"/>
  <c r="Y653" i="2"/>
  <c r="X653" i="2"/>
  <c r="M653" i="2"/>
  <c r="J653" i="2"/>
  <c r="I653" i="2"/>
  <c r="H653" i="2"/>
  <c r="AG652" i="2"/>
  <c r="AH652" i="2" s="1"/>
  <c r="AF652" i="2"/>
  <c r="Y652" i="2"/>
  <c r="X652" i="2"/>
  <c r="Z652" i="2" s="1"/>
  <c r="M652" i="2"/>
  <c r="J652" i="2"/>
  <c r="I652" i="2"/>
  <c r="H652" i="2"/>
  <c r="AF651" i="2"/>
  <c r="AG651" i="2" s="1"/>
  <c r="AH651" i="2" s="1"/>
  <c r="Y651" i="2"/>
  <c r="X651" i="2"/>
  <c r="Z651" i="2" s="1"/>
  <c r="M651" i="2"/>
  <c r="I651" i="2"/>
  <c r="H651" i="2"/>
  <c r="AF650" i="2"/>
  <c r="AG650" i="2" s="1"/>
  <c r="AH650" i="2" s="1"/>
  <c r="Z650" i="2"/>
  <c r="Y650" i="2"/>
  <c r="X650" i="2"/>
  <c r="M650" i="2"/>
  <c r="I650" i="2"/>
  <c r="H650" i="2"/>
  <c r="AF649" i="2"/>
  <c r="AG649" i="2" s="1"/>
  <c r="AH649" i="2" s="1"/>
  <c r="Z649" i="2"/>
  <c r="Y649" i="2"/>
  <c r="X649" i="2"/>
  <c r="M649" i="2"/>
  <c r="I649" i="2"/>
  <c r="H649" i="2"/>
  <c r="AF648" i="2"/>
  <c r="AG648" i="2" s="1"/>
  <c r="AH648" i="2" s="1"/>
  <c r="Z648" i="2"/>
  <c r="Y648" i="2"/>
  <c r="X648" i="2"/>
  <c r="M648" i="2"/>
  <c r="I648" i="2"/>
  <c r="H648" i="2"/>
  <c r="AF647" i="2"/>
  <c r="AG647" i="2" s="1"/>
  <c r="AH647" i="2" s="1"/>
  <c r="Z647" i="2"/>
  <c r="Y647" i="2"/>
  <c r="X647" i="2"/>
  <c r="M647" i="2"/>
  <c r="I647" i="2"/>
  <c r="H647" i="2"/>
  <c r="AF646" i="2"/>
  <c r="AG646" i="2" s="1"/>
  <c r="AH646" i="2" s="1"/>
  <c r="Z646" i="2"/>
  <c r="Y646" i="2"/>
  <c r="X646" i="2"/>
  <c r="M646" i="2"/>
  <c r="I646" i="2"/>
  <c r="H646" i="2"/>
  <c r="AF645" i="2"/>
  <c r="AG645" i="2" s="1"/>
  <c r="AH645" i="2" s="1"/>
  <c r="Z645" i="2"/>
  <c r="Y645" i="2"/>
  <c r="X645" i="2"/>
  <c r="M645" i="2"/>
  <c r="I645" i="2"/>
  <c r="H645" i="2"/>
  <c r="AF644" i="2"/>
  <c r="AG644" i="2" s="1"/>
  <c r="AH644" i="2" s="1"/>
  <c r="Z644" i="2"/>
  <c r="Y644" i="2"/>
  <c r="X644" i="2"/>
  <c r="M644" i="2"/>
  <c r="I644" i="2"/>
  <c r="H644" i="2"/>
  <c r="AF643" i="2"/>
  <c r="AG643" i="2" s="1"/>
  <c r="AH643" i="2" s="1"/>
  <c r="Z643" i="2"/>
  <c r="Y643" i="2"/>
  <c r="X643" i="2"/>
  <c r="M643" i="2"/>
  <c r="I643" i="2"/>
  <c r="H643" i="2"/>
  <c r="AF642" i="2"/>
  <c r="AG642" i="2" s="1"/>
  <c r="AH642" i="2" s="1"/>
  <c r="Z642" i="2"/>
  <c r="Y642" i="2"/>
  <c r="X642" i="2"/>
  <c r="M642" i="2"/>
  <c r="I642" i="2"/>
  <c r="H642" i="2"/>
  <c r="AF641" i="2"/>
  <c r="AG641" i="2" s="1"/>
  <c r="AH641" i="2" s="1"/>
  <c r="Z641" i="2"/>
  <c r="Y641" i="2"/>
  <c r="X641" i="2"/>
  <c r="M641" i="2"/>
  <c r="I641" i="2"/>
  <c r="H641" i="2"/>
  <c r="AF640" i="2"/>
  <c r="AG640" i="2" s="1"/>
  <c r="AH640" i="2" s="1"/>
  <c r="Z640" i="2"/>
  <c r="Y640" i="2"/>
  <c r="X640" i="2"/>
  <c r="M640" i="2"/>
  <c r="I640" i="2"/>
  <c r="H640" i="2"/>
  <c r="AF639" i="2"/>
  <c r="AG639" i="2" s="1"/>
  <c r="AH639" i="2" s="1"/>
  <c r="Z639" i="2"/>
  <c r="Y639" i="2"/>
  <c r="X639" i="2"/>
  <c r="O639" i="2"/>
  <c r="M639" i="2"/>
  <c r="I639" i="2"/>
  <c r="J639" i="2" s="1"/>
  <c r="H639" i="2"/>
  <c r="K639" i="2" s="1"/>
  <c r="AF638" i="2"/>
  <c r="AG638" i="2" s="1"/>
  <c r="AH638" i="2" s="1"/>
  <c r="Y638" i="2"/>
  <c r="X638" i="2"/>
  <c r="Z638" i="2" s="1"/>
  <c r="O638" i="2"/>
  <c r="M638" i="2"/>
  <c r="J638" i="2"/>
  <c r="I638" i="2"/>
  <c r="H638" i="2"/>
  <c r="AG637" i="2"/>
  <c r="AH637" i="2" s="1"/>
  <c r="AF637" i="2"/>
  <c r="Y637" i="2"/>
  <c r="X637" i="2"/>
  <c r="Z637" i="2" s="1"/>
  <c r="O637" i="2"/>
  <c r="M637" i="2"/>
  <c r="I637" i="2"/>
  <c r="H637" i="2"/>
  <c r="J637" i="2" s="1"/>
  <c r="AH636" i="2"/>
  <c r="AG636" i="2"/>
  <c r="AF636" i="2"/>
  <c r="Y636" i="2"/>
  <c r="Z636" i="2" s="1"/>
  <c r="X636" i="2"/>
  <c r="O636" i="2"/>
  <c r="M636" i="2"/>
  <c r="I636" i="2"/>
  <c r="H636" i="2"/>
  <c r="AF635" i="2"/>
  <c r="AG635" i="2" s="1"/>
  <c r="AH635" i="2" s="1"/>
  <c r="Z635" i="2"/>
  <c r="Y635" i="2"/>
  <c r="X635" i="2"/>
  <c r="O635" i="2"/>
  <c r="M635" i="2"/>
  <c r="J635" i="2"/>
  <c r="I635" i="2"/>
  <c r="H635" i="2"/>
  <c r="AF634" i="2"/>
  <c r="AG634" i="2" s="1"/>
  <c r="AH634" i="2" s="1"/>
  <c r="Y634" i="2"/>
  <c r="X634" i="2"/>
  <c r="Z634" i="2" s="1"/>
  <c r="O634" i="2"/>
  <c r="M634" i="2"/>
  <c r="J634" i="2"/>
  <c r="I634" i="2"/>
  <c r="H634" i="2"/>
  <c r="AG633" i="2"/>
  <c r="AH633" i="2" s="1"/>
  <c r="AF633" i="2"/>
  <c r="Y633" i="2"/>
  <c r="X633" i="2"/>
  <c r="Z633" i="2" s="1"/>
  <c r="O633" i="2"/>
  <c r="M633" i="2"/>
  <c r="L633" i="2"/>
  <c r="K633" i="2"/>
  <c r="I633" i="2"/>
  <c r="H633" i="2"/>
  <c r="J633" i="2" s="1"/>
  <c r="AH632" i="2"/>
  <c r="AG632" i="2"/>
  <c r="AF632" i="2"/>
  <c r="Y632" i="2"/>
  <c r="Z632" i="2" s="1"/>
  <c r="X632" i="2"/>
  <c r="O632" i="2"/>
  <c r="M632" i="2"/>
  <c r="I632" i="2"/>
  <c r="H632" i="2"/>
  <c r="AF631" i="2"/>
  <c r="AG631" i="2" s="1"/>
  <c r="AH631" i="2" s="1"/>
  <c r="Z631" i="2"/>
  <c r="Y631" i="2"/>
  <c r="X631" i="2"/>
  <c r="O631" i="2"/>
  <c r="M631" i="2"/>
  <c r="I631" i="2"/>
  <c r="J631" i="2" s="1"/>
  <c r="H631" i="2"/>
  <c r="AF630" i="2"/>
  <c r="AG630" i="2" s="1"/>
  <c r="AH630" i="2" s="1"/>
  <c r="Y630" i="2"/>
  <c r="X630" i="2"/>
  <c r="Z630" i="2" s="1"/>
  <c r="O630" i="2"/>
  <c r="M630" i="2"/>
  <c r="K630" i="2"/>
  <c r="J630" i="2"/>
  <c r="I630" i="2"/>
  <c r="H630" i="2"/>
  <c r="AG629" i="2"/>
  <c r="AH629" i="2" s="1"/>
  <c r="AF629" i="2"/>
  <c r="Y629" i="2"/>
  <c r="X629" i="2"/>
  <c r="Z629" i="2" s="1"/>
  <c r="O629" i="2"/>
  <c r="M629" i="2"/>
  <c r="I629" i="2"/>
  <c r="H629" i="2"/>
  <c r="J629" i="2" s="1"/>
  <c r="AH628" i="2"/>
  <c r="AG628" i="2"/>
  <c r="AF628" i="2"/>
  <c r="Y628" i="2"/>
  <c r="Z628" i="2" s="1"/>
  <c r="X628" i="2"/>
  <c r="O628" i="2"/>
  <c r="M628" i="2"/>
  <c r="I628" i="2"/>
  <c r="H628" i="2"/>
  <c r="AF627" i="2"/>
  <c r="AG627" i="2" s="1"/>
  <c r="AH627" i="2" s="1"/>
  <c r="Z627" i="2"/>
  <c r="Y627" i="2"/>
  <c r="X627" i="2"/>
  <c r="O627" i="2"/>
  <c r="M627" i="2"/>
  <c r="J627" i="2"/>
  <c r="I627" i="2"/>
  <c r="H627" i="2"/>
  <c r="K627" i="2" s="1"/>
  <c r="AF626" i="2"/>
  <c r="AG626" i="2" s="1"/>
  <c r="AH626" i="2" s="1"/>
  <c r="Y626" i="2"/>
  <c r="X626" i="2"/>
  <c r="Z626" i="2" s="1"/>
  <c r="O626" i="2"/>
  <c r="M626" i="2"/>
  <c r="J626" i="2"/>
  <c r="I626" i="2"/>
  <c r="H626" i="2"/>
  <c r="AH625" i="2"/>
  <c r="AG625" i="2"/>
  <c r="AA625" i="2"/>
  <c r="Y625" i="2"/>
  <c r="X625" i="2"/>
  <c r="Z625" i="2" s="1"/>
  <c r="O625" i="2"/>
  <c r="M625" i="2"/>
  <c r="K625" i="2"/>
  <c r="L625" i="2" s="1"/>
  <c r="I625" i="2"/>
  <c r="H625" i="2"/>
  <c r="J625" i="2" s="1"/>
  <c r="AH624" i="2"/>
  <c r="AG624" i="2"/>
  <c r="AA624" i="2"/>
  <c r="Y624" i="2"/>
  <c r="Z624" i="2" s="1"/>
  <c r="X624" i="2"/>
  <c r="O624" i="2"/>
  <c r="M624" i="2"/>
  <c r="I624" i="2"/>
  <c r="H624" i="2"/>
  <c r="AH623" i="2"/>
  <c r="AG623" i="2"/>
  <c r="AA623" i="2"/>
  <c r="Z623" i="2"/>
  <c r="Y623" i="2"/>
  <c r="X623" i="2"/>
  <c r="O623" i="2"/>
  <c r="M623" i="2"/>
  <c r="I623" i="2"/>
  <c r="J623" i="2" s="1"/>
  <c r="H623" i="2"/>
  <c r="K623" i="2" s="1"/>
  <c r="AG622" i="2"/>
  <c r="AH622" i="2" s="1"/>
  <c r="AA622" i="2"/>
  <c r="Y622" i="2"/>
  <c r="X622" i="2"/>
  <c r="Z622" i="2" s="1"/>
  <c r="O622" i="2"/>
  <c r="M622" i="2"/>
  <c r="J622" i="2"/>
  <c r="I622" i="2"/>
  <c r="H622" i="2"/>
  <c r="AG621" i="2"/>
  <c r="AH621" i="2" s="1"/>
  <c r="AA621" i="2"/>
  <c r="Y621" i="2"/>
  <c r="X621" i="2"/>
  <c r="Z621" i="2" s="1"/>
  <c r="O621" i="2"/>
  <c r="M621" i="2"/>
  <c r="K621" i="2"/>
  <c r="I621" i="2"/>
  <c r="H621" i="2"/>
  <c r="J621" i="2" s="1"/>
  <c r="AH620" i="2"/>
  <c r="AG620" i="2"/>
  <c r="AA620" i="2"/>
  <c r="Y620" i="2"/>
  <c r="Z620" i="2" s="1"/>
  <c r="X620" i="2"/>
  <c r="O620" i="2"/>
  <c r="M620" i="2"/>
  <c r="I620" i="2"/>
  <c r="H620" i="2"/>
  <c r="AH619" i="2"/>
  <c r="AG619" i="2"/>
  <c r="AA619" i="2"/>
  <c r="Z619" i="2"/>
  <c r="Y619" i="2"/>
  <c r="X619" i="2"/>
  <c r="O619" i="2"/>
  <c r="M619" i="2"/>
  <c r="J619" i="2"/>
  <c r="I619" i="2"/>
  <c r="H619" i="2"/>
  <c r="K619" i="2" s="1"/>
  <c r="AG618" i="2"/>
  <c r="AH618" i="2" s="1"/>
  <c r="AA618" i="2"/>
  <c r="Y618" i="2"/>
  <c r="X618" i="2"/>
  <c r="Z618" i="2" s="1"/>
  <c r="O618" i="2"/>
  <c r="M618" i="2"/>
  <c r="J618" i="2"/>
  <c r="I618" i="2"/>
  <c r="H618" i="2"/>
  <c r="AH617" i="2"/>
  <c r="AG617" i="2"/>
  <c r="AA617" i="2"/>
  <c r="Y617" i="2"/>
  <c r="X617" i="2"/>
  <c r="Z617" i="2" s="1"/>
  <c r="O617" i="2"/>
  <c r="M617" i="2"/>
  <c r="L617" i="2"/>
  <c r="K617" i="2"/>
  <c r="I617" i="2"/>
  <c r="H617" i="2"/>
  <c r="J617" i="2" s="1"/>
  <c r="AH616" i="2"/>
  <c r="AG616" i="2"/>
  <c r="AA616" i="2"/>
  <c r="Y616" i="2"/>
  <c r="Z616" i="2" s="1"/>
  <c r="X616" i="2"/>
  <c r="O616" i="2"/>
  <c r="M616" i="2"/>
  <c r="I616" i="2"/>
  <c r="H616" i="2"/>
  <c r="AH615" i="2"/>
  <c r="AG615" i="2"/>
  <c r="AA615" i="2"/>
  <c r="Z615" i="2"/>
  <c r="Y615" i="2"/>
  <c r="X615" i="2"/>
  <c r="O615" i="2"/>
  <c r="M615" i="2"/>
  <c r="I615" i="2"/>
  <c r="J615" i="2" s="1"/>
  <c r="H615" i="2"/>
  <c r="K615" i="2" s="1"/>
  <c r="AG614" i="2"/>
  <c r="AH614" i="2" s="1"/>
  <c r="AA614" i="2"/>
  <c r="Y614" i="2"/>
  <c r="X614" i="2"/>
  <c r="Z614" i="2" s="1"/>
  <c r="O614" i="2"/>
  <c r="M614" i="2"/>
  <c r="J614" i="2"/>
  <c r="I614" i="2"/>
  <c r="H614" i="2"/>
  <c r="AG613" i="2"/>
  <c r="AH613" i="2" s="1"/>
  <c r="AA613" i="2"/>
  <c r="Y613" i="2"/>
  <c r="X613" i="2"/>
  <c r="O613" i="2"/>
  <c r="M613" i="2"/>
  <c r="K613" i="2"/>
  <c r="I613" i="2"/>
  <c r="H613" i="2"/>
  <c r="J613" i="2" s="1"/>
  <c r="AH612" i="2"/>
  <c r="AG612" i="2"/>
  <c r="AA612" i="2"/>
  <c r="Y612" i="2"/>
  <c r="Z612" i="2" s="1"/>
  <c r="X612" i="2"/>
  <c r="O612" i="2"/>
  <c r="M612" i="2"/>
  <c r="I612" i="2"/>
  <c r="H612" i="2"/>
  <c r="AH611" i="2"/>
  <c r="AG611" i="2"/>
  <c r="AA611" i="2"/>
  <c r="Z611" i="2"/>
  <c r="Y611" i="2"/>
  <c r="X611" i="2"/>
  <c r="O611" i="2"/>
  <c r="M611" i="2"/>
  <c r="I611" i="2"/>
  <c r="J611" i="2" s="1"/>
  <c r="H611" i="2"/>
  <c r="AG610" i="2"/>
  <c r="AH610" i="2" s="1"/>
  <c r="AA610" i="2"/>
  <c r="Y610" i="2"/>
  <c r="X610" i="2"/>
  <c r="Z610" i="2" s="1"/>
  <c r="O610" i="2"/>
  <c r="M610" i="2"/>
  <c r="J610" i="2"/>
  <c r="I610" i="2"/>
  <c r="H610" i="2"/>
  <c r="AG609" i="2"/>
  <c r="AH609" i="2" s="1"/>
  <c r="AA609" i="2"/>
  <c r="Y609" i="2"/>
  <c r="X609" i="2"/>
  <c r="Z609" i="2" s="1"/>
  <c r="M609" i="2"/>
  <c r="K609" i="2"/>
  <c r="J609" i="2"/>
  <c r="AH608" i="2"/>
  <c r="AG608" i="2"/>
  <c r="AA608" i="2"/>
  <c r="Z608" i="2"/>
  <c r="Y608" i="2"/>
  <c r="X608" i="2"/>
  <c r="M608" i="2"/>
  <c r="L608" i="2"/>
  <c r="K608" i="2"/>
  <c r="J608" i="2"/>
  <c r="AG607" i="2"/>
  <c r="AH607" i="2" s="1"/>
  <c r="AA607" i="2"/>
  <c r="Y607" i="2"/>
  <c r="X607" i="2"/>
  <c r="Z607" i="2" s="1"/>
  <c r="M607" i="2"/>
  <c r="J607" i="2"/>
  <c r="AH606" i="2"/>
  <c r="AG606" i="2"/>
  <c r="AA606" i="2"/>
  <c r="Z606" i="2"/>
  <c r="Y606" i="2"/>
  <c r="X606" i="2"/>
  <c r="M606" i="2"/>
  <c r="L606" i="2"/>
  <c r="K606" i="2"/>
  <c r="J606" i="2"/>
  <c r="AG605" i="2"/>
  <c r="AH605" i="2" s="1"/>
  <c r="AA605" i="2"/>
  <c r="Y605" i="2"/>
  <c r="X605" i="2"/>
  <c r="Z605" i="2" s="1"/>
  <c r="M605" i="2"/>
  <c r="J605" i="2"/>
  <c r="AH604" i="2"/>
  <c r="AG604" i="2"/>
  <c r="AA604" i="2"/>
  <c r="Z604" i="2"/>
  <c r="Y604" i="2"/>
  <c r="X604" i="2"/>
  <c r="M604" i="2"/>
  <c r="L604" i="2"/>
  <c r="K604" i="2"/>
  <c r="J604" i="2"/>
  <c r="AG603" i="2"/>
  <c r="AH603" i="2" s="1"/>
  <c r="AA603" i="2"/>
  <c r="Y603" i="2"/>
  <c r="X603" i="2"/>
  <c r="M603" i="2"/>
  <c r="J603" i="2"/>
  <c r="AH602" i="2"/>
  <c r="AG602" i="2"/>
  <c r="AA602" i="2"/>
  <c r="Z602" i="2"/>
  <c r="Y602" i="2"/>
  <c r="X602" i="2"/>
  <c r="M602" i="2"/>
  <c r="L602" i="2"/>
  <c r="K602" i="2"/>
  <c r="J602" i="2"/>
  <c r="AG601" i="2"/>
  <c r="AH601" i="2" s="1"/>
  <c r="AA601" i="2"/>
  <c r="Y601" i="2"/>
  <c r="X601" i="2"/>
  <c r="Z601" i="2" s="1"/>
  <c r="M601" i="2"/>
  <c r="J601" i="2"/>
  <c r="AH600" i="2"/>
  <c r="AG600" i="2"/>
  <c r="AA600" i="2"/>
  <c r="Z600" i="2"/>
  <c r="Y600" i="2"/>
  <c r="X600" i="2"/>
  <c r="M600" i="2"/>
  <c r="L600" i="2"/>
  <c r="K600" i="2"/>
  <c r="J600" i="2"/>
  <c r="AG599" i="2"/>
  <c r="AH599" i="2" s="1"/>
  <c r="AA599" i="2"/>
  <c r="Y599" i="2"/>
  <c r="X599" i="2"/>
  <c r="Z599" i="2" s="1"/>
  <c r="M599" i="2"/>
  <c r="J599" i="2"/>
  <c r="AH598" i="2"/>
  <c r="AG598" i="2"/>
  <c r="AA598" i="2"/>
  <c r="Z598" i="2"/>
  <c r="Y598" i="2"/>
  <c r="X598" i="2"/>
  <c r="M598" i="2"/>
  <c r="L598" i="2"/>
  <c r="K598" i="2"/>
  <c r="J598" i="2"/>
  <c r="AH597" i="2"/>
  <c r="AG597" i="2"/>
  <c r="AA597" i="2"/>
  <c r="Y597" i="2"/>
  <c r="X597" i="2"/>
  <c r="Z597" i="2" s="1"/>
  <c r="M597" i="2"/>
  <c r="J597" i="2"/>
  <c r="AH596" i="2"/>
  <c r="AG596" i="2"/>
  <c r="AA596" i="2"/>
  <c r="Z596" i="2"/>
  <c r="Y596" i="2"/>
  <c r="X596" i="2"/>
  <c r="M596" i="2"/>
  <c r="L596" i="2"/>
  <c r="K596" i="2"/>
  <c r="J596" i="2"/>
  <c r="AG595" i="2"/>
  <c r="AH595" i="2" s="1"/>
  <c r="AA595" i="2"/>
  <c r="Y595" i="2"/>
  <c r="X595" i="2"/>
  <c r="Z595" i="2" s="1"/>
  <c r="M595" i="2"/>
  <c r="J595" i="2"/>
  <c r="AH594" i="2"/>
  <c r="AG594" i="2"/>
  <c r="AA594" i="2"/>
  <c r="Z594" i="2"/>
  <c r="Y594" i="2"/>
  <c r="X594" i="2"/>
  <c r="M594" i="2"/>
  <c r="L594" i="2"/>
  <c r="K594" i="2"/>
  <c r="J594" i="2"/>
  <c r="AG593" i="2"/>
  <c r="AH593" i="2" s="1"/>
  <c r="AA593" i="2"/>
  <c r="Y593" i="2"/>
  <c r="X593" i="2"/>
  <c r="Z593" i="2" s="1"/>
  <c r="J593" i="2"/>
  <c r="AH592" i="2"/>
  <c r="AG592" i="2"/>
  <c r="AA592" i="2"/>
  <c r="Y592" i="2"/>
  <c r="Z592" i="2" s="1"/>
  <c r="X592" i="2"/>
  <c r="K592" i="2"/>
  <c r="J592" i="2"/>
  <c r="AH591" i="2"/>
  <c r="AG591" i="2"/>
  <c r="AA591" i="2"/>
  <c r="Z591" i="2"/>
  <c r="Y591" i="2"/>
  <c r="X591" i="2"/>
  <c r="L591" i="2"/>
  <c r="K591" i="2"/>
  <c r="J591" i="2"/>
  <c r="AG590" i="2"/>
  <c r="AH590" i="2" s="1"/>
  <c r="AA590" i="2"/>
  <c r="Y590" i="2"/>
  <c r="X590" i="2"/>
  <c r="Z590" i="2" s="1"/>
  <c r="L590" i="2"/>
  <c r="K590" i="2"/>
  <c r="J590" i="2"/>
  <c r="AG589" i="2"/>
  <c r="AH589" i="2" s="1"/>
  <c r="AA589" i="2"/>
  <c r="Y589" i="2"/>
  <c r="X589" i="2"/>
  <c r="J589" i="2"/>
  <c r="AH588" i="2"/>
  <c r="AG588" i="2"/>
  <c r="AA588" i="2"/>
  <c r="Y588" i="2"/>
  <c r="Z588" i="2" s="1"/>
  <c r="X588" i="2"/>
  <c r="J588" i="2"/>
  <c r="AH587" i="2"/>
  <c r="AG587" i="2"/>
  <c r="AA587" i="2"/>
  <c r="Z587" i="2"/>
  <c r="Y587" i="2"/>
  <c r="X587" i="2"/>
  <c r="K587" i="2"/>
  <c r="L587" i="2" s="1"/>
  <c r="J587" i="2"/>
  <c r="AG586" i="2"/>
  <c r="AH586" i="2" s="1"/>
  <c r="AA586" i="2"/>
  <c r="Y586" i="2"/>
  <c r="X586" i="2"/>
  <c r="Z586" i="2" s="1"/>
  <c r="L586" i="2"/>
  <c r="K586" i="2"/>
  <c r="J586" i="2"/>
  <c r="AG585" i="2"/>
  <c r="AH585" i="2" s="1"/>
  <c r="AA585" i="2"/>
  <c r="Y585" i="2"/>
  <c r="X585" i="2"/>
  <c r="Z585" i="2" s="1"/>
  <c r="J585" i="2"/>
  <c r="AH584" i="2"/>
  <c r="AG584" i="2"/>
  <c r="AA584" i="2"/>
  <c r="Y584" i="2"/>
  <c r="Z584" i="2" s="1"/>
  <c r="X584" i="2"/>
  <c r="K584" i="2"/>
  <c r="J584" i="2"/>
  <c r="AH583" i="2"/>
  <c r="AG583" i="2"/>
  <c r="AA583" i="2"/>
  <c r="Z583" i="2"/>
  <c r="Y583" i="2"/>
  <c r="X583" i="2"/>
  <c r="L583" i="2"/>
  <c r="K583" i="2"/>
  <c r="J583" i="2"/>
  <c r="AG582" i="2"/>
  <c r="AH582" i="2" s="1"/>
  <c r="AA582" i="2"/>
  <c r="Y582" i="2"/>
  <c r="X582" i="2"/>
  <c r="Z582" i="2" s="1"/>
  <c r="L582" i="2"/>
  <c r="K582" i="2"/>
  <c r="J582" i="2"/>
  <c r="AG581" i="2"/>
  <c r="AH581" i="2" s="1"/>
  <c r="AA581" i="2"/>
  <c r="Y581" i="2"/>
  <c r="X581" i="2"/>
  <c r="J581" i="2"/>
  <c r="AH580" i="2"/>
  <c r="AG580" i="2"/>
  <c r="AA580" i="2"/>
  <c r="Y580" i="2"/>
  <c r="Z580" i="2" s="1"/>
  <c r="X580" i="2"/>
  <c r="J580" i="2"/>
  <c r="AH579" i="2"/>
  <c r="AG579" i="2"/>
  <c r="AA579" i="2"/>
  <c r="Z579" i="2"/>
  <c r="Y579" i="2"/>
  <c r="X579" i="2"/>
  <c r="K579" i="2"/>
  <c r="L579" i="2" s="1"/>
  <c r="J579" i="2"/>
  <c r="AG578" i="2"/>
  <c r="AH578" i="2" s="1"/>
  <c r="AA578" i="2"/>
  <c r="Y578" i="2"/>
  <c r="X578" i="2"/>
  <c r="Z578" i="2" s="1"/>
  <c r="L578" i="2"/>
  <c r="K578" i="2"/>
  <c r="J578" i="2"/>
  <c r="AG577" i="2"/>
  <c r="AH577" i="2" s="1"/>
  <c r="AA577" i="2"/>
  <c r="Y577" i="2"/>
  <c r="X577" i="2"/>
  <c r="Z577" i="2" s="1"/>
  <c r="J577" i="2"/>
  <c r="AH576" i="2"/>
  <c r="AG576" i="2"/>
  <c r="AA576" i="2"/>
  <c r="Y576" i="2"/>
  <c r="Z576" i="2" s="1"/>
  <c r="X576" i="2"/>
  <c r="K576" i="2"/>
  <c r="J576" i="2"/>
  <c r="AH575" i="2"/>
  <c r="AG575" i="2"/>
  <c r="AA575" i="2"/>
  <c r="Z575" i="2"/>
  <c r="Y575" i="2"/>
  <c r="X575" i="2"/>
  <c r="L575" i="2"/>
  <c r="K575" i="2"/>
  <c r="J575" i="2"/>
  <c r="AG574" i="2"/>
  <c r="AH574" i="2" s="1"/>
  <c r="AA574" i="2"/>
  <c r="Y574" i="2"/>
  <c r="X574" i="2"/>
  <c r="Z574" i="2" s="1"/>
  <c r="L574" i="2"/>
  <c r="K574" i="2"/>
  <c r="J574" i="2"/>
  <c r="AG573" i="2"/>
  <c r="AH573" i="2" s="1"/>
  <c r="AA573" i="2"/>
  <c r="Y573" i="2"/>
  <c r="X573" i="2"/>
  <c r="J573" i="2"/>
  <c r="AH572" i="2"/>
  <c r="AG572" i="2"/>
  <c r="AA572" i="2"/>
  <c r="Y572" i="2"/>
  <c r="Z572" i="2" s="1"/>
  <c r="X572" i="2"/>
  <c r="J572" i="2"/>
  <c r="AH571" i="2"/>
  <c r="AG571" i="2"/>
  <c r="AA571" i="2"/>
  <c r="Z571" i="2"/>
  <c r="Y571" i="2"/>
  <c r="X571" i="2"/>
  <c r="K571" i="2"/>
  <c r="L571" i="2" s="1"/>
  <c r="J571" i="2"/>
  <c r="AG570" i="2"/>
  <c r="AH570" i="2" s="1"/>
  <c r="AA570" i="2"/>
  <c r="Y570" i="2"/>
  <c r="X570" i="2"/>
  <c r="Z570" i="2" s="1"/>
  <c r="L570" i="2"/>
  <c r="K570" i="2"/>
  <c r="J570" i="2"/>
  <c r="AG569" i="2"/>
  <c r="AH569" i="2" s="1"/>
  <c r="AA569" i="2"/>
  <c r="Y569" i="2"/>
  <c r="X569" i="2"/>
  <c r="Z569" i="2" s="1"/>
  <c r="J569" i="2"/>
  <c r="AH568" i="2"/>
  <c r="AG568" i="2"/>
  <c r="AA568" i="2"/>
  <c r="Y568" i="2"/>
  <c r="Z568" i="2" s="1"/>
  <c r="X568" i="2"/>
  <c r="K568" i="2"/>
  <c r="J568" i="2"/>
  <c r="AH567" i="2"/>
  <c r="AG567" i="2"/>
  <c r="AA567" i="2"/>
  <c r="Z567" i="2"/>
  <c r="Y567" i="2"/>
  <c r="X567" i="2"/>
  <c r="L567" i="2"/>
  <c r="K567" i="2"/>
  <c r="J567" i="2"/>
  <c r="AG566" i="2"/>
  <c r="AH566" i="2" s="1"/>
  <c r="AA566" i="2"/>
  <c r="Y566" i="2"/>
  <c r="X566" i="2"/>
  <c r="Z566" i="2" s="1"/>
  <c r="L566" i="2"/>
  <c r="K566" i="2"/>
  <c r="J566" i="2"/>
  <c r="AG565" i="2"/>
  <c r="AH565" i="2" s="1"/>
  <c r="AA565" i="2"/>
  <c r="Y565" i="2"/>
  <c r="X565" i="2"/>
  <c r="J565" i="2"/>
  <c r="AH564" i="2"/>
  <c r="AG564" i="2"/>
  <c r="AA564" i="2"/>
  <c r="Y564" i="2"/>
  <c r="Z564" i="2" s="1"/>
  <c r="X564" i="2"/>
  <c r="J564" i="2"/>
  <c r="AH563" i="2"/>
  <c r="AG563" i="2"/>
  <c r="AA563" i="2"/>
  <c r="Z563" i="2"/>
  <c r="Y563" i="2"/>
  <c r="X563" i="2"/>
  <c r="K563" i="2"/>
  <c r="L563" i="2" s="1"/>
  <c r="J563" i="2"/>
  <c r="AG562" i="2"/>
  <c r="AH562" i="2" s="1"/>
  <c r="AA562" i="2"/>
  <c r="Y562" i="2"/>
  <c r="X562" i="2"/>
  <c r="Z562" i="2" s="1"/>
  <c r="L562" i="2"/>
  <c r="K562" i="2"/>
  <c r="J562" i="2"/>
  <c r="AG561" i="2"/>
  <c r="AH561" i="2" s="1"/>
  <c r="AA561" i="2"/>
  <c r="Y561" i="2"/>
  <c r="X561" i="2"/>
  <c r="Z561" i="2" s="1"/>
  <c r="J561" i="2"/>
  <c r="AH560" i="2"/>
  <c r="AG560" i="2"/>
  <c r="AA560" i="2"/>
  <c r="Y560" i="2"/>
  <c r="Z560" i="2" s="1"/>
  <c r="X560" i="2"/>
  <c r="K560" i="2"/>
  <c r="J560" i="2"/>
  <c r="AH559" i="2"/>
  <c r="AG559" i="2"/>
  <c r="AA559" i="2"/>
  <c r="Z559" i="2"/>
  <c r="Y559" i="2"/>
  <c r="X559" i="2"/>
  <c r="L559" i="2"/>
  <c r="K559" i="2"/>
  <c r="J559" i="2"/>
  <c r="AG558" i="2"/>
  <c r="AH558" i="2" s="1"/>
  <c r="AA558" i="2"/>
  <c r="Y558" i="2"/>
  <c r="X558" i="2"/>
  <c r="Z558" i="2" s="1"/>
  <c r="L558" i="2"/>
  <c r="K558" i="2"/>
  <c r="J558" i="2"/>
  <c r="AG557" i="2"/>
  <c r="AH557" i="2" s="1"/>
  <c r="AA557" i="2"/>
  <c r="Y557" i="2"/>
  <c r="X557" i="2"/>
  <c r="J557" i="2"/>
  <c r="AH556" i="2"/>
  <c r="AG556" i="2"/>
  <c r="AA556" i="2"/>
  <c r="Y556" i="2"/>
  <c r="Z556" i="2" s="1"/>
  <c r="X556" i="2"/>
  <c r="J556" i="2"/>
  <c r="AH555" i="2"/>
  <c r="AG555" i="2"/>
  <c r="AA555" i="2"/>
  <c r="Z555" i="2"/>
  <c r="Y555" i="2"/>
  <c r="X555" i="2"/>
  <c r="K555" i="2"/>
  <c r="L555" i="2" s="1"/>
  <c r="J555" i="2"/>
  <c r="AG554" i="2"/>
  <c r="AH554" i="2" s="1"/>
  <c r="AA554" i="2"/>
  <c r="Y554" i="2"/>
  <c r="X554" i="2"/>
  <c r="Z554" i="2" s="1"/>
  <c r="L554" i="2"/>
  <c r="K554" i="2"/>
  <c r="J554" i="2"/>
  <c r="AG553" i="2"/>
  <c r="AH553" i="2" s="1"/>
  <c r="AA553" i="2"/>
  <c r="Y553" i="2"/>
  <c r="X553" i="2"/>
  <c r="Z553" i="2" s="1"/>
  <c r="J553" i="2"/>
  <c r="AH552" i="2"/>
  <c r="AG552" i="2"/>
  <c r="AA552" i="2"/>
  <c r="Y552" i="2"/>
  <c r="Z552" i="2" s="1"/>
  <c r="X552" i="2"/>
  <c r="K552" i="2"/>
  <c r="J552" i="2"/>
  <c r="AH551" i="2"/>
  <c r="AG551" i="2"/>
  <c r="AA551" i="2"/>
  <c r="Z551" i="2"/>
  <c r="Y551" i="2"/>
  <c r="X551" i="2"/>
  <c r="L551" i="2"/>
  <c r="K551" i="2"/>
  <c r="J551" i="2"/>
  <c r="AG550" i="2"/>
  <c r="AH550" i="2" s="1"/>
  <c r="AA550" i="2"/>
  <c r="Y550" i="2"/>
  <c r="X550" i="2"/>
  <c r="Z550" i="2" s="1"/>
  <c r="L550" i="2"/>
  <c r="K550" i="2"/>
  <c r="J550" i="2"/>
  <c r="AG549" i="2"/>
  <c r="AH549" i="2" s="1"/>
  <c r="AA549" i="2"/>
  <c r="Y549" i="2"/>
  <c r="X549" i="2"/>
  <c r="J549" i="2"/>
  <c r="AH548" i="2"/>
  <c r="AG548" i="2"/>
  <c r="AA548" i="2"/>
  <c r="Y548" i="2"/>
  <c r="Z548" i="2" s="1"/>
  <c r="X548" i="2"/>
  <c r="J548" i="2"/>
  <c r="AH547" i="2"/>
  <c r="AG547" i="2"/>
  <c r="AA547" i="2"/>
  <c r="Z547" i="2"/>
  <c r="Y547" i="2"/>
  <c r="X547" i="2"/>
  <c r="K547" i="2"/>
  <c r="L547" i="2" s="1"/>
  <c r="J547" i="2"/>
  <c r="AG546" i="2"/>
  <c r="AH546" i="2" s="1"/>
  <c r="AA546" i="2"/>
  <c r="Y546" i="2"/>
  <c r="X546" i="2"/>
  <c r="Z546" i="2" s="1"/>
  <c r="L546" i="2"/>
  <c r="K546" i="2"/>
  <c r="J546" i="2"/>
  <c r="AG545" i="2"/>
  <c r="AH545" i="2" s="1"/>
  <c r="AA545" i="2"/>
  <c r="Y545" i="2"/>
  <c r="X545" i="2"/>
  <c r="Z545" i="2" s="1"/>
  <c r="J545" i="2"/>
  <c r="AH544" i="2"/>
  <c r="AG544" i="2"/>
  <c r="AA544" i="2"/>
  <c r="Y544" i="2"/>
  <c r="Z544" i="2" s="1"/>
  <c r="X544" i="2"/>
  <c r="K544" i="2"/>
  <c r="J544" i="2"/>
  <c r="AH543" i="2"/>
  <c r="AG543" i="2"/>
  <c r="AA543" i="2"/>
  <c r="Z543" i="2"/>
  <c r="Y543" i="2"/>
  <c r="X543" i="2"/>
  <c r="L543" i="2"/>
  <c r="K543" i="2"/>
  <c r="J543" i="2"/>
  <c r="AG542" i="2"/>
  <c r="AH542" i="2" s="1"/>
  <c r="AA542" i="2"/>
  <c r="Y542" i="2"/>
  <c r="X542" i="2"/>
  <c r="Z542" i="2" s="1"/>
  <c r="L542" i="2"/>
  <c r="K542" i="2"/>
  <c r="J542" i="2"/>
  <c r="AG541" i="2"/>
  <c r="AH541" i="2" s="1"/>
  <c r="AA541" i="2"/>
  <c r="Y541" i="2"/>
  <c r="X541" i="2"/>
  <c r="J541" i="2"/>
  <c r="AH540" i="2"/>
  <c r="AG540" i="2"/>
  <c r="AA540" i="2"/>
  <c r="Y540" i="2"/>
  <c r="Z540" i="2" s="1"/>
  <c r="X540" i="2"/>
  <c r="J540" i="2"/>
  <c r="AH539" i="2"/>
  <c r="AG539" i="2"/>
  <c r="AA539" i="2"/>
  <c r="Z539" i="2"/>
  <c r="Y539" i="2"/>
  <c r="X539" i="2"/>
  <c r="K539" i="2"/>
  <c r="L539" i="2" s="1"/>
  <c r="J539" i="2"/>
  <c r="AG538" i="2"/>
  <c r="AH538" i="2" s="1"/>
  <c r="AA538" i="2"/>
  <c r="Y538" i="2"/>
  <c r="X538" i="2"/>
  <c r="Z538" i="2" s="1"/>
  <c r="L538" i="2"/>
  <c r="K538" i="2"/>
  <c r="J538" i="2"/>
  <c r="AG537" i="2"/>
  <c r="AH537" i="2" s="1"/>
  <c r="AA537" i="2"/>
  <c r="Y537" i="2"/>
  <c r="X537" i="2"/>
  <c r="Z537" i="2" s="1"/>
  <c r="J537" i="2"/>
  <c r="AH536" i="2"/>
  <c r="AG536" i="2"/>
  <c r="AA536" i="2"/>
  <c r="Y536" i="2"/>
  <c r="Z536" i="2" s="1"/>
  <c r="X536" i="2"/>
  <c r="K536" i="2"/>
  <c r="J536" i="2"/>
  <c r="AH535" i="2"/>
  <c r="AG535" i="2"/>
  <c r="AA535" i="2"/>
  <c r="Z535" i="2"/>
  <c r="Y535" i="2"/>
  <c r="X535" i="2"/>
  <c r="L535" i="2"/>
  <c r="K535" i="2"/>
  <c r="J535" i="2"/>
  <c r="AG534" i="2"/>
  <c r="AH534" i="2" s="1"/>
  <c r="AA534" i="2"/>
  <c r="Y534" i="2"/>
  <c r="X534" i="2"/>
  <c r="Z534" i="2" s="1"/>
  <c r="L534" i="2"/>
  <c r="K534" i="2"/>
  <c r="J534" i="2"/>
  <c r="AG533" i="2"/>
  <c r="AH533" i="2" s="1"/>
  <c r="AA533" i="2"/>
  <c r="Y533" i="2"/>
  <c r="X533" i="2"/>
  <c r="J533" i="2"/>
  <c r="AH532" i="2"/>
  <c r="AG532" i="2"/>
  <c r="AA532" i="2"/>
  <c r="Y532" i="2"/>
  <c r="Z532" i="2" s="1"/>
  <c r="X532" i="2"/>
  <c r="J532" i="2"/>
  <c r="AH531" i="2"/>
  <c r="AG531" i="2"/>
  <c r="AA531" i="2"/>
  <c r="Z531" i="2"/>
  <c r="Y531" i="2"/>
  <c r="X531" i="2"/>
  <c r="K531" i="2"/>
  <c r="L531" i="2" s="1"/>
  <c r="J531" i="2"/>
  <c r="AG530" i="2"/>
  <c r="AH530" i="2" s="1"/>
  <c r="AA530" i="2"/>
  <c r="Y530" i="2"/>
  <c r="X530" i="2"/>
  <c r="Z530" i="2" s="1"/>
  <c r="L530" i="2"/>
  <c r="K530" i="2"/>
  <c r="J530" i="2"/>
  <c r="AG529" i="2"/>
  <c r="AH529" i="2" s="1"/>
  <c r="AA529" i="2"/>
  <c r="Y529" i="2"/>
  <c r="X529" i="2"/>
  <c r="Z529" i="2" s="1"/>
  <c r="J529" i="2"/>
  <c r="AH528" i="2"/>
  <c r="AG528" i="2"/>
  <c r="AA528" i="2"/>
  <c r="Y528" i="2"/>
  <c r="Z528" i="2" s="1"/>
  <c r="X528" i="2"/>
  <c r="K528" i="2"/>
  <c r="J528" i="2"/>
  <c r="AH527" i="2"/>
  <c r="AG527" i="2"/>
  <c r="AA527" i="2"/>
  <c r="Z527" i="2"/>
  <c r="Y527" i="2"/>
  <c r="X527" i="2"/>
  <c r="L527" i="2"/>
  <c r="K527" i="2"/>
  <c r="J527" i="2"/>
  <c r="AG526" i="2"/>
  <c r="AH526" i="2" s="1"/>
  <c r="AA526" i="2"/>
  <c r="Y526" i="2"/>
  <c r="X526" i="2"/>
  <c r="Z526" i="2" s="1"/>
  <c r="L526" i="2"/>
  <c r="K526" i="2"/>
  <c r="J526" i="2"/>
  <c r="AG525" i="2"/>
  <c r="AH525" i="2" s="1"/>
  <c r="AA525" i="2"/>
  <c r="Y525" i="2"/>
  <c r="X525" i="2"/>
  <c r="J525" i="2"/>
  <c r="AH524" i="2"/>
  <c r="AG524" i="2"/>
  <c r="AA524" i="2"/>
  <c r="Y524" i="2"/>
  <c r="Z524" i="2" s="1"/>
  <c r="X524" i="2"/>
  <c r="J524" i="2"/>
  <c r="AH523" i="2"/>
  <c r="AG523" i="2"/>
  <c r="AA523" i="2"/>
  <c r="Z523" i="2"/>
  <c r="Y523" i="2"/>
  <c r="X523" i="2"/>
  <c r="K523" i="2"/>
  <c r="L523" i="2" s="1"/>
  <c r="J523" i="2"/>
  <c r="AG522" i="2"/>
  <c r="AH522" i="2" s="1"/>
  <c r="AA522" i="2"/>
  <c r="Y522" i="2"/>
  <c r="X522" i="2"/>
  <c r="Z522" i="2" s="1"/>
  <c r="L522" i="2"/>
  <c r="K522" i="2"/>
  <c r="J522" i="2"/>
  <c r="AG521" i="2"/>
  <c r="AH521" i="2" s="1"/>
  <c r="AA521" i="2"/>
  <c r="Y521" i="2"/>
  <c r="X521" i="2"/>
  <c r="Z521" i="2" s="1"/>
  <c r="J521" i="2"/>
  <c r="AH520" i="2"/>
  <c r="AG520" i="2"/>
  <c r="AA520" i="2"/>
  <c r="Y520" i="2"/>
  <c r="Z520" i="2" s="1"/>
  <c r="X520" i="2"/>
  <c r="K520" i="2"/>
  <c r="J520" i="2"/>
  <c r="AH519" i="2"/>
  <c r="AG519" i="2"/>
  <c r="AA519" i="2"/>
  <c r="Z519" i="2"/>
  <c r="Y519" i="2"/>
  <c r="X519" i="2"/>
  <c r="L519" i="2"/>
  <c r="K519" i="2"/>
  <c r="J519" i="2"/>
  <c r="AG518" i="2"/>
  <c r="AH518" i="2" s="1"/>
  <c r="AA518" i="2"/>
  <c r="Y518" i="2"/>
  <c r="X518" i="2"/>
  <c r="Z518" i="2" s="1"/>
  <c r="L518" i="2"/>
  <c r="K518" i="2"/>
  <c r="J518" i="2"/>
  <c r="AG517" i="2"/>
  <c r="AH517" i="2" s="1"/>
  <c r="AA517" i="2"/>
  <c r="Y517" i="2"/>
  <c r="X517" i="2"/>
  <c r="J517" i="2"/>
  <c r="AH516" i="2"/>
  <c r="AG516" i="2"/>
  <c r="AA516" i="2"/>
  <c r="Y516" i="2"/>
  <c r="Z516" i="2" s="1"/>
  <c r="X516" i="2"/>
  <c r="J516" i="2"/>
  <c r="AH515" i="2"/>
  <c r="AG515" i="2"/>
  <c r="AA515" i="2"/>
  <c r="Z515" i="2"/>
  <c r="Y515" i="2"/>
  <c r="X515" i="2"/>
  <c r="K515" i="2"/>
  <c r="L515" i="2" s="1"/>
  <c r="J515" i="2"/>
  <c r="AG514" i="2"/>
  <c r="AH514" i="2" s="1"/>
  <c r="AA514" i="2"/>
  <c r="Y514" i="2"/>
  <c r="X514" i="2"/>
  <c r="Z514" i="2" s="1"/>
  <c r="L514" i="2"/>
  <c r="K514" i="2"/>
  <c r="J514" i="2"/>
  <c r="AG513" i="2"/>
  <c r="AH513" i="2" s="1"/>
  <c r="AA513" i="2"/>
  <c r="Y513" i="2"/>
  <c r="X513" i="2"/>
  <c r="Z513" i="2" s="1"/>
  <c r="J513" i="2"/>
  <c r="AH512" i="2"/>
  <c r="AG512" i="2"/>
  <c r="AA512" i="2"/>
  <c r="Y512" i="2"/>
  <c r="Z512" i="2" s="1"/>
  <c r="X512" i="2"/>
  <c r="K512" i="2"/>
  <c r="J512" i="2"/>
  <c r="AH511" i="2"/>
  <c r="AG511" i="2"/>
  <c r="AA511" i="2"/>
  <c r="Z511" i="2"/>
  <c r="Y511" i="2"/>
  <c r="X511" i="2"/>
  <c r="L511" i="2"/>
  <c r="K511" i="2"/>
  <c r="J511" i="2"/>
  <c r="AG510" i="2"/>
  <c r="AH510" i="2" s="1"/>
  <c r="AA510" i="2"/>
  <c r="Y510" i="2"/>
  <c r="X510" i="2"/>
  <c r="Z510" i="2" s="1"/>
  <c r="L510" i="2"/>
  <c r="K510" i="2"/>
  <c r="J510" i="2"/>
  <c r="AG509" i="2"/>
  <c r="AH509" i="2" s="1"/>
  <c r="AA509" i="2"/>
  <c r="Y509" i="2"/>
  <c r="X509" i="2"/>
  <c r="J509" i="2"/>
  <c r="AH508" i="2"/>
  <c r="AG508" i="2"/>
  <c r="AA508" i="2"/>
  <c r="Y508" i="2"/>
  <c r="Z508" i="2" s="1"/>
  <c r="X508" i="2"/>
  <c r="J508" i="2"/>
  <c r="AH507" i="2"/>
  <c r="AG507" i="2"/>
  <c r="AA507" i="2"/>
  <c r="Z507" i="2"/>
  <c r="Y507" i="2"/>
  <c r="X507" i="2"/>
  <c r="K507" i="2"/>
  <c r="L507" i="2" s="1"/>
  <c r="J507" i="2"/>
  <c r="AG506" i="2"/>
  <c r="AH506" i="2" s="1"/>
  <c r="AA506" i="2"/>
  <c r="Y506" i="2"/>
  <c r="X506" i="2"/>
  <c r="Z506" i="2" s="1"/>
  <c r="L506" i="2"/>
  <c r="K506" i="2"/>
  <c r="J506" i="2"/>
  <c r="AG505" i="2"/>
  <c r="AH505" i="2" s="1"/>
  <c r="AA505" i="2"/>
  <c r="Y505" i="2"/>
  <c r="X505" i="2"/>
  <c r="Z505" i="2" s="1"/>
  <c r="J505" i="2"/>
  <c r="AH504" i="2"/>
  <c r="AG504" i="2"/>
  <c r="AA504" i="2"/>
  <c r="Y504" i="2"/>
  <c r="Z504" i="2" s="1"/>
  <c r="X504" i="2"/>
  <c r="K504" i="2"/>
  <c r="J504" i="2"/>
  <c r="AH503" i="2"/>
  <c r="AG503" i="2"/>
  <c r="AA503" i="2"/>
  <c r="Z503" i="2"/>
  <c r="Y503" i="2"/>
  <c r="X503" i="2"/>
  <c r="L503" i="2"/>
  <c r="K503" i="2"/>
  <c r="J503" i="2"/>
  <c r="AG502" i="2"/>
  <c r="AH502" i="2" s="1"/>
  <c r="AA502" i="2"/>
  <c r="Y502" i="2"/>
  <c r="X502" i="2"/>
  <c r="Z502" i="2" s="1"/>
  <c r="L502" i="2"/>
  <c r="K502" i="2"/>
  <c r="J502" i="2"/>
  <c r="AG501" i="2"/>
  <c r="AH501" i="2" s="1"/>
  <c r="AA501" i="2"/>
  <c r="Y501" i="2"/>
  <c r="X501" i="2"/>
  <c r="J501" i="2"/>
  <c r="AH500" i="2"/>
  <c r="AG500" i="2"/>
  <c r="AA500" i="2"/>
  <c r="Y500" i="2"/>
  <c r="Z500" i="2" s="1"/>
  <c r="X500" i="2"/>
  <c r="J500" i="2"/>
  <c r="AH499" i="2"/>
  <c r="AG499" i="2"/>
  <c r="AA499" i="2"/>
  <c r="Z499" i="2"/>
  <c r="Y499" i="2"/>
  <c r="X499" i="2"/>
  <c r="K499" i="2"/>
  <c r="L499" i="2" s="1"/>
  <c r="J499" i="2"/>
  <c r="AG498" i="2"/>
  <c r="AH498" i="2" s="1"/>
  <c r="AA498" i="2"/>
  <c r="Y498" i="2"/>
  <c r="X498" i="2"/>
  <c r="Z498" i="2" s="1"/>
  <c r="L498" i="2"/>
  <c r="K498" i="2"/>
  <c r="J498" i="2"/>
  <c r="AG497" i="2"/>
  <c r="AH497" i="2" s="1"/>
  <c r="AA497" i="2"/>
  <c r="Y497" i="2"/>
  <c r="X497" i="2"/>
  <c r="Z497" i="2" s="1"/>
  <c r="J497" i="2"/>
  <c r="AH496" i="2"/>
  <c r="AG496" i="2"/>
  <c r="AA496" i="2"/>
  <c r="Y496" i="2"/>
  <c r="Z496" i="2" s="1"/>
  <c r="X496" i="2"/>
  <c r="K496" i="2"/>
  <c r="J496" i="2"/>
  <c r="AH495" i="2"/>
  <c r="AG495" i="2"/>
  <c r="AA495" i="2"/>
  <c r="Z495" i="2"/>
  <c r="Y495" i="2"/>
  <c r="X495" i="2"/>
  <c r="L495" i="2"/>
  <c r="K495" i="2"/>
  <c r="J495" i="2"/>
  <c r="AG494" i="2"/>
  <c r="AH494" i="2" s="1"/>
  <c r="AA494" i="2"/>
  <c r="Y494" i="2"/>
  <c r="X494" i="2"/>
  <c r="Z494" i="2" s="1"/>
  <c r="L494" i="2"/>
  <c r="K494" i="2"/>
  <c r="J494" i="2"/>
  <c r="AG493" i="2"/>
  <c r="AH493" i="2" s="1"/>
  <c r="AA493" i="2"/>
  <c r="Y493" i="2"/>
  <c r="X493" i="2"/>
  <c r="J493" i="2"/>
  <c r="AH492" i="2"/>
  <c r="AG492" i="2"/>
  <c r="AA492" i="2"/>
  <c r="Y492" i="2"/>
  <c r="Z492" i="2" s="1"/>
  <c r="X492" i="2"/>
  <c r="J492" i="2"/>
  <c r="AH491" i="2"/>
  <c r="AG491" i="2"/>
  <c r="AA491" i="2"/>
  <c r="Z491" i="2"/>
  <c r="Y491" i="2"/>
  <c r="X491" i="2"/>
  <c r="K491" i="2"/>
  <c r="L491" i="2" s="1"/>
  <c r="J491" i="2"/>
  <c r="AG490" i="2"/>
  <c r="AH490" i="2" s="1"/>
  <c r="AA490" i="2"/>
  <c r="Y490" i="2"/>
  <c r="X490" i="2"/>
  <c r="Z490" i="2" s="1"/>
  <c r="L490" i="2"/>
  <c r="K490" i="2"/>
  <c r="J490" i="2"/>
  <c r="AG489" i="2"/>
  <c r="AH489" i="2" s="1"/>
  <c r="AA489" i="2"/>
  <c r="Y489" i="2"/>
  <c r="X489" i="2"/>
  <c r="Z489" i="2" s="1"/>
  <c r="J489" i="2"/>
  <c r="AH488" i="2"/>
  <c r="AG488" i="2"/>
  <c r="AA488" i="2"/>
  <c r="Z488" i="2"/>
  <c r="Y488" i="2"/>
  <c r="X488" i="2"/>
  <c r="K488" i="2"/>
  <c r="J488" i="2"/>
  <c r="AH487" i="2"/>
  <c r="AG487" i="2"/>
  <c r="AA487" i="2"/>
  <c r="Z487" i="2"/>
  <c r="Y487" i="2"/>
  <c r="X487" i="2"/>
  <c r="L487" i="2"/>
  <c r="K487" i="2"/>
  <c r="J487" i="2"/>
  <c r="AG486" i="2"/>
  <c r="AH486" i="2" s="1"/>
  <c r="AA486" i="2"/>
  <c r="Y486" i="2"/>
  <c r="X486" i="2"/>
  <c r="Z486" i="2" s="1"/>
  <c r="L486" i="2"/>
  <c r="K486" i="2"/>
  <c r="J486" i="2"/>
  <c r="AG485" i="2"/>
  <c r="AH485" i="2" s="1"/>
  <c r="AA485" i="2"/>
  <c r="Y485" i="2"/>
  <c r="X485" i="2"/>
  <c r="J485" i="2"/>
  <c r="AH484" i="2"/>
  <c r="AG484" i="2"/>
  <c r="AA484" i="2"/>
  <c r="Y484" i="2"/>
  <c r="Z484" i="2" s="1"/>
  <c r="X484" i="2"/>
  <c r="J484" i="2"/>
  <c r="AH483" i="2"/>
  <c r="AG483" i="2"/>
  <c r="AA483" i="2"/>
  <c r="Z483" i="2"/>
  <c r="Y483" i="2"/>
  <c r="X483" i="2"/>
  <c r="K483" i="2"/>
  <c r="L483" i="2" s="1"/>
  <c r="J483" i="2"/>
  <c r="AG482" i="2"/>
  <c r="AH482" i="2" s="1"/>
  <c r="AA482" i="2"/>
  <c r="Y482" i="2"/>
  <c r="X482" i="2"/>
  <c r="Z482" i="2" s="1"/>
  <c r="L482" i="2"/>
  <c r="K482" i="2"/>
  <c r="J482" i="2"/>
  <c r="AH481" i="2"/>
  <c r="AG481" i="2"/>
  <c r="AA481" i="2"/>
  <c r="Y481" i="2"/>
  <c r="X481" i="2"/>
  <c r="Z481" i="2" s="1"/>
  <c r="J481" i="2"/>
  <c r="AH480" i="2"/>
  <c r="AG480" i="2"/>
  <c r="AA480" i="2"/>
  <c r="Z480" i="2"/>
  <c r="Y480" i="2"/>
  <c r="X480" i="2"/>
  <c r="K480" i="2"/>
  <c r="J480" i="2"/>
  <c r="AH479" i="2"/>
  <c r="AG479" i="2"/>
  <c r="AA479" i="2"/>
  <c r="Z479" i="2"/>
  <c r="Y479" i="2"/>
  <c r="X479" i="2"/>
  <c r="L479" i="2"/>
  <c r="K479" i="2"/>
  <c r="J479" i="2"/>
  <c r="AG478" i="2"/>
  <c r="AH478" i="2" s="1"/>
  <c r="AA478" i="2"/>
  <c r="Y478" i="2"/>
  <c r="X478" i="2"/>
  <c r="Z478" i="2" s="1"/>
  <c r="L478" i="2"/>
  <c r="K478" i="2"/>
  <c r="J478" i="2"/>
  <c r="AG477" i="2"/>
  <c r="AH477" i="2" s="1"/>
  <c r="AA477" i="2"/>
  <c r="Y477" i="2"/>
  <c r="X477" i="2"/>
  <c r="J477" i="2"/>
  <c r="AH476" i="2"/>
  <c r="AG476" i="2"/>
  <c r="AA476" i="2"/>
  <c r="Y476" i="2"/>
  <c r="Z476" i="2" s="1"/>
  <c r="X476" i="2"/>
  <c r="J476" i="2"/>
  <c r="AH475" i="2"/>
  <c r="AG475" i="2"/>
  <c r="AA475" i="2"/>
  <c r="Z475" i="2"/>
  <c r="Y475" i="2"/>
  <c r="X475" i="2"/>
  <c r="K475" i="2"/>
  <c r="L475" i="2" s="1"/>
  <c r="J475" i="2"/>
  <c r="AG474" i="2"/>
  <c r="AH474" i="2" s="1"/>
  <c r="AA474" i="2"/>
  <c r="Y474" i="2"/>
  <c r="X474" i="2"/>
  <c r="Z474" i="2" s="1"/>
  <c r="L474" i="2"/>
  <c r="K474" i="2"/>
  <c r="J474" i="2"/>
  <c r="AH473" i="2"/>
  <c r="AG473" i="2"/>
  <c r="AA473" i="2"/>
  <c r="Y473" i="2"/>
  <c r="X473" i="2"/>
  <c r="Z473" i="2" s="1"/>
  <c r="J473" i="2"/>
  <c r="AH472" i="2"/>
  <c r="AG472" i="2"/>
  <c r="AA472" i="2"/>
  <c r="Z472" i="2"/>
  <c r="Y472" i="2"/>
  <c r="X472" i="2"/>
  <c r="K472" i="2"/>
  <c r="J472" i="2"/>
  <c r="AH471" i="2"/>
  <c r="AG471" i="2"/>
  <c r="AA471" i="2"/>
  <c r="Z471" i="2"/>
  <c r="Y471" i="2"/>
  <c r="X471" i="2"/>
  <c r="L471" i="2"/>
  <c r="K471" i="2"/>
  <c r="J471" i="2"/>
  <c r="AG470" i="2"/>
  <c r="AH470" i="2" s="1"/>
  <c r="AA470" i="2"/>
  <c r="Y470" i="2"/>
  <c r="X470" i="2"/>
  <c r="Z470" i="2" s="1"/>
  <c r="L470" i="2"/>
  <c r="K470" i="2"/>
  <c r="J470" i="2"/>
  <c r="AG469" i="2"/>
  <c r="AH469" i="2" s="1"/>
  <c r="AA469" i="2"/>
  <c r="Y469" i="2"/>
  <c r="X469" i="2"/>
  <c r="J469" i="2"/>
  <c r="AH468" i="2"/>
  <c r="AG468" i="2"/>
  <c r="AA468" i="2"/>
  <c r="Y468" i="2"/>
  <c r="Z468" i="2" s="1"/>
  <c r="X468" i="2"/>
  <c r="J468" i="2"/>
  <c r="AH467" i="2"/>
  <c r="AG467" i="2"/>
  <c r="AA467" i="2"/>
  <c r="Z467" i="2"/>
  <c r="Y467" i="2"/>
  <c r="X467" i="2"/>
  <c r="K467" i="2"/>
  <c r="L467" i="2" s="1"/>
  <c r="J467" i="2"/>
  <c r="AG466" i="2"/>
  <c r="AH466" i="2" s="1"/>
  <c r="AA466" i="2"/>
  <c r="Y466" i="2"/>
  <c r="X466" i="2"/>
  <c r="Z466" i="2" s="1"/>
  <c r="L466" i="2"/>
  <c r="K466" i="2"/>
  <c r="J466" i="2"/>
  <c r="AH465" i="2"/>
  <c r="AG465" i="2"/>
  <c r="AA465" i="2"/>
  <c r="Y465" i="2"/>
  <c r="X465" i="2"/>
  <c r="Z465" i="2" s="1"/>
  <c r="J465" i="2"/>
  <c r="AH464" i="2"/>
  <c r="AG464" i="2"/>
  <c r="AA464" i="2"/>
  <c r="Z464" i="2"/>
  <c r="Y464" i="2"/>
  <c r="X464" i="2"/>
  <c r="K464" i="2"/>
  <c r="J464" i="2"/>
  <c r="AH463" i="2"/>
  <c r="AG463" i="2"/>
  <c r="AA463" i="2"/>
  <c r="Z463" i="2"/>
  <c r="Y463" i="2"/>
  <c r="X463" i="2"/>
  <c r="L463" i="2"/>
  <c r="K463" i="2"/>
  <c r="J463" i="2"/>
  <c r="AG462" i="2"/>
  <c r="AH462" i="2" s="1"/>
  <c r="AA462" i="2"/>
  <c r="Y462" i="2"/>
  <c r="X462" i="2"/>
  <c r="Z462" i="2" s="1"/>
  <c r="L462" i="2"/>
  <c r="K462" i="2"/>
  <c r="J462" i="2"/>
  <c r="AG461" i="2"/>
  <c r="AH461" i="2" s="1"/>
  <c r="AA461" i="2"/>
  <c r="Y461" i="2"/>
  <c r="X461" i="2"/>
  <c r="J461" i="2"/>
  <c r="AH460" i="2"/>
  <c r="AG460" i="2"/>
  <c r="AA460" i="2"/>
  <c r="Y460" i="2"/>
  <c r="Z460" i="2" s="1"/>
  <c r="X460" i="2"/>
  <c r="J460" i="2"/>
  <c r="AH459" i="2"/>
  <c r="AG459" i="2"/>
  <c r="AA459" i="2"/>
  <c r="Z459" i="2"/>
  <c r="Y459" i="2"/>
  <c r="X459" i="2"/>
  <c r="K459" i="2"/>
  <c r="L459" i="2" s="1"/>
  <c r="J459" i="2"/>
  <c r="AG458" i="2"/>
  <c r="AH458" i="2" s="1"/>
  <c r="AA458" i="2"/>
  <c r="Y458" i="2"/>
  <c r="X458" i="2"/>
  <c r="Z458" i="2" s="1"/>
  <c r="L458" i="2"/>
  <c r="K458" i="2"/>
  <c r="J458" i="2"/>
  <c r="AH457" i="2"/>
  <c r="AG457" i="2"/>
  <c r="AA457" i="2"/>
  <c r="Y457" i="2"/>
  <c r="X457" i="2"/>
  <c r="Z457" i="2" s="1"/>
  <c r="J457" i="2"/>
  <c r="AH456" i="2"/>
  <c r="AG456" i="2"/>
  <c r="AA456" i="2"/>
  <c r="Z456" i="2"/>
  <c r="Y456" i="2"/>
  <c r="X456" i="2"/>
  <c r="K456" i="2"/>
  <c r="J456" i="2"/>
  <c r="AH455" i="2"/>
  <c r="AG455" i="2"/>
  <c r="AA455" i="2"/>
  <c r="Z455" i="2"/>
  <c r="Y455" i="2"/>
  <c r="X455" i="2"/>
  <c r="L455" i="2"/>
  <c r="K455" i="2"/>
  <c r="J455" i="2"/>
  <c r="AG454" i="2"/>
  <c r="AH454" i="2" s="1"/>
  <c r="AA454" i="2"/>
  <c r="Y454" i="2"/>
  <c r="X454" i="2"/>
  <c r="Z454" i="2" s="1"/>
  <c r="L454" i="2"/>
  <c r="K454" i="2"/>
  <c r="J454" i="2"/>
  <c r="AG453" i="2"/>
  <c r="AH453" i="2" s="1"/>
  <c r="AA453" i="2"/>
  <c r="Y453" i="2"/>
  <c r="X453" i="2"/>
  <c r="J453" i="2"/>
  <c r="AH452" i="2"/>
  <c r="AG452" i="2"/>
  <c r="AA452" i="2"/>
  <c r="Y452" i="2"/>
  <c r="Z452" i="2" s="1"/>
  <c r="X452" i="2"/>
  <c r="J452" i="2"/>
  <c r="AH451" i="2"/>
  <c r="AG451" i="2"/>
  <c r="AA451" i="2"/>
  <c r="Z451" i="2"/>
  <c r="Y451" i="2"/>
  <c r="X451" i="2"/>
  <c r="K451" i="2"/>
  <c r="L451" i="2" s="1"/>
  <c r="J451" i="2"/>
  <c r="AG450" i="2"/>
  <c r="AH450" i="2" s="1"/>
  <c r="AA450" i="2"/>
  <c r="Y450" i="2"/>
  <c r="X450" i="2"/>
  <c r="Z450" i="2" s="1"/>
  <c r="L450" i="2"/>
  <c r="K450" i="2"/>
  <c r="J450" i="2"/>
  <c r="AH449" i="2"/>
  <c r="AG449" i="2"/>
  <c r="AA449" i="2"/>
  <c r="Y449" i="2"/>
  <c r="X449" i="2"/>
  <c r="Z449" i="2" s="1"/>
  <c r="J449" i="2"/>
  <c r="AH448" i="2"/>
  <c r="AG448" i="2"/>
  <c r="AA448" i="2"/>
  <c r="Z448" i="2"/>
  <c r="Y448" i="2"/>
  <c r="X448" i="2"/>
  <c r="K448" i="2"/>
  <c r="J448" i="2"/>
  <c r="AH447" i="2"/>
  <c r="AG447" i="2"/>
  <c r="AA447" i="2"/>
  <c r="Z447" i="2"/>
  <c r="Y447" i="2"/>
  <c r="X447" i="2"/>
  <c r="L447" i="2"/>
  <c r="K447" i="2"/>
  <c r="J447" i="2"/>
  <c r="AG446" i="2"/>
  <c r="AH446" i="2" s="1"/>
  <c r="AA446" i="2"/>
  <c r="Y446" i="2"/>
  <c r="X446" i="2"/>
  <c r="Z446" i="2" s="1"/>
  <c r="L446" i="2"/>
  <c r="K446" i="2"/>
  <c r="J446" i="2"/>
  <c r="AG445" i="2"/>
  <c r="AH445" i="2" s="1"/>
  <c r="AA445" i="2"/>
  <c r="Y445" i="2"/>
  <c r="X445" i="2"/>
  <c r="J445" i="2"/>
  <c r="AH444" i="2"/>
  <c r="AG444" i="2"/>
  <c r="AA444" i="2"/>
  <c r="Y444" i="2"/>
  <c r="Z444" i="2" s="1"/>
  <c r="X444" i="2"/>
  <c r="J444" i="2"/>
  <c r="AH443" i="2"/>
  <c r="AG443" i="2"/>
  <c r="AA443" i="2"/>
  <c r="Z443" i="2"/>
  <c r="Y443" i="2"/>
  <c r="X443" i="2"/>
  <c r="K443" i="2"/>
  <c r="L443" i="2" s="1"/>
  <c r="J443" i="2"/>
  <c r="AG442" i="2"/>
  <c r="AH442" i="2" s="1"/>
  <c r="AA442" i="2"/>
  <c r="Y442" i="2"/>
  <c r="X442" i="2"/>
  <c r="Z442" i="2" s="1"/>
  <c r="L442" i="2"/>
  <c r="K442" i="2"/>
  <c r="J442" i="2"/>
  <c r="AH441" i="2"/>
  <c r="AG441" i="2"/>
  <c r="AA441" i="2"/>
  <c r="Y441" i="2"/>
  <c r="X441" i="2"/>
  <c r="Z441" i="2" s="1"/>
  <c r="J441" i="2"/>
  <c r="AH440" i="2"/>
  <c r="AG440" i="2"/>
  <c r="AA440" i="2"/>
  <c r="Z440" i="2"/>
  <c r="Y440" i="2"/>
  <c r="X440" i="2"/>
  <c r="K440" i="2"/>
  <c r="J440" i="2"/>
  <c r="AH439" i="2"/>
  <c r="AG439" i="2"/>
  <c r="AA439" i="2"/>
  <c r="Z439" i="2"/>
  <c r="Y439" i="2"/>
  <c r="X439" i="2"/>
  <c r="L439" i="2"/>
  <c r="K439" i="2"/>
  <c r="J439" i="2"/>
  <c r="AG438" i="2"/>
  <c r="AH438" i="2" s="1"/>
  <c r="AA438" i="2"/>
  <c r="Y438" i="2"/>
  <c r="X438" i="2"/>
  <c r="Z438" i="2" s="1"/>
  <c r="L438" i="2"/>
  <c r="K438" i="2"/>
  <c r="J438" i="2"/>
  <c r="AG437" i="2"/>
  <c r="AH437" i="2" s="1"/>
  <c r="AA437" i="2"/>
  <c r="Y437" i="2"/>
  <c r="X437" i="2"/>
  <c r="J437" i="2"/>
  <c r="AH436" i="2"/>
  <c r="AG436" i="2"/>
  <c r="AA436" i="2"/>
  <c r="Y436" i="2"/>
  <c r="Z436" i="2" s="1"/>
  <c r="X436" i="2"/>
  <c r="J436" i="2"/>
  <c r="AH435" i="2"/>
  <c r="AG435" i="2"/>
  <c r="AA435" i="2"/>
  <c r="Z435" i="2"/>
  <c r="Y435" i="2"/>
  <c r="X435" i="2"/>
  <c r="K435" i="2"/>
  <c r="L435" i="2" s="1"/>
  <c r="J435" i="2"/>
  <c r="AG434" i="2"/>
  <c r="AH434" i="2" s="1"/>
  <c r="AA434" i="2"/>
  <c r="Y434" i="2"/>
  <c r="X434" i="2"/>
  <c r="Z434" i="2" s="1"/>
  <c r="L434" i="2"/>
  <c r="K434" i="2"/>
  <c r="J434" i="2"/>
  <c r="AH433" i="2"/>
  <c r="AG433" i="2"/>
  <c r="AA433" i="2"/>
  <c r="Y433" i="2"/>
  <c r="X433" i="2"/>
  <c r="Z433" i="2" s="1"/>
  <c r="J433" i="2"/>
  <c r="AH432" i="2"/>
  <c r="AG432" i="2"/>
  <c r="AA432" i="2"/>
  <c r="Z432" i="2"/>
  <c r="Y432" i="2"/>
  <c r="X432" i="2"/>
  <c r="K432" i="2"/>
  <c r="J432" i="2"/>
  <c r="AH431" i="2"/>
  <c r="AG431" i="2"/>
  <c r="AA431" i="2"/>
  <c r="Z431" i="2"/>
  <c r="Y431" i="2"/>
  <c r="X431" i="2"/>
  <c r="L431" i="2"/>
  <c r="K431" i="2"/>
  <c r="J431" i="2"/>
  <c r="AG430" i="2"/>
  <c r="AH430" i="2" s="1"/>
  <c r="AA430" i="2"/>
  <c r="Y430" i="2"/>
  <c r="X430" i="2"/>
  <c r="Z430" i="2" s="1"/>
  <c r="L430" i="2"/>
  <c r="K430" i="2"/>
  <c r="J430" i="2"/>
  <c r="AG429" i="2"/>
  <c r="AH429" i="2" s="1"/>
  <c r="AA429" i="2"/>
  <c r="Y429" i="2"/>
  <c r="X429" i="2"/>
  <c r="J429" i="2"/>
  <c r="AH428" i="2"/>
  <c r="AG428" i="2"/>
  <c r="AA428" i="2"/>
  <c r="Y428" i="2"/>
  <c r="Z428" i="2" s="1"/>
  <c r="X428" i="2"/>
  <c r="J428" i="2"/>
  <c r="AH427" i="2"/>
  <c r="AG427" i="2"/>
  <c r="AA427" i="2"/>
  <c r="Z427" i="2"/>
  <c r="Y427" i="2"/>
  <c r="X427" i="2"/>
  <c r="K427" i="2"/>
  <c r="L427" i="2" s="1"/>
  <c r="J427" i="2"/>
  <c r="AG426" i="2"/>
  <c r="AH426" i="2" s="1"/>
  <c r="AA426" i="2"/>
  <c r="Y426" i="2"/>
  <c r="X426" i="2"/>
  <c r="Z426" i="2" s="1"/>
  <c r="L426" i="2"/>
  <c r="K426" i="2"/>
  <c r="J426" i="2"/>
  <c r="AH425" i="2"/>
  <c r="AG425" i="2"/>
  <c r="AA425" i="2"/>
  <c r="Y425" i="2"/>
  <c r="X425" i="2"/>
  <c r="Z425" i="2" s="1"/>
  <c r="J425" i="2"/>
  <c r="AH424" i="2"/>
  <c r="AG424" i="2"/>
  <c r="AA424" i="2"/>
  <c r="Z424" i="2"/>
  <c r="Y424" i="2"/>
  <c r="X424" i="2"/>
  <c r="K424" i="2"/>
  <c r="J424" i="2"/>
  <c r="AH423" i="2"/>
  <c r="AG423" i="2"/>
  <c r="AA423" i="2"/>
  <c r="Z423" i="2"/>
  <c r="Y423" i="2"/>
  <c r="X423" i="2"/>
  <c r="L423" i="2"/>
  <c r="K423" i="2"/>
  <c r="J423" i="2"/>
  <c r="AG422" i="2"/>
  <c r="AH422" i="2" s="1"/>
  <c r="AA422" i="2"/>
  <c r="Y422" i="2"/>
  <c r="X422" i="2"/>
  <c r="Z422" i="2" s="1"/>
  <c r="L422" i="2"/>
  <c r="K422" i="2"/>
  <c r="J422" i="2"/>
  <c r="AG421" i="2"/>
  <c r="AH421" i="2" s="1"/>
  <c r="AA421" i="2"/>
  <c r="Y421" i="2"/>
  <c r="X421" i="2"/>
  <c r="J421" i="2"/>
  <c r="AH420" i="2"/>
  <c r="AG420" i="2"/>
  <c r="AA420" i="2"/>
  <c r="Y420" i="2"/>
  <c r="Z420" i="2" s="1"/>
  <c r="X420" i="2"/>
  <c r="J420" i="2"/>
  <c r="AH419" i="2"/>
  <c r="AG419" i="2"/>
  <c r="AA419" i="2"/>
  <c r="Z419" i="2"/>
  <c r="Y419" i="2"/>
  <c r="X419" i="2"/>
  <c r="K419" i="2"/>
  <c r="L419" i="2" s="1"/>
  <c r="J419" i="2"/>
  <c r="AG418" i="2"/>
  <c r="AH418" i="2" s="1"/>
  <c r="AA418" i="2"/>
  <c r="Y418" i="2"/>
  <c r="X418" i="2"/>
  <c r="Z418" i="2" s="1"/>
  <c r="L418" i="2"/>
  <c r="K418" i="2"/>
  <c r="J418" i="2"/>
  <c r="AH417" i="2"/>
  <c r="AG417" i="2"/>
  <c r="AA417" i="2"/>
  <c r="Y417" i="2"/>
  <c r="X417" i="2"/>
  <c r="Z417" i="2" s="1"/>
  <c r="J417" i="2"/>
  <c r="AH416" i="2"/>
  <c r="AG416" i="2"/>
  <c r="AA416" i="2"/>
  <c r="Z416" i="2"/>
  <c r="Y416" i="2"/>
  <c r="X416" i="2"/>
  <c r="K416" i="2"/>
  <c r="J416" i="2"/>
  <c r="AH415" i="2"/>
  <c r="AG415" i="2"/>
  <c r="AA415" i="2"/>
  <c r="Z415" i="2"/>
  <c r="Y415" i="2"/>
  <c r="X415" i="2"/>
  <c r="L415" i="2"/>
  <c r="K415" i="2"/>
  <c r="J415" i="2"/>
  <c r="AG414" i="2"/>
  <c r="AH414" i="2" s="1"/>
  <c r="AA414" i="2"/>
  <c r="Y414" i="2"/>
  <c r="X414" i="2"/>
  <c r="Z414" i="2" s="1"/>
  <c r="L414" i="2"/>
  <c r="K414" i="2"/>
  <c r="J414" i="2"/>
  <c r="AG413" i="2"/>
  <c r="AH413" i="2" s="1"/>
  <c r="AA413" i="2"/>
  <c r="Y413" i="2"/>
  <c r="X413" i="2"/>
  <c r="J413" i="2"/>
  <c r="AH412" i="2"/>
  <c r="AG412" i="2"/>
  <c r="AA412" i="2"/>
  <c r="Y412" i="2"/>
  <c r="Z412" i="2" s="1"/>
  <c r="X412" i="2"/>
  <c r="J412" i="2"/>
  <c r="AH411" i="2"/>
  <c r="AG411" i="2"/>
  <c r="AA411" i="2"/>
  <c r="Z411" i="2"/>
  <c r="Y411" i="2"/>
  <c r="X411" i="2"/>
  <c r="K411" i="2"/>
  <c r="L411" i="2" s="1"/>
  <c r="J411" i="2"/>
  <c r="AG410" i="2"/>
  <c r="AH410" i="2" s="1"/>
  <c r="AA410" i="2"/>
  <c r="Y410" i="2"/>
  <c r="X410" i="2"/>
  <c r="Z410" i="2" s="1"/>
  <c r="L410" i="2"/>
  <c r="K410" i="2"/>
  <c r="J410" i="2"/>
  <c r="AH409" i="2"/>
  <c r="AG409" i="2"/>
  <c r="AA409" i="2"/>
  <c r="Y409" i="2"/>
  <c r="X409" i="2"/>
  <c r="Z409" i="2" s="1"/>
  <c r="J409" i="2"/>
  <c r="AH408" i="2"/>
  <c r="AG408" i="2"/>
  <c r="AA408" i="2"/>
  <c r="Z408" i="2"/>
  <c r="Y408" i="2"/>
  <c r="X408" i="2"/>
  <c r="K408" i="2"/>
  <c r="J408" i="2"/>
  <c r="AH407" i="2"/>
  <c r="AG407" i="2"/>
  <c r="AA407" i="2"/>
  <c r="Z407" i="2"/>
  <c r="Y407" i="2"/>
  <c r="X407" i="2"/>
  <c r="L407" i="2"/>
  <c r="K407" i="2"/>
  <c r="J407" i="2"/>
  <c r="AG406" i="2"/>
  <c r="AH406" i="2" s="1"/>
  <c r="AA406" i="2"/>
  <c r="Y406" i="2"/>
  <c r="X406" i="2"/>
  <c r="Z406" i="2" s="1"/>
  <c r="L406" i="2"/>
  <c r="K406" i="2"/>
  <c r="J406" i="2"/>
  <c r="AG405" i="2"/>
  <c r="AH405" i="2" s="1"/>
  <c r="AA405" i="2"/>
  <c r="Y405" i="2"/>
  <c r="X405" i="2"/>
  <c r="J405" i="2"/>
  <c r="AH404" i="2"/>
  <c r="AG404" i="2"/>
  <c r="AA404" i="2"/>
  <c r="Y404" i="2"/>
  <c r="Z404" i="2" s="1"/>
  <c r="X404" i="2"/>
  <c r="J404" i="2"/>
  <c r="AH403" i="2"/>
  <c r="AG403" i="2"/>
  <c r="AA403" i="2"/>
  <c r="Z403" i="2"/>
  <c r="Y403" i="2"/>
  <c r="X403" i="2"/>
  <c r="K403" i="2"/>
  <c r="L403" i="2" s="1"/>
  <c r="J403" i="2"/>
  <c r="AG402" i="2"/>
  <c r="AH402" i="2" s="1"/>
  <c r="AA402" i="2"/>
  <c r="Y402" i="2"/>
  <c r="X402" i="2"/>
  <c r="Z402" i="2" s="1"/>
  <c r="L402" i="2"/>
  <c r="K402" i="2"/>
  <c r="J402" i="2"/>
  <c r="AH401" i="2"/>
  <c r="AG401" i="2"/>
  <c r="AA401" i="2"/>
  <c r="Y401" i="2"/>
  <c r="X401" i="2"/>
  <c r="Z401" i="2" s="1"/>
  <c r="K401" i="2"/>
  <c r="L401" i="2" s="1"/>
  <c r="AH400" i="2"/>
  <c r="AG400" i="2"/>
  <c r="AA400" i="2"/>
  <c r="Z400" i="2"/>
  <c r="Y400" i="2"/>
  <c r="X400" i="2"/>
  <c r="L400" i="2"/>
  <c r="K400" i="2"/>
  <c r="AH399" i="2"/>
  <c r="AG399" i="2"/>
  <c r="AA399" i="2"/>
  <c r="Z399" i="2"/>
  <c r="Y399" i="2"/>
  <c r="X399" i="2"/>
  <c r="L399" i="2"/>
  <c r="K399" i="2"/>
  <c r="AG398" i="2"/>
  <c r="AH398" i="2" s="1"/>
  <c r="AA398" i="2"/>
  <c r="Y398" i="2"/>
  <c r="X398" i="2"/>
  <c r="Z398" i="2" s="1"/>
  <c r="L398" i="2"/>
  <c r="K398" i="2"/>
  <c r="AG397" i="2"/>
  <c r="AH397" i="2" s="1"/>
  <c r="AA397" i="2"/>
  <c r="Y397" i="2"/>
  <c r="X397" i="2"/>
  <c r="K397" i="2"/>
  <c r="L397" i="2" s="1"/>
  <c r="AH396" i="2"/>
  <c r="AG396" i="2"/>
  <c r="AA396" i="2"/>
  <c r="Y396" i="2"/>
  <c r="Z396" i="2" s="1"/>
  <c r="X396" i="2"/>
  <c r="K396" i="2"/>
  <c r="L396" i="2" s="1"/>
  <c r="AH395" i="2"/>
  <c r="AG395" i="2"/>
  <c r="AA395" i="2"/>
  <c r="Z395" i="2"/>
  <c r="Y395" i="2"/>
  <c r="X395" i="2"/>
  <c r="L395" i="2"/>
  <c r="K395" i="2"/>
  <c r="AG394" i="2"/>
  <c r="AH394" i="2" s="1"/>
  <c r="AA394" i="2"/>
  <c r="Y394" i="2"/>
  <c r="X394" i="2"/>
  <c r="Z394" i="2" s="1"/>
  <c r="L394" i="2"/>
  <c r="K394" i="2"/>
  <c r="AH393" i="2"/>
  <c r="AG393" i="2"/>
  <c r="AA393" i="2"/>
  <c r="Y393" i="2"/>
  <c r="X393" i="2"/>
  <c r="Z393" i="2" s="1"/>
  <c r="K393" i="2"/>
  <c r="L393" i="2" s="1"/>
  <c r="AH392" i="2"/>
  <c r="AG392" i="2"/>
  <c r="AA392" i="2"/>
  <c r="Z392" i="2"/>
  <c r="Y392" i="2"/>
  <c r="X392" i="2"/>
  <c r="L392" i="2"/>
  <c r="K392" i="2"/>
  <c r="AH391" i="2"/>
  <c r="AG391" i="2"/>
  <c r="AA391" i="2"/>
  <c r="Z391" i="2"/>
  <c r="Y391" i="2"/>
  <c r="X391" i="2"/>
  <c r="L391" i="2"/>
  <c r="K391" i="2"/>
  <c r="AG390" i="2"/>
  <c r="AH390" i="2" s="1"/>
  <c r="AA390" i="2"/>
  <c r="Y390" i="2"/>
  <c r="X390" i="2"/>
  <c r="Z390" i="2" s="1"/>
  <c r="L390" i="2"/>
  <c r="K390" i="2"/>
  <c r="AG389" i="2"/>
  <c r="AH389" i="2" s="1"/>
  <c r="AA389" i="2"/>
  <c r="Y389" i="2"/>
  <c r="X389" i="2"/>
  <c r="K389" i="2"/>
  <c r="L389" i="2" s="1"/>
  <c r="AH388" i="2"/>
  <c r="AG388" i="2"/>
  <c r="AA388" i="2"/>
  <c r="Y388" i="2"/>
  <c r="Z388" i="2" s="1"/>
  <c r="X388" i="2"/>
  <c r="K388" i="2"/>
  <c r="L388" i="2" s="1"/>
  <c r="AH387" i="2"/>
  <c r="AG387" i="2"/>
  <c r="AA387" i="2"/>
  <c r="Z387" i="2"/>
  <c r="Y387" i="2"/>
  <c r="X387" i="2"/>
  <c r="L387" i="2"/>
  <c r="K387" i="2"/>
  <c r="AG386" i="2"/>
  <c r="AH386" i="2" s="1"/>
  <c r="AA386" i="2"/>
  <c r="Y386" i="2"/>
  <c r="X386" i="2"/>
  <c r="Z386" i="2" s="1"/>
  <c r="L386" i="2"/>
  <c r="K386" i="2"/>
  <c r="AH385" i="2"/>
  <c r="AG385" i="2"/>
  <c r="AA385" i="2"/>
  <c r="Y385" i="2"/>
  <c r="X385" i="2"/>
  <c r="Z385" i="2" s="1"/>
  <c r="L385" i="2"/>
  <c r="AG384" i="2"/>
  <c r="AH384" i="2" s="1"/>
  <c r="AA384" i="2"/>
  <c r="Y384" i="2"/>
  <c r="X384" i="2"/>
  <c r="L384" i="2"/>
  <c r="AH383" i="2"/>
  <c r="AG383" i="2"/>
  <c r="AA383" i="2"/>
  <c r="Y383" i="2"/>
  <c r="X383" i="2"/>
  <c r="Z383" i="2" s="1"/>
  <c r="L383" i="2"/>
  <c r="AG382" i="2"/>
  <c r="AH382" i="2" s="1"/>
  <c r="AA382" i="2"/>
  <c r="Y382" i="2"/>
  <c r="X382" i="2"/>
  <c r="L382" i="2"/>
  <c r="AH381" i="2"/>
  <c r="AG381" i="2"/>
  <c r="AA381" i="2"/>
  <c r="Y381" i="2"/>
  <c r="X381" i="2"/>
  <c r="L381" i="2"/>
  <c r="AH380" i="2"/>
  <c r="AG380" i="2"/>
  <c r="AA380" i="2"/>
  <c r="Y380" i="2"/>
  <c r="X380" i="2"/>
  <c r="Z380" i="2" s="1"/>
  <c r="L380" i="2"/>
  <c r="AG379" i="2"/>
  <c r="AH379" i="2" s="1"/>
  <c r="AA379" i="2"/>
  <c r="Y379" i="2"/>
  <c r="X379" i="2"/>
  <c r="Z379" i="2" s="1"/>
  <c r="L379" i="2"/>
  <c r="AG378" i="2"/>
  <c r="AH378" i="2" s="1"/>
  <c r="AA378" i="2"/>
  <c r="Y378" i="2"/>
  <c r="X378" i="2"/>
  <c r="L378" i="2"/>
  <c r="AH377" i="2"/>
  <c r="AG377" i="2"/>
  <c r="AA377" i="2"/>
  <c r="Y377" i="2"/>
  <c r="X377" i="2"/>
  <c r="L377" i="2"/>
  <c r="AH376" i="2"/>
  <c r="AG376" i="2"/>
  <c r="AA376" i="2"/>
  <c r="Y376" i="2"/>
  <c r="X376" i="2"/>
  <c r="Z376" i="2" s="1"/>
  <c r="L376" i="2"/>
  <c r="AG375" i="2"/>
  <c r="AH375" i="2" s="1"/>
  <c r="AA375" i="2"/>
  <c r="Y375" i="2"/>
  <c r="X375" i="2"/>
  <c r="Z375" i="2" s="1"/>
  <c r="L375" i="2"/>
  <c r="AG374" i="2"/>
  <c r="AH374" i="2" s="1"/>
  <c r="AA374" i="2"/>
  <c r="Y374" i="2"/>
  <c r="X374" i="2"/>
  <c r="L374" i="2"/>
  <c r="AH373" i="2"/>
  <c r="AG373" i="2"/>
  <c r="AA373" i="2"/>
  <c r="Y373" i="2"/>
  <c r="X373" i="2"/>
  <c r="L373" i="2"/>
  <c r="AH372" i="2"/>
  <c r="AG372" i="2"/>
  <c r="AA372" i="2"/>
  <c r="Y372" i="2"/>
  <c r="X372" i="2"/>
  <c r="Z372" i="2" s="1"/>
  <c r="L372" i="2"/>
  <c r="AG371" i="2"/>
  <c r="AH371" i="2" s="1"/>
  <c r="Y371" i="2"/>
  <c r="X371" i="2"/>
  <c r="Z371" i="2" s="1"/>
  <c r="L371" i="2"/>
  <c r="AG370" i="2"/>
  <c r="AH370" i="2" s="1"/>
  <c r="AA370" i="2"/>
  <c r="Y370" i="2"/>
  <c r="X370" i="2"/>
  <c r="Z370" i="2" s="1"/>
  <c r="L370" i="2"/>
  <c r="AG369" i="2"/>
  <c r="AH369" i="2" s="1"/>
  <c r="AA369" i="2"/>
  <c r="Y369" i="2"/>
  <c r="X369" i="2"/>
  <c r="Z369" i="2" s="1"/>
  <c r="L369" i="2"/>
  <c r="AG368" i="2"/>
  <c r="AH368" i="2" s="1"/>
  <c r="AA368" i="2"/>
  <c r="Y368" i="2"/>
  <c r="X368" i="2"/>
  <c r="Z368" i="2" s="1"/>
  <c r="L368" i="2"/>
  <c r="AG367" i="2"/>
  <c r="AH367" i="2" s="1"/>
  <c r="AA367" i="2"/>
  <c r="Y367" i="2"/>
  <c r="X367" i="2"/>
  <c r="Z367" i="2" s="1"/>
  <c r="L367" i="2"/>
  <c r="AG366" i="2"/>
  <c r="AH366" i="2" s="1"/>
  <c r="AA366" i="2"/>
  <c r="Y366" i="2"/>
  <c r="X366" i="2"/>
  <c r="Z366" i="2" s="1"/>
  <c r="L366" i="2"/>
  <c r="AG365" i="2"/>
  <c r="AH365" i="2" s="1"/>
  <c r="AA365" i="2"/>
  <c r="Y365" i="2"/>
  <c r="X365" i="2"/>
  <c r="Z365" i="2" s="1"/>
  <c r="L365" i="2"/>
  <c r="AG364" i="2"/>
  <c r="AH364" i="2" s="1"/>
  <c r="AA364" i="2"/>
  <c r="Y364" i="2"/>
  <c r="X364" i="2"/>
  <c r="Z364" i="2" s="1"/>
  <c r="L364" i="2"/>
  <c r="AG363" i="2"/>
  <c r="AH363" i="2" s="1"/>
  <c r="AA363" i="2"/>
  <c r="Y363" i="2"/>
  <c r="X363" i="2"/>
  <c r="Z363" i="2" s="1"/>
  <c r="L363" i="2"/>
  <c r="AG362" i="2"/>
  <c r="AH362" i="2" s="1"/>
  <c r="AA362" i="2"/>
  <c r="Y362" i="2"/>
  <c r="X362" i="2"/>
  <c r="Z362" i="2" s="1"/>
  <c r="L362" i="2"/>
  <c r="AG361" i="2"/>
  <c r="AH361" i="2" s="1"/>
  <c r="AA361" i="2"/>
  <c r="Y361" i="2"/>
  <c r="X361" i="2"/>
  <c r="Z361" i="2" s="1"/>
  <c r="L361" i="2"/>
  <c r="AG360" i="2"/>
  <c r="AH360" i="2" s="1"/>
  <c r="AA360" i="2"/>
  <c r="Y360" i="2"/>
  <c r="X360" i="2"/>
  <c r="Z360" i="2" s="1"/>
  <c r="L360" i="2"/>
  <c r="AG359" i="2"/>
  <c r="AH359" i="2" s="1"/>
  <c r="AA359" i="2"/>
  <c r="Y359" i="2"/>
  <c r="X359" i="2"/>
  <c r="Z359" i="2" s="1"/>
  <c r="L359" i="2"/>
  <c r="AG358" i="2"/>
  <c r="AH358" i="2" s="1"/>
  <c r="AA358" i="2"/>
  <c r="Y358" i="2"/>
  <c r="X358" i="2"/>
  <c r="Z358" i="2" s="1"/>
  <c r="L358" i="2"/>
  <c r="AG357" i="2"/>
  <c r="AH357" i="2" s="1"/>
  <c r="AA357" i="2"/>
  <c r="Y357" i="2"/>
  <c r="X357" i="2"/>
  <c r="Z357" i="2" s="1"/>
  <c r="L357" i="2"/>
  <c r="AG356" i="2"/>
  <c r="AH356" i="2" s="1"/>
  <c r="AA356" i="2"/>
  <c r="Y356" i="2"/>
  <c r="X356" i="2"/>
  <c r="Z356" i="2" s="1"/>
  <c r="L356" i="2"/>
  <c r="AG355" i="2"/>
  <c r="AH355" i="2" s="1"/>
  <c r="AA355" i="2"/>
  <c r="Y355" i="2"/>
  <c r="X355" i="2"/>
  <c r="Z355" i="2" s="1"/>
  <c r="L355" i="2"/>
  <c r="AG354" i="2"/>
  <c r="AH354" i="2" s="1"/>
  <c r="AA354" i="2"/>
  <c r="Y354" i="2"/>
  <c r="X354" i="2"/>
  <c r="Z354" i="2" s="1"/>
  <c r="L354" i="2"/>
  <c r="AG353" i="2"/>
  <c r="AH353" i="2" s="1"/>
  <c r="AA353" i="2"/>
  <c r="Y353" i="2"/>
  <c r="X353" i="2"/>
  <c r="Z353" i="2" s="1"/>
  <c r="L353" i="2"/>
  <c r="AG352" i="2"/>
  <c r="AH352" i="2" s="1"/>
  <c r="AA352" i="2"/>
  <c r="Y352" i="2"/>
  <c r="X352" i="2"/>
  <c r="Z352" i="2" s="1"/>
  <c r="L352" i="2"/>
  <c r="AG351" i="2"/>
  <c r="AH351" i="2" s="1"/>
  <c r="AA351" i="2"/>
  <c r="Y351" i="2"/>
  <c r="X351" i="2"/>
  <c r="Z351" i="2" s="1"/>
  <c r="L351" i="2"/>
  <c r="AG350" i="2"/>
  <c r="AH350" i="2" s="1"/>
  <c r="AA350" i="2"/>
  <c r="Y350" i="2"/>
  <c r="X350" i="2"/>
  <c r="Z350" i="2" s="1"/>
  <c r="L350" i="2"/>
  <c r="AG349" i="2"/>
  <c r="AH349" i="2" s="1"/>
  <c r="AA349" i="2"/>
  <c r="Y349" i="2"/>
  <c r="X349" i="2"/>
  <c r="Z349" i="2" s="1"/>
  <c r="L349" i="2"/>
  <c r="AG348" i="2"/>
  <c r="AH348" i="2" s="1"/>
  <c r="AA348" i="2"/>
  <c r="Y348" i="2"/>
  <c r="X348" i="2"/>
  <c r="Z348" i="2" s="1"/>
  <c r="L348" i="2"/>
  <c r="AG347" i="2"/>
  <c r="AH347" i="2" s="1"/>
  <c r="AA347" i="2"/>
  <c r="Y347" i="2"/>
  <c r="X347" i="2"/>
  <c r="Z347" i="2" s="1"/>
  <c r="L347" i="2"/>
  <c r="AG346" i="2"/>
  <c r="AH346" i="2" s="1"/>
  <c r="AA346" i="2"/>
  <c r="Y346" i="2"/>
  <c r="X346" i="2"/>
  <c r="Z346" i="2" s="1"/>
  <c r="L346" i="2"/>
  <c r="AG345" i="2"/>
  <c r="AH345" i="2" s="1"/>
  <c r="AA345" i="2"/>
  <c r="Y345" i="2"/>
  <c r="X345" i="2"/>
  <c r="Z345" i="2" s="1"/>
  <c r="L345" i="2"/>
  <c r="AG344" i="2"/>
  <c r="AH344" i="2" s="1"/>
  <c r="AA344" i="2"/>
  <c r="Y344" i="2"/>
  <c r="X344" i="2"/>
  <c r="Z344" i="2" s="1"/>
  <c r="L344" i="2"/>
  <c r="AG343" i="2"/>
  <c r="AH343" i="2" s="1"/>
  <c r="AA343" i="2"/>
  <c r="Y343" i="2"/>
  <c r="X343" i="2"/>
  <c r="Z343" i="2" s="1"/>
  <c r="L343" i="2"/>
  <c r="AG342" i="2"/>
  <c r="AH342" i="2" s="1"/>
  <c r="AA342" i="2"/>
  <c r="Y342" i="2"/>
  <c r="X342" i="2"/>
  <c r="Z342" i="2" s="1"/>
  <c r="L342" i="2"/>
  <c r="AG341" i="2"/>
  <c r="AH341" i="2" s="1"/>
  <c r="AA341" i="2"/>
  <c r="Y341" i="2"/>
  <c r="X341" i="2"/>
  <c r="Z341" i="2" s="1"/>
  <c r="L341" i="2"/>
  <c r="AG340" i="2"/>
  <c r="AH340" i="2" s="1"/>
  <c r="AA340" i="2"/>
  <c r="Y340" i="2"/>
  <c r="X340" i="2"/>
  <c r="Z340" i="2" s="1"/>
  <c r="L340" i="2"/>
  <c r="AG339" i="2"/>
  <c r="AH339" i="2" s="1"/>
  <c r="AA339" i="2"/>
  <c r="Y339" i="2"/>
  <c r="X339" i="2"/>
  <c r="Z339" i="2" s="1"/>
  <c r="L339" i="2"/>
  <c r="AG338" i="2"/>
  <c r="AH338" i="2" s="1"/>
  <c r="AA338" i="2"/>
  <c r="Y338" i="2"/>
  <c r="X338" i="2"/>
  <c r="Z338" i="2" s="1"/>
  <c r="L338" i="2"/>
  <c r="AG337" i="2"/>
  <c r="AH337" i="2" s="1"/>
  <c r="AA337" i="2"/>
  <c r="Y337" i="2"/>
  <c r="X337" i="2"/>
  <c r="Z337" i="2" s="1"/>
  <c r="L337" i="2"/>
  <c r="AG336" i="2"/>
  <c r="AH336" i="2" s="1"/>
  <c r="AA336" i="2"/>
  <c r="Y336" i="2"/>
  <c r="X336" i="2"/>
  <c r="Z336" i="2" s="1"/>
  <c r="L336" i="2"/>
  <c r="AG335" i="2"/>
  <c r="AH335" i="2" s="1"/>
  <c r="AA335" i="2"/>
  <c r="Y335" i="2"/>
  <c r="X335" i="2"/>
  <c r="Z335" i="2" s="1"/>
  <c r="L335" i="2"/>
  <c r="AG334" i="2"/>
  <c r="AH334" i="2" s="1"/>
  <c r="AA334" i="2"/>
  <c r="Y334" i="2"/>
  <c r="X334" i="2"/>
  <c r="Z334" i="2" s="1"/>
  <c r="L334" i="2"/>
  <c r="AG333" i="2"/>
  <c r="AH333" i="2" s="1"/>
  <c r="AA333" i="2"/>
  <c r="Y333" i="2"/>
  <c r="X333" i="2"/>
  <c r="Z333" i="2" s="1"/>
  <c r="L333" i="2"/>
  <c r="AG332" i="2"/>
  <c r="AH332" i="2" s="1"/>
  <c r="Z332" i="2"/>
  <c r="Y332" i="2"/>
  <c r="X332" i="2"/>
  <c r="L332" i="2"/>
  <c r="AH331" i="2"/>
  <c r="AG331" i="2"/>
  <c r="AA331" i="2"/>
  <c r="Z331" i="2"/>
  <c r="Y331" i="2"/>
  <c r="X331" i="2"/>
  <c r="L331" i="2"/>
  <c r="AH330" i="2"/>
  <c r="AG330" i="2"/>
  <c r="AA330" i="2"/>
  <c r="Z330" i="2"/>
  <c r="Y330" i="2"/>
  <c r="X330" i="2"/>
  <c r="L330" i="2"/>
  <c r="AH329" i="2"/>
  <c r="AG329" i="2"/>
  <c r="AA329" i="2"/>
  <c r="Z329" i="2"/>
  <c r="Y329" i="2"/>
  <c r="X329" i="2"/>
  <c r="L329" i="2"/>
  <c r="AH328" i="2"/>
  <c r="AG328" i="2"/>
  <c r="AA328" i="2"/>
  <c r="Z328" i="2"/>
  <c r="Y328" i="2"/>
  <c r="X328" i="2"/>
  <c r="L328" i="2"/>
  <c r="AH327" i="2"/>
  <c r="AG327" i="2"/>
  <c r="AA327" i="2"/>
  <c r="Z327" i="2"/>
  <c r="Y327" i="2"/>
  <c r="X327" i="2"/>
  <c r="L327" i="2"/>
  <c r="AH326" i="2"/>
  <c r="AG326" i="2"/>
  <c r="AA326" i="2"/>
  <c r="Z326" i="2"/>
  <c r="Y326" i="2"/>
  <c r="X326" i="2"/>
  <c r="L326" i="2"/>
  <c r="AH325" i="2"/>
  <c r="AG325" i="2"/>
  <c r="AA325" i="2"/>
  <c r="Z325" i="2"/>
  <c r="Y325" i="2"/>
  <c r="X325" i="2"/>
  <c r="L325" i="2"/>
  <c r="AH324" i="2"/>
  <c r="AG324" i="2"/>
  <c r="AA324" i="2"/>
  <c r="Z324" i="2"/>
  <c r="Y324" i="2"/>
  <c r="X324" i="2"/>
  <c r="L324" i="2"/>
  <c r="AH323" i="2"/>
  <c r="AG323" i="2"/>
  <c r="AA323" i="2"/>
  <c r="Z323" i="2"/>
  <c r="Y323" i="2"/>
  <c r="X323" i="2"/>
  <c r="L323" i="2"/>
  <c r="AH322" i="2"/>
  <c r="AG322" i="2"/>
  <c r="AA322" i="2"/>
  <c r="Z322" i="2"/>
  <c r="Y322" i="2"/>
  <c r="X322" i="2"/>
  <c r="L322" i="2"/>
  <c r="AH321" i="2"/>
  <c r="AG321" i="2"/>
  <c r="AA321" i="2"/>
  <c r="Z321" i="2"/>
  <c r="Y321" i="2"/>
  <c r="X321" i="2"/>
  <c r="L321" i="2"/>
  <c r="AH320" i="2"/>
  <c r="AG320" i="2"/>
  <c r="AA320" i="2"/>
  <c r="Z320" i="2"/>
  <c r="Y320" i="2"/>
  <c r="X320" i="2"/>
  <c r="L320" i="2"/>
  <c r="AH319" i="2"/>
  <c r="AG319" i="2"/>
  <c r="AA319" i="2"/>
  <c r="Z319" i="2"/>
  <c r="Y319" i="2"/>
  <c r="X319" i="2"/>
  <c r="L319" i="2"/>
  <c r="AH318" i="2"/>
  <c r="AG318" i="2"/>
  <c r="AA318" i="2"/>
  <c r="Z318" i="2"/>
  <c r="Y318" i="2"/>
  <c r="X318" i="2"/>
  <c r="L318" i="2"/>
  <c r="AH317" i="2"/>
  <c r="AG317" i="2"/>
  <c r="AA317" i="2"/>
  <c r="Z317" i="2"/>
  <c r="Y317" i="2"/>
  <c r="X317" i="2"/>
  <c r="L317" i="2"/>
  <c r="AH316" i="2"/>
  <c r="AG316" i="2"/>
  <c r="AA316" i="2"/>
  <c r="Z316" i="2"/>
  <c r="Y316" i="2"/>
  <c r="X316" i="2"/>
  <c r="L316" i="2"/>
  <c r="AH315" i="2"/>
  <c r="AG315" i="2"/>
  <c r="AA315" i="2"/>
  <c r="Z315" i="2"/>
  <c r="Y315" i="2"/>
  <c r="X315" i="2"/>
  <c r="L315" i="2"/>
  <c r="AH314" i="2"/>
  <c r="AG314" i="2"/>
  <c r="AA314" i="2"/>
  <c r="Z314" i="2"/>
  <c r="Y314" i="2"/>
  <c r="X314" i="2"/>
  <c r="L314" i="2"/>
  <c r="AH313" i="2"/>
  <c r="AG313" i="2"/>
  <c r="AA313" i="2"/>
  <c r="Z313" i="2"/>
  <c r="Y313" i="2"/>
  <c r="X313" i="2"/>
  <c r="L313" i="2"/>
  <c r="AH312" i="2"/>
  <c r="AG312" i="2"/>
  <c r="AA312" i="2"/>
  <c r="Z312" i="2"/>
  <c r="Y312" i="2"/>
  <c r="X312" i="2"/>
  <c r="L312" i="2"/>
  <c r="AH311" i="2"/>
  <c r="AG311" i="2"/>
  <c r="AA311" i="2"/>
  <c r="Z311" i="2"/>
  <c r="Y311" i="2"/>
  <c r="X311" i="2"/>
  <c r="L311" i="2"/>
  <c r="AH310" i="2"/>
  <c r="AG310" i="2"/>
  <c r="AA310" i="2"/>
  <c r="Z310" i="2"/>
  <c r="Y310" i="2"/>
  <c r="X310" i="2"/>
  <c r="L310" i="2"/>
  <c r="AH309" i="2"/>
  <c r="AG309" i="2"/>
  <c r="AA309" i="2"/>
  <c r="Z309" i="2"/>
  <c r="Y309" i="2"/>
  <c r="X309" i="2"/>
  <c r="L309" i="2"/>
  <c r="AH308" i="2"/>
  <c r="AG308" i="2"/>
  <c r="AA308" i="2"/>
  <c r="Z308" i="2"/>
  <c r="Y308" i="2"/>
  <c r="X308" i="2"/>
  <c r="L308" i="2"/>
  <c r="AH307" i="2"/>
  <c r="AG307" i="2"/>
  <c r="AA307" i="2"/>
  <c r="Z307" i="2"/>
  <c r="Y307" i="2"/>
  <c r="X307" i="2"/>
  <c r="L307" i="2"/>
  <c r="AH306" i="2"/>
  <c r="AG306" i="2"/>
  <c r="AA306" i="2"/>
  <c r="Z306" i="2"/>
  <c r="Y306" i="2"/>
  <c r="X306" i="2"/>
  <c r="L306" i="2"/>
  <c r="AH305" i="2"/>
  <c r="AG305" i="2"/>
  <c r="AA305" i="2"/>
  <c r="Z305" i="2"/>
  <c r="Y305" i="2"/>
  <c r="X305" i="2"/>
  <c r="L305" i="2"/>
  <c r="AH304" i="2"/>
  <c r="AG304" i="2"/>
  <c r="AA304" i="2"/>
  <c r="Z304" i="2"/>
  <c r="Y304" i="2"/>
  <c r="X304" i="2"/>
  <c r="L304" i="2"/>
  <c r="AH303" i="2"/>
  <c r="AG303" i="2"/>
  <c r="AA303" i="2"/>
  <c r="Z303" i="2"/>
  <c r="Y303" i="2"/>
  <c r="X303" i="2"/>
  <c r="L303" i="2"/>
  <c r="AH302" i="2"/>
  <c r="AG302" i="2"/>
  <c r="AA302" i="2"/>
  <c r="Z302" i="2"/>
  <c r="Y302" i="2"/>
  <c r="X302" i="2"/>
  <c r="L302" i="2"/>
  <c r="AH301" i="2"/>
  <c r="AG301" i="2"/>
  <c r="AA301" i="2"/>
  <c r="Z301" i="2"/>
  <c r="Y301" i="2"/>
  <c r="X301" i="2"/>
  <c r="L301" i="2"/>
  <c r="AH300" i="2"/>
  <c r="AG300" i="2"/>
  <c r="AA300" i="2"/>
  <c r="Z300" i="2"/>
  <c r="Y300" i="2"/>
  <c r="X300" i="2"/>
  <c r="L300" i="2"/>
  <c r="AH299" i="2"/>
  <c r="AG299" i="2"/>
  <c r="AA299" i="2"/>
  <c r="Z299" i="2"/>
  <c r="Y299" i="2"/>
  <c r="X299" i="2"/>
  <c r="L299" i="2"/>
  <c r="AH298" i="2"/>
  <c r="AG298" i="2"/>
  <c r="AA298" i="2"/>
  <c r="Z298" i="2"/>
  <c r="Y298" i="2"/>
  <c r="X298" i="2"/>
  <c r="L298" i="2"/>
  <c r="AH297" i="2"/>
  <c r="AG297" i="2"/>
  <c r="AA297" i="2"/>
  <c r="Z297" i="2"/>
  <c r="Y297" i="2"/>
  <c r="X297" i="2"/>
  <c r="L297" i="2"/>
  <c r="AH296" i="2"/>
  <c r="AG296" i="2"/>
  <c r="AA296" i="2"/>
  <c r="Z296" i="2"/>
  <c r="Y296" i="2"/>
  <c r="X296" i="2"/>
  <c r="L296" i="2"/>
  <c r="AH295" i="2"/>
  <c r="AG295" i="2"/>
  <c r="AA295" i="2"/>
  <c r="Z295" i="2"/>
  <c r="Y295" i="2"/>
  <c r="X295" i="2"/>
  <c r="L295" i="2"/>
  <c r="AH294" i="2"/>
  <c r="AG294" i="2"/>
  <c r="AA294" i="2"/>
  <c r="Z294" i="2"/>
  <c r="Y294" i="2"/>
  <c r="X294" i="2"/>
  <c r="L294" i="2"/>
  <c r="AH293" i="2"/>
  <c r="AG293" i="2"/>
  <c r="AA293" i="2"/>
  <c r="Z293" i="2"/>
  <c r="Y293" i="2"/>
  <c r="X293" i="2"/>
  <c r="L293" i="2"/>
  <c r="AH292" i="2"/>
  <c r="AG292" i="2"/>
  <c r="AA292" i="2"/>
  <c r="Z292" i="2"/>
  <c r="Y292" i="2"/>
  <c r="X292" i="2"/>
  <c r="L292" i="2"/>
  <c r="AH291" i="2"/>
  <c r="AG291" i="2"/>
  <c r="AA291" i="2"/>
  <c r="Z291" i="2"/>
  <c r="Y291" i="2"/>
  <c r="X291" i="2"/>
  <c r="L291" i="2"/>
  <c r="AH290" i="2"/>
  <c r="AG290" i="2"/>
  <c r="AA290" i="2"/>
  <c r="Z290" i="2"/>
  <c r="Y290" i="2"/>
  <c r="X290" i="2"/>
  <c r="L290" i="2"/>
  <c r="AH289" i="2"/>
  <c r="AG289" i="2"/>
  <c r="AA289" i="2"/>
  <c r="Z289" i="2"/>
  <c r="Y289" i="2"/>
  <c r="X289" i="2"/>
  <c r="L289" i="2"/>
  <c r="AH288" i="2"/>
  <c r="AG288" i="2"/>
  <c r="AA288" i="2"/>
  <c r="Z288" i="2"/>
  <c r="Y288" i="2"/>
  <c r="X288" i="2"/>
  <c r="L288" i="2"/>
  <c r="AH287" i="2"/>
  <c r="AG287" i="2"/>
  <c r="AA287" i="2"/>
  <c r="Z287" i="2"/>
  <c r="Y287" i="2"/>
  <c r="X287" i="2"/>
  <c r="L287" i="2"/>
  <c r="AH286" i="2"/>
  <c r="AG286" i="2"/>
  <c r="AA286" i="2"/>
  <c r="Z286" i="2"/>
  <c r="Y286" i="2"/>
  <c r="X286" i="2"/>
  <c r="L286" i="2"/>
  <c r="AH285" i="2"/>
  <c r="AG285" i="2"/>
  <c r="AA285" i="2"/>
  <c r="Z285" i="2"/>
  <c r="Y285" i="2"/>
  <c r="X285" i="2"/>
  <c r="L285" i="2"/>
  <c r="AH284" i="2"/>
  <c r="AG284" i="2"/>
  <c r="AA284" i="2"/>
  <c r="Z284" i="2"/>
  <c r="Y284" i="2"/>
  <c r="X284" i="2"/>
  <c r="L284" i="2"/>
  <c r="AH283" i="2"/>
  <c r="AG283" i="2"/>
  <c r="AA283" i="2"/>
  <c r="Z283" i="2"/>
  <c r="Y283" i="2"/>
  <c r="X283" i="2"/>
  <c r="L283" i="2"/>
  <c r="AH282" i="2"/>
  <c r="AG282" i="2"/>
  <c r="AA282" i="2"/>
  <c r="Z282" i="2"/>
  <c r="Y282" i="2"/>
  <c r="X282" i="2"/>
  <c r="L282" i="2"/>
  <c r="AH281" i="2"/>
  <c r="AG281" i="2"/>
  <c r="AA281" i="2"/>
  <c r="Z281" i="2"/>
  <c r="Y281" i="2"/>
  <c r="X281" i="2"/>
  <c r="L281" i="2"/>
  <c r="AH280" i="2"/>
  <c r="AG280" i="2"/>
  <c r="AA280" i="2"/>
  <c r="Z280" i="2"/>
  <c r="Y280" i="2"/>
  <c r="X280" i="2"/>
  <c r="L280" i="2"/>
  <c r="AH279" i="2"/>
  <c r="AG279" i="2"/>
  <c r="AA279" i="2"/>
  <c r="Z279" i="2"/>
  <c r="Y279" i="2"/>
  <c r="X279" i="2"/>
  <c r="L279" i="2"/>
  <c r="AH278" i="2"/>
  <c r="AG278" i="2"/>
  <c r="AA278" i="2"/>
  <c r="Z278" i="2"/>
  <c r="Y278" i="2"/>
  <c r="X278" i="2"/>
  <c r="L278" i="2"/>
  <c r="AH277" i="2"/>
  <c r="AG277" i="2"/>
  <c r="AA277" i="2"/>
  <c r="Z277" i="2"/>
  <c r="Y277" i="2"/>
  <c r="X277" i="2"/>
  <c r="L277" i="2"/>
  <c r="AH276" i="2"/>
  <c r="AG276" i="2"/>
  <c r="AA276" i="2"/>
  <c r="Z276" i="2"/>
  <c r="Y276" i="2"/>
  <c r="X276" i="2"/>
  <c r="L276" i="2"/>
  <c r="AH275" i="2"/>
  <c r="AG275" i="2"/>
  <c r="AA275" i="2"/>
  <c r="Z275" i="2"/>
  <c r="Y275" i="2"/>
  <c r="X275" i="2"/>
  <c r="L275" i="2"/>
  <c r="AH274" i="2"/>
  <c r="AG274" i="2"/>
  <c r="AA274" i="2"/>
  <c r="Z274" i="2"/>
  <c r="Y274" i="2"/>
  <c r="X274" i="2"/>
  <c r="L274" i="2"/>
  <c r="AH273" i="2"/>
  <c r="AG273" i="2"/>
  <c r="AA273" i="2"/>
  <c r="Z273" i="2"/>
  <c r="Y273" i="2"/>
  <c r="X273" i="2"/>
  <c r="L273" i="2"/>
  <c r="AH272" i="2"/>
  <c r="AG272" i="2"/>
  <c r="AA272" i="2"/>
  <c r="Z272" i="2"/>
  <c r="Y272" i="2"/>
  <c r="X272" i="2"/>
  <c r="L272" i="2"/>
  <c r="AH271" i="2"/>
  <c r="AG271" i="2"/>
  <c r="AA271" i="2"/>
  <c r="Z271" i="2"/>
  <c r="Y271" i="2"/>
  <c r="X271" i="2"/>
  <c r="L271" i="2"/>
  <c r="AH270" i="2"/>
  <c r="AG270" i="2"/>
  <c r="AA270" i="2"/>
  <c r="Z270" i="2"/>
  <c r="Y270" i="2"/>
  <c r="X270" i="2"/>
  <c r="L270" i="2"/>
  <c r="AH269" i="2"/>
  <c r="AG269" i="2"/>
  <c r="AA269" i="2"/>
  <c r="Z269" i="2"/>
  <c r="Y269" i="2"/>
  <c r="X269" i="2"/>
  <c r="L269" i="2"/>
  <c r="AH268" i="2"/>
  <c r="AG268" i="2"/>
  <c r="AA268" i="2"/>
  <c r="Z268" i="2"/>
  <c r="Y268" i="2"/>
  <c r="X268" i="2"/>
  <c r="L268" i="2"/>
  <c r="AH267" i="2"/>
  <c r="AG267" i="2"/>
  <c r="AA267" i="2"/>
  <c r="Z267" i="2"/>
  <c r="Y267" i="2"/>
  <c r="X267" i="2"/>
  <c r="L267" i="2"/>
  <c r="AH266" i="2"/>
  <c r="AG266" i="2"/>
  <c r="AA266" i="2"/>
  <c r="Z266" i="2"/>
  <c r="Y266" i="2"/>
  <c r="X266" i="2"/>
  <c r="L266" i="2"/>
  <c r="AH265" i="2"/>
  <c r="AG265" i="2"/>
  <c r="AA265" i="2"/>
  <c r="Z265" i="2"/>
  <c r="Y265" i="2"/>
  <c r="X265" i="2"/>
  <c r="L265" i="2"/>
  <c r="AH264" i="2"/>
  <c r="AG264" i="2"/>
  <c r="AA264" i="2"/>
  <c r="Z264" i="2"/>
  <c r="Y264" i="2"/>
  <c r="X264" i="2"/>
  <c r="L264" i="2"/>
  <c r="AH263" i="2"/>
  <c r="AG263" i="2"/>
  <c r="AA263" i="2"/>
  <c r="Z263" i="2"/>
  <c r="Y263" i="2"/>
  <c r="X263" i="2"/>
  <c r="L263" i="2"/>
  <c r="AH262" i="2"/>
  <c r="AG262" i="2"/>
  <c r="AA262" i="2"/>
  <c r="Z262" i="2"/>
  <c r="Y262" i="2"/>
  <c r="X262" i="2"/>
  <c r="L262" i="2"/>
  <c r="AH261" i="2"/>
  <c r="AG261" i="2"/>
  <c r="AA261" i="2"/>
  <c r="Z261" i="2"/>
  <c r="Y261" i="2"/>
  <c r="X261" i="2"/>
  <c r="L261" i="2"/>
  <c r="AH260" i="2"/>
  <c r="AG260" i="2"/>
  <c r="AA260" i="2"/>
  <c r="Z260" i="2"/>
  <c r="Y260" i="2"/>
  <c r="X260" i="2"/>
  <c r="L260" i="2"/>
  <c r="AH259" i="2"/>
  <c r="AG259" i="2"/>
  <c r="AA259" i="2"/>
  <c r="Z259" i="2"/>
  <c r="Y259" i="2"/>
  <c r="X259" i="2"/>
  <c r="L259" i="2"/>
  <c r="AH258" i="2"/>
  <c r="AG258" i="2"/>
  <c r="AA258" i="2"/>
  <c r="Z258" i="2"/>
  <c r="Y258" i="2"/>
  <c r="X258" i="2"/>
  <c r="L258" i="2"/>
  <c r="AH257" i="2"/>
  <c r="AG257" i="2"/>
  <c r="AA257" i="2"/>
  <c r="Z257" i="2"/>
  <c r="Y257" i="2"/>
  <c r="X257" i="2"/>
  <c r="L257" i="2"/>
  <c r="AH256" i="2"/>
  <c r="AG256" i="2"/>
  <c r="AA256" i="2"/>
  <c r="Z256" i="2"/>
  <c r="Y256" i="2"/>
  <c r="X256" i="2"/>
  <c r="L256" i="2"/>
  <c r="AH255" i="2"/>
  <c r="AG255" i="2"/>
  <c r="AA255" i="2"/>
  <c r="Z255" i="2"/>
  <c r="Y255" i="2"/>
  <c r="X255" i="2"/>
  <c r="L255" i="2"/>
  <c r="AH254" i="2"/>
  <c r="AG254" i="2"/>
  <c r="AA254" i="2"/>
  <c r="Z254" i="2"/>
  <c r="Y254" i="2"/>
  <c r="X254" i="2"/>
  <c r="L254" i="2"/>
  <c r="AH253" i="2"/>
  <c r="AG253" i="2"/>
  <c r="AA253" i="2"/>
  <c r="Z253" i="2"/>
  <c r="Y253" i="2"/>
  <c r="X253" i="2"/>
  <c r="L253" i="2"/>
  <c r="AH252" i="2"/>
  <c r="AG252" i="2"/>
  <c r="AA252" i="2"/>
  <c r="Z252" i="2"/>
  <c r="Y252" i="2"/>
  <c r="X252" i="2"/>
  <c r="L252" i="2"/>
  <c r="AH251" i="2"/>
  <c r="AG251" i="2"/>
  <c r="AA251" i="2"/>
  <c r="Z251" i="2"/>
  <c r="Y251" i="2"/>
  <c r="X251" i="2"/>
  <c r="L251" i="2"/>
  <c r="AH250" i="2"/>
  <c r="AG250" i="2"/>
  <c r="AA250" i="2"/>
  <c r="Z250" i="2"/>
  <c r="Y250" i="2"/>
  <c r="X250" i="2"/>
  <c r="L250" i="2"/>
  <c r="AH249" i="2"/>
  <c r="AG249" i="2"/>
  <c r="AA249" i="2"/>
  <c r="Z249" i="2"/>
  <c r="Y249" i="2"/>
  <c r="X249" i="2"/>
  <c r="L249" i="2"/>
  <c r="AH248" i="2"/>
  <c r="AG248" i="2"/>
  <c r="AA248" i="2"/>
  <c r="Z248" i="2"/>
  <c r="Y248" i="2"/>
  <c r="X248" i="2"/>
  <c r="L248" i="2"/>
  <c r="AH247" i="2"/>
  <c r="AG247" i="2"/>
  <c r="AA247" i="2"/>
  <c r="Z247" i="2"/>
  <c r="Y247" i="2"/>
  <c r="X247" i="2"/>
  <c r="L247" i="2"/>
  <c r="AH246" i="2"/>
  <c r="AG246" i="2"/>
  <c r="AA246" i="2"/>
  <c r="Z246" i="2"/>
  <c r="Y246" i="2"/>
  <c r="X246" i="2"/>
  <c r="L246" i="2"/>
  <c r="AH245" i="2"/>
  <c r="AG245" i="2"/>
  <c r="AA245" i="2"/>
  <c r="Z245" i="2"/>
  <c r="Y245" i="2"/>
  <c r="X245" i="2"/>
  <c r="L245" i="2"/>
  <c r="AH244" i="2"/>
  <c r="AG244" i="2"/>
  <c r="AA244" i="2"/>
  <c r="Z244" i="2"/>
  <c r="Y244" i="2"/>
  <c r="X244" i="2"/>
  <c r="L244" i="2"/>
  <c r="AH243" i="2"/>
  <c r="AG243" i="2"/>
  <c r="AA243" i="2"/>
  <c r="Z243" i="2"/>
  <c r="Y243" i="2"/>
  <c r="X243" i="2"/>
  <c r="L243" i="2"/>
  <c r="AH242" i="2"/>
  <c r="AG242" i="2"/>
  <c r="AA242" i="2"/>
  <c r="Z242" i="2"/>
  <c r="Y242" i="2"/>
  <c r="X242" i="2"/>
  <c r="L242" i="2"/>
  <c r="AH241" i="2"/>
  <c r="AG241" i="2"/>
  <c r="AA241" i="2"/>
  <c r="Z241" i="2"/>
  <c r="Y241" i="2"/>
  <c r="X241" i="2"/>
  <c r="L241" i="2"/>
  <c r="AH240" i="2"/>
  <c r="AG240" i="2"/>
  <c r="AA240" i="2"/>
  <c r="Z240" i="2"/>
  <c r="Y240" i="2"/>
  <c r="X240" i="2"/>
  <c r="L240" i="2"/>
  <c r="AH239" i="2"/>
  <c r="AG239" i="2"/>
  <c r="AA239" i="2"/>
  <c r="Z239" i="2"/>
  <c r="Y239" i="2"/>
  <c r="X239" i="2"/>
  <c r="L239" i="2"/>
  <c r="AH238" i="2"/>
  <c r="AG238" i="2"/>
  <c r="AA238" i="2"/>
  <c r="Z238" i="2"/>
  <c r="Y238" i="2"/>
  <c r="X238" i="2"/>
  <c r="L238" i="2"/>
  <c r="AH237" i="2"/>
  <c r="AG237" i="2"/>
  <c r="AA237" i="2"/>
  <c r="Z237" i="2"/>
  <c r="Y237" i="2"/>
  <c r="X237" i="2"/>
  <c r="L237" i="2"/>
  <c r="AH236" i="2"/>
  <c r="AG236" i="2"/>
  <c r="AA236" i="2"/>
  <c r="Z236" i="2"/>
  <c r="Y236" i="2"/>
  <c r="X236" i="2"/>
  <c r="L236" i="2"/>
  <c r="AH235" i="2"/>
  <c r="AG235" i="2"/>
  <c r="AA235" i="2"/>
  <c r="Z235" i="2"/>
  <c r="Y235" i="2"/>
  <c r="X235" i="2"/>
  <c r="L235" i="2"/>
  <c r="AH234" i="2"/>
  <c r="AG234" i="2"/>
  <c r="AA234" i="2"/>
  <c r="Z234" i="2"/>
  <c r="Y234" i="2"/>
  <c r="X234" i="2"/>
  <c r="L234" i="2"/>
  <c r="AH233" i="2"/>
  <c r="AG233" i="2"/>
  <c r="AA233" i="2"/>
  <c r="Z233" i="2"/>
  <c r="Y233" i="2"/>
  <c r="X233" i="2"/>
  <c r="L233" i="2"/>
  <c r="AH232" i="2"/>
  <c r="AG232" i="2"/>
  <c r="AA232" i="2"/>
  <c r="Z232" i="2"/>
  <c r="Y232" i="2"/>
  <c r="X232" i="2"/>
  <c r="L232" i="2"/>
  <c r="AH231" i="2"/>
  <c r="AG231" i="2"/>
  <c r="AA231" i="2"/>
  <c r="Z231" i="2"/>
  <c r="Y231" i="2"/>
  <c r="X231" i="2"/>
  <c r="L231" i="2"/>
  <c r="AH230" i="2"/>
  <c r="AG230" i="2"/>
  <c r="AA230" i="2"/>
  <c r="Z230" i="2"/>
  <c r="Y230" i="2"/>
  <c r="X230" i="2"/>
  <c r="L230" i="2"/>
  <c r="AH229" i="2"/>
  <c r="AG229" i="2"/>
  <c r="AA229" i="2"/>
  <c r="Z229" i="2"/>
  <c r="Y229" i="2"/>
  <c r="X229" i="2"/>
  <c r="L229" i="2"/>
  <c r="AH228" i="2"/>
  <c r="AG228" i="2"/>
  <c r="AA228" i="2"/>
  <c r="Z228" i="2"/>
  <c r="Y228" i="2"/>
  <c r="X228" i="2"/>
  <c r="L228" i="2"/>
  <c r="AH227" i="2"/>
  <c r="AG227" i="2"/>
  <c r="AA227" i="2"/>
  <c r="Z227" i="2"/>
  <c r="Y227" i="2"/>
  <c r="X227" i="2"/>
  <c r="L227" i="2"/>
  <c r="AH226" i="2"/>
  <c r="AG226" i="2"/>
  <c r="AA226" i="2"/>
  <c r="Z226" i="2"/>
  <c r="Y226" i="2"/>
  <c r="X226" i="2"/>
  <c r="L226" i="2"/>
  <c r="AH225" i="2"/>
  <c r="AG225" i="2"/>
  <c r="AA225" i="2"/>
  <c r="Z225" i="2"/>
  <c r="Y225" i="2"/>
  <c r="X225" i="2"/>
  <c r="L225" i="2"/>
  <c r="AH224" i="2"/>
  <c r="AG224" i="2"/>
  <c r="AA224" i="2"/>
  <c r="Z224" i="2"/>
  <c r="Y224" i="2"/>
  <c r="X224" i="2"/>
  <c r="L224" i="2"/>
  <c r="AH223" i="2"/>
  <c r="AG223" i="2"/>
  <c r="AA223" i="2"/>
  <c r="Z223" i="2"/>
  <c r="Y223" i="2"/>
  <c r="X223" i="2"/>
  <c r="L223" i="2"/>
  <c r="AH222" i="2"/>
  <c r="AG222" i="2"/>
  <c r="AA222" i="2"/>
  <c r="Z222" i="2"/>
  <c r="Y222" i="2"/>
  <c r="X222" i="2"/>
  <c r="L222" i="2"/>
  <c r="AH221" i="2"/>
  <c r="AG221" i="2"/>
  <c r="AA221" i="2"/>
  <c r="Z221" i="2"/>
  <c r="Y221" i="2"/>
  <c r="X221" i="2"/>
  <c r="L221" i="2"/>
  <c r="AH220" i="2"/>
  <c r="AG220" i="2"/>
  <c r="AA220" i="2"/>
  <c r="Z220" i="2"/>
  <c r="Y220" i="2"/>
  <c r="X220" i="2"/>
  <c r="L220" i="2"/>
  <c r="AH219" i="2"/>
  <c r="AG219" i="2"/>
  <c r="AA219" i="2"/>
  <c r="Z219" i="2"/>
  <c r="Y219" i="2"/>
  <c r="X219" i="2"/>
  <c r="L219" i="2"/>
  <c r="AH218" i="2"/>
  <c r="AG218" i="2"/>
  <c r="AA218" i="2"/>
  <c r="Z218" i="2"/>
  <c r="Y218" i="2"/>
  <c r="X218" i="2"/>
  <c r="L218" i="2"/>
  <c r="AH217" i="2"/>
  <c r="AG217" i="2"/>
  <c r="AA217" i="2"/>
  <c r="Z217" i="2"/>
  <c r="Y217" i="2"/>
  <c r="X217" i="2"/>
  <c r="L217" i="2"/>
  <c r="AH216" i="2"/>
  <c r="AG216" i="2"/>
  <c r="AA216" i="2"/>
  <c r="Z216" i="2"/>
  <c r="Y216" i="2"/>
  <c r="X216" i="2"/>
  <c r="L216" i="2"/>
  <c r="AH215" i="2"/>
  <c r="AG215" i="2"/>
  <c r="AA215" i="2"/>
  <c r="Z215" i="2"/>
  <c r="Y215" i="2"/>
  <c r="X215" i="2"/>
  <c r="L215" i="2"/>
  <c r="AH214" i="2"/>
  <c r="AG214" i="2"/>
  <c r="AA214" i="2"/>
  <c r="Z214" i="2"/>
  <c r="Y214" i="2"/>
  <c r="X214" i="2"/>
  <c r="L214" i="2"/>
  <c r="AH213" i="2"/>
  <c r="AG213" i="2"/>
  <c r="AA213" i="2"/>
  <c r="Z213" i="2"/>
  <c r="Y213" i="2"/>
  <c r="X213" i="2"/>
  <c r="L213" i="2"/>
  <c r="AH212" i="2"/>
  <c r="AG212" i="2"/>
  <c r="AA212" i="2"/>
  <c r="Z212" i="2"/>
  <c r="Y212" i="2"/>
  <c r="X212" i="2"/>
  <c r="L212" i="2"/>
  <c r="AH211" i="2"/>
  <c r="AG211" i="2"/>
  <c r="AA211" i="2"/>
  <c r="Z211" i="2"/>
  <c r="Y211" i="2"/>
  <c r="X211" i="2"/>
  <c r="L211" i="2"/>
  <c r="AH210" i="2"/>
  <c r="AG210" i="2"/>
  <c r="AA210" i="2"/>
  <c r="Z210" i="2"/>
  <c r="Y210" i="2"/>
  <c r="X210" i="2"/>
  <c r="L210" i="2"/>
  <c r="AH209" i="2"/>
  <c r="AG209" i="2"/>
  <c r="AA209" i="2"/>
  <c r="Z209" i="2"/>
  <c r="Y209" i="2"/>
  <c r="X209" i="2"/>
  <c r="L209" i="2"/>
  <c r="AH208" i="2"/>
  <c r="AG208" i="2"/>
  <c r="AA208" i="2"/>
  <c r="Z208" i="2"/>
  <c r="Y208" i="2"/>
  <c r="X208" i="2"/>
  <c r="L208" i="2"/>
  <c r="AH207" i="2"/>
  <c r="AG207" i="2"/>
  <c r="AA207" i="2"/>
  <c r="Z207" i="2"/>
  <c r="Y207" i="2"/>
  <c r="X207" i="2"/>
  <c r="L207" i="2"/>
  <c r="AH206" i="2"/>
  <c r="AG206" i="2"/>
  <c r="AA206" i="2"/>
  <c r="Z206" i="2"/>
  <c r="Y206" i="2"/>
  <c r="X206" i="2"/>
  <c r="L206" i="2"/>
  <c r="AH205" i="2"/>
  <c r="AG205" i="2"/>
  <c r="AA205" i="2"/>
  <c r="Z205" i="2"/>
  <c r="Y205" i="2"/>
  <c r="X205" i="2"/>
  <c r="L205" i="2"/>
  <c r="AH204" i="2"/>
  <c r="AG204" i="2"/>
  <c r="AA204" i="2"/>
  <c r="Z204" i="2"/>
  <c r="Y204" i="2"/>
  <c r="X204" i="2"/>
  <c r="L204" i="2"/>
  <c r="AH203" i="2"/>
  <c r="AG203" i="2"/>
  <c r="AA203" i="2"/>
  <c r="Z203" i="2"/>
  <c r="Y203" i="2"/>
  <c r="X203" i="2"/>
  <c r="L203" i="2"/>
  <c r="AH202" i="2"/>
  <c r="AG202" i="2"/>
  <c r="AA202" i="2"/>
  <c r="Z202" i="2"/>
  <c r="Y202" i="2"/>
  <c r="X202" i="2"/>
  <c r="L202" i="2"/>
  <c r="AH201" i="2"/>
  <c r="AG201" i="2"/>
  <c r="AA201" i="2"/>
  <c r="Z201" i="2"/>
  <c r="Y201" i="2"/>
  <c r="X201" i="2"/>
  <c r="L201" i="2"/>
  <c r="AH200" i="2"/>
  <c r="AG200" i="2"/>
  <c r="AA200" i="2"/>
  <c r="Z200" i="2"/>
  <c r="Y200" i="2"/>
  <c r="X200" i="2"/>
  <c r="L200" i="2"/>
  <c r="AH199" i="2"/>
  <c r="AG199" i="2"/>
  <c r="AA199" i="2"/>
  <c r="Z199" i="2"/>
  <c r="Y199" i="2"/>
  <c r="X199" i="2"/>
  <c r="L199" i="2"/>
  <c r="AH198" i="2"/>
  <c r="AG198" i="2"/>
  <c r="AA198" i="2"/>
  <c r="Z198" i="2"/>
  <c r="Y198" i="2"/>
  <c r="X198" i="2"/>
  <c r="L198" i="2"/>
  <c r="AH197" i="2"/>
  <c r="AG197" i="2"/>
  <c r="AA197" i="2"/>
  <c r="Z197" i="2"/>
  <c r="Y197" i="2"/>
  <c r="X197" i="2"/>
  <c r="L197" i="2"/>
  <c r="AH196" i="2"/>
  <c r="AG196" i="2"/>
  <c r="AA196" i="2"/>
  <c r="Z196" i="2"/>
  <c r="Y196" i="2"/>
  <c r="X196" i="2"/>
  <c r="L196" i="2"/>
  <c r="AH195" i="2"/>
  <c r="AG195" i="2"/>
  <c r="AA195" i="2"/>
  <c r="Z195" i="2"/>
  <c r="Y195" i="2"/>
  <c r="X195" i="2"/>
  <c r="L195" i="2"/>
  <c r="AH194" i="2"/>
  <c r="AG194" i="2"/>
  <c r="AA194" i="2"/>
  <c r="Z194" i="2"/>
  <c r="Y194" i="2"/>
  <c r="X194" i="2"/>
  <c r="L194" i="2"/>
  <c r="AH193" i="2"/>
  <c r="AG193" i="2"/>
  <c r="AA193" i="2"/>
  <c r="Z193" i="2"/>
  <c r="Y193" i="2"/>
  <c r="X193" i="2"/>
  <c r="L193" i="2"/>
  <c r="AH192" i="2"/>
  <c r="AG192" i="2"/>
  <c r="AA192" i="2"/>
  <c r="Z192" i="2"/>
  <c r="Y192" i="2"/>
  <c r="X192" i="2"/>
  <c r="L192" i="2"/>
  <c r="AH191" i="2"/>
  <c r="AG191" i="2"/>
  <c r="AA191" i="2"/>
  <c r="Z191" i="2"/>
  <c r="Y191" i="2"/>
  <c r="X191" i="2"/>
  <c r="L191" i="2"/>
  <c r="AH190" i="2"/>
  <c r="AG190" i="2"/>
  <c r="AA190" i="2"/>
  <c r="Z190" i="2"/>
  <c r="Y190" i="2"/>
  <c r="X190" i="2"/>
  <c r="L190" i="2"/>
  <c r="AH189" i="2"/>
  <c r="AG189" i="2"/>
  <c r="AA189" i="2"/>
  <c r="Z189" i="2"/>
  <c r="Y189" i="2"/>
  <c r="X189" i="2"/>
  <c r="L189" i="2"/>
  <c r="AH188" i="2"/>
  <c r="AG188" i="2"/>
  <c r="AA188" i="2"/>
  <c r="Z188" i="2"/>
  <c r="Y188" i="2"/>
  <c r="X188" i="2"/>
  <c r="L188" i="2"/>
  <c r="AH187" i="2"/>
  <c r="AG187" i="2"/>
  <c r="AA187" i="2"/>
  <c r="Z187" i="2"/>
  <c r="Y187" i="2"/>
  <c r="X187" i="2"/>
  <c r="L187" i="2"/>
  <c r="AH186" i="2"/>
  <c r="AG186" i="2"/>
  <c r="AA186" i="2"/>
  <c r="Z186" i="2"/>
  <c r="Y186" i="2"/>
  <c r="X186" i="2"/>
  <c r="L186" i="2"/>
  <c r="AH185" i="2"/>
  <c r="AG185" i="2"/>
  <c r="AA185" i="2"/>
  <c r="Z185" i="2"/>
  <c r="Y185" i="2"/>
  <c r="X185" i="2"/>
  <c r="L185" i="2"/>
  <c r="AH184" i="2"/>
  <c r="AG184" i="2"/>
  <c r="AA184" i="2"/>
  <c r="Z184" i="2"/>
  <c r="Y184" i="2"/>
  <c r="X184" i="2"/>
  <c r="L184" i="2"/>
  <c r="AH183" i="2"/>
  <c r="AG183" i="2"/>
  <c r="AA183" i="2"/>
  <c r="Z183" i="2"/>
  <c r="Y183" i="2"/>
  <c r="X183" i="2"/>
  <c r="L183" i="2"/>
  <c r="AH182" i="2"/>
  <c r="AG182" i="2"/>
  <c r="AA182" i="2"/>
  <c r="Z182" i="2"/>
  <c r="Y182" i="2"/>
  <c r="X182" i="2"/>
  <c r="L182" i="2"/>
  <c r="AH181" i="2"/>
  <c r="AG181" i="2"/>
  <c r="AA181" i="2"/>
  <c r="Z181" i="2"/>
  <c r="Y181" i="2"/>
  <c r="X181" i="2"/>
  <c r="L181" i="2"/>
  <c r="AH180" i="2"/>
  <c r="AG180" i="2"/>
  <c r="AA180" i="2"/>
  <c r="Z180" i="2"/>
  <c r="Y180" i="2"/>
  <c r="X180" i="2"/>
  <c r="L180" i="2"/>
  <c r="AH179" i="2"/>
  <c r="AG179" i="2"/>
  <c r="AA179" i="2"/>
  <c r="Z179" i="2"/>
  <c r="Y179" i="2"/>
  <c r="X179" i="2"/>
  <c r="L179" i="2"/>
  <c r="AH178" i="2"/>
  <c r="AG178" i="2"/>
  <c r="AA178" i="2"/>
  <c r="Z178" i="2"/>
  <c r="Y178" i="2"/>
  <c r="X178" i="2"/>
  <c r="L178" i="2"/>
  <c r="AH177" i="2"/>
  <c r="AG177" i="2"/>
  <c r="AA177" i="2"/>
  <c r="Z177" i="2"/>
  <c r="Y177" i="2"/>
  <c r="X177" i="2"/>
  <c r="L177" i="2"/>
  <c r="AH176" i="2"/>
  <c r="AG176" i="2"/>
  <c r="AA176" i="2"/>
  <c r="Z176" i="2"/>
  <c r="Y176" i="2"/>
  <c r="X176" i="2"/>
  <c r="L176" i="2"/>
  <c r="AH175" i="2"/>
  <c r="AG175" i="2"/>
  <c r="AA175" i="2"/>
  <c r="Z175" i="2"/>
  <c r="Y175" i="2"/>
  <c r="X175" i="2"/>
  <c r="L175" i="2"/>
  <c r="AH174" i="2"/>
  <c r="AG174" i="2"/>
  <c r="AA174" i="2"/>
  <c r="Z174" i="2"/>
  <c r="Y174" i="2"/>
  <c r="X174" i="2"/>
  <c r="L174" i="2"/>
  <c r="AH173" i="2"/>
  <c r="AG173" i="2"/>
  <c r="AA173" i="2"/>
  <c r="Z173" i="2"/>
  <c r="Y173" i="2"/>
  <c r="X173" i="2"/>
  <c r="L173" i="2"/>
  <c r="AH172" i="2"/>
  <c r="AG172" i="2"/>
  <c r="AA172" i="2"/>
  <c r="Z172" i="2"/>
  <c r="Y172" i="2"/>
  <c r="X172" i="2"/>
  <c r="L172" i="2"/>
  <c r="AH171" i="2"/>
  <c r="AG171" i="2"/>
  <c r="AA171" i="2"/>
  <c r="Z171" i="2"/>
  <c r="Y171" i="2"/>
  <c r="X171" i="2"/>
  <c r="L171" i="2"/>
  <c r="AH170" i="2"/>
  <c r="AG170" i="2"/>
  <c r="AA170" i="2"/>
  <c r="Z170" i="2"/>
  <c r="Y170" i="2"/>
  <c r="X170" i="2"/>
  <c r="L170" i="2"/>
  <c r="AH169" i="2"/>
  <c r="AG169" i="2"/>
  <c r="AA169" i="2"/>
  <c r="Z169" i="2"/>
  <c r="Y169" i="2"/>
  <c r="X169" i="2"/>
  <c r="L169" i="2"/>
  <c r="AH168" i="2"/>
  <c r="AG168" i="2"/>
  <c r="AA168" i="2"/>
  <c r="Z168" i="2"/>
  <c r="Y168" i="2"/>
  <c r="X168" i="2"/>
  <c r="L168" i="2"/>
  <c r="AH167" i="2"/>
  <c r="AG167" i="2"/>
  <c r="AA167" i="2"/>
  <c r="Z167" i="2"/>
  <c r="Y167" i="2"/>
  <c r="X167" i="2"/>
  <c r="L167" i="2"/>
  <c r="AH166" i="2"/>
  <c r="AG166" i="2"/>
  <c r="AA166" i="2"/>
  <c r="Z166" i="2"/>
  <c r="Y166" i="2"/>
  <c r="X166" i="2"/>
  <c r="L166" i="2"/>
  <c r="AH165" i="2"/>
  <c r="AG165" i="2"/>
  <c r="AA165" i="2"/>
  <c r="Z165" i="2"/>
  <c r="Y165" i="2"/>
  <c r="X165" i="2"/>
  <c r="L165" i="2"/>
  <c r="AH164" i="2"/>
  <c r="AG164" i="2"/>
  <c r="AA164" i="2"/>
  <c r="Z164" i="2"/>
  <c r="Y164" i="2"/>
  <c r="X164" i="2"/>
  <c r="L164" i="2"/>
  <c r="AH163" i="2"/>
  <c r="AG163" i="2"/>
  <c r="AA163" i="2"/>
  <c r="Z163" i="2"/>
  <c r="Y163" i="2"/>
  <c r="X163" i="2"/>
  <c r="L163" i="2"/>
  <c r="AH162" i="2"/>
  <c r="AG162" i="2"/>
  <c r="AA162" i="2"/>
  <c r="Z162" i="2"/>
  <c r="Y162" i="2"/>
  <c r="X162" i="2"/>
  <c r="L162" i="2"/>
  <c r="AH161" i="2"/>
  <c r="AG161" i="2"/>
  <c r="AA161" i="2"/>
  <c r="Z161" i="2"/>
  <c r="Y161" i="2"/>
  <c r="X161" i="2"/>
  <c r="L161" i="2"/>
  <c r="AH160" i="2"/>
  <c r="AG160" i="2"/>
  <c r="AA160" i="2"/>
  <c r="Z160" i="2"/>
  <c r="Y160" i="2"/>
  <c r="X160" i="2"/>
  <c r="L160" i="2"/>
  <c r="AH159" i="2"/>
  <c r="AG159" i="2"/>
  <c r="AA159" i="2"/>
  <c r="Z159" i="2"/>
  <c r="Y159" i="2"/>
  <c r="X159" i="2"/>
  <c r="L159" i="2"/>
  <c r="AH158" i="2"/>
  <c r="AG158" i="2"/>
  <c r="AA158" i="2"/>
  <c r="Z158" i="2"/>
  <c r="Y158" i="2"/>
  <c r="X158" i="2"/>
  <c r="L158" i="2"/>
  <c r="AH157" i="2"/>
  <c r="AG157" i="2"/>
  <c r="AA157" i="2"/>
  <c r="Z157" i="2"/>
  <c r="Y157" i="2"/>
  <c r="X157" i="2"/>
  <c r="L157" i="2"/>
  <c r="AH156" i="2"/>
  <c r="AG156" i="2"/>
  <c r="AA156" i="2"/>
  <c r="Z156" i="2"/>
  <c r="Y156" i="2"/>
  <c r="X156" i="2"/>
  <c r="L156" i="2"/>
  <c r="AH155" i="2"/>
  <c r="AG155" i="2"/>
  <c r="AA155" i="2"/>
  <c r="Z155" i="2"/>
  <c r="Y155" i="2"/>
  <c r="X155" i="2"/>
  <c r="L155" i="2"/>
  <c r="AH154" i="2"/>
  <c r="AG154" i="2"/>
  <c r="AA154" i="2"/>
  <c r="Z154" i="2"/>
  <c r="Y154" i="2"/>
  <c r="X154" i="2"/>
  <c r="L154" i="2"/>
  <c r="AH153" i="2"/>
  <c r="AG153" i="2"/>
  <c r="AA153" i="2"/>
  <c r="Z153" i="2"/>
  <c r="Y153" i="2"/>
  <c r="X153" i="2"/>
  <c r="L153" i="2"/>
  <c r="AH152" i="2"/>
  <c r="AG152" i="2"/>
  <c r="AA152" i="2"/>
  <c r="Z152" i="2"/>
  <c r="Y152" i="2"/>
  <c r="X152" i="2"/>
  <c r="L152" i="2"/>
  <c r="AH151" i="2"/>
  <c r="AG151" i="2"/>
  <c r="AA151" i="2"/>
  <c r="Z151" i="2"/>
  <c r="Y151" i="2"/>
  <c r="X151" i="2"/>
  <c r="L151" i="2"/>
  <c r="AH150" i="2"/>
  <c r="AG150" i="2"/>
  <c r="AA150" i="2"/>
  <c r="Z150" i="2"/>
  <c r="Y150" i="2"/>
  <c r="X150" i="2"/>
  <c r="L150" i="2"/>
  <c r="AH149" i="2"/>
  <c r="AG149" i="2"/>
  <c r="AA149" i="2"/>
  <c r="Z149" i="2"/>
  <c r="Y149" i="2"/>
  <c r="X149" i="2"/>
  <c r="L149" i="2"/>
  <c r="AH148" i="2"/>
  <c r="AG148" i="2"/>
  <c r="AA148" i="2"/>
  <c r="Z148" i="2"/>
  <c r="Y148" i="2"/>
  <c r="X148" i="2"/>
  <c r="L148" i="2"/>
  <c r="AH147" i="2"/>
  <c r="AG147" i="2"/>
  <c r="AA147" i="2"/>
  <c r="Z147" i="2"/>
  <c r="Y147" i="2"/>
  <c r="X147" i="2"/>
  <c r="L147" i="2"/>
  <c r="AH146" i="2"/>
  <c r="AG146" i="2"/>
  <c r="AA146" i="2"/>
  <c r="Z146" i="2"/>
  <c r="Y146" i="2"/>
  <c r="X146" i="2"/>
  <c r="L146" i="2"/>
  <c r="AH145" i="2"/>
  <c r="AG145" i="2"/>
  <c r="AA145" i="2"/>
  <c r="Z145" i="2"/>
  <c r="Y145" i="2"/>
  <c r="X145" i="2"/>
  <c r="L145" i="2"/>
  <c r="AH144" i="2"/>
  <c r="AG144" i="2"/>
  <c r="AA144" i="2"/>
  <c r="Z144" i="2"/>
  <c r="Y144" i="2"/>
  <c r="X144" i="2"/>
  <c r="L144" i="2"/>
  <c r="AH143" i="2"/>
  <c r="AG143" i="2"/>
  <c r="AA143" i="2"/>
  <c r="Z143" i="2"/>
  <c r="Y143" i="2"/>
  <c r="X143" i="2"/>
  <c r="L143" i="2"/>
  <c r="AH142" i="2"/>
  <c r="AG142" i="2"/>
  <c r="AA142" i="2"/>
  <c r="Z142" i="2"/>
  <c r="Y142" i="2"/>
  <c r="X142" i="2"/>
  <c r="L142" i="2"/>
  <c r="AH141" i="2"/>
  <c r="AG141" i="2"/>
  <c r="AA141" i="2"/>
  <c r="Z141" i="2"/>
  <c r="Y141" i="2"/>
  <c r="X141" i="2"/>
  <c r="L141" i="2"/>
  <c r="AH140" i="2"/>
  <c r="AG140" i="2"/>
  <c r="AA140" i="2"/>
  <c r="Z140" i="2"/>
  <c r="Y140" i="2"/>
  <c r="X140" i="2"/>
  <c r="L140" i="2"/>
  <c r="AH139" i="2"/>
  <c r="AG139" i="2"/>
  <c r="AA139" i="2"/>
  <c r="Z139" i="2"/>
  <c r="Y139" i="2"/>
  <c r="X139" i="2"/>
  <c r="L139" i="2"/>
  <c r="AH138" i="2"/>
  <c r="AG138" i="2"/>
  <c r="AA138" i="2"/>
  <c r="Z138" i="2"/>
  <c r="Y138" i="2"/>
  <c r="X138" i="2"/>
  <c r="L138" i="2"/>
  <c r="AH137" i="2"/>
  <c r="AG137" i="2"/>
  <c r="AA137" i="2"/>
  <c r="Z137" i="2"/>
  <c r="Y137" i="2"/>
  <c r="X137" i="2"/>
  <c r="L137" i="2"/>
  <c r="AH136" i="2"/>
  <c r="AG136" i="2"/>
  <c r="AA136" i="2"/>
  <c r="Z136" i="2"/>
  <c r="Y136" i="2"/>
  <c r="X136" i="2"/>
  <c r="L136" i="2"/>
  <c r="AH135" i="2"/>
  <c r="AG135" i="2"/>
  <c r="AA135" i="2"/>
  <c r="Z135" i="2"/>
  <c r="Y135" i="2"/>
  <c r="X135" i="2"/>
  <c r="L135" i="2"/>
  <c r="AH134" i="2"/>
  <c r="AG134" i="2"/>
  <c r="AA134" i="2"/>
  <c r="Z134" i="2"/>
  <c r="Y134" i="2"/>
  <c r="X134" i="2"/>
  <c r="L134" i="2"/>
  <c r="AH133" i="2"/>
  <c r="AG133" i="2"/>
  <c r="AA133" i="2"/>
  <c r="Z133" i="2"/>
  <c r="Y133" i="2"/>
  <c r="X133" i="2"/>
  <c r="L133" i="2"/>
  <c r="AH132" i="2"/>
  <c r="AG132" i="2"/>
  <c r="AA132" i="2"/>
  <c r="Z132" i="2"/>
  <c r="Y132" i="2"/>
  <c r="X132" i="2"/>
  <c r="L132" i="2"/>
  <c r="AH131" i="2"/>
  <c r="AG131" i="2"/>
  <c r="AA131" i="2"/>
  <c r="Z131" i="2"/>
  <c r="Y131" i="2"/>
  <c r="X131" i="2"/>
  <c r="L131" i="2"/>
  <c r="AH130" i="2"/>
  <c r="AG130" i="2"/>
  <c r="AA130" i="2"/>
  <c r="Z130" i="2"/>
  <c r="Y130" i="2"/>
  <c r="X130" i="2"/>
  <c r="L130" i="2"/>
  <c r="AH129" i="2"/>
  <c r="AG129" i="2"/>
  <c r="AA129" i="2"/>
  <c r="Z129" i="2"/>
  <c r="Y129" i="2"/>
  <c r="X129" i="2"/>
  <c r="L129" i="2"/>
  <c r="AH128" i="2"/>
  <c r="AG128" i="2"/>
  <c r="AA128" i="2"/>
  <c r="Z128" i="2"/>
  <c r="Y128" i="2"/>
  <c r="X128" i="2"/>
  <c r="L128" i="2"/>
  <c r="AH127" i="2"/>
  <c r="AG127" i="2"/>
  <c r="AA127" i="2"/>
  <c r="Z127" i="2"/>
  <c r="Y127" i="2"/>
  <c r="X127" i="2"/>
  <c r="L127" i="2"/>
  <c r="AH126" i="2"/>
  <c r="AG126" i="2"/>
  <c r="AA126" i="2"/>
  <c r="Z126" i="2"/>
  <c r="Y126" i="2"/>
  <c r="X126" i="2"/>
  <c r="L126" i="2"/>
  <c r="AH125" i="2"/>
  <c r="AG125" i="2"/>
  <c r="AA125" i="2"/>
  <c r="Z125" i="2"/>
  <c r="Y125" i="2"/>
  <c r="X125" i="2"/>
  <c r="L125" i="2"/>
  <c r="AH124" i="2"/>
  <c r="AG124" i="2"/>
  <c r="AA124" i="2"/>
  <c r="Z124" i="2"/>
  <c r="Y124" i="2"/>
  <c r="X124" i="2"/>
  <c r="L124" i="2"/>
  <c r="AH123" i="2"/>
  <c r="AG123" i="2"/>
  <c r="AA123" i="2"/>
  <c r="Z123" i="2"/>
  <c r="Y123" i="2"/>
  <c r="X123" i="2"/>
  <c r="L123" i="2"/>
  <c r="AH122" i="2"/>
  <c r="AG122" i="2"/>
  <c r="AA122" i="2"/>
  <c r="Z122" i="2"/>
  <c r="Y122" i="2"/>
  <c r="X122" i="2"/>
  <c r="L122" i="2"/>
  <c r="AH121" i="2"/>
  <c r="AG121" i="2"/>
  <c r="AA121" i="2"/>
  <c r="Z121" i="2"/>
  <c r="Y121" i="2"/>
  <c r="X121" i="2"/>
  <c r="L121" i="2"/>
  <c r="AH120" i="2"/>
  <c r="AG120" i="2"/>
  <c r="AA120" i="2"/>
  <c r="Z120" i="2"/>
  <c r="Y120" i="2"/>
  <c r="X120" i="2"/>
  <c r="L120" i="2"/>
  <c r="AH119" i="2"/>
  <c r="AG119" i="2"/>
  <c r="AA119" i="2"/>
  <c r="Z119" i="2"/>
  <c r="Y119" i="2"/>
  <c r="X119" i="2"/>
  <c r="L119" i="2"/>
  <c r="AH118" i="2"/>
  <c r="AG118" i="2"/>
  <c r="AA118" i="2"/>
  <c r="Z118" i="2"/>
  <c r="Y118" i="2"/>
  <c r="X118" i="2"/>
  <c r="L118" i="2"/>
  <c r="AH117" i="2"/>
  <c r="AG117" i="2"/>
  <c r="AA117" i="2"/>
  <c r="Z117" i="2"/>
  <c r="Y117" i="2"/>
  <c r="X117" i="2"/>
  <c r="L117" i="2"/>
  <c r="AH116" i="2"/>
  <c r="AG116" i="2"/>
  <c r="AA116" i="2"/>
  <c r="Z116" i="2"/>
  <c r="Y116" i="2"/>
  <c r="X116" i="2"/>
  <c r="L116" i="2"/>
  <c r="AH115" i="2"/>
  <c r="AG115" i="2"/>
  <c r="AA115" i="2"/>
  <c r="Z115" i="2"/>
  <c r="Y115" i="2"/>
  <c r="X115" i="2"/>
  <c r="L115" i="2"/>
  <c r="AH114" i="2"/>
  <c r="AG114" i="2"/>
  <c r="AA114" i="2"/>
  <c r="Z114" i="2"/>
  <c r="Y114" i="2"/>
  <c r="X114" i="2"/>
  <c r="L114" i="2"/>
  <c r="AH113" i="2"/>
  <c r="AG113" i="2"/>
  <c r="AA113" i="2"/>
  <c r="Z113" i="2"/>
  <c r="Y113" i="2"/>
  <c r="X113" i="2"/>
  <c r="L113" i="2"/>
  <c r="AH112" i="2"/>
  <c r="AG112" i="2"/>
  <c r="AA112" i="2"/>
  <c r="Z112" i="2"/>
  <c r="Y112" i="2"/>
  <c r="X112" i="2"/>
  <c r="L112" i="2"/>
  <c r="AH111" i="2"/>
  <c r="AG111" i="2"/>
  <c r="AA111" i="2"/>
  <c r="Z111" i="2"/>
  <c r="Y111" i="2"/>
  <c r="X111" i="2"/>
  <c r="L111" i="2"/>
  <c r="AH110" i="2"/>
  <c r="AG110" i="2"/>
  <c r="AA110" i="2"/>
  <c r="Z110" i="2"/>
  <c r="Y110" i="2"/>
  <c r="X110" i="2"/>
  <c r="L110" i="2"/>
  <c r="AH109" i="2"/>
  <c r="AG109" i="2"/>
  <c r="AA109" i="2"/>
  <c r="Z109" i="2"/>
  <c r="Y109" i="2"/>
  <c r="X109" i="2"/>
  <c r="L109" i="2"/>
  <c r="AH108" i="2"/>
  <c r="AG108" i="2"/>
  <c r="AA108" i="2"/>
  <c r="Z108" i="2"/>
  <c r="Y108" i="2"/>
  <c r="X108" i="2"/>
  <c r="L108" i="2"/>
  <c r="AH107" i="2"/>
  <c r="AG107" i="2"/>
  <c r="AA107" i="2"/>
  <c r="Z107" i="2"/>
  <c r="Y107" i="2"/>
  <c r="X107" i="2"/>
  <c r="L107" i="2"/>
  <c r="AH106" i="2"/>
  <c r="AG106" i="2"/>
  <c r="AA106" i="2"/>
  <c r="Z106" i="2"/>
  <c r="Y106" i="2"/>
  <c r="X106" i="2"/>
  <c r="L106" i="2"/>
  <c r="AH105" i="2"/>
  <c r="AG105" i="2"/>
  <c r="AA105" i="2"/>
  <c r="Z105" i="2"/>
  <c r="Y105" i="2"/>
  <c r="X105" i="2"/>
  <c r="L105" i="2"/>
  <c r="AH104" i="2"/>
  <c r="AG104" i="2"/>
  <c r="AA104" i="2"/>
  <c r="Z104" i="2"/>
  <c r="Y104" i="2"/>
  <c r="X104" i="2"/>
  <c r="L104" i="2"/>
  <c r="AH103" i="2"/>
  <c r="AG103" i="2"/>
  <c r="AA103" i="2"/>
  <c r="Z103" i="2"/>
  <c r="Y103" i="2"/>
  <c r="X103" i="2"/>
  <c r="L103" i="2"/>
  <c r="AH102" i="2"/>
  <c r="AG102" i="2"/>
  <c r="AA102" i="2"/>
  <c r="Z102" i="2"/>
  <c r="Y102" i="2"/>
  <c r="X102" i="2"/>
  <c r="L102" i="2"/>
  <c r="AH101" i="2"/>
  <c r="AG101" i="2"/>
  <c r="AA101" i="2"/>
  <c r="Z101" i="2"/>
  <c r="Y101" i="2"/>
  <c r="X101" i="2"/>
  <c r="L101" i="2"/>
  <c r="AH100" i="2"/>
  <c r="AG100" i="2"/>
  <c r="AA100" i="2"/>
  <c r="Z100" i="2"/>
  <c r="Y100" i="2"/>
  <c r="X100" i="2"/>
  <c r="L100" i="2"/>
  <c r="AH99" i="2"/>
  <c r="AG99" i="2"/>
  <c r="AA99" i="2"/>
  <c r="Z99" i="2"/>
  <c r="Y99" i="2"/>
  <c r="X99" i="2"/>
  <c r="L99" i="2"/>
  <c r="AH98" i="2"/>
  <c r="AG98" i="2"/>
  <c r="AA98" i="2"/>
  <c r="Z98" i="2"/>
  <c r="Y98" i="2"/>
  <c r="X98" i="2"/>
  <c r="L98" i="2"/>
  <c r="AH97" i="2"/>
  <c r="AG97" i="2"/>
  <c r="AA97" i="2"/>
  <c r="Z97" i="2"/>
  <c r="Y97" i="2"/>
  <c r="X97" i="2"/>
  <c r="L97" i="2"/>
  <c r="AH96" i="2"/>
  <c r="AG96" i="2"/>
  <c r="AA96" i="2"/>
  <c r="Z96" i="2"/>
  <c r="Y96" i="2"/>
  <c r="X96" i="2"/>
  <c r="L96" i="2"/>
  <c r="AH95" i="2"/>
  <c r="AG95" i="2"/>
  <c r="AA95" i="2"/>
  <c r="Z95" i="2"/>
  <c r="Y95" i="2"/>
  <c r="X95" i="2"/>
  <c r="L95" i="2"/>
  <c r="AH94" i="2"/>
  <c r="AG94" i="2"/>
  <c r="AA94" i="2"/>
  <c r="Z94" i="2"/>
  <c r="Y94" i="2"/>
  <c r="X94" i="2"/>
  <c r="L94" i="2"/>
  <c r="AH93" i="2"/>
  <c r="AG93" i="2"/>
  <c r="AA93" i="2"/>
  <c r="Z93" i="2"/>
  <c r="Y93" i="2"/>
  <c r="X93" i="2"/>
  <c r="L93" i="2"/>
  <c r="AH92" i="2"/>
  <c r="AG92" i="2"/>
  <c r="AA92" i="2"/>
  <c r="Z92" i="2"/>
  <c r="Y92" i="2"/>
  <c r="X92" i="2"/>
  <c r="L92" i="2"/>
  <c r="AH91" i="2"/>
  <c r="AG91" i="2"/>
  <c r="AA91" i="2"/>
  <c r="Z91" i="2"/>
  <c r="Y91" i="2"/>
  <c r="X91" i="2"/>
  <c r="L91" i="2"/>
  <c r="AH90" i="2"/>
  <c r="AG90" i="2"/>
  <c r="AA90" i="2"/>
  <c r="Z90" i="2"/>
  <c r="Y90" i="2"/>
  <c r="X90" i="2"/>
  <c r="L90" i="2"/>
  <c r="AH89" i="2"/>
  <c r="AG89" i="2"/>
  <c r="AA89" i="2"/>
  <c r="Z89" i="2"/>
  <c r="Y89" i="2"/>
  <c r="X89" i="2"/>
  <c r="L89" i="2"/>
  <c r="AH88" i="2"/>
  <c r="AG88" i="2"/>
  <c r="AA88" i="2"/>
  <c r="Z88" i="2"/>
  <c r="Y88" i="2"/>
  <c r="X88" i="2"/>
  <c r="L88" i="2"/>
  <c r="AH87" i="2"/>
  <c r="AG87" i="2"/>
  <c r="AA87" i="2"/>
  <c r="Z87" i="2"/>
  <c r="Y87" i="2"/>
  <c r="X87" i="2"/>
  <c r="L87" i="2"/>
  <c r="AH86" i="2"/>
  <c r="AG86" i="2"/>
  <c r="AA86" i="2"/>
  <c r="Z86" i="2"/>
  <c r="Y86" i="2"/>
  <c r="X86" i="2"/>
  <c r="L86" i="2"/>
  <c r="AH85" i="2"/>
  <c r="AG85" i="2"/>
  <c r="AA85" i="2"/>
  <c r="Z85" i="2"/>
  <c r="Y85" i="2"/>
  <c r="X85" i="2"/>
  <c r="L85" i="2"/>
  <c r="AH84" i="2"/>
  <c r="AG84" i="2"/>
  <c r="AA84" i="2"/>
  <c r="Z84" i="2"/>
  <c r="Y84" i="2"/>
  <c r="X84" i="2"/>
  <c r="L84" i="2"/>
  <c r="AH83" i="2"/>
  <c r="AG83" i="2"/>
  <c r="AA83" i="2"/>
  <c r="Z83" i="2"/>
  <c r="Y83" i="2"/>
  <c r="X83" i="2"/>
  <c r="L83" i="2"/>
  <c r="AH82" i="2"/>
  <c r="AG82" i="2"/>
  <c r="AA82" i="2"/>
  <c r="Z82" i="2"/>
  <c r="Y82" i="2"/>
  <c r="X82" i="2"/>
  <c r="L82" i="2"/>
  <c r="AH81" i="2"/>
  <c r="AG81" i="2"/>
  <c r="AA81" i="2"/>
  <c r="Z81" i="2"/>
  <c r="Y81" i="2"/>
  <c r="X81" i="2"/>
  <c r="L81" i="2"/>
  <c r="AH80" i="2"/>
  <c r="AG80" i="2"/>
  <c r="AA80" i="2"/>
  <c r="Z80" i="2"/>
  <c r="Y80" i="2"/>
  <c r="X80" i="2"/>
  <c r="L80" i="2"/>
  <c r="AH79" i="2"/>
  <c r="AG79" i="2"/>
  <c r="AA79" i="2"/>
  <c r="Z79" i="2"/>
  <c r="Y79" i="2"/>
  <c r="X79" i="2"/>
  <c r="L79" i="2"/>
  <c r="AH78" i="2"/>
  <c r="AG78" i="2"/>
  <c r="AA78" i="2"/>
  <c r="Z78" i="2"/>
  <c r="Y78" i="2"/>
  <c r="X78" i="2"/>
  <c r="L78" i="2"/>
  <c r="AH77" i="2"/>
  <c r="AG77" i="2"/>
  <c r="AA77" i="2"/>
  <c r="Z77" i="2"/>
  <c r="Y77" i="2"/>
  <c r="X77" i="2"/>
  <c r="L77" i="2"/>
  <c r="AH76" i="2"/>
  <c r="AG76" i="2"/>
  <c r="AA76" i="2"/>
  <c r="Z76" i="2"/>
  <c r="Y76" i="2"/>
  <c r="X76" i="2"/>
  <c r="L76" i="2"/>
  <c r="AH75" i="2"/>
  <c r="AG75" i="2"/>
  <c r="AA75" i="2"/>
  <c r="Z75" i="2"/>
  <c r="Y75" i="2"/>
  <c r="X75" i="2"/>
  <c r="L75" i="2"/>
  <c r="AH74" i="2"/>
  <c r="AG74" i="2"/>
  <c r="AA74" i="2"/>
  <c r="Z74" i="2"/>
  <c r="Y74" i="2"/>
  <c r="X74" i="2"/>
  <c r="L74" i="2"/>
  <c r="AH73" i="2"/>
  <c r="AG73" i="2"/>
  <c r="AA73" i="2"/>
  <c r="Z73" i="2"/>
  <c r="Y73" i="2"/>
  <c r="X73" i="2"/>
  <c r="L73" i="2"/>
  <c r="AH72" i="2"/>
  <c r="AG72" i="2"/>
  <c r="AA72" i="2"/>
  <c r="Z72" i="2"/>
  <c r="Y72" i="2"/>
  <c r="X72" i="2"/>
  <c r="L72" i="2"/>
  <c r="AH71" i="2"/>
  <c r="AG71" i="2"/>
  <c r="AA71" i="2"/>
  <c r="Z71" i="2"/>
  <c r="Y71" i="2"/>
  <c r="X71" i="2"/>
  <c r="L71" i="2"/>
  <c r="AH70" i="2"/>
  <c r="AG70" i="2"/>
  <c r="AA70" i="2"/>
  <c r="Z70" i="2"/>
  <c r="Y70" i="2"/>
  <c r="X70" i="2"/>
  <c r="L70" i="2"/>
  <c r="AH69" i="2"/>
  <c r="AG69" i="2"/>
  <c r="AA69" i="2"/>
  <c r="Z69" i="2"/>
  <c r="Y69" i="2"/>
  <c r="X69" i="2"/>
  <c r="L69" i="2"/>
  <c r="AH68" i="2"/>
  <c r="AG68" i="2"/>
  <c r="AA68" i="2"/>
  <c r="Z68" i="2"/>
  <c r="Y68" i="2"/>
  <c r="X68" i="2"/>
  <c r="L68" i="2"/>
  <c r="AH67" i="2"/>
  <c r="AG67" i="2"/>
  <c r="AA67" i="2"/>
  <c r="Z67" i="2"/>
  <c r="Y67" i="2"/>
  <c r="X67" i="2"/>
  <c r="L67" i="2"/>
  <c r="AH66" i="2"/>
  <c r="AG66" i="2"/>
  <c r="AA66" i="2"/>
  <c r="Z66" i="2"/>
  <c r="Y66" i="2"/>
  <c r="X66" i="2"/>
  <c r="L66" i="2"/>
  <c r="AH65" i="2"/>
  <c r="AG65" i="2"/>
  <c r="AA65" i="2"/>
  <c r="Z65" i="2"/>
  <c r="Y65" i="2"/>
  <c r="X65" i="2"/>
  <c r="L65" i="2"/>
  <c r="AH64" i="2"/>
  <c r="AG64" i="2"/>
  <c r="AA64" i="2"/>
  <c r="Z64" i="2"/>
  <c r="Y64" i="2"/>
  <c r="X64" i="2"/>
  <c r="L64" i="2"/>
  <c r="AH63" i="2"/>
  <c r="AG63" i="2"/>
  <c r="AA63" i="2"/>
  <c r="Z63" i="2"/>
  <c r="Y63" i="2"/>
  <c r="X63" i="2"/>
  <c r="L63" i="2"/>
  <c r="AH62" i="2"/>
  <c r="AG62" i="2"/>
  <c r="AA62" i="2"/>
  <c r="Z62" i="2"/>
  <c r="Y62" i="2"/>
  <c r="X62" i="2"/>
  <c r="L62" i="2"/>
  <c r="AH61" i="2"/>
  <c r="AG61" i="2"/>
  <c r="AA61" i="2"/>
  <c r="Z61" i="2"/>
  <c r="Y61" i="2"/>
  <c r="X61" i="2"/>
  <c r="L61" i="2"/>
  <c r="AH60" i="2"/>
  <c r="AG60" i="2"/>
  <c r="AA60" i="2"/>
  <c r="Z60" i="2"/>
  <c r="Y60" i="2"/>
  <c r="X60" i="2"/>
  <c r="L60" i="2"/>
  <c r="AH59" i="2"/>
  <c r="AG59" i="2"/>
  <c r="AA59" i="2"/>
  <c r="Z59" i="2"/>
  <c r="Y59" i="2"/>
  <c r="X59" i="2"/>
  <c r="L59" i="2"/>
  <c r="AH58" i="2"/>
  <c r="AG58" i="2"/>
  <c r="AA58" i="2"/>
  <c r="Z58" i="2"/>
  <c r="Y58" i="2"/>
  <c r="X58" i="2"/>
  <c r="L58" i="2"/>
  <c r="AH57" i="2"/>
  <c r="AG57" i="2"/>
  <c r="AA57" i="2"/>
  <c r="Z57" i="2"/>
  <c r="Y57" i="2"/>
  <c r="X57" i="2"/>
  <c r="L57" i="2"/>
  <c r="AH56" i="2"/>
  <c r="AG56" i="2"/>
  <c r="AA56" i="2"/>
  <c r="Z56" i="2"/>
  <c r="Y56" i="2"/>
  <c r="X56" i="2"/>
  <c r="L56" i="2"/>
  <c r="AH55" i="2"/>
  <c r="AG55" i="2"/>
  <c r="AA55" i="2"/>
  <c r="Z55" i="2"/>
  <c r="Y55" i="2"/>
  <c r="X55" i="2"/>
  <c r="L55" i="2"/>
  <c r="AH54" i="2"/>
  <c r="AG54" i="2"/>
  <c r="AA54" i="2"/>
  <c r="Z54" i="2"/>
  <c r="Y54" i="2"/>
  <c r="X54" i="2"/>
  <c r="L54" i="2"/>
  <c r="AH53" i="2"/>
  <c r="AG53" i="2"/>
  <c r="AA53" i="2"/>
  <c r="Z53" i="2"/>
  <c r="Y53" i="2"/>
  <c r="X53" i="2"/>
  <c r="L53" i="2"/>
  <c r="AH52" i="2"/>
  <c r="AG52" i="2"/>
  <c r="AA52" i="2"/>
  <c r="Z52" i="2"/>
  <c r="Y52" i="2"/>
  <c r="X52" i="2"/>
  <c r="L52" i="2"/>
  <c r="AH51" i="2"/>
  <c r="AG51" i="2"/>
  <c r="AA51" i="2"/>
  <c r="Z51" i="2"/>
  <c r="Y51" i="2"/>
  <c r="X51" i="2"/>
  <c r="L51" i="2"/>
  <c r="AH50" i="2"/>
  <c r="AG50" i="2"/>
  <c r="AA50" i="2"/>
  <c r="Z50" i="2"/>
  <c r="Y50" i="2"/>
  <c r="X50" i="2"/>
  <c r="L50" i="2"/>
  <c r="AH49" i="2"/>
  <c r="AG49" i="2"/>
  <c r="AA49" i="2"/>
  <c r="Z49" i="2"/>
  <c r="Y49" i="2"/>
  <c r="X49" i="2"/>
  <c r="L49" i="2"/>
  <c r="AH48" i="2"/>
  <c r="AG48" i="2"/>
  <c r="AA48" i="2"/>
  <c r="Z48" i="2"/>
  <c r="Y48" i="2"/>
  <c r="X48" i="2"/>
  <c r="L48" i="2"/>
  <c r="AH47" i="2"/>
  <c r="AG47" i="2"/>
  <c r="AA47" i="2"/>
  <c r="Z47" i="2"/>
  <c r="Y47" i="2"/>
  <c r="X47" i="2"/>
  <c r="L47" i="2"/>
  <c r="AH46" i="2"/>
  <c r="AG46" i="2"/>
  <c r="AA46" i="2"/>
  <c r="Z46" i="2"/>
  <c r="Y46" i="2"/>
  <c r="X46" i="2"/>
  <c r="L46" i="2"/>
  <c r="AH45" i="2"/>
  <c r="AG45" i="2"/>
  <c r="AA45" i="2"/>
  <c r="Z45" i="2"/>
  <c r="Y45" i="2"/>
  <c r="X45" i="2"/>
  <c r="L45" i="2"/>
  <c r="AH44" i="2"/>
  <c r="AG44" i="2"/>
  <c r="AA44" i="2"/>
  <c r="Z44" i="2"/>
  <c r="Y44" i="2"/>
  <c r="X44" i="2"/>
  <c r="L44" i="2"/>
  <c r="AH43" i="2"/>
  <c r="AG43" i="2"/>
  <c r="AA43" i="2"/>
  <c r="Z43" i="2"/>
  <c r="Y43" i="2"/>
  <c r="X43" i="2"/>
  <c r="L43" i="2"/>
  <c r="AH42" i="2"/>
  <c r="AG42" i="2"/>
  <c r="AA42" i="2"/>
  <c r="Z42" i="2"/>
  <c r="Y42" i="2"/>
  <c r="X42" i="2"/>
  <c r="L42" i="2"/>
  <c r="AH41" i="2"/>
  <c r="AG41" i="2"/>
  <c r="AA41" i="2"/>
  <c r="Z41" i="2"/>
  <c r="Y41" i="2"/>
  <c r="X41" i="2"/>
  <c r="L41" i="2"/>
  <c r="AH40" i="2"/>
  <c r="AG40" i="2"/>
  <c r="AA40" i="2"/>
  <c r="Z40" i="2"/>
  <c r="Y40" i="2"/>
  <c r="X40" i="2"/>
  <c r="L40" i="2"/>
  <c r="AH39" i="2"/>
  <c r="AG39" i="2"/>
  <c r="AA39" i="2"/>
  <c r="Z39" i="2"/>
  <c r="Y39" i="2"/>
  <c r="X39" i="2"/>
  <c r="L39" i="2"/>
  <c r="AH38" i="2"/>
  <c r="AG38" i="2"/>
  <c r="AA38" i="2"/>
  <c r="Z38" i="2"/>
  <c r="Y38" i="2"/>
  <c r="X38" i="2"/>
  <c r="L38" i="2"/>
  <c r="AH37" i="2"/>
  <c r="AG37" i="2"/>
  <c r="AA37" i="2"/>
  <c r="Z37" i="2"/>
  <c r="Y37" i="2"/>
  <c r="X37" i="2"/>
  <c r="L37" i="2"/>
  <c r="AH36" i="2"/>
  <c r="AG36" i="2"/>
  <c r="AA36" i="2"/>
  <c r="Z36" i="2"/>
  <c r="Y36" i="2"/>
  <c r="X36" i="2"/>
  <c r="L36" i="2"/>
  <c r="AH35" i="2"/>
  <c r="AG35" i="2"/>
  <c r="AA35" i="2"/>
  <c r="Z35" i="2"/>
  <c r="Y35" i="2"/>
  <c r="X35" i="2"/>
  <c r="L35" i="2"/>
  <c r="AH34" i="2"/>
  <c r="AG34" i="2"/>
  <c r="AA34" i="2"/>
  <c r="Z34" i="2"/>
  <c r="Y34" i="2"/>
  <c r="X34" i="2"/>
  <c r="L34" i="2"/>
  <c r="AH33" i="2"/>
  <c r="AG33" i="2"/>
  <c r="AA33" i="2"/>
  <c r="Z33" i="2"/>
  <c r="Y33" i="2"/>
  <c r="X33" i="2"/>
  <c r="L33" i="2"/>
  <c r="AH32" i="2"/>
  <c r="AG32" i="2"/>
  <c r="AA32" i="2"/>
  <c r="Z32" i="2"/>
  <c r="Y32" i="2"/>
  <c r="X32" i="2"/>
  <c r="L32" i="2"/>
  <c r="AH31" i="2"/>
  <c r="AG31" i="2"/>
  <c r="AA31" i="2"/>
  <c r="Z31" i="2"/>
  <c r="Y31" i="2"/>
  <c r="X31" i="2"/>
  <c r="L31" i="2"/>
  <c r="AH30" i="2"/>
  <c r="AG30" i="2"/>
  <c r="AA30" i="2"/>
  <c r="Z30" i="2"/>
  <c r="Y30" i="2"/>
  <c r="X30" i="2"/>
  <c r="L30" i="2"/>
  <c r="AH29" i="2"/>
  <c r="AG29" i="2"/>
  <c r="AA29" i="2"/>
  <c r="Z29" i="2"/>
  <c r="Y29" i="2"/>
  <c r="X29" i="2"/>
  <c r="L29" i="2"/>
  <c r="AH28" i="2"/>
  <c r="AG28" i="2"/>
  <c r="AA28" i="2"/>
  <c r="Z28" i="2"/>
  <c r="Y28" i="2"/>
  <c r="X28" i="2"/>
  <c r="L28" i="2"/>
  <c r="AH27" i="2"/>
  <c r="AG27" i="2"/>
  <c r="AA27" i="2"/>
  <c r="Z27" i="2"/>
  <c r="Y27" i="2"/>
  <c r="X27" i="2"/>
  <c r="L27" i="2"/>
  <c r="AH26" i="2"/>
  <c r="AG26" i="2"/>
  <c r="AA26" i="2"/>
  <c r="Z26" i="2"/>
  <c r="Y26" i="2"/>
  <c r="X26" i="2"/>
  <c r="L26" i="2"/>
  <c r="AH25" i="2"/>
  <c r="AG25" i="2"/>
  <c r="AA25" i="2"/>
  <c r="Z25" i="2"/>
  <c r="Y25" i="2"/>
  <c r="X25" i="2"/>
  <c r="L25" i="2"/>
  <c r="AH24" i="2"/>
  <c r="AG24" i="2"/>
  <c r="AA24" i="2"/>
  <c r="Z24" i="2"/>
  <c r="Y24" i="2"/>
  <c r="X24" i="2"/>
  <c r="L24" i="2"/>
  <c r="AH23" i="2"/>
  <c r="AG23" i="2"/>
  <c r="AA23" i="2"/>
  <c r="Z23" i="2"/>
  <c r="Y23" i="2"/>
  <c r="X23" i="2"/>
  <c r="L23" i="2"/>
  <c r="AH22" i="2"/>
  <c r="AG22" i="2"/>
  <c r="AA22" i="2"/>
  <c r="Z22" i="2"/>
  <c r="Y22" i="2"/>
  <c r="X22" i="2"/>
  <c r="L22" i="2"/>
  <c r="AH21" i="2"/>
  <c r="AG21" i="2"/>
  <c r="AA21" i="2"/>
  <c r="Z21" i="2"/>
  <c r="Y21" i="2"/>
  <c r="X21" i="2"/>
  <c r="L21" i="2"/>
  <c r="AH20" i="2"/>
  <c r="AG20" i="2"/>
  <c r="AA20" i="2"/>
  <c r="Z20" i="2"/>
  <c r="Y20" i="2"/>
  <c r="X20" i="2"/>
  <c r="L20" i="2"/>
  <c r="AH19" i="2"/>
  <c r="AG19" i="2"/>
  <c r="AA19" i="2"/>
  <c r="Z19" i="2"/>
  <c r="Y19" i="2"/>
  <c r="X19" i="2"/>
  <c r="L19" i="2"/>
  <c r="AH18" i="2"/>
  <c r="AG18" i="2"/>
  <c r="AA18" i="2"/>
  <c r="Z18" i="2"/>
  <c r="Y18" i="2"/>
  <c r="X18" i="2"/>
  <c r="L18" i="2"/>
  <c r="AH17" i="2"/>
  <c r="AG17" i="2"/>
  <c r="AA17" i="2"/>
  <c r="Z17" i="2"/>
  <c r="Y17" i="2"/>
  <c r="X17" i="2"/>
  <c r="L17" i="2"/>
  <c r="AH16" i="2"/>
  <c r="AG16" i="2"/>
  <c r="AA16" i="2"/>
  <c r="Z16" i="2"/>
  <c r="Y16" i="2"/>
  <c r="X16" i="2"/>
  <c r="L16" i="2"/>
  <c r="AH15" i="2"/>
  <c r="AG15" i="2"/>
  <c r="AA15" i="2"/>
  <c r="Z15" i="2"/>
  <c r="Y15" i="2"/>
  <c r="X15" i="2"/>
  <c r="L15" i="2"/>
  <c r="AH14" i="2"/>
  <c r="AG14" i="2"/>
  <c r="AA14" i="2"/>
  <c r="Z14" i="2"/>
  <c r="Y14" i="2"/>
  <c r="X14" i="2"/>
  <c r="L14" i="2"/>
  <c r="AH13" i="2"/>
  <c r="AG13" i="2"/>
  <c r="AA13" i="2"/>
  <c r="Z13" i="2"/>
  <c r="Y13" i="2"/>
  <c r="X13" i="2"/>
  <c r="L13" i="2"/>
  <c r="AH12" i="2"/>
  <c r="AG12" i="2"/>
  <c r="AA12" i="2"/>
  <c r="Z12" i="2"/>
  <c r="Y12" i="2"/>
  <c r="X12" i="2"/>
  <c r="L12" i="2"/>
  <c r="AH11" i="2"/>
  <c r="AG11" i="2"/>
  <c r="AA11" i="2"/>
  <c r="Z11" i="2"/>
  <c r="Y11" i="2"/>
  <c r="X11" i="2"/>
  <c r="L11" i="2"/>
  <c r="AH10" i="2"/>
  <c r="AG10" i="2"/>
  <c r="AA10" i="2"/>
  <c r="Z10" i="2"/>
  <c r="Y10" i="2"/>
  <c r="X10" i="2"/>
  <c r="L10" i="2"/>
  <c r="AH9" i="2"/>
  <c r="AG9" i="2"/>
  <c r="AA9" i="2"/>
  <c r="Z9" i="2"/>
  <c r="Y9" i="2"/>
  <c r="X9" i="2"/>
  <c r="L9" i="2"/>
  <c r="AH8" i="2"/>
  <c r="AG8" i="2"/>
  <c r="AA8" i="2"/>
  <c r="Z8" i="2"/>
  <c r="Y8" i="2"/>
  <c r="X8" i="2"/>
  <c r="L8" i="2"/>
  <c r="AH7" i="2"/>
  <c r="AG7" i="2"/>
  <c r="AA7" i="2"/>
  <c r="Z7" i="2"/>
  <c r="Y7" i="2"/>
  <c r="X7" i="2"/>
  <c r="L7" i="2"/>
  <c r="AH6" i="2"/>
  <c r="AG6" i="2"/>
  <c r="AA6" i="2"/>
  <c r="Z6" i="2"/>
  <c r="Y6" i="2"/>
  <c r="X6" i="2"/>
  <c r="L6" i="2"/>
  <c r="AH5" i="2"/>
  <c r="AG5" i="2"/>
  <c r="AA5" i="2"/>
  <c r="Z5" i="2"/>
  <c r="Y5" i="2"/>
  <c r="X5" i="2"/>
  <c r="L5" i="2"/>
  <c r="AH4" i="2"/>
  <c r="AG4" i="2"/>
  <c r="AA4" i="2"/>
  <c r="Z4" i="2"/>
  <c r="Y4" i="2"/>
  <c r="X4" i="2"/>
  <c r="L4" i="2"/>
  <c r="AH3" i="2"/>
  <c r="AG3" i="2"/>
  <c r="AA3" i="2"/>
  <c r="N9" i="3" s="1"/>
  <c r="Z3" i="2"/>
  <c r="Y3" i="2"/>
  <c r="X3" i="2"/>
  <c r="L3" i="2"/>
  <c r="AE2" i="2"/>
  <c r="AF2" i="2" s="1"/>
  <c r="AD2" i="2"/>
  <c r="AA2" i="2"/>
  <c r="Y2" i="2"/>
  <c r="Z2" i="2" s="1"/>
  <c r="X2" i="2"/>
  <c r="L2" i="2"/>
  <c r="M44" i="1"/>
  <c r="L44" i="1"/>
  <c r="G44" i="1"/>
  <c r="H44" i="1" s="1"/>
  <c r="L43" i="1"/>
  <c r="M43" i="1" s="1"/>
  <c r="G43" i="1"/>
  <c r="H43" i="1" s="1"/>
  <c r="M42" i="1"/>
  <c r="L42" i="1"/>
  <c r="G42" i="1"/>
  <c r="H42" i="1" s="1"/>
  <c r="M41" i="1"/>
  <c r="L41" i="1"/>
  <c r="G41" i="1"/>
  <c r="H41" i="1" s="1"/>
  <c r="M40" i="1"/>
  <c r="L40" i="1"/>
  <c r="G40" i="1"/>
  <c r="H40" i="1" s="1"/>
  <c r="L39" i="1"/>
  <c r="M39" i="1" s="1"/>
  <c r="G39" i="1"/>
  <c r="H39" i="1" s="1"/>
  <c r="M38" i="1"/>
  <c r="L38" i="1"/>
  <c r="G38" i="1"/>
  <c r="H38" i="1" s="1"/>
  <c r="M37" i="1"/>
  <c r="L37" i="1"/>
  <c r="G37" i="1"/>
  <c r="H37" i="1" s="1"/>
  <c r="M36" i="1"/>
  <c r="L36" i="1"/>
  <c r="G36" i="1"/>
  <c r="H36" i="1" s="1"/>
  <c r="L35" i="1"/>
  <c r="M35" i="1" s="1"/>
  <c r="G35" i="1"/>
  <c r="H35" i="1" s="1"/>
  <c r="M34" i="1"/>
  <c r="L34" i="1"/>
  <c r="G34" i="1"/>
  <c r="H34" i="1" s="1"/>
  <c r="M33" i="1"/>
  <c r="L33" i="1"/>
  <c r="G33" i="1"/>
  <c r="H33" i="1" s="1"/>
  <c r="M32" i="1"/>
  <c r="L32" i="1"/>
  <c r="G32" i="1"/>
  <c r="H32" i="1" s="1"/>
  <c r="L31" i="1"/>
  <c r="M31" i="1" s="1"/>
  <c r="G31" i="1"/>
  <c r="H31" i="1" s="1"/>
  <c r="M30" i="1"/>
  <c r="L30" i="1"/>
  <c r="G30" i="1"/>
  <c r="H30" i="1" s="1"/>
  <c r="M29" i="1"/>
  <c r="L29" i="1"/>
  <c r="G29" i="1"/>
  <c r="H29" i="1" s="1"/>
  <c r="M28" i="1"/>
  <c r="L28" i="1"/>
  <c r="G28" i="1"/>
  <c r="H28" i="1" s="1"/>
  <c r="L27" i="1"/>
  <c r="M27" i="1" s="1"/>
  <c r="G27" i="1"/>
  <c r="H27" i="1" s="1"/>
  <c r="M26" i="1"/>
  <c r="L26" i="1"/>
  <c r="G26" i="1"/>
  <c r="H26" i="1" s="1"/>
  <c r="M25" i="1"/>
  <c r="L25" i="1"/>
  <c r="G25" i="1"/>
  <c r="H25" i="1" s="1"/>
  <c r="M24" i="1"/>
  <c r="L24" i="1"/>
  <c r="G24" i="1"/>
  <c r="H24" i="1" s="1"/>
  <c r="L23" i="1"/>
  <c r="M23" i="1" s="1"/>
  <c r="G23" i="1"/>
  <c r="H23" i="1" s="1"/>
  <c r="M22" i="1"/>
  <c r="L22" i="1"/>
  <c r="G22" i="1"/>
  <c r="H22" i="1" s="1"/>
  <c r="M21" i="1"/>
  <c r="L21" i="1"/>
  <c r="G21" i="1"/>
  <c r="H21" i="1" s="1"/>
  <c r="M20" i="1"/>
  <c r="L20" i="1"/>
  <c r="G20" i="1"/>
  <c r="H20" i="1" s="1"/>
  <c r="L19" i="1"/>
  <c r="M19" i="1" s="1"/>
  <c r="G19" i="1"/>
  <c r="H19" i="1" s="1"/>
  <c r="M18" i="1"/>
  <c r="L18" i="1"/>
  <c r="G18" i="1"/>
  <c r="H18" i="1" s="1"/>
  <c r="M17" i="1"/>
  <c r="L17" i="1"/>
  <c r="G17" i="1"/>
  <c r="H17" i="1" s="1"/>
  <c r="M16" i="1"/>
  <c r="L16" i="1"/>
  <c r="G16" i="1"/>
  <c r="H16" i="1" s="1"/>
  <c r="L15" i="1"/>
  <c r="M15" i="1" s="1"/>
  <c r="G15" i="1"/>
  <c r="H15" i="1" s="1"/>
  <c r="M14" i="1"/>
  <c r="L14" i="1"/>
  <c r="G14" i="1"/>
  <c r="H14" i="1" s="1"/>
  <c r="M13" i="1"/>
  <c r="L13" i="1"/>
  <c r="G13" i="1"/>
  <c r="H13" i="1" s="1"/>
  <c r="M12" i="1"/>
  <c r="L12" i="1"/>
  <c r="G12" i="1"/>
  <c r="H12" i="1" s="1"/>
  <c r="L11" i="1"/>
  <c r="M11" i="1" s="1"/>
  <c r="G11" i="1"/>
  <c r="H11" i="1" s="1"/>
  <c r="M10" i="1"/>
  <c r="L10" i="1"/>
  <c r="G10" i="1"/>
  <c r="H10" i="1" s="1"/>
  <c r="M9" i="1"/>
  <c r="L9" i="1"/>
  <c r="G9" i="1"/>
  <c r="H9" i="1" s="1"/>
  <c r="M8" i="1"/>
  <c r="L8" i="1"/>
  <c r="G8" i="1"/>
  <c r="H8" i="1" s="1"/>
  <c r="L7" i="1"/>
  <c r="G7" i="1"/>
  <c r="L6" i="1"/>
  <c r="G6" i="1"/>
  <c r="L5" i="1"/>
  <c r="G5" i="1"/>
  <c r="S4" i="1"/>
  <c r="R4" i="1"/>
  <c r="P4" i="1"/>
  <c r="L4" i="1"/>
  <c r="K4" i="1"/>
  <c r="J4" i="1"/>
  <c r="F4" i="1"/>
  <c r="E4" i="1"/>
  <c r="C4" i="1"/>
  <c r="R3" i="1"/>
  <c r="Q3" i="1"/>
  <c r="P3" i="1"/>
  <c r="O3" i="1"/>
  <c r="C3" i="1"/>
  <c r="U2" i="1"/>
  <c r="S2" i="1"/>
  <c r="Q2" i="1"/>
  <c r="O2" i="1"/>
  <c r="D2" i="1"/>
  <c r="C2" i="1"/>
  <c r="G150" i="3" l="1"/>
  <c r="G45" i="3"/>
  <c r="G445" i="3"/>
  <c r="G225" i="3"/>
  <c r="G140" i="3"/>
  <c r="G62" i="3"/>
  <c r="G21" i="3"/>
  <c r="G86" i="3"/>
  <c r="G321" i="3"/>
  <c r="G417" i="3"/>
  <c r="G396" i="3"/>
  <c r="G298" i="3"/>
  <c r="G454" i="3"/>
  <c r="G15" i="3"/>
  <c r="G204" i="3"/>
  <c r="G17" i="3"/>
  <c r="G216" i="3"/>
  <c r="G193" i="3"/>
  <c r="G312" i="3"/>
  <c r="G353" i="3"/>
  <c r="G74" i="3"/>
  <c r="G327" i="3"/>
  <c r="G332" i="3"/>
  <c r="G199" i="3"/>
  <c r="G268" i="3"/>
  <c r="G323" i="3"/>
  <c r="G330" i="3"/>
  <c r="G18" i="3"/>
  <c r="G195" i="3"/>
  <c r="G202" i="3"/>
  <c r="G455" i="3"/>
  <c r="G165" i="3"/>
  <c r="G231" i="3"/>
  <c r="G278" i="3"/>
  <c r="G344" i="3"/>
  <c r="G236" i="3"/>
  <c r="G406" i="3"/>
  <c r="G36" i="3"/>
  <c r="G40" i="3"/>
  <c r="G170" i="3"/>
  <c r="G184" i="3"/>
  <c r="G359" i="3"/>
  <c r="G423" i="3"/>
  <c r="G106" i="3"/>
  <c r="G111" i="3"/>
  <c r="G135" i="3"/>
  <c r="G159" i="3"/>
  <c r="G364" i="3"/>
  <c r="G289" i="3"/>
  <c r="G426" i="3"/>
  <c r="G119" i="3"/>
  <c r="G54" i="3"/>
  <c r="G117" i="3"/>
  <c r="G257" i="3"/>
  <c r="G385" i="3"/>
  <c r="G94" i="3"/>
  <c r="G122" i="3"/>
  <c r="G227" i="3"/>
  <c r="G234" i="3"/>
  <c r="G248" i="3"/>
  <c r="G355" i="3"/>
  <c r="G362" i="3"/>
  <c r="G376" i="3"/>
  <c r="G453" i="3"/>
  <c r="G6" i="3"/>
  <c r="G16" i="3"/>
  <c r="G8" i="3"/>
  <c r="G99" i="3"/>
  <c r="G120" i="3"/>
  <c r="G167" i="3"/>
  <c r="G246" i="3"/>
  <c r="G295" i="3"/>
  <c r="G374" i="3"/>
  <c r="G444" i="3"/>
  <c r="G449" i="3"/>
  <c r="G30" i="3"/>
  <c r="G172" i="3"/>
  <c r="G300" i="3"/>
  <c r="G428" i="3"/>
  <c r="G22" i="3"/>
  <c r="G37" i="3"/>
  <c r="G67" i="3"/>
  <c r="G104" i="3"/>
  <c r="G163" i="3"/>
  <c r="G214" i="3"/>
  <c r="G263" i="3"/>
  <c r="G342" i="3"/>
  <c r="G391" i="3"/>
  <c r="G291" i="3"/>
  <c r="G419" i="3"/>
  <c r="G7" i="3"/>
  <c r="G72" i="3"/>
  <c r="G138" i="3"/>
  <c r="G152" i="3"/>
  <c r="G182" i="3"/>
  <c r="G310" i="3"/>
  <c r="G259" i="3"/>
  <c r="G266" i="3"/>
  <c r="G280" i="3"/>
  <c r="G387" i="3"/>
  <c r="G394" i="3"/>
  <c r="G408" i="3"/>
  <c r="G4" i="3"/>
  <c r="G32" i="3"/>
  <c r="G71" i="3"/>
  <c r="G103" i="3"/>
  <c r="G149" i="3"/>
  <c r="G181" i="3"/>
  <c r="G213" i="3"/>
  <c r="G245" i="3"/>
  <c r="G277" i="3"/>
  <c r="G309" i="3"/>
  <c r="G341" i="3"/>
  <c r="G373" i="3"/>
  <c r="G405" i="3"/>
  <c r="G437" i="3"/>
  <c r="G457" i="3"/>
  <c r="G29" i="3"/>
  <c r="G31" i="3"/>
  <c r="G44" i="3"/>
  <c r="G53" i="3"/>
  <c r="G56" i="3"/>
  <c r="G76" i="3"/>
  <c r="G85" i="3"/>
  <c r="G88" i="3"/>
  <c r="G131" i="3"/>
  <c r="G134" i="3"/>
  <c r="G145" i="3"/>
  <c r="G151" i="3"/>
  <c r="G154" i="3"/>
  <c r="G166" i="3"/>
  <c r="G177" i="3"/>
  <c r="G183" i="3"/>
  <c r="G186" i="3"/>
  <c r="G198" i="3"/>
  <c r="G209" i="3"/>
  <c r="G215" i="3"/>
  <c r="G218" i="3"/>
  <c r="G230" i="3"/>
  <c r="G241" i="3"/>
  <c r="G247" i="3"/>
  <c r="G250" i="3"/>
  <c r="G262" i="3"/>
  <c r="G273" i="3"/>
  <c r="G279" i="3"/>
  <c r="G282" i="3"/>
  <c r="G294" i="3"/>
  <c r="G305" i="3"/>
  <c r="G311" i="3"/>
  <c r="G314" i="3"/>
  <c r="G326" i="3"/>
  <c r="G337" i="3"/>
  <c r="G343" i="3"/>
  <c r="G346" i="3"/>
  <c r="G358" i="3"/>
  <c r="G369" i="3"/>
  <c r="G375" i="3"/>
  <c r="G378" i="3"/>
  <c r="G390" i="3"/>
  <c r="G401" i="3"/>
  <c r="G407" i="3"/>
  <c r="G410" i="3"/>
  <c r="G422" i="3"/>
  <c r="G433" i="3"/>
  <c r="G439" i="3"/>
  <c r="U1" i="3"/>
  <c r="G26" i="3"/>
  <c r="G49" i="3"/>
  <c r="G55" i="3"/>
  <c r="G58" i="3"/>
  <c r="G70" i="3"/>
  <c r="G81" i="3"/>
  <c r="G87" i="3"/>
  <c r="G90" i="3"/>
  <c r="G102" i="3"/>
  <c r="G113" i="3"/>
  <c r="G127" i="3"/>
  <c r="G133" i="3"/>
  <c r="G136" i="3"/>
  <c r="G168" i="3"/>
  <c r="G188" i="3"/>
  <c r="G197" i="3"/>
  <c r="G200" i="3"/>
  <c r="G220" i="3"/>
  <c r="G229" i="3"/>
  <c r="G232" i="3"/>
  <c r="G252" i="3"/>
  <c r="G261" i="3"/>
  <c r="G264" i="3"/>
  <c r="G284" i="3"/>
  <c r="G293" i="3"/>
  <c r="G296" i="3"/>
  <c r="G316" i="3"/>
  <c r="G325" i="3"/>
  <c r="G328" i="3"/>
  <c r="G348" i="3"/>
  <c r="G357" i="3"/>
  <c r="G360" i="3"/>
  <c r="G380" i="3"/>
  <c r="G389" i="3"/>
  <c r="G392" i="3"/>
  <c r="G412" i="3"/>
  <c r="G421" i="3"/>
  <c r="G424" i="3"/>
  <c r="G447" i="3"/>
  <c r="G456" i="3"/>
  <c r="G24" i="3"/>
  <c r="G63" i="3"/>
  <c r="G69" i="3"/>
  <c r="G95" i="3"/>
  <c r="G101" i="3"/>
  <c r="G147" i="3"/>
  <c r="G179" i="3"/>
  <c r="G211" i="3"/>
  <c r="G243" i="3"/>
  <c r="G275" i="3"/>
  <c r="G307" i="3"/>
  <c r="G339" i="3"/>
  <c r="G371" i="3"/>
  <c r="G403" i="3"/>
  <c r="G435" i="3"/>
  <c r="G10" i="3"/>
  <c r="G23" i="3"/>
  <c r="G34" i="3"/>
  <c r="G51" i="3"/>
  <c r="G83" i="3"/>
  <c r="G115" i="3"/>
  <c r="G118" i="3"/>
  <c r="G129" i="3"/>
  <c r="G158" i="3"/>
  <c r="G446" i="3"/>
  <c r="G452" i="3"/>
  <c r="G443" i="3"/>
  <c r="G2" i="3"/>
  <c r="G28" i="3"/>
  <c r="G33" i="3"/>
  <c r="G35" i="3"/>
  <c r="G79" i="3"/>
  <c r="G97" i="3"/>
  <c r="G124" i="3"/>
  <c r="G142" i="3"/>
  <c r="M2" i="22"/>
  <c r="AB8" i="22" s="1"/>
  <c r="AA8" i="22"/>
  <c r="G20" i="3"/>
  <c r="G25" i="3"/>
  <c r="G46" i="3"/>
  <c r="G156" i="3"/>
  <c r="G191" i="3"/>
  <c r="G223" i="3"/>
  <c r="G108" i="3"/>
  <c r="G126" i="3"/>
  <c r="G39" i="3"/>
  <c r="G14" i="3"/>
  <c r="G19" i="3"/>
  <c r="G38" i="3"/>
  <c r="G42" i="3"/>
  <c r="G60" i="3"/>
  <c r="G78" i="3"/>
  <c r="G143" i="3"/>
  <c r="G161" i="3"/>
  <c r="G3" i="3"/>
  <c r="G9" i="3"/>
  <c r="G11" i="3"/>
  <c r="G13" i="3"/>
  <c r="G41" i="3"/>
  <c r="G47" i="3"/>
  <c r="G65" i="3"/>
  <c r="G92" i="3"/>
  <c r="G110" i="3"/>
  <c r="G175" i="3"/>
  <c r="G207" i="3"/>
  <c r="G239" i="3"/>
  <c r="G174" i="3"/>
  <c r="G190" i="3"/>
  <c r="G206" i="3"/>
  <c r="G222" i="3"/>
  <c r="G238" i="3"/>
  <c r="G254" i="3"/>
  <c r="G270" i="3"/>
  <c r="G286" i="3"/>
  <c r="G302" i="3"/>
  <c r="G318" i="3"/>
  <c r="G334" i="3"/>
  <c r="G350" i="3"/>
  <c r="G366" i="3"/>
  <c r="G382" i="3"/>
  <c r="G398" i="3"/>
  <c r="G414" i="3"/>
  <c r="G430" i="3"/>
  <c r="G440" i="3"/>
  <c r="G52" i="3"/>
  <c r="G61" i="3"/>
  <c r="G68" i="3"/>
  <c r="G77" i="3"/>
  <c r="G84" i="3"/>
  <c r="G93" i="3"/>
  <c r="G100" i="3"/>
  <c r="G109" i="3"/>
  <c r="G116" i="3"/>
  <c r="G125" i="3"/>
  <c r="G132" i="3"/>
  <c r="G141" i="3"/>
  <c r="G148" i="3"/>
  <c r="G157" i="3"/>
  <c r="G164" i="3"/>
  <c r="G173" i="3"/>
  <c r="G180" i="3"/>
  <c r="G189" i="3"/>
  <c r="G196" i="3"/>
  <c r="G205" i="3"/>
  <c r="G212" i="3"/>
  <c r="G221" i="3"/>
  <c r="G228" i="3"/>
  <c r="G237" i="3"/>
  <c r="G244" i="3"/>
  <c r="G253" i="3"/>
  <c r="G260" i="3"/>
  <c r="G269" i="3"/>
  <c r="G276" i="3"/>
  <c r="G285" i="3"/>
  <c r="G292" i="3"/>
  <c r="G301" i="3"/>
  <c r="G308" i="3"/>
  <c r="G317" i="3"/>
  <c r="G324" i="3"/>
  <c r="G333" i="3"/>
  <c r="G340" i="3"/>
  <c r="G349" i="3"/>
  <c r="G356" i="3"/>
  <c r="G365" i="3"/>
  <c r="G372" i="3"/>
  <c r="G381" i="3"/>
  <c r="G388" i="3"/>
  <c r="G397" i="3"/>
  <c r="G404" i="3"/>
  <c r="G413" i="3"/>
  <c r="G420" i="3"/>
  <c r="G429" i="3"/>
  <c r="G436" i="3"/>
  <c r="G450" i="3"/>
  <c r="G48" i="3"/>
  <c r="G57" i="3"/>
  <c r="G64" i="3"/>
  <c r="G73" i="3"/>
  <c r="G80" i="3"/>
  <c r="G89" i="3"/>
  <c r="G96" i="3"/>
  <c r="G105" i="3"/>
  <c r="G112" i="3"/>
  <c r="G121" i="3"/>
  <c r="G128" i="3"/>
  <c r="G137" i="3"/>
  <c r="G144" i="3"/>
  <c r="G153" i="3"/>
  <c r="G160" i="3"/>
  <c r="G169" i="3"/>
  <c r="G176" i="3"/>
  <c r="G185" i="3"/>
  <c r="G192" i="3"/>
  <c r="G201" i="3"/>
  <c r="G208" i="3"/>
  <c r="G217" i="3"/>
  <c r="G224" i="3"/>
  <c r="G233" i="3"/>
  <c r="G240" i="3"/>
  <c r="G249" i="3"/>
  <c r="G256" i="3"/>
  <c r="G265" i="3"/>
  <c r="G272" i="3"/>
  <c r="G281" i="3"/>
  <c r="G288" i="3"/>
  <c r="G297" i="3"/>
  <c r="G304" i="3"/>
  <c r="G313" i="3"/>
  <c r="G320" i="3"/>
  <c r="G329" i="3"/>
  <c r="G336" i="3"/>
  <c r="G345" i="3"/>
  <c r="G352" i="3"/>
  <c r="G361" i="3"/>
  <c r="G368" i="3"/>
  <c r="G377" i="3"/>
  <c r="G384" i="3"/>
  <c r="G393" i="3"/>
  <c r="G400" i="3"/>
  <c r="G409" i="3"/>
  <c r="G416" i="3"/>
  <c r="G425" i="3"/>
  <c r="G432" i="3"/>
  <c r="G442" i="3"/>
  <c r="G255" i="3"/>
  <c r="G271" i="3"/>
  <c r="G287" i="3"/>
  <c r="G303" i="3"/>
  <c r="G319" i="3"/>
  <c r="G335" i="3"/>
  <c r="G351" i="3"/>
  <c r="G367" i="3"/>
  <c r="G383" i="3"/>
  <c r="G399" i="3"/>
  <c r="G415" i="3"/>
  <c r="G431" i="3"/>
  <c r="G438" i="3"/>
  <c r="G441" i="3"/>
  <c r="G27" i="3"/>
  <c r="G43" i="3"/>
  <c r="G50" i="3"/>
  <c r="G59" i="3"/>
  <c r="G66" i="3"/>
  <c r="G75" i="3"/>
  <c r="G82" i="3"/>
  <c r="G91" i="3"/>
  <c r="G98" i="3"/>
  <c r="G107" i="3"/>
  <c r="G114" i="3"/>
  <c r="G123" i="3"/>
  <c r="G130" i="3"/>
  <c r="G139" i="3"/>
  <c r="G146" i="3"/>
  <c r="G155" i="3"/>
  <c r="G162" i="3"/>
  <c r="G171" i="3"/>
  <c r="G178" i="3"/>
  <c r="G187" i="3"/>
  <c r="G194" i="3"/>
  <c r="G203" i="3"/>
  <c r="G210" i="3"/>
  <c r="G219" i="3"/>
  <c r="G226" i="3"/>
  <c r="G235" i="3"/>
  <c r="G242" i="3"/>
  <c r="G251" i="3"/>
  <c r="G258" i="3"/>
  <c r="G267" i="3"/>
  <c r="G274" i="3"/>
  <c r="G283" i="3"/>
  <c r="G290" i="3"/>
  <c r="G299" i="3"/>
  <c r="G306" i="3"/>
  <c r="G315" i="3"/>
  <c r="G322" i="3"/>
  <c r="G331" i="3"/>
  <c r="G338" i="3"/>
  <c r="G347" i="3"/>
  <c r="G354" i="3"/>
  <c r="G363" i="3"/>
  <c r="G370" i="3"/>
  <c r="G379" i="3"/>
  <c r="G386" i="3"/>
  <c r="G395" i="3"/>
  <c r="G402" i="3"/>
  <c r="G411" i="3"/>
  <c r="G418" i="3"/>
  <c r="G427" i="3"/>
  <c r="G434" i="3"/>
  <c r="G448" i="3"/>
  <c r="G458" i="3"/>
  <c r="K611" i="2"/>
  <c r="L611" i="2" s="1"/>
  <c r="G4" i="1"/>
  <c r="G2" i="1"/>
  <c r="H7" i="1"/>
  <c r="O9" i="3"/>
  <c r="O27" i="3"/>
  <c r="O19" i="3"/>
  <c r="O5" i="3"/>
  <c r="O16" i="3"/>
  <c r="O8" i="3"/>
  <c r="O3" i="3"/>
  <c r="O33" i="3"/>
  <c r="O25" i="3"/>
  <c r="O15" i="3"/>
  <c r="O11" i="3"/>
  <c r="O31" i="3"/>
  <c r="O23" i="3"/>
  <c r="O13" i="3"/>
  <c r="O7" i="3"/>
  <c r="O10" i="3"/>
  <c r="O4" i="3"/>
  <c r="O2" i="3"/>
  <c r="L2" i="1"/>
  <c r="L3" i="1"/>
  <c r="M7" i="1"/>
  <c r="L404" i="2"/>
  <c r="K405" i="2"/>
  <c r="L405" i="2" s="1"/>
  <c r="L420" i="2"/>
  <c r="L421" i="2"/>
  <c r="K421" i="2"/>
  <c r="K437" i="2"/>
  <c r="L437" i="2" s="1"/>
  <c r="K453" i="2"/>
  <c r="L453" i="2" s="1"/>
  <c r="L469" i="2"/>
  <c r="K469" i="2"/>
  <c r="L485" i="2"/>
  <c r="K485" i="2"/>
  <c r="K497" i="2"/>
  <c r="L497" i="2" s="1"/>
  <c r="L505" i="2"/>
  <c r="K505" i="2"/>
  <c r="K513" i="2"/>
  <c r="L513" i="2" s="1"/>
  <c r="L521" i="2"/>
  <c r="K521" i="2"/>
  <c r="K529" i="2"/>
  <c r="L529" i="2" s="1"/>
  <c r="L537" i="2"/>
  <c r="K537" i="2"/>
  <c r="K545" i="2"/>
  <c r="L545" i="2" s="1"/>
  <c r="L553" i="2"/>
  <c r="K553" i="2"/>
  <c r="K561" i="2"/>
  <c r="L561" i="2" s="1"/>
  <c r="L569" i="2"/>
  <c r="K569" i="2"/>
  <c r="K577" i="2"/>
  <c r="L577" i="2" s="1"/>
  <c r="L585" i="2"/>
  <c r="K585" i="2"/>
  <c r="K593" i="2"/>
  <c r="L593" i="2" s="1"/>
  <c r="K595" i="2"/>
  <c r="L595" i="2" s="1"/>
  <c r="K610" i="2"/>
  <c r="L610" i="2"/>
  <c r="K614" i="2"/>
  <c r="L614" i="2" s="1"/>
  <c r="L615" i="2"/>
  <c r="L622" i="2"/>
  <c r="G12" i="3"/>
  <c r="N3" i="3"/>
  <c r="Z374" i="2"/>
  <c r="Z382" i="2"/>
  <c r="Z389" i="2"/>
  <c r="K404" i="2"/>
  <c r="Z405" i="2"/>
  <c r="K420" i="2"/>
  <c r="Z421" i="2"/>
  <c r="K436" i="2"/>
  <c r="L436" i="2" s="1"/>
  <c r="Z437" i="2"/>
  <c r="K452" i="2"/>
  <c r="L452" i="2" s="1"/>
  <c r="Z453" i="2"/>
  <c r="K468" i="2"/>
  <c r="L468" i="2" s="1"/>
  <c r="Z469" i="2"/>
  <c r="K484" i="2"/>
  <c r="L484" i="2" s="1"/>
  <c r="Z485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K597" i="2"/>
  <c r="L597" i="2" s="1"/>
  <c r="Z613" i="2"/>
  <c r="J616" i="2"/>
  <c r="L618" i="2"/>
  <c r="K618" i="2"/>
  <c r="K622" i="2"/>
  <c r="L623" i="2"/>
  <c r="J628" i="2"/>
  <c r="K637" i="2"/>
  <c r="L637" i="2" s="1"/>
  <c r="G5" i="3"/>
  <c r="N10" i="3"/>
  <c r="N11" i="3"/>
  <c r="Z373" i="2"/>
  <c r="Z381" i="2"/>
  <c r="L416" i="2"/>
  <c r="K417" i="2"/>
  <c r="L417" i="2" s="1"/>
  <c r="L432" i="2"/>
  <c r="L433" i="2"/>
  <c r="K433" i="2"/>
  <c r="L448" i="2"/>
  <c r="L449" i="2"/>
  <c r="K449" i="2"/>
  <c r="L464" i="2"/>
  <c r="K465" i="2"/>
  <c r="L465" i="2" s="1"/>
  <c r="L480" i="2"/>
  <c r="K481" i="2"/>
  <c r="L481" i="2" s="1"/>
  <c r="L599" i="2"/>
  <c r="K599" i="2"/>
  <c r="J612" i="2"/>
  <c r="L619" i="2"/>
  <c r="J624" i="2"/>
  <c r="L626" i="2"/>
  <c r="K626" i="2"/>
  <c r="L627" i="2"/>
  <c r="J640" i="2"/>
  <c r="J641" i="2"/>
  <c r="K642" i="2"/>
  <c r="J642" i="2"/>
  <c r="J643" i="2"/>
  <c r="J644" i="2"/>
  <c r="J645" i="2"/>
  <c r="K646" i="2"/>
  <c r="J646" i="2"/>
  <c r="J647" i="2"/>
  <c r="J648" i="2"/>
  <c r="J649" i="2"/>
  <c r="K650" i="2"/>
  <c r="J650" i="2"/>
  <c r="J651" i="2"/>
  <c r="K652" i="2"/>
  <c r="L652" i="2" s="1"/>
  <c r="N12" i="3"/>
  <c r="K601" i="2"/>
  <c r="L601" i="2" s="1"/>
  <c r="K620" i="2"/>
  <c r="J620" i="2"/>
  <c r="K638" i="2"/>
  <c r="L638" i="2" s="1"/>
  <c r="L639" i="2"/>
  <c r="L653" i="2"/>
  <c r="K653" i="2"/>
  <c r="N4" i="3"/>
  <c r="N5" i="3"/>
  <c r="O12" i="3"/>
  <c r="N20" i="3"/>
  <c r="L413" i="2"/>
  <c r="K413" i="2"/>
  <c r="K429" i="2"/>
  <c r="L429" i="2" s="1"/>
  <c r="L444" i="2"/>
  <c r="K445" i="2"/>
  <c r="L445" i="2" s="1"/>
  <c r="L460" i="2"/>
  <c r="K461" i="2"/>
  <c r="L461" i="2" s="1"/>
  <c r="L477" i="2"/>
  <c r="K477" i="2"/>
  <c r="L492" i="2"/>
  <c r="K493" i="2"/>
  <c r="L493" i="2" s="1"/>
  <c r="L533" i="2"/>
  <c r="L541" i="2"/>
  <c r="L549" i="2"/>
  <c r="L557" i="2"/>
  <c r="K603" i="2"/>
  <c r="L603" i="2" s="1"/>
  <c r="L613" i="2"/>
  <c r="K635" i="2"/>
  <c r="J655" i="2"/>
  <c r="L656" i="2"/>
  <c r="K656" i="2"/>
  <c r="N2" i="3"/>
  <c r="O6" i="3"/>
  <c r="N14" i="3"/>
  <c r="O21" i="3"/>
  <c r="N24" i="3"/>
  <c r="N28" i="3"/>
  <c r="G3" i="1"/>
  <c r="N30" i="3"/>
  <c r="AG2" i="2"/>
  <c r="AH2" i="2" s="1"/>
  <c r="Z378" i="2"/>
  <c r="Z384" i="2"/>
  <c r="Z397" i="2"/>
  <c r="K412" i="2"/>
  <c r="L412" i="2" s="1"/>
  <c r="Z413" i="2"/>
  <c r="K428" i="2"/>
  <c r="L428" i="2" s="1"/>
  <c r="Z429" i="2"/>
  <c r="K444" i="2"/>
  <c r="Z445" i="2"/>
  <c r="K460" i="2"/>
  <c r="Z461" i="2"/>
  <c r="K476" i="2"/>
  <c r="L476" i="2" s="1"/>
  <c r="Z477" i="2"/>
  <c r="K492" i="2"/>
  <c r="Z493" i="2"/>
  <c r="K500" i="2"/>
  <c r="L500" i="2" s="1"/>
  <c r="Z501" i="2"/>
  <c r="K508" i="2"/>
  <c r="L508" i="2" s="1"/>
  <c r="Z509" i="2"/>
  <c r="K516" i="2"/>
  <c r="L516" i="2" s="1"/>
  <c r="Z517" i="2"/>
  <c r="K524" i="2"/>
  <c r="L524" i="2" s="1"/>
  <c r="Z525" i="2"/>
  <c r="K532" i="2"/>
  <c r="L532" i="2" s="1"/>
  <c r="Z533" i="2"/>
  <c r="K540" i="2"/>
  <c r="L540" i="2" s="1"/>
  <c r="Z541" i="2"/>
  <c r="K548" i="2"/>
  <c r="L548" i="2" s="1"/>
  <c r="Z549" i="2"/>
  <c r="L556" i="2"/>
  <c r="K556" i="2"/>
  <c r="Z557" i="2"/>
  <c r="K564" i="2"/>
  <c r="L564" i="2"/>
  <c r="Z565" i="2"/>
  <c r="K572" i="2"/>
  <c r="L572" i="2" s="1"/>
  <c r="Z573" i="2"/>
  <c r="K580" i="2"/>
  <c r="L580" i="2" s="1"/>
  <c r="Z581" i="2"/>
  <c r="K588" i="2"/>
  <c r="L588" i="2" s="1"/>
  <c r="Z589" i="2"/>
  <c r="K605" i="2"/>
  <c r="L605" i="2" s="1"/>
  <c r="L621" i="2"/>
  <c r="K629" i="2"/>
  <c r="L629" i="2" s="1"/>
  <c r="J636" i="2"/>
  <c r="K657" i="2"/>
  <c r="L657" i="2" s="1"/>
  <c r="O29" i="3"/>
  <c r="N32" i="3"/>
  <c r="Z377" i="2"/>
  <c r="L408" i="2"/>
  <c r="L409" i="2"/>
  <c r="K409" i="2"/>
  <c r="L424" i="2"/>
  <c r="K425" i="2"/>
  <c r="L425" i="2" s="1"/>
  <c r="L440" i="2"/>
  <c r="K441" i="2"/>
  <c r="L441" i="2" s="1"/>
  <c r="L456" i="2"/>
  <c r="L457" i="2"/>
  <c r="K457" i="2"/>
  <c r="L472" i="2"/>
  <c r="L473" i="2"/>
  <c r="K473" i="2"/>
  <c r="L488" i="2"/>
  <c r="K489" i="2"/>
  <c r="L489" i="2" s="1"/>
  <c r="Z603" i="2"/>
  <c r="K607" i="2"/>
  <c r="L607" i="2"/>
  <c r="L609" i="2"/>
  <c r="L630" i="2"/>
  <c r="K631" i="2"/>
  <c r="L631" i="2" s="1"/>
  <c r="J632" i="2"/>
  <c r="L634" i="2"/>
  <c r="K634" i="2"/>
  <c r="L635" i="2"/>
  <c r="L4" i="4"/>
  <c r="A1" i="3"/>
  <c r="N7" i="3"/>
  <c r="N22" i="3"/>
  <c r="Z654" i="2"/>
  <c r="L9" i="5"/>
  <c r="K9" i="5"/>
  <c r="K13" i="4"/>
  <c r="N33" i="3"/>
  <c r="O30" i="3"/>
  <c r="N25" i="3"/>
  <c r="O22" i="3"/>
  <c r="N16" i="3"/>
  <c r="O32" i="3"/>
  <c r="N27" i="3"/>
  <c r="O24" i="3"/>
  <c r="N19" i="3"/>
  <c r="N13" i="3"/>
  <c r="N8" i="3"/>
  <c r="O34" i="3"/>
  <c r="N29" i="3"/>
  <c r="O26" i="3"/>
  <c r="N21" i="3"/>
  <c r="O17" i="3"/>
  <c r="N15" i="3"/>
  <c r="N31" i="3"/>
  <c r="O28" i="3"/>
  <c r="N23" i="3"/>
  <c r="O20" i="3"/>
  <c r="O14" i="3"/>
  <c r="P15" i="3" s="1"/>
  <c r="K501" i="2"/>
  <c r="L501" i="2" s="1"/>
  <c r="K509" i="2"/>
  <c r="L509" i="2" s="1"/>
  <c r="K517" i="2"/>
  <c r="L517" i="2" s="1"/>
  <c r="K525" i="2"/>
  <c r="L525" i="2" s="1"/>
  <c r="K533" i="2"/>
  <c r="K541" i="2"/>
  <c r="K549" i="2"/>
  <c r="K557" i="2"/>
  <c r="K565" i="2"/>
  <c r="L565" i="2" s="1"/>
  <c r="K573" i="2"/>
  <c r="L573" i="2" s="1"/>
  <c r="K581" i="2"/>
  <c r="L581" i="2" s="1"/>
  <c r="K589" i="2"/>
  <c r="L589" i="2" s="1"/>
  <c r="N26" i="3"/>
  <c r="N34" i="3"/>
  <c r="L13" i="6"/>
  <c r="N6" i="3"/>
  <c r="N17" i="3"/>
  <c r="L6" i="5"/>
  <c r="L5" i="4"/>
  <c r="Y19" i="4"/>
  <c r="K6" i="4"/>
  <c r="J6" i="4"/>
  <c r="K11" i="4"/>
  <c r="J13" i="4"/>
  <c r="K17" i="4"/>
  <c r="L17" i="4" s="1"/>
  <c r="X19" i="4"/>
  <c r="J3" i="6"/>
  <c r="J5" i="6"/>
  <c r="J11" i="6"/>
  <c r="L15" i="6"/>
  <c r="J16" i="6"/>
  <c r="K17" i="6"/>
  <c r="L17" i="6" s="1"/>
  <c r="H19" i="4"/>
  <c r="Z2" i="5"/>
  <c r="X19" i="5"/>
  <c r="K4" i="5"/>
  <c r="L5" i="5"/>
  <c r="L13" i="5"/>
  <c r="Y19" i="6"/>
  <c r="AA2" i="6"/>
  <c r="AA19" i="6" s="1"/>
  <c r="I11" i="7"/>
  <c r="J11" i="7" s="1"/>
  <c r="L11" i="4"/>
  <c r="L16" i="4"/>
  <c r="Y19" i="5"/>
  <c r="J3" i="5"/>
  <c r="Z6" i="5"/>
  <c r="K7" i="5"/>
  <c r="J7" i="5"/>
  <c r="Z10" i="5"/>
  <c r="K12" i="5"/>
  <c r="L12" i="5" s="1"/>
  <c r="L9" i="6"/>
  <c r="K9" i="6"/>
  <c r="K12" i="6"/>
  <c r="J12" i="6"/>
  <c r="I14" i="7"/>
  <c r="J14" i="7" s="1"/>
  <c r="J20" i="4"/>
  <c r="L8" i="4"/>
  <c r="K14" i="4"/>
  <c r="J14" i="4"/>
  <c r="L4" i="5"/>
  <c r="J4" i="6"/>
  <c r="K6" i="6"/>
  <c r="L6" i="6" s="1"/>
  <c r="J7" i="7"/>
  <c r="I7" i="7"/>
  <c r="I2" i="8"/>
  <c r="K2" i="4"/>
  <c r="L2" i="4" s="1"/>
  <c r="J3" i="4"/>
  <c r="K3" i="4" s="1"/>
  <c r="K4" i="4"/>
  <c r="K8" i="4"/>
  <c r="L15" i="4"/>
  <c r="H19" i="5"/>
  <c r="J2" i="5"/>
  <c r="K3" i="5"/>
  <c r="K17" i="5"/>
  <c r="L17" i="5" s="1"/>
  <c r="AA3" i="6"/>
  <c r="I19" i="6"/>
  <c r="AA20" i="6"/>
  <c r="J2" i="7"/>
  <c r="I2" i="7"/>
  <c r="I10" i="7"/>
  <c r="J10" i="7" s="1"/>
  <c r="K11" i="5"/>
  <c r="L11" i="5" s="1"/>
  <c r="K14" i="5"/>
  <c r="L14" i="5" s="1"/>
  <c r="Z19" i="6"/>
  <c r="K7" i="6"/>
  <c r="L7" i="6" s="1"/>
  <c r="K13" i="6"/>
  <c r="I3" i="7"/>
  <c r="J3" i="7" s="1"/>
  <c r="I15" i="8"/>
  <c r="Z9" i="4"/>
  <c r="Z19" i="4" s="1"/>
  <c r="K16" i="5"/>
  <c r="L16" i="5" s="1"/>
  <c r="L2" i="6"/>
  <c r="K8" i="6"/>
  <c r="J8" i="6"/>
  <c r="J6" i="7"/>
  <c r="I6" i="7"/>
  <c r="I16" i="7"/>
  <c r="J19" i="4"/>
  <c r="K15" i="5"/>
  <c r="J15" i="5"/>
  <c r="L10" i="6"/>
  <c r="L14" i="6"/>
  <c r="Y3" i="7"/>
  <c r="Y19" i="7" s="1"/>
  <c r="V19" i="8"/>
  <c r="H10" i="8"/>
  <c r="I10" i="8" s="1"/>
  <c r="H11" i="8"/>
  <c r="I11" i="8" s="1"/>
  <c r="H14" i="8"/>
  <c r="I14" i="8" s="1"/>
  <c r="H15" i="8"/>
  <c r="X2" i="9"/>
  <c r="V19" i="9"/>
  <c r="I9" i="9"/>
  <c r="J11" i="9" s="1"/>
  <c r="AA2" i="9" s="1"/>
  <c r="H9" i="9"/>
  <c r="I17" i="9"/>
  <c r="H17" i="9"/>
  <c r="X7" i="11"/>
  <c r="X19" i="11" s="1"/>
  <c r="I17" i="13"/>
  <c r="G19" i="7"/>
  <c r="H4" i="8"/>
  <c r="I4" i="8" s="1"/>
  <c r="I14" i="9"/>
  <c r="W19" i="10"/>
  <c r="X5" i="10"/>
  <c r="X19" i="12"/>
  <c r="I13" i="8"/>
  <c r="J3" i="9"/>
  <c r="AA7" i="9" s="1"/>
  <c r="I4" i="9"/>
  <c r="J2" i="9" s="1"/>
  <c r="H4" i="9"/>
  <c r="I7" i="10"/>
  <c r="H7" i="10"/>
  <c r="X13" i="10"/>
  <c r="I9" i="12"/>
  <c r="I16" i="13"/>
  <c r="H19" i="14"/>
  <c r="H4" i="7"/>
  <c r="H8" i="7"/>
  <c r="H19" i="7" s="1"/>
  <c r="H12" i="7"/>
  <c r="H16" i="7"/>
  <c r="F19" i="8"/>
  <c r="I11" i="10"/>
  <c r="H11" i="10"/>
  <c r="W19" i="11"/>
  <c r="I5" i="11"/>
  <c r="H6" i="11"/>
  <c r="I6" i="11" s="1"/>
  <c r="H3" i="8"/>
  <c r="I3" i="8" s="1"/>
  <c r="I7" i="8"/>
  <c r="I8" i="8"/>
  <c r="H13" i="8"/>
  <c r="H17" i="8"/>
  <c r="I17" i="8" s="1"/>
  <c r="H13" i="9"/>
  <c r="I13" i="9" s="1"/>
  <c r="F19" i="10"/>
  <c r="H12" i="10"/>
  <c r="I12" i="10" s="1"/>
  <c r="V19" i="10"/>
  <c r="G19" i="11"/>
  <c r="I17" i="12"/>
  <c r="H5" i="7"/>
  <c r="H9" i="7"/>
  <c r="H13" i="7"/>
  <c r="H17" i="7"/>
  <c r="X6" i="9"/>
  <c r="I10" i="9"/>
  <c r="G19" i="10"/>
  <c r="X9" i="10"/>
  <c r="X3" i="11"/>
  <c r="H4" i="11"/>
  <c r="I4" i="11" s="1"/>
  <c r="I9" i="11"/>
  <c r="I10" i="11"/>
  <c r="J15" i="9"/>
  <c r="AA14" i="9" s="1"/>
  <c r="F19" i="9"/>
  <c r="H20" i="9"/>
  <c r="I2" i="10"/>
  <c r="H3" i="10"/>
  <c r="F19" i="11"/>
  <c r="H2" i="11"/>
  <c r="I2" i="11" s="1"/>
  <c r="G19" i="9"/>
  <c r="X20" i="10"/>
  <c r="H20" i="12"/>
  <c r="H15" i="10"/>
  <c r="I15" i="10" s="1"/>
  <c r="H9" i="11"/>
  <c r="H4" i="12"/>
  <c r="H12" i="12"/>
  <c r="I12" i="12" s="1"/>
  <c r="AA10" i="13"/>
  <c r="W19" i="14"/>
  <c r="I4" i="14"/>
  <c r="I12" i="14"/>
  <c r="W19" i="15"/>
  <c r="H10" i="11"/>
  <c r="H5" i="12"/>
  <c r="I5" i="12" s="1"/>
  <c r="H13" i="12"/>
  <c r="I13" i="12" s="1"/>
  <c r="V19" i="12"/>
  <c r="F19" i="13"/>
  <c r="X2" i="13"/>
  <c r="H4" i="13"/>
  <c r="I4" i="13" s="1"/>
  <c r="H10" i="13"/>
  <c r="I10" i="13" s="1"/>
  <c r="X15" i="13"/>
  <c r="V19" i="14"/>
  <c r="X3" i="14"/>
  <c r="H7" i="14"/>
  <c r="I7" i="14" s="1"/>
  <c r="H10" i="14"/>
  <c r="I10" i="14" s="1"/>
  <c r="I13" i="14"/>
  <c r="H13" i="14"/>
  <c r="H10" i="15"/>
  <c r="F19" i="15"/>
  <c r="I3" i="13"/>
  <c r="I6" i="14"/>
  <c r="I16" i="15"/>
  <c r="H2" i="13"/>
  <c r="I14" i="14"/>
  <c r="H14" i="14"/>
  <c r="X20" i="14"/>
  <c r="H5" i="15"/>
  <c r="I5" i="15" s="1"/>
  <c r="I14" i="16"/>
  <c r="H5" i="11"/>
  <c r="H14" i="11"/>
  <c r="I14" i="11" s="1"/>
  <c r="H8" i="12"/>
  <c r="I8" i="12" s="1"/>
  <c r="H17" i="12"/>
  <c r="H3" i="13"/>
  <c r="H16" i="13"/>
  <c r="H17" i="13"/>
  <c r="F19" i="14"/>
  <c r="H3" i="14"/>
  <c r="I3" i="14" s="1"/>
  <c r="J8" i="14" s="1"/>
  <c r="AA10" i="14" s="1"/>
  <c r="H6" i="14"/>
  <c r="H15" i="11"/>
  <c r="I15" i="11" s="1"/>
  <c r="H9" i="12"/>
  <c r="H12" i="13"/>
  <c r="I12" i="13" s="1"/>
  <c r="G19" i="14"/>
  <c r="H5" i="14"/>
  <c r="I5" i="14" s="1"/>
  <c r="I15" i="14"/>
  <c r="J15" i="14" s="1"/>
  <c r="AA3" i="14" s="1"/>
  <c r="H15" i="14"/>
  <c r="X16" i="14"/>
  <c r="I2" i="15"/>
  <c r="I11" i="13"/>
  <c r="X7" i="14"/>
  <c r="H12" i="15"/>
  <c r="I12" i="15" s="1"/>
  <c r="H4" i="16"/>
  <c r="I8" i="17"/>
  <c r="H8" i="17"/>
  <c r="X20" i="15"/>
  <c r="X19" i="16"/>
  <c r="I4" i="16"/>
  <c r="I15" i="16"/>
  <c r="H14" i="17"/>
  <c r="I14" i="17" s="1"/>
  <c r="H15" i="17"/>
  <c r="X20" i="17"/>
  <c r="F19" i="18"/>
  <c r="H4" i="18"/>
  <c r="I4" i="18" s="1"/>
  <c r="H12" i="18"/>
  <c r="I12" i="18" s="1"/>
  <c r="I13" i="16"/>
  <c r="F19" i="16"/>
  <c r="X19" i="19"/>
  <c r="I7" i="19"/>
  <c r="X2" i="15"/>
  <c r="X19" i="15" s="1"/>
  <c r="X5" i="15"/>
  <c r="H11" i="15"/>
  <c r="H20" i="15" s="1"/>
  <c r="H2" i="16"/>
  <c r="H3" i="16"/>
  <c r="I3" i="16" s="1"/>
  <c r="H10" i="16"/>
  <c r="I10" i="16" s="1"/>
  <c r="H15" i="16"/>
  <c r="I17" i="16"/>
  <c r="G19" i="17"/>
  <c r="H2" i="17"/>
  <c r="I15" i="17"/>
  <c r="H2" i="18"/>
  <c r="I2" i="18" s="1"/>
  <c r="G19" i="15"/>
  <c r="H16" i="15"/>
  <c r="I5" i="16"/>
  <c r="I6" i="16"/>
  <c r="H13" i="16"/>
  <c r="H16" i="17"/>
  <c r="I16" i="17" s="1"/>
  <c r="I9" i="18"/>
  <c r="I9" i="16"/>
  <c r="H3" i="17"/>
  <c r="I3" i="17" s="1"/>
  <c r="F19" i="17"/>
  <c r="X10" i="17"/>
  <c r="X19" i="17" s="1"/>
  <c r="W19" i="18"/>
  <c r="X5" i="18"/>
  <c r="X19" i="18" s="1"/>
  <c r="I6" i="19"/>
  <c r="H14" i="16"/>
  <c r="I7" i="17"/>
  <c r="X17" i="17"/>
  <c r="AA14" i="15"/>
  <c r="V19" i="16"/>
  <c r="H9" i="17"/>
  <c r="I9" i="17" s="1"/>
  <c r="V19" i="17"/>
  <c r="H17" i="18"/>
  <c r="I17" i="18" s="1"/>
  <c r="I9" i="19"/>
  <c r="I17" i="19"/>
  <c r="F19" i="19"/>
  <c r="H4" i="20"/>
  <c r="X2" i="21"/>
  <c r="X19" i="21" s="1"/>
  <c r="V19" i="21"/>
  <c r="J4" i="23"/>
  <c r="K4" i="23" s="1"/>
  <c r="AA13" i="23" s="1"/>
  <c r="I4" i="23"/>
  <c r="H4" i="23"/>
  <c r="J13" i="23"/>
  <c r="K13" i="23" s="1"/>
  <c r="AA8" i="23" s="1"/>
  <c r="I13" i="23"/>
  <c r="H13" i="23"/>
  <c r="H14" i="24"/>
  <c r="I2" i="19"/>
  <c r="H3" i="19"/>
  <c r="I3" i="19" s="1"/>
  <c r="H2" i="20"/>
  <c r="H6" i="20"/>
  <c r="I16" i="20"/>
  <c r="H16" i="20"/>
  <c r="I9" i="22"/>
  <c r="W19" i="23"/>
  <c r="I11" i="24"/>
  <c r="J10" i="24"/>
  <c r="K10" i="24" s="1"/>
  <c r="AA9" i="24" s="1"/>
  <c r="J11" i="24"/>
  <c r="K11" i="24" s="1"/>
  <c r="AA17" i="24" s="1"/>
  <c r="H11" i="24"/>
  <c r="J6" i="25"/>
  <c r="K6" i="25" s="1"/>
  <c r="AA11" i="25" s="1"/>
  <c r="H6" i="25"/>
  <c r="I6" i="25" s="1"/>
  <c r="AA9" i="18"/>
  <c r="H4" i="19"/>
  <c r="H20" i="19" s="1"/>
  <c r="H9" i="19"/>
  <c r="H17" i="19"/>
  <c r="W19" i="19"/>
  <c r="I4" i="20"/>
  <c r="H17" i="20"/>
  <c r="I17" i="20" s="1"/>
  <c r="H9" i="21"/>
  <c r="H20" i="22"/>
  <c r="H3" i="24"/>
  <c r="J2" i="28"/>
  <c r="K2" i="28" s="1"/>
  <c r="F19" i="28"/>
  <c r="I2" i="28"/>
  <c r="H2" i="28"/>
  <c r="I2" i="30"/>
  <c r="J5" i="20"/>
  <c r="K5" i="20" s="1"/>
  <c r="AA14" i="20" s="1"/>
  <c r="I7" i="20"/>
  <c r="J6" i="20"/>
  <c r="K6" i="20" s="1"/>
  <c r="AA16" i="20" s="1"/>
  <c r="H7" i="20"/>
  <c r="AA10" i="25"/>
  <c r="H17" i="17"/>
  <c r="I17" i="17" s="1"/>
  <c r="H3" i="18"/>
  <c r="I3" i="18" s="1"/>
  <c r="H11" i="18"/>
  <c r="I11" i="18" s="1"/>
  <c r="J11" i="18" s="1"/>
  <c r="AA8" i="18" s="1"/>
  <c r="G19" i="18"/>
  <c r="V19" i="19"/>
  <c r="H6" i="19"/>
  <c r="X15" i="19"/>
  <c r="I3" i="20"/>
  <c r="J2" i="20"/>
  <c r="K2" i="20" s="1"/>
  <c r="V19" i="20"/>
  <c r="J13" i="20"/>
  <c r="K13" i="20" s="1"/>
  <c r="AA5" i="20" s="1"/>
  <c r="J17" i="20"/>
  <c r="K17" i="20" s="1"/>
  <c r="AA10" i="20" s="1"/>
  <c r="I9" i="21"/>
  <c r="J11" i="21"/>
  <c r="K11" i="21" s="1"/>
  <c r="AA15" i="21" s="1"/>
  <c r="J12" i="21"/>
  <c r="K12" i="21" s="1"/>
  <c r="AA9" i="21" s="1"/>
  <c r="J11" i="22"/>
  <c r="K11" i="22" s="1"/>
  <c r="AA16" i="22" s="1"/>
  <c r="H3" i="23"/>
  <c r="I3" i="23" s="1"/>
  <c r="H12" i="23"/>
  <c r="X2" i="25"/>
  <c r="V19" i="25"/>
  <c r="H7" i="19"/>
  <c r="I13" i="19"/>
  <c r="H13" i="19"/>
  <c r="H5" i="20"/>
  <c r="I8" i="20"/>
  <c r="H8" i="20"/>
  <c r="F19" i="20"/>
  <c r="J9" i="21"/>
  <c r="K9" i="21" s="1"/>
  <c r="AA4" i="21" s="1"/>
  <c r="I10" i="21"/>
  <c r="I13" i="21"/>
  <c r="H13" i="21"/>
  <c r="J16" i="21"/>
  <c r="K16" i="21" s="1"/>
  <c r="AA13" i="21" s="1"/>
  <c r="J15" i="21"/>
  <c r="K15" i="21" s="1"/>
  <c r="AA2" i="21" s="1"/>
  <c r="H14" i="21"/>
  <c r="I14" i="21" s="1"/>
  <c r="F19" i="21"/>
  <c r="J11" i="23"/>
  <c r="K11" i="23" s="1"/>
  <c r="AA10" i="23" s="1"/>
  <c r="X20" i="23"/>
  <c r="H16" i="19"/>
  <c r="I16" i="19" s="1"/>
  <c r="W19" i="20"/>
  <c r="I5" i="20"/>
  <c r="J15" i="20"/>
  <c r="K15" i="20" s="1"/>
  <c r="AA9" i="20" s="1"/>
  <c r="X20" i="20"/>
  <c r="H5" i="21"/>
  <c r="I5" i="21" s="1"/>
  <c r="J8" i="21"/>
  <c r="K8" i="21" s="1"/>
  <c r="AA5" i="21" s="1"/>
  <c r="J7" i="21"/>
  <c r="K7" i="21" s="1"/>
  <c r="AA17" i="21" s="1"/>
  <c r="H6" i="21"/>
  <c r="I6" i="21" s="1"/>
  <c r="J10" i="21"/>
  <c r="K10" i="21" s="1"/>
  <c r="AA11" i="21" s="1"/>
  <c r="H11" i="21"/>
  <c r="G19" i="21"/>
  <c r="H17" i="22"/>
  <c r="X20" i="22"/>
  <c r="J3" i="20"/>
  <c r="K3" i="20" s="1"/>
  <c r="AA8" i="20" s="1"/>
  <c r="J8" i="20"/>
  <c r="K8" i="20" s="1"/>
  <c r="AA6" i="20" s="1"/>
  <c r="J11" i="20"/>
  <c r="K11" i="20" s="1"/>
  <c r="AA13" i="20" s="1"/>
  <c r="H12" i="20"/>
  <c r="I12" i="20" s="1"/>
  <c r="J10" i="20"/>
  <c r="K10" i="20" s="1"/>
  <c r="AA17" i="20" s="1"/>
  <c r="J2" i="21"/>
  <c r="K2" i="21" s="1"/>
  <c r="H3" i="21"/>
  <c r="H19" i="21" s="1"/>
  <c r="H4" i="21"/>
  <c r="I4" i="21" s="1"/>
  <c r="J13" i="21"/>
  <c r="K13" i="21" s="1"/>
  <c r="AA6" i="21" s="1"/>
  <c r="J14" i="21"/>
  <c r="K14" i="21" s="1"/>
  <c r="AA8" i="21" s="1"/>
  <c r="W19" i="22"/>
  <c r="J12" i="22"/>
  <c r="K12" i="22" s="1"/>
  <c r="AA4" i="22" s="1"/>
  <c r="J10" i="22"/>
  <c r="K10" i="22" s="1"/>
  <c r="AA7" i="22" s="1"/>
  <c r="I10" i="22"/>
  <c r="H10" i="22"/>
  <c r="I2" i="23"/>
  <c r="W19" i="24"/>
  <c r="I15" i="24"/>
  <c r="H15" i="24"/>
  <c r="M16" i="26"/>
  <c r="I6" i="20"/>
  <c r="J14" i="20"/>
  <c r="K14" i="20" s="1"/>
  <c r="AA3" i="20" s="1"/>
  <c r="I15" i="20"/>
  <c r="I3" i="21"/>
  <c r="I11" i="21"/>
  <c r="I12" i="21"/>
  <c r="J8" i="22"/>
  <c r="K8" i="22" s="1"/>
  <c r="AA5" i="22" s="1"/>
  <c r="I17" i="22"/>
  <c r="J2" i="23"/>
  <c r="K2" i="23" s="1"/>
  <c r="I12" i="23"/>
  <c r="F19" i="23"/>
  <c r="J3" i="24"/>
  <c r="K3" i="24" s="1"/>
  <c r="AA12" i="24" s="1"/>
  <c r="J6" i="24"/>
  <c r="K6" i="24" s="1"/>
  <c r="AA3" i="24" s="1"/>
  <c r="J17" i="26"/>
  <c r="K17" i="26" s="1"/>
  <c r="AA8" i="26" s="1"/>
  <c r="X35" i="27"/>
  <c r="J8" i="30"/>
  <c r="K8" i="30" s="1"/>
  <c r="AA15" i="30" s="1"/>
  <c r="I8" i="30"/>
  <c r="H8" i="30"/>
  <c r="J4" i="21"/>
  <c r="K4" i="21" s="1"/>
  <c r="AA12" i="21" s="1"/>
  <c r="J9" i="22"/>
  <c r="K9" i="22" s="1"/>
  <c r="AA15" i="22" s="1"/>
  <c r="H11" i="22"/>
  <c r="J17" i="22"/>
  <c r="K17" i="22" s="1"/>
  <c r="AA17" i="22" s="1"/>
  <c r="F19" i="22"/>
  <c r="J3" i="23"/>
  <c r="K3" i="23" s="1"/>
  <c r="AA5" i="23" s="1"/>
  <c r="H5" i="23"/>
  <c r="H14" i="23"/>
  <c r="I14" i="23" s="1"/>
  <c r="H15" i="23"/>
  <c r="H17" i="23"/>
  <c r="G19" i="24"/>
  <c r="H4" i="24"/>
  <c r="I4" i="24" s="1"/>
  <c r="X5" i="24"/>
  <c r="X19" i="24" s="1"/>
  <c r="J15" i="24"/>
  <c r="K15" i="24" s="1"/>
  <c r="AA2" i="24" s="1"/>
  <c r="J17" i="24"/>
  <c r="K17" i="24" s="1"/>
  <c r="AA5" i="24" s="1"/>
  <c r="X20" i="24"/>
  <c r="F19" i="25"/>
  <c r="X6" i="25"/>
  <c r="J14" i="25"/>
  <c r="K14" i="25" s="1"/>
  <c r="AA12" i="25" s="1"/>
  <c r="H14" i="25"/>
  <c r="I14" i="25" s="1"/>
  <c r="X19" i="26"/>
  <c r="X21" i="26"/>
  <c r="J8" i="27"/>
  <c r="K8" i="27" s="1"/>
  <c r="AA20" i="27" s="1"/>
  <c r="J7" i="27"/>
  <c r="K7" i="27" s="1"/>
  <c r="AA5" i="27" s="1"/>
  <c r="H8" i="27"/>
  <c r="I8" i="27" s="1"/>
  <c r="J17" i="27"/>
  <c r="K17" i="27" s="1"/>
  <c r="AA12" i="27" s="1"/>
  <c r="I17" i="27"/>
  <c r="H17" i="27"/>
  <c r="I11" i="22"/>
  <c r="I5" i="23"/>
  <c r="H6" i="23"/>
  <c r="I6" i="23" s="1"/>
  <c r="I15" i="23"/>
  <c r="I17" i="23"/>
  <c r="H2" i="24"/>
  <c r="J12" i="24"/>
  <c r="K12" i="24" s="1"/>
  <c r="AA6" i="24" s="1"/>
  <c r="H12" i="24"/>
  <c r="I12" i="24" s="1"/>
  <c r="J26" i="27"/>
  <c r="K26" i="27" s="1"/>
  <c r="AA32" i="27" s="1"/>
  <c r="I26" i="27"/>
  <c r="H26" i="27"/>
  <c r="J4" i="29"/>
  <c r="K4" i="29" s="1"/>
  <c r="AA12" i="29" s="1"/>
  <c r="I4" i="29"/>
  <c r="H4" i="29"/>
  <c r="F19" i="29"/>
  <c r="H19" i="22"/>
  <c r="V19" i="23"/>
  <c r="J5" i="23"/>
  <c r="K5" i="23" s="1"/>
  <c r="AA7" i="23" s="1"/>
  <c r="J14" i="23"/>
  <c r="K14" i="23" s="1"/>
  <c r="AA11" i="23" s="1"/>
  <c r="J13" i="24"/>
  <c r="K13" i="24" s="1"/>
  <c r="AA11" i="24" s="1"/>
  <c r="I13" i="24"/>
  <c r="W19" i="25"/>
  <c r="J9" i="25"/>
  <c r="K9" i="25" s="1"/>
  <c r="AA13" i="25" s="1"/>
  <c r="H9" i="25"/>
  <c r="I9" i="25" s="1"/>
  <c r="M16" i="27"/>
  <c r="AA6" i="27"/>
  <c r="I16" i="27"/>
  <c r="J15" i="27"/>
  <c r="K15" i="27" s="1"/>
  <c r="AA9" i="27" s="1"/>
  <c r="H16" i="27"/>
  <c r="I2" i="22"/>
  <c r="J6" i="23"/>
  <c r="K6" i="23" s="1"/>
  <c r="AA15" i="23" s="1"/>
  <c r="H7" i="24"/>
  <c r="I7" i="24" s="1"/>
  <c r="J8" i="25"/>
  <c r="K8" i="25" s="1"/>
  <c r="AA8" i="25" s="1"/>
  <c r="G19" i="25"/>
  <c r="J7" i="26"/>
  <c r="K7" i="26" s="1"/>
  <c r="AA4" i="26" s="1"/>
  <c r="I7" i="26"/>
  <c r="J6" i="26"/>
  <c r="K6" i="26" s="1"/>
  <c r="AA11" i="26" s="1"/>
  <c r="H7" i="26"/>
  <c r="I25" i="27"/>
  <c r="J3" i="22"/>
  <c r="K3" i="22" s="1"/>
  <c r="I5" i="22"/>
  <c r="X2" i="23"/>
  <c r="X19" i="23" s="1"/>
  <c r="J7" i="23"/>
  <c r="K7" i="23" s="1"/>
  <c r="AA17" i="23" s="1"/>
  <c r="I3" i="24"/>
  <c r="J2" i="24"/>
  <c r="K2" i="24" s="1"/>
  <c r="X8" i="24"/>
  <c r="H13" i="24"/>
  <c r="J14" i="24"/>
  <c r="K14" i="24" s="1"/>
  <c r="AA13" i="24" s="1"/>
  <c r="J16" i="24"/>
  <c r="K16" i="24" s="1"/>
  <c r="AA10" i="24" s="1"/>
  <c r="J7" i="25"/>
  <c r="K7" i="25" s="1"/>
  <c r="AA2" i="25" s="1"/>
  <c r="H8" i="25"/>
  <c r="J15" i="26"/>
  <c r="K15" i="26" s="1"/>
  <c r="AA9" i="26" s="1"/>
  <c r="J14" i="26"/>
  <c r="K14" i="26" s="1"/>
  <c r="AA10" i="26" s="1"/>
  <c r="H15" i="26"/>
  <c r="I15" i="26" s="1"/>
  <c r="M2" i="27"/>
  <c r="J28" i="27"/>
  <c r="K28" i="27" s="1"/>
  <c r="AA15" i="27" s="1"/>
  <c r="H5" i="25"/>
  <c r="I5" i="25" s="1"/>
  <c r="H13" i="25"/>
  <c r="I13" i="25" s="1"/>
  <c r="J4" i="26"/>
  <c r="K4" i="26" s="1"/>
  <c r="AA2" i="26" s="1"/>
  <c r="J12" i="26"/>
  <c r="K12" i="26" s="1"/>
  <c r="AA6" i="26" s="1"/>
  <c r="H14" i="26"/>
  <c r="V19" i="26"/>
  <c r="V36" i="27"/>
  <c r="J5" i="27"/>
  <c r="K5" i="27" s="1"/>
  <c r="H7" i="27"/>
  <c r="I7" i="27" s="1"/>
  <c r="J13" i="27"/>
  <c r="K13" i="27" s="1"/>
  <c r="AA14" i="27" s="1"/>
  <c r="H15" i="27"/>
  <c r="I15" i="27" s="1"/>
  <c r="J23" i="27"/>
  <c r="K23" i="27" s="1"/>
  <c r="AA33" i="27" s="1"/>
  <c r="H25" i="27"/>
  <c r="V35" i="27"/>
  <c r="G19" i="28"/>
  <c r="X20" i="28"/>
  <c r="X20" i="29"/>
  <c r="G19" i="30"/>
  <c r="J17" i="30"/>
  <c r="K17" i="30" s="1"/>
  <c r="AA8" i="30" s="1"/>
  <c r="I17" i="30"/>
  <c r="H17" i="30"/>
  <c r="J11" i="31"/>
  <c r="K11" i="31" s="1"/>
  <c r="AA7" i="31" s="1"/>
  <c r="H11" i="31"/>
  <c r="I11" i="31" s="1"/>
  <c r="J4" i="25"/>
  <c r="K4" i="25" s="1"/>
  <c r="J12" i="25"/>
  <c r="K12" i="25" s="1"/>
  <c r="AA4" i="25" s="1"/>
  <c r="J5" i="26"/>
  <c r="K5" i="26" s="1"/>
  <c r="I6" i="26"/>
  <c r="J13" i="26"/>
  <c r="K13" i="26" s="1"/>
  <c r="AA15" i="26" s="1"/>
  <c r="I14" i="26"/>
  <c r="W19" i="26"/>
  <c r="W36" i="27"/>
  <c r="J6" i="27"/>
  <c r="K6" i="27" s="1"/>
  <c r="AA28" i="27" s="1"/>
  <c r="J14" i="27"/>
  <c r="K14" i="27" s="1"/>
  <c r="AA27" i="27" s="1"/>
  <c r="J24" i="27"/>
  <c r="K24" i="27" s="1"/>
  <c r="AA24" i="27" s="1"/>
  <c r="J33" i="27"/>
  <c r="K33" i="27" s="1"/>
  <c r="AA8" i="27" s="1"/>
  <c r="F35" i="27"/>
  <c r="W35" i="27"/>
  <c r="X5" i="28"/>
  <c r="I17" i="28"/>
  <c r="J16" i="28"/>
  <c r="K16" i="28" s="1"/>
  <c r="AA7" i="28" s="1"/>
  <c r="H17" i="28"/>
  <c r="J15" i="28"/>
  <c r="K15" i="28" s="1"/>
  <c r="AA4" i="28" s="1"/>
  <c r="G19" i="29"/>
  <c r="J3" i="29"/>
  <c r="K3" i="29" s="1"/>
  <c r="AA9" i="29" s="1"/>
  <c r="J2" i="29"/>
  <c r="K2" i="29" s="1"/>
  <c r="H3" i="29"/>
  <c r="I3" i="29" s="1"/>
  <c r="V19" i="29"/>
  <c r="X4" i="29"/>
  <c r="H10" i="29"/>
  <c r="I10" i="29" s="1"/>
  <c r="V19" i="30"/>
  <c r="X8" i="30"/>
  <c r="J5" i="31"/>
  <c r="K5" i="31" s="1"/>
  <c r="AA16" i="31" s="1"/>
  <c r="J13" i="31"/>
  <c r="K13" i="31" s="1"/>
  <c r="AA13" i="31" s="1"/>
  <c r="G35" i="27"/>
  <c r="J8" i="28"/>
  <c r="K8" i="28" s="1"/>
  <c r="AA9" i="28" s="1"/>
  <c r="H9" i="28"/>
  <c r="I9" i="28" s="1"/>
  <c r="J7" i="28"/>
  <c r="K7" i="28" s="1"/>
  <c r="AA15" i="28" s="1"/>
  <c r="J10" i="28"/>
  <c r="K10" i="28" s="1"/>
  <c r="AA11" i="28" s="1"/>
  <c r="H10" i="28"/>
  <c r="J11" i="28"/>
  <c r="K11" i="28" s="1"/>
  <c r="AA17" i="28" s="1"/>
  <c r="H19" i="29"/>
  <c r="I2" i="29"/>
  <c r="J7" i="30"/>
  <c r="K7" i="30" s="1"/>
  <c r="AA14" i="30" s="1"/>
  <c r="H16" i="30"/>
  <c r="I16" i="30" s="1"/>
  <c r="G19" i="31"/>
  <c r="I7" i="25"/>
  <c r="I15" i="25"/>
  <c r="H16" i="25"/>
  <c r="I8" i="26"/>
  <c r="I16" i="26"/>
  <c r="H17" i="26"/>
  <c r="I9" i="27"/>
  <c r="H10" i="27"/>
  <c r="I18" i="27"/>
  <c r="I27" i="27"/>
  <c r="V19" i="28"/>
  <c r="X2" i="28"/>
  <c r="X19" i="28" s="1"/>
  <c r="H3" i="28"/>
  <c r="J4" i="28"/>
  <c r="K4" i="28" s="1"/>
  <c r="AA6" i="28" s="1"/>
  <c r="H4" i="28"/>
  <c r="I4" i="28" s="1"/>
  <c r="J12" i="28"/>
  <c r="K12" i="28" s="1"/>
  <c r="AA3" i="28" s="1"/>
  <c r="V19" i="31"/>
  <c r="J4" i="31"/>
  <c r="K4" i="31" s="1"/>
  <c r="AA8" i="31" s="1"/>
  <c r="I6" i="24"/>
  <c r="I14" i="24"/>
  <c r="I8" i="25"/>
  <c r="J15" i="25"/>
  <c r="K15" i="25" s="1"/>
  <c r="AA17" i="25" s="1"/>
  <c r="I16" i="25"/>
  <c r="H17" i="25"/>
  <c r="I17" i="25" s="1"/>
  <c r="H2" i="26"/>
  <c r="I2" i="26" s="1"/>
  <c r="J8" i="26"/>
  <c r="K8" i="26" s="1"/>
  <c r="AA17" i="26" s="1"/>
  <c r="I9" i="26"/>
  <c r="H10" i="26"/>
  <c r="I17" i="26"/>
  <c r="I2" i="27"/>
  <c r="H3" i="27"/>
  <c r="H35" i="27" s="1"/>
  <c r="J9" i="27"/>
  <c r="K9" i="27" s="1"/>
  <c r="AA3" i="27" s="1"/>
  <c r="I10" i="27"/>
  <c r="H11" i="27"/>
  <c r="J18" i="27"/>
  <c r="K18" i="27" s="1"/>
  <c r="AA29" i="27" s="1"/>
  <c r="H21" i="27"/>
  <c r="I21" i="27" s="1"/>
  <c r="H29" i="27"/>
  <c r="J9" i="28"/>
  <c r="K9" i="28" s="1"/>
  <c r="AA8" i="28" s="1"/>
  <c r="I10" i="28"/>
  <c r="H13" i="28"/>
  <c r="I13" i="28" s="1"/>
  <c r="J12" i="29"/>
  <c r="K12" i="29" s="1"/>
  <c r="AA7" i="29" s="1"/>
  <c r="I12" i="29"/>
  <c r="H12" i="29"/>
  <c r="J9" i="30"/>
  <c r="K9" i="30" s="1"/>
  <c r="AA5" i="30" s="1"/>
  <c r="W19" i="31"/>
  <c r="H12" i="31"/>
  <c r="I12" i="31" s="1"/>
  <c r="J12" i="31"/>
  <c r="K12" i="31" s="1"/>
  <c r="AA2" i="31" s="1"/>
  <c r="H2" i="25"/>
  <c r="I10" i="26"/>
  <c r="F19" i="26"/>
  <c r="I3" i="27"/>
  <c r="H4" i="27"/>
  <c r="I4" i="27" s="1"/>
  <c r="I11" i="27"/>
  <c r="I29" i="27"/>
  <c r="H5" i="28"/>
  <c r="I5" i="28" s="1"/>
  <c r="X10" i="28"/>
  <c r="W19" i="29"/>
  <c r="J5" i="29"/>
  <c r="K5" i="29" s="1"/>
  <c r="AA17" i="29" s="1"/>
  <c r="J13" i="28"/>
  <c r="K13" i="28" s="1"/>
  <c r="AA2" i="28" s="1"/>
  <c r="J11" i="29"/>
  <c r="K11" i="29" s="1"/>
  <c r="AA11" i="29" s="1"/>
  <c r="J10" i="29"/>
  <c r="K10" i="29" s="1"/>
  <c r="AA10" i="29" s="1"/>
  <c r="H11" i="29"/>
  <c r="I11" i="29" s="1"/>
  <c r="X12" i="29"/>
  <c r="X19" i="29" s="1"/>
  <c r="X13" i="29"/>
  <c r="J3" i="31"/>
  <c r="K3" i="31" s="1"/>
  <c r="AA12" i="31" s="1"/>
  <c r="H3" i="31"/>
  <c r="I3" i="31" s="1"/>
  <c r="AA32" i="32"/>
  <c r="J9" i="29"/>
  <c r="K9" i="29" s="1"/>
  <c r="AA13" i="29" s="1"/>
  <c r="J5" i="30"/>
  <c r="K5" i="30" s="1"/>
  <c r="H7" i="30"/>
  <c r="I7" i="30" s="1"/>
  <c r="J13" i="30"/>
  <c r="K13" i="30" s="1"/>
  <c r="AA7" i="30" s="1"/>
  <c r="H15" i="30"/>
  <c r="I15" i="30" s="1"/>
  <c r="H2" i="31"/>
  <c r="J8" i="31"/>
  <c r="K8" i="31" s="1"/>
  <c r="AA6" i="31" s="1"/>
  <c r="H10" i="31"/>
  <c r="H13" i="31"/>
  <c r="H16" i="31"/>
  <c r="I16" i="31" s="1"/>
  <c r="J14" i="31"/>
  <c r="K14" i="31" s="1"/>
  <c r="AA3" i="31" s="1"/>
  <c r="J17" i="31"/>
  <c r="K17" i="31" s="1"/>
  <c r="AA10" i="31" s="1"/>
  <c r="X20" i="31"/>
  <c r="H2" i="32"/>
  <c r="I2" i="32" s="1"/>
  <c r="I11" i="32"/>
  <c r="H15" i="32"/>
  <c r="I15" i="32" s="1"/>
  <c r="J20" i="32"/>
  <c r="K20" i="32" s="1"/>
  <c r="AA8" i="32" s="1"/>
  <c r="H18" i="32"/>
  <c r="I18" i="32" s="1"/>
  <c r="I32" i="32"/>
  <c r="J32" i="32"/>
  <c r="K32" i="32" s="1"/>
  <c r="AA31" i="32" s="1"/>
  <c r="H32" i="32"/>
  <c r="J14" i="33"/>
  <c r="K14" i="33" s="1"/>
  <c r="AA3" i="33" s="1"/>
  <c r="J15" i="33"/>
  <c r="K15" i="33" s="1"/>
  <c r="AA12" i="33" s="1"/>
  <c r="H15" i="33"/>
  <c r="I15" i="33" s="1"/>
  <c r="J6" i="30"/>
  <c r="K6" i="30" s="1"/>
  <c r="AA6" i="30" s="1"/>
  <c r="J14" i="30"/>
  <c r="K14" i="30" s="1"/>
  <c r="AA17" i="30" s="1"/>
  <c r="I2" i="31"/>
  <c r="I10" i="31"/>
  <c r="I13" i="31"/>
  <c r="X17" i="31"/>
  <c r="I9" i="32"/>
  <c r="H21" i="32"/>
  <c r="J15" i="30"/>
  <c r="K15" i="30" s="1"/>
  <c r="AA10" i="30" s="1"/>
  <c r="J2" i="31"/>
  <c r="K2" i="31" s="1"/>
  <c r="J10" i="31"/>
  <c r="K10" i="31" s="1"/>
  <c r="AA17" i="31" s="1"/>
  <c r="H3" i="32"/>
  <c r="H6" i="32"/>
  <c r="I6" i="32" s="1"/>
  <c r="J9" i="32"/>
  <c r="K9" i="32" s="1"/>
  <c r="AA6" i="32" s="1"/>
  <c r="J8" i="32"/>
  <c r="K8" i="32" s="1"/>
  <c r="AA22" i="32" s="1"/>
  <c r="H19" i="32"/>
  <c r="H22" i="32"/>
  <c r="I22" i="32" s="1"/>
  <c r="J25" i="32"/>
  <c r="K25" i="32" s="1"/>
  <c r="AA24" i="32" s="1"/>
  <c r="I17" i="33"/>
  <c r="M16" i="34"/>
  <c r="AA12" i="34"/>
  <c r="I3" i="28"/>
  <c r="I11" i="28"/>
  <c r="H12" i="28"/>
  <c r="I12" i="28" s="1"/>
  <c r="H6" i="29"/>
  <c r="F19" i="30"/>
  <c r="I4" i="31"/>
  <c r="H5" i="31"/>
  <c r="I5" i="31" s="1"/>
  <c r="J16" i="31"/>
  <c r="K16" i="31" s="1"/>
  <c r="AA4" i="31" s="1"/>
  <c r="F19" i="31"/>
  <c r="J13" i="32"/>
  <c r="K13" i="32" s="1"/>
  <c r="AA7" i="32" s="1"/>
  <c r="J15" i="32"/>
  <c r="K15" i="32" s="1"/>
  <c r="AA33" i="32" s="1"/>
  <c r="H23" i="32"/>
  <c r="I23" i="32" s="1"/>
  <c r="J24" i="32"/>
  <c r="K24" i="32" s="1"/>
  <c r="AA17" i="32" s="1"/>
  <c r="J3" i="28"/>
  <c r="K3" i="28" s="1"/>
  <c r="AA5" i="28" s="1"/>
  <c r="I6" i="29"/>
  <c r="H7" i="29"/>
  <c r="I7" i="29" s="1"/>
  <c r="J14" i="29"/>
  <c r="K14" i="29" s="1"/>
  <c r="AA15" i="29" s="1"/>
  <c r="I15" i="29"/>
  <c r="H16" i="29"/>
  <c r="I16" i="29" s="1"/>
  <c r="H2" i="30"/>
  <c r="H3" i="30"/>
  <c r="I3" i="30" s="1"/>
  <c r="X4" i="30"/>
  <c r="X19" i="30" s="1"/>
  <c r="I10" i="30"/>
  <c r="H11" i="30"/>
  <c r="I11" i="30" s="1"/>
  <c r="M16" i="30"/>
  <c r="H6" i="31"/>
  <c r="I3" i="32"/>
  <c r="J4" i="32"/>
  <c r="K4" i="32" s="1"/>
  <c r="AA4" i="32" s="1"/>
  <c r="J6" i="32"/>
  <c r="K6" i="32" s="1"/>
  <c r="AA16" i="32" s="1"/>
  <c r="H7" i="32"/>
  <c r="I7" i="32" s="1"/>
  <c r="J12" i="32"/>
  <c r="K12" i="32" s="1"/>
  <c r="AA21" i="32" s="1"/>
  <c r="H10" i="32"/>
  <c r="I10" i="32" s="1"/>
  <c r="I19" i="32"/>
  <c r="J22" i="32"/>
  <c r="K22" i="32" s="1"/>
  <c r="AA19" i="32" s="1"/>
  <c r="X29" i="32"/>
  <c r="I6" i="31"/>
  <c r="X13" i="31"/>
  <c r="X19" i="31" s="1"/>
  <c r="J3" i="32"/>
  <c r="K3" i="32" s="1"/>
  <c r="AA29" i="32" s="1"/>
  <c r="I17" i="32"/>
  <c r="J19" i="32"/>
  <c r="K19" i="32" s="1"/>
  <c r="AA26" i="32" s="1"/>
  <c r="J23" i="32"/>
  <c r="K23" i="32" s="1"/>
  <c r="AA11" i="32" s="1"/>
  <c r="I25" i="32"/>
  <c r="J29" i="32"/>
  <c r="K29" i="32" s="1"/>
  <c r="AA9" i="32" s="1"/>
  <c r="I27" i="32"/>
  <c r="J26" i="32"/>
  <c r="K26" i="32" s="1"/>
  <c r="AA28" i="32" s="1"/>
  <c r="H27" i="32"/>
  <c r="J33" i="32"/>
  <c r="K33" i="32" s="1"/>
  <c r="AA10" i="32" s="1"/>
  <c r="V19" i="33"/>
  <c r="I6" i="34"/>
  <c r="H6" i="34"/>
  <c r="J9" i="34"/>
  <c r="K9" i="34" s="1"/>
  <c r="AA30" i="34" s="1"/>
  <c r="J8" i="34"/>
  <c r="K8" i="34" s="1"/>
  <c r="AA10" i="34" s="1"/>
  <c r="J7" i="34"/>
  <c r="K7" i="34" s="1"/>
  <c r="AA33" i="34" s="1"/>
  <c r="J6" i="34"/>
  <c r="K6" i="34" s="1"/>
  <c r="AA2" i="34" s="1"/>
  <c r="X3" i="32"/>
  <c r="H11" i="32"/>
  <c r="H14" i="32"/>
  <c r="I14" i="32" s="1"/>
  <c r="J17" i="32"/>
  <c r="K17" i="32" s="1"/>
  <c r="AA12" i="32" s="1"/>
  <c r="J16" i="32"/>
  <c r="K16" i="32" s="1"/>
  <c r="AA14" i="32" s="1"/>
  <c r="X19" i="32"/>
  <c r="X23" i="32"/>
  <c r="J31" i="32"/>
  <c r="K31" i="32" s="1"/>
  <c r="AA23" i="32" s="1"/>
  <c r="J30" i="32"/>
  <c r="K30" i="32" s="1"/>
  <c r="AA15" i="32" s="1"/>
  <c r="H30" i="32"/>
  <c r="I30" i="32" s="1"/>
  <c r="H26" i="32"/>
  <c r="H29" i="32"/>
  <c r="I29" i="32" s="1"/>
  <c r="X2" i="33"/>
  <c r="X19" i="33" s="1"/>
  <c r="J3" i="33"/>
  <c r="K3" i="33" s="1"/>
  <c r="AA14" i="33" s="1"/>
  <c r="X3" i="33"/>
  <c r="H4" i="33"/>
  <c r="H17" i="33"/>
  <c r="H27" i="34"/>
  <c r="I27" i="34" s="1"/>
  <c r="I26" i="32"/>
  <c r="J7" i="33"/>
  <c r="K7" i="33" s="1"/>
  <c r="AA16" i="33" s="1"/>
  <c r="J10" i="33"/>
  <c r="K10" i="33" s="1"/>
  <c r="AA5" i="33" s="1"/>
  <c r="J13" i="33"/>
  <c r="K13" i="33" s="1"/>
  <c r="AA4" i="33" s="1"/>
  <c r="X15" i="34"/>
  <c r="F19" i="33"/>
  <c r="X9" i="33"/>
  <c r="X17" i="33"/>
  <c r="G19" i="33"/>
  <c r="H16" i="33"/>
  <c r="I5" i="32"/>
  <c r="I13" i="32"/>
  <c r="I21" i="32"/>
  <c r="H2" i="33"/>
  <c r="H5" i="33"/>
  <c r="I5" i="33" s="1"/>
  <c r="H14" i="33"/>
  <c r="I14" i="33" s="1"/>
  <c r="I12" i="34"/>
  <c r="H12" i="34"/>
  <c r="I13" i="34"/>
  <c r="H33" i="32"/>
  <c r="I33" i="32" s="1"/>
  <c r="I2" i="33"/>
  <c r="I8" i="33"/>
  <c r="H11" i="33"/>
  <c r="I11" i="33" s="1"/>
  <c r="I16" i="33"/>
  <c r="X20" i="33"/>
  <c r="J5" i="34"/>
  <c r="K5" i="34" s="1"/>
  <c r="AA8" i="34" s="1"/>
  <c r="I2" i="34"/>
  <c r="H2" i="34"/>
  <c r="J3" i="34"/>
  <c r="K3" i="34" s="1"/>
  <c r="H3" i="34"/>
  <c r="I3" i="34" s="1"/>
  <c r="J4" i="34"/>
  <c r="K4" i="34" s="1"/>
  <c r="AA27" i="34" s="1"/>
  <c r="I9" i="34"/>
  <c r="I11" i="34"/>
  <c r="H11" i="34"/>
  <c r="I32" i="34"/>
  <c r="H32" i="34"/>
  <c r="J33" i="34"/>
  <c r="K33" i="34" s="1"/>
  <c r="AA15" i="34" s="1"/>
  <c r="J32" i="34"/>
  <c r="K32" i="34" s="1"/>
  <c r="AA22" i="34" s="1"/>
  <c r="X30" i="32"/>
  <c r="J2" i="33"/>
  <c r="K2" i="33" s="1"/>
  <c r="I4" i="33"/>
  <c r="X12" i="33"/>
  <c r="J16" i="33"/>
  <c r="K16" i="33" s="1"/>
  <c r="AA15" i="33" s="1"/>
  <c r="J17" i="33"/>
  <c r="K17" i="33" s="1"/>
  <c r="AA2" i="33" s="1"/>
  <c r="I5" i="34"/>
  <c r="J13" i="34"/>
  <c r="K13" i="34" s="1"/>
  <c r="AA28" i="34" s="1"/>
  <c r="I10" i="34"/>
  <c r="H10" i="34"/>
  <c r="I7" i="36"/>
  <c r="H7" i="36"/>
  <c r="J7" i="36"/>
  <c r="K7" i="36" s="1"/>
  <c r="AA9" i="36" s="1"/>
  <c r="F19" i="36"/>
  <c r="J21" i="34"/>
  <c r="K21" i="34" s="1"/>
  <c r="AA6" i="34" s="1"/>
  <c r="X29" i="34"/>
  <c r="J4" i="36"/>
  <c r="K4" i="36" s="1"/>
  <c r="AA10" i="36" s="1" a="1"/>
  <c r="AA10" i="36" s="1"/>
  <c r="H4" i="36"/>
  <c r="I4" i="36" s="1"/>
  <c r="X8" i="37"/>
  <c r="H17" i="34"/>
  <c r="J24" i="34"/>
  <c r="K24" i="34" s="1"/>
  <c r="AA11" i="34" s="1"/>
  <c r="I24" i="34"/>
  <c r="H24" i="34"/>
  <c r="X25" i="34"/>
  <c r="J11" i="35"/>
  <c r="K11" i="35" s="1"/>
  <c r="AA6" i="35" s="1"/>
  <c r="H17" i="36"/>
  <c r="I17" i="36" s="1"/>
  <c r="J17" i="36"/>
  <c r="K17" i="36" s="1"/>
  <c r="AA14" i="36" s="1"/>
  <c r="F19" i="35"/>
  <c r="I2" i="35"/>
  <c r="H2" i="35"/>
  <c r="J3" i="35"/>
  <c r="K3" i="35" s="1"/>
  <c r="AA17" i="35" s="1"/>
  <c r="H3" i="35"/>
  <c r="J4" i="35"/>
  <c r="K4" i="35" s="1"/>
  <c r="AA11" i="35" s="1"/>
  <c r="I9" i="35"/>
  <c r="J8" i="35"/>
  <c r="K8" i="35" s="1"/>
  <c r="AA4" i="35" s="1" a="1"/>
  <c r="AA4" i="35" s="1"/>
  <c r="H9" i="35"/>
  <c r="J7" i="35"/>
  <c r="K7" i="35" s="1"/>
  <c r="AA8" i="35" s="1"/>
  <c r="J10" i="35"/>
  <c r="K10" i="35" s="1"/>
  <c r="AA15" i="35" s="1"/>
  <c r="H10" i="35"/>
  <c r="I16" i="35"/>
  <c r="J14" i="36"/>
  <c r="K14" i="36" s="1"/>
  <c r="AA4" i="36" s="1"/>
  <c r="I14" i="36"/>
  <c r="H14" i="36"/>
  <c r="J15" i="36"/>
  <c r="K15" i="36" s="1"/>
  <c r="AA5" i="36" s="1"/>
  <c r="J17" i="39"/>
  <c r="K17" i="39" s="1"/>
  <c r="AA2" i="39" s="1"/>
  <c r="H17" i="39"/>
  <c r="I17" i="39" s="1"/>
  <c r="J14" i="39"/>
  <c r="K14" i="39" s="1"/>
  <c r="AA14" i="39" s="1"/>
  <c r="H5" i="34"/>
  <c r="J15" i="34"/>
  <c r="K15" i="34" s="1"/>
  <c r="AA5" i="34" s="1"/>
  <c r="I17" i="34"/>
  <c r="G19" i="35"/>
  <c r="I5" i="35"/>
  <c r="H5" i="35"/>
  <c r="H8" i="35"/>
  <c r="I8" i="35" s="1"/>
  <c r="X20" i="36"/>
  <c r="H16" i="34"/>
  <c r="I16" i="34" s="1"/>
  <c r="J17" i="34"/>
  <c r="K17" i="34" s="1"/>
  <c r="AA16" i="34" s="1"/>
  <c r="H22" i="34"/>
  <c r="H25" i="34"/>
  <c r="I25" i="34" s="1"/>
  <c r="J2" i="35"/>
  <c r="K2" i="35" s="1"/>
  <c r="I3" i="35"/>
  <c r="J9" i="35"/>
  <c r="K9" i="35" s="1"/>
  <c r="AA10" i="35" s="1"/>
  <c r="I10" i="35"/>
  <c r="X9" i="37"/>
  <c r="H15" i="34"/>
  <c r="I15" i="34" s="1"/>
  <c r="J16" i="34"/>
  <c r="K16" i="34" s="1"/>
  <c r="AA25" i="34" s="1" a="1"/>
  <c r="AA25" i="34" s="1"/>
  <c r="I22" i="34"/>
  <c r="J29" i="34"/>
  <c r="K29" i="34" s="1"/>
  <c r="AA13" i="34" s="1"/>
  <c r="H29" i="34"/>
  <c r="I29" i="34" s="1"/>
  <c r="J30" i="34"/>
  <c r="K30" i="34" s="1"/>
  <c r="AA14" i="34" s="1"/>
  <c r="V19" i="35"/>
  <c r="X3" i="35"/>
  <c r="X19" i="35" s="1"/>
  <c r="J5" i="35"/>
  <c r="K5" i="35" s="1"/>
  <c r="AA9" i="35" s="1"/>
  <c r="X10" i="35"/>
  <c r="V19" i="36"/>
  <c r="X6" i="36"/>
  <c r="X19" i="36" s="1"/>
  <c r="X18" i="34"/>
  <c r="J22" i="34"/>
  <c r="K22" i="34" s="1"/>
  <c r="AA4" i="34" s="1"/>
  <c r="J23" i="34"/>
  <c r="K23" i="34" s="1"/>
  <c r="AA32" i="34" s="1"/>
  <c r="I23" i="34"/>
  <c r="J31" i="34"/>
  <c r="K31" i="34" s="1"/>
  <c r="AA24" i="34" s="1"/>
  <c r="H13" i="35"/>
  <c r="I13" i="35"/>
  <c r="AA12" i="36"/>
  <c r="I12" i="35"/>
  <c r="H14" i="35"/>
  <c r="H16" i="35"/>
  <c r="J17" i="35"/>
  <c r="K17" i="35" s="1"/>
  <c r="AA5" i="35" s="1"/>
  <c r="G19" i="36"/>
  <c r="H2" i="37"/>
  <c r="I2" i="37" s="1"/>
  <c r="J7" i="37"/>
  <c r="K7" i="37" s="1"/>
  <c r="AA8" i="37" s="1"/>
  <c r="H14" i="37"/>
  <c r="I14" i="37" s="1"/>
  <c r="J17" i="37"/>
  <c r="K17" i="37" s="1"/>
  <c r="AA4" i="37" s="1"/>
  <c r="H17" i="37"/>
  <c r="I17" i="37" s="1"/>
  <c r="J11" i="38"/>
  <c r="K11" i="38" s="1"/>
  <c r="AA14" i="38" s="1" a="1"/>
  <c r="AA14" i="38" s="1"/>
  <c r="H11" i="38"/>
  <c r="I11" i="38" s="1"/>
  <c r="J10" i="38"/>
  <c r="K10" i="38" s="1"/>
  <c r="AA8" i="38" s="1"/>
  <c r="I14" i="35"/>
  <c r="J6" i="36"/>
  <c r="K6" i="36" s="1"/>
  <c r="AA16" i="36" s="1"/>
  <c r="X8" i="36"/>
  <c r="J12" i="36"/>
  <c r="K12" i="36" s="1"/>
  <c r="AA7" i="36" s="1"/>
  <c r="H16" i="36"/>
  <c r="I30" i="34"/>
  <c r="H31" i="34"/>
  <c r="I4" i="35"/>
  <c r="I11" i="35"/>
  <c r="J12" i="35"/>
  <c r="K12" i="35" s="1"/>
  <c r="AA3" i="35" s="1"/>
  <c r="X20" i="35"/>
  <c r="H3" i="36"/>
  <c r="H19" i="36" s="1"/>
  <c r="H6" i="36"/>
  <c r="AD6" i="36"/>
  <c r="AE6" i="36" s="1"/>
  <c r="AF6" i="36" s="1"/>
  <c r="H8" i="36"/>
  <c r="I8" i="36" s="1"/>
  <c r="J10" i="36"/>
  <c r="K10" i="36" s="1"/>
  <c r="AA3" i="36" s="1"/>
  <c r="I11" i="36"/>
  <c r="J13" i="36"/>
  <c r="K13" i="36" s="1"/>
  <c r="AA11" i="36" s="1"/>
  <c r="I13" i="36"/>
  <c r="I7" i="37"/>
  <c r="I31" i="34"/>
  <c r="I3" i="36"/>
  <c r="I6" i="36"/>
  <c r="J11" i="36"/>
  <c r="K11" i="36" s="1"/>
  <c r="AA15" i="36" s="1"/>
  <c r="I16" i="36"/>
  <c r="V19" i="37"/>
  <c r="H8" i="37"/>
  <c r="J9" i="37"/>
  <c r="K9" i="37" s="1"/>
  <c r="AA13" i="37" s="1"/>
  <c r="H9" i="37"/>
  <c r="I9" i="37" s="1"/>
  <c r="J10" i="37"/>
  <c r="K10" i="37" s="1"/>
  <c r="AA16" i="37" s="1"/>
  <c r="H10" i="37"/>
  <c r="I10" i="37" s="1"/>
  <c r="W19" i="38"/>
  <c r="X2" i="38"/>
  <c r="X19" i="38" s="1"/>
  <c r="X14" i="35"/>
  <c r="H20" i="36"/>
  <c r="J3" i="36"/>
  <c r="K3" i="36" s="1"/>
  <c r="AA6" i="36" s="1"/>
  <c r="J5" i="36"/>
  <c r="K5" i="36" s="1"/>
  <c r="AA8" i="36" s="1"/>
  <c r="J8" i="36"/>
  <c r="K8" i="36" s="1"/>
  <c r="AA2" i="36" s="1"/>
  <c r="J9" i="36"/>
  <c r="K9" i="36" s="1"/>
  <c r="AA13" i="36" s="1"/>
  <c r="J16" i="36"/>
  <c r="K16" i="36" s="1"/>
  <c r="AA17" i="36" s="1"/>
  <c r="W19" i="37"/>
  <c r="I8" i="37"/>
  <c r="J2" i="37"/>
  <c r="K2" i="37" s="1"/>
  <c r="F19" i="37"/>
  <c r="X19" i="37"/>
  <c r="J3" i="37"/>
  <c r="K3" i="37" s="1"/>
  <c r="AA6" i="37" s="1"/>
  <c r="J5" i="37"/>
  <c r="K5" i="37" s="1"/>
  <c r="AA3" i="37" s="1"/>
  <c r="X20" i="37"/>
  <c r="I2" i="38"/>
  <c r="I15" i="37"/>
  <c r="I16" i="37"/>
  <c r="G19" i="38"/>
  <c r="J3" i="38"/>
  <c r="K3" i="38" s="1"/>
  <c r="AA7" i="38" s="1"/>
  <c r="H3" i="38"/>
  <c r="J13" i="38"/>
  <c r="K13" i="38" s="1"/>
  <c r="AA13" i="38" s="1"/>
  <c r="I13" i="38"/>
  <c r="J14" i="38"/>
  <c r="K14" i="38" s="1"/>
  <c r="AA17" i="38" s="1"/>
  <c r="I14" i="38"/>
  <c r="J17" i="38"/>
  <c r="K17" i="38" s="1"/>
  <c r="AA10" i="38" s="1"/>
  <c r="J16" i="38"/>
  <c r="K16" i="38" s="1"/>
  <c r="AA2" i="38" s="1"/>
  <c r="J16" i="37"/>
  <c r="K16" i="37" s="1"/>
  <c r="AA10" i="37" s="1"/>
  <c r="H2" i="38"/>
  <c r="J5" i="38"/>
  <c r="K5" i="38" s="1"/>
  <c r="AA15" i="38" s="1"/>
  <c r="J6" i="38"/>
  <c r="K6" i="38" s="1"/>
  <c r="AA16" i="38" s="1"/>
  <c r="H12" i="38"/>
  <c r="I12" i="38" s="1"/>
  <c r="H7" i="40"/>
  <c r="I7" i="40" s="1"/>
  <c r="H11" i="37"/>
  <c r="I11" i="37" s="1"/>
  <c r="J2" i="38"/>
  <c r="K2" i="38" s="1"/>
  <c r="I3" i="38"/>
  <c r="H4" i="38"/>
  <c r="I4" i="38" s="1"/>
  <c r="H7" i="38"/>
  <c r="I7" i="38" s="1"/>
  <c r="I8" i="38"/>
  <c r="H8" i="38"/>
  <c r="J12" i="38"/>
  <c r="K12" i="38" s="1"/>
  <c r="AA3" i="38" s="1"/>
  <c r="H13" i="38"/>
  <c r="H14" i="38"/>
  <c r="J11" i="40"/>
  <c r="K11" i="40" s="1"/>
  <c r="AA16" i="40" s="1" a="1"/>
  <c r="AA16" i="40" s="1"/>
  <c r="H11" i="40"/>
  <c r="I11" i="40" s="1"/>
  <c r="H4" i="37"/>
  <c r="I4" i="37" s="1"/>
  <c r="V19" i="38"/>
  <c r="J4" i="38"/>
  <c r="K4" i="38" s="1"/>
  <c r="AA5" i="38" s="1"/>
  <c r="H5" i="38"/>
  <c r="I5" i="38" s="1"/>
  <c r="H6" i="38"/>
  <c r="I6" i="38" s="1"/>
  <c r="F19" i="38"/>
  <c r="W19" i="39"/>
  <c r="J5" i="39"/>
  <c r="K5" i="39" s="1"/>
  <c r="AA12" i="39" s="1"/>
  <c r="I5" i="39"/>
  <c r="V19" i="40"/>
  <c r="X2" i="40"/>
  <c r="X19" i="40" s="1"/>
  <c r="J13" i="40"/>
  <c r="K13" i="40" s="1"/>
  <c r="AA2" i="40" s="1"/>
  <c r="X20" i="40"/>
  <c r="H9" i="41"/>
  <c r="I9" i="41" s="1"/>
  <c r="H16" i="40"/>
  <c r="I16" i="40" s="1"/>
  <c r="G19" i="41"/>
  <c r="H13" i="39"/>
  <c r="I13" i="39" s="1"/>
  <c r="I4" i="39"/>
  <c r="I6" i="39"/>
  <c r="I7" i="39"/>
  <c r="J9" i="39"/>
  <c r="K9" i="39" s="1"/>
  <c r="AA9" i="39" s="1"/>
  <c r="H9" i="39"/>
  <c r="I9" i="39" s="1"/>
  <c r="J3" i="40"/>
  <c r="K3" i="40" s="1"/>
  <c r="AA11" i="40" s="1"/>
  <c r="I3" i="40"/>
  <c r="H3" i="40"/>
  <c r="I10" i="40"/>
  <c r="X12" i="40"/>
  <c r="F19" i="41"/>
  <c r="J2" i="41"/>
  <c r="K2" i="41" s="1"/>
  <c r="X16" i="41"/>
  <c r="J10" i="41"/>
  <c r="K10" i="41" s="1"/>
  <c r="AA4" i="41" s="1"/>
  <c r="F19" i="39"/>
  <c r="J8" i="39"/>
  <c r="K8" i="39" s="1"/>
  <c r="AA7" i="39" s="1"/>
  <c r="J10" i="39"/>
  <c r="K10" i="39" s="1"/>
  <c r="AA17" i="39" s="1"/>
  <c r="I10" i="39"/>
  <c r="H10" i="39"/>
  <c r="J15" i="39"/>
  <c r="K15" i="39" s="1"/>
  <c r="AA10" i="39" s="1"/>
  <c r="J4" i="40"/>
  <c r="K4" i="40" s="1"/>
  <c r="AA9" i="40" s="1"/>
  <c r="H4" i="40"/>
  <c r="I4" i="40" s="1"/>
  <c r="J9" i="40"/>
  <c r="K9" i="40" s="1"/>
  <c r="AA10" i="40" s="1"/>
  <c r="H2" i="41"/>
  <c r="G19" i="39"/>
  <c r="J4" i="39"/>
  <c r="K4" i="39" s="1"/>
  <c r="AA8" i="39" s="1"/>
  <c r="X11" i="39"/>
  <c r="X19" i="39" s="1"/>
  <c r="X20" i="39"/>
  <c r="X5" i="40"/>
  <c r="J12" i="40"/>
  <c r="K12" i="40" s="1"/>
  <c r="AA7" i="40" s="1"/>
  <c r="H12" i="40"/>
  <c r="I12" i="40" s="1"/>
  <c r="H15" i="40"/>
  <c r="I15" i="40" s="1"/>
  <c r="I2" i="41"/>
  <c r="X4" i="41"/>
  <c r="X19" i="41" s="1"/>
  <c r="H10" i="41"/>
  <c r="H15" i="38"/>
  <c r="I15" i="38" s="1"/>
  <c r="H16" i="38"/>
  <c r="I16" i="38" s="1"/>
  <c r="H2" i="39"/>
  <c r="H8" i="39"/>
  <c r="I8" i="39" s="1"/>
  <c r="J13" i="39"/>
  <c r="K13" i="39" s="1"/>
  <c r="AA11" i="39" s="1"/>
  <c r="H15" i="39"/>
  <c r="I15" i="39" s="1"/>
  <c r="F19" i="40"/>
  <c r="J2" i="40"/>
  <c r="K2" i="40" s="1"/>
  <c r="J7" i="40"/>
  <c r="K7" i="40" s="1"/>
  <c r="AA17" i="40" s="1" a="1"/>
  <c r="AA17" i="40" s="1"/>
  <c r="H9" i="40"/>
  <c r="I9" i="40" s="1"/>
  <c r="X13" i="40"/>
  <c r="J17" i="40"/>
  <c r="K17" i="40" s="1"/>
  <c r="AA5" i="40" s="1"/>
  <c r="J3" i="41"/>
  <c r="K3" i="41" s="1"/>
  <c r="AA17" i="41" s="1"/>
  <c r="H3" i="41"/>
  <c r="I3" i="41" s="1"/>
  <c r="I10" i="41"/>
  <c r="X12" i="41"/>
  <c r="J17" i="41"/>
  <c r="K17" i="41" s="1"/>
  <c r="AA14" i="41" s="1"/>
  <c r="J7" i="39"/>
  <c r="K7" i="39" s="1"/>
  <c r="AA4" i="39" s="1"/>
  <c r="J16" i="39"/>
  <c r="K16" i="39" s="1"/>
  <c r="AA16" i="39" s="1"/>
  <c r="G19" i="40"/>
  <c r="J10" i="40"/>
  <c r="K10" i="40" s="1"/>
  <c r="AA14" i="40" s="1"/>
  <c r="J11" i="41"/>
  <c r="K11" i="41" s="1"/>
  <c r="AA9" i="41" s="1"/>
  <c r="I11" i="41"/>
  <c r="H11" i="41"/>
  <c r="J13" i="41"/>
  <c r="K13" i="41" s="1"/>
  <c r="AA11" i="41" s="1"/>
  <c r="J2" i="39"/>
  <c r="K2" i="39" s="1"/>
  <c r="H2" i="40"/>
  <c r="H17" i="40"/>
  <c r="I17" i="40" s="1"/>
  <c r="J4" i="41"/>
  <c r="K4" i="41" s="1"/>
  <c r="AA6" i="41" s="1"/>
  <c r="I4" i="41"/>
  <c r="H4" i="41"/>
  <c r="H7" i="41"/>
  <c r="I7" i="41" s="1"/>
  <c r="J9" i="41"/>
  <c r="K9" i="41" s="1"/>
  <c r="AA12" i="41" s="1"/>
  <c r="J16" i="41"/>
  <c r="K16" i="41" s="1"/>
  <c r="AA15" i="41" s="1" a="1"/>
  <c r="AA15" i="41" s="1"/>
  <c r="I16" i="41"/>
  <c r="J15" i="41"/>
  <c r="K15" i="41" s="1"/>
  <c r="AA5" i="41" s="1"/>
  <c r="H16" i="41"/>
  <c r="X17" i="41"/>
  <c r="H17" i="41"/>
  <c r="I17" i="41" s="1"/>
  <c r="H12" i="41"/>
  <c r="I12" i="41"/>
  <c r="H5" i="40"/>
  <c r="I5" i="40" s="1"/>
  <c r="M7" i="30" l="1"/>
  <c r="AC8" i="22"/>
  <c r="AD8" i="22" s="1"/>
  <c r="AE8" i="22" s="1"/>
  <c r="AF8" i="22" s="1"/>
  <c r="M8" i="30"/>
  <c r="M5" i="26"/>
  <c r="M4" i="27"/>
  <c r="M5" i="22"/>
  <c r="M27" i="27"/>
  <c r="M3" i="26"/>
  <c r="M6" i="30"/>
  <c r="M8" i="26"/>
  <c r="M12" i="30"/>
  <c r="M16" i="22"/>
  <c r="J14" i="11"/>
  <c r="AA4" i="11" s="1"/>
  <c r="J7" i="11"/>
  <c r="AA12" i="11" s="1"/>
  <c r="J8" i="11"/>
  <c r="AA17" i="11" s="1"/>
  <c r="J3" i="8"/>
  <c r="AA2" i="8" s="1"/>
  <c r="J16" i="8"/>
  <c r="AA15" i="8" s="1"/>
  <c r="J5" i="8"/>
  <c r="AA14" i="8" s="1"/>
  <c r="J12" i="8"/>
  <c r="AA12" i="8" s="1"/>
  <c r="J3" i="18"/>
  <c r="AA15" i="18" s="1"/>
  <c r="J2" i="18"/>
  <c r="J13" i="18"/>
  <c r="AA2" i="18" s="1"/>
  <c r="J16" i="18"/>
  <c r="AA17" i="18" s="1"/>
  <c r="J10" i="18"/>
  <c r="AA16" i="18" s="1"/>
  <c r="J5" i="18"/>
  <c r="AA7" i="18" s="1"/>
  <c r="J8" i="18"/>
  <c r="AA3" i="18" s="1"/>
  <c r="J7" i="18"/>
  <c r="AA4" i="18" s="1"/>
  <c r="J15" i="18"/>
  <c r="AA14" i="18" s="1"/>
  <c r="J6" i="18"/>
  <c r="AA5" i="18" s="1"/>
  <c r="J12" i="18"/>
  <c r="AA10" i="18" s="1"/>
  <c r="M25" i="32"/>
  <c r="L648" i="2"/>
  <c r="K648" i="2"/>
  <c r="M19" i="34"/>
  <c r="AA5" i="25"/>
  <c r="M16" i="25"/>
  <c r="M5" i="25"/>
  <c r="M11" i="25"/>
  <c r="M12" i="25"/>
  <c r="AB6" i="27"/>
  <c r="M6" i="27"/>
  <c r="M13" i="32"/>
  <c r="M3" i="34"/>
  <c r="M33" i="32"/>
  <c r="H20" i="29"/>
  <c r="M9" i="22"/>
  <c r="J9" i="14"/>
  <c r="AA17" i="14" s="1"/>
  <c r="J6" i="11"/>
  <c r="AA13" i="11" s="1"/>
  <c r="AA5" i="39"/>
  <c r="M14" i="39" a="1"/>
  <c r="M14" i="39" s="1"/>
  <c r="M6" i="39" a="1"/>
  <c r="M6" i="39" s="1"/>
  <c r="M10" i="39" a="1"/>
  <c r="M10" i="39" s="1"/>
  <c r="M4" i="39" a="1"/>
  <c r="M4" i="39" s="1"/>
  <c r="M12" i="39" a="1"/>
  <c r="M12" i="39" s="1"/>
  <c r="M8" i="39" a="1"/>
  <c r="M8" i="39" s="1"/>
  <c r="M16" i="39" a="1"/>
  <c r="M16" i="39" s="1"/>
  <c r="M2" i="39" a="1"/>
  <c r="M2" i="39" s="1"/>
  <c r="H20" i="39"/>
  <c r="H19" i="39"/>
  <c r="I2" i="39"/>
  <c r="M12" i="36" a="1"/>
  <c r="M12" i="36" s="1"/>
  <c r="AA19" i="34"/>
  <c r="M13" i="34"/>
  <c r="M24" i="34"/>
  <c r="M31" i="34"/>
  <c r="M9" i="34"/>
  <c r="M18" i="34"/>
  <c r="M22" i="34"/>
  <c r="M17" i="31"/>
  <c r="M16" i="31"/>
  <c r="M4" i="31"/>
  <c r="M11" i="31"/>
  <c r="M3" i="31"/>
  <c r="M13" i="31"/>
  <c r="M12" i="31"/>
  <c r="M10" i="31"/>
  <c r="M2" i="31"/>
  <c r="M14" i="31"/>
  <c r="M9" i="31"/>
  <c r="AA5" i="31"/>
  <c r="M8" i="31"/>
  <c r="M7" i="31"/>
  <c r="M15" i="31"/>
  <c r="M6" i="31"/>
  <c r="M5" i="31"/>
  <c r="AA2" i="30"/>
  <c r="M2" i="30"/>
  <c r="M11" i="30"/>
  <c r="M5" i="30"/>
  <c r="M8" i="32"/>
  <c r="M3" i="32"/>
  <c r="M22" i="27"/>
  <c r="M33" i="27"/>
  <c r="M18" i="27"/>
  <c r="H20" i="24"/>
  <c r="H19" i="24"/>
  <c r="I2" i="24"/>
  <c r="M17" i="23"/>
  <c r="M16" i="23"/>
  <c r="M15" i="23"/>
  <c r="M14" i="23"/>
  <c r="M5" i="23"/>
  <c r="M13" i="23"/>
  <c r="M4" i="23"/>
  <c r="M12" i="23"/>
  <c r="M3" i="23"/>
  <c r="M11" i="23"/>
  <c r="M2" i="23"/>
  <c r="AA16" i="23"/>
  <c r="M10" i="23"/>
  <c r="M9" i="23"/>
  <c r="M8" i="23"/>
  <c r="M7" i="23"/>
  <c r="M6" i="23"/>
  <c r="M4" i="26"/>
  <c r="H20" i="23"/>
  <c r="M12" i="21" a="1"/>
  <c r="M12" i="21" s="1"/>
  <c r="M4" i="21" a="1"/>
  <c r="M4" i="21" s="1"/>
  <c r="M10" i="21" a="1"/>
  <c r="M10" i="21" s="1"/>
  <c r="AA7" i="21"/>
  <c r="M2" i="21" a="1"/>
  <c r="M2" i="21" s="1"/>
  <c r="M16" i="21" a="1"/>
  <c r="M16" i="21" s="1"/>
  <c r="M8" i="21" a="1"/>
  <c r="M8" i="21" s="1"/>
  <c r="M6" i="21" a="1"/>
  <c r="M6" i="21" s="1"/>
  <c r="M14" i="21" a="1"/>
  <c r="M14" i="21" s="1"/>
  <c r="M17" i="22"/>
  <c r="M17" i="25"/>
  <c r="M7" i="25"/>
  <c r="I11" i="15"/>
  <c r="H20" i="14"/>
  <c r="J15" i="11"/>
  <c r="AA11" i="11" s="1"/>
  <c r="H20" i="10"/>
  <c r="I3" i="10"/>
  <c r="J15" i="10" s="1"/>
  <c r="AA7" i="10" s="1"/>
  <c r="J5" i="11"/>
  <c r="AA5" i="11" s="1"/>
  <c r="J15" i="8"/>
  <c r="AA17" i="8" s="1"/>
  <c r="J2" i="8"/>
  <c r="J6" i="8"/>
  <c r="AA9" i="8" s="1"/>
  <c r="M21" i="34"/>
  <c r="M26" i="32"/>
  <c r="M3" i="25"/>
  <c r="H19" i="16"/>
  <c r="H20" i="16"/>
  <c r="I2" i="16"/>
  <c r="M14" i="27"/>
  <c r="M8" i="37" a="1"/>
  <c r="M8" i="37" s="1"/>
  <c r="M14" i="37" a="1"/>
  <c r="M14" i="37" s="1"/>
  <c r="M6" i="37" a="1"/>
  <c r="M6" i="37" s="1"/>
  <c r="M12" i="37" a="1"/>
  <c r="M12" i="37" s="1"/>
  <c r="M4" i="37" a="1"/>
  <c r="M4" i="37" s="1"/>
  <c r="AA15" i="37"/>
  <c r="M16" i="37" a="1"/>
  <c r="M16" i="37" s="1"/>
  <c r="M2" i="37" a="1"/>
  <c r="M2" i="37" s="1"/>
  <c r="M10" i="37" a="1"/>
  <c r="M10" i="37" s="1"/>
  <c r="M14" i="36" a="1"/>
  <c r="M14" i="36" s="1"/>
  <c r="M6" i="34"/>
  <c r="M12" i="34"/>
  <c r="M17" i="34"/>
  <c r="M29" i="34"/>
  <c r="M3" i="30"/>
  <c r="M5" i="32"/>
  <c r="M7" i="32"/>
  <c r="M11" i="32"/>
  <c r="M10" i="30"/>
  <c r="M31" i="27"/>
  <c r="M7" i="27"/>
  <c r="M19" i="27"/>
  <c r="M17" i="26"/>
  <c r="M12" i="26"/>
  <c r="H19" i="23"/>
  <c r="M8" i="25"/>
  <c r="M13" i="22"/>
  <c r="M2" i="25"/>
  <c r="M15" i="25"/>
  <c r="X19" i="14"/>
  <c r="J5" i="10"/>
  <c r="AA4" i="10" s="1"/>
  <c r="J8" i="8"/>
  <c r="AA3" i="8" s="1"/>
  <c r="J7" i="10"/>
  <c r="AA5" i="10" s="1"/>
  <c r="X19" i="10"/>
  <c r="K5" i="6"/>
  <c r="L5" i="6" s="1"/>
  <c r="L12" i="6"/>
  <c r="Z19" i="5"/>
  <c r="L6" i="4"/>
  <c r="L640" i="2"/>
  <c r="K640" i="2"/>
  <c r="H19" i="37"/>
  <c r="H20" i="37"/>
  <c r="M14" i="32"/>
  <c r="J4" i="14"/>
  <c r="AA4" i="14" s="1"/>
  <c r="J12" i="10"/>
  <c r="AA16" i="10" s="1"/>
  <c r="M2" i="9"/>
  <c r="M8" i="9"/>
  <c r="H20" i="38"/>
  <c r="H19" i="38"/>
  <c r="M17" i="33"/>
  <c r="M16" i="33"/>
  <c r="M15" i="33"/>
  <c r="M12" i="33"/>
  <c r="M5" i="33"/>
  <c r="M6" i="33"/>
  <c r="M10" i="33"/>
  <c r="M3" i="33"/>
  <c r="M7" i="33"/>
  <c r="M4" i="33"/>
  <c r="M13" i="33"/>
  <c r="M8" i="33"/>
  <c r="M11" i="33"/>
  <c r="AA10" i="33"/>
  <c r="M9" i="33"/>
  <c r="M2" i="33"/>
  <c r="M14" i="33"/>
  <c r="M17" i="30"/>
  <c r="M8" i="34"/>
  <c r="M28" i="34"/>
  <c r="M11" i="26"/>
  <c r="M9" i="25"/>
  <c r="J5" i="16"/>
  <c r="AA7" i="16" s="1"/>
  <c r="I2" i="17"/>
  <c r="J15" i="17" s="1"/>
  <c r="AA2" i="17" s="1"/>
  <c r="H20" i="17"/>
  <c r="H19" i="17"/>
  <c r="H20" i="8"/>
  <c r="M16" i="40" a="1"/>
  <c r="M16" i="40" s="1"/>
  <c r="M8" i="40" a="1"/>
  <c r="M8" i="40" s="1"/>
  <c r="M4" i="40" a="1"/>
  <c r="M4" i="40" s="1"/>
  <c r="AA3" i="40"/>
  <c r="M6" i="40" a="1"/>
  <c r="M6" i="40" s="1"/>
  <c r="M2" i="40" a="1"/>
  <c r="M2" i="40" s="1"/>
  <c r="M12" i="40" a="1"/>
  <c r="M12" i="40" s="1"/>
  <c r="M14" i="40" a="1"/>
  <c r="M14" i="40" s="1"/>
  <c r="M10" i="40" a="1"/>
  <c r="M10" i="40" s="1"/>
  <c r="H19" i="41"/>
  <c r="H20" i="41"/>
  <c r="M14" i="38" a="1"/>
  <c r="M14" i="38" s="1"/>
  <c r="M6" i="38" a="1"/>
  <c r="M6" i="38" s="1"/>
  <c r="M12" i="38" a="1"/>
  <c r="M12" i="38" s="1"/>
  <c r="M4" i="38" a="1"/>
  <c r="M4" i="38" s="1"/>
  <c r="M2" i="38" a="1"/>
  <c r="M2" i="38" s="1"/>
  <c r="M10" i="38" a="1"/>
  <c r="M10" i="38" s="1"/>
  <c r="AA12" i="38"/>
  <c r="M8" i="38" a="1"/>
  <c r="M8" i="38" s="1"/>
  <c r="M16" i="38" a="1"/>
  <c r="M16" i="38" s="1"/>
  <c r="M6" i="36" a="1"/>
  <c r="M6" i="36" s="1"/>
  <c r="M15" i="34"/>
  <c r="M20" i="34"/>
  <c r="M26" i="34"/>
  <c r="H19" i="31"/>
  <c r="H20" i="31"/>
  <c r="M21" i="32"/>
  <c r="M15" i="32"/>
  <c r="M19" i="32"/>
  <c r="H20" i="25"/>
  <c r="H19" i="25"/>
  <c r="I2" i="25"/>
  <c r="AC6" i="27"/>
  <c r="H36" i="27"/>
  <c r="M3" i="27"/>
  <c r="AB12" i="27" s="1"/>
  <c r="M5" i="27"/>
  <c r="M15" i="27"/>
  <c r="M10" i="25"/>
  <c r="I4" i="19"/>
  <c r="H20" i="20"/>
  <c r="H19" i="20"/>
  <c r="I2" i="20"/>
  <c r="H19" i="19"/>
  <c r="J7" i="17"/>
  <c r="AA5" i="17" s="1"/>
  <c r="J9" i="18"/>
  <c r="AA13" i="18" s="1"/>
  <c r="J4" i="18"/>
  <c r="AA11" i="18" s="1"/>
  <c r="H19" i="15"/>
  <c r="H19" i="10"/>
  <c r="J17" i="7"/>
  <c r="I17" i="7"/>
  <c r="J13" i="9"/>
  <c r="AA13" i="9" s="1"/>
  <c r="J13" i="8"/>
  <c r="AA13" i="8" s="1"/>
  <c r="J17" i="9"/>
  <c r="AA9" i="9" s="1"/>
  <c r="J14" i="8"/>
  <c r="AA8" i="8" s="1"/>
  <c r="J12" i="9"/>
  <c r="AA4" i="9" s="1"/>
  <c r="L632" i="2"/>
  <c r="K632" i="2"/>
  <c r="M17" i="35"/>
  <c r="M16" i="35"/>
  <c r="M11" i="35"/>
  <c r="M12" i="35"/>
  <c r="M10" i="35"/>
  <c r="M3" i="35"/>
  <c r="M15" i="35"/>
  <c r="M14" i="35"/>
  <c r="M13" i="35"/>
  <c r="M9" i="35"/>
  <c r="M2" i="35"/>
  <c r="M8" i="35"/>
  <c r="M6" i="35"/>
  <c r="M5" i="35"/>
  <c r="AA2" i="35"/>
  <c r="M4" i="35"/>
  <c r="M7" i="35"/>
  <c r="M28" i="32"/>
  <c r="AA22" i="27"/>
  <c r="M10" i="27"/>
  <c r="M28" i="27"/>
  <c r="M26" i="27"/>
  <c r="M24" i="27"/>
  <c r="M30" i="27"/>
  <c r="J3" i="17"/>
  <c r="AA3" i="17" s="1"/>
  <c r="J6" i="16"/>
  <c r="AA2" i="16" s="1"/>
  <c r="J13" i="14"/>
  <c r="AA5" i="14" s="1"/>
  <c r="J4" i="8"/>
  <c r="AA10" i="8" s="1"/>
  <c r="M8" i="36" a="1"/>
  <c r="M8" i="36" s="1"/>
  <c r="M23" i="34"/>
  <c r="M17" i="32"/>
  <c r="M32" i="32"/>
  <c r="M12" i="27"/>
  <c r="J17" i="19"/>
  <c r="AA14" i="19" s="1"/>
  <c r="J3" i="14"/>
  <c r="AA8" i="14" s="1"/>
  <c r="J16" i="14"/>
  <c r="AA11" i="14" s="1"/>
  <c r="J17" i="14"/>
  <c r="AA2" i="14" s="1"/>
  <c r="J2" i="14"/>
  <c r="J11" i="14"/>
  <c r="AA7" i="14" s="1"/>
  <c r="M10" i="36" a="1"/>
  <c r="M10" i="36" s="1"/>
  <c r="M15" i="30"/>
  <c r="M25" i="34"/>
  <c r="M2" i="34"/>
  <c r="M32" i="34"/>
  <c r="M13" i="30"/>
  <c r="M12" i="32"/>
  <c r="M23" i="32"/>
  <c r="M29" i="32"/>
  <c r="H20" i="26"/>
  <c r="H19" i="26"/>
  <c r="M24" i="32"/>
  <c r="AA12" i="26"/>
  <c r="M14" i="26"/>
  <c r="M10" i="26"/>
  <c r="M20" i="27"/>
  <c r="AA2" i="22"/>
  <c r="M3" i="22"/>
  <c r="M12" i="22"/>
  <c r="M4" i="22"/>
  <c r="M11" i="22"/>
  <c r="M14" i="22"/>
  <c r="M10" i="22"/>
  <c r="M6" i="22"/>
  <c r="M11" i="27"/>
  <c r="M13" i="27"/>
  <c r="M13" i="26"/>
  <c r="X19" i="25"/>
  <c r="X21" i="25"/>
  <c r="M7" i="22"/>
  <c r="M4" i="25"/>
  <c r="J9" i="16"/>
  <c r="AA14" i="16" s="1"/>
  <c r="J15" i="16"/>
  <c r="AA11" i="16" s="1"/>
  <c r="J16" i="15"/>
  <c r="AA7" i="15" s="1"/>
  <c r="J12" i="7"/>
  <c r="I12" i="7"/>
  <c r="J14" i="9"/>
  <c r="AA5" i="9" s="1"/>
  <c r="J11" i="8"/>
  <c r="AA5" i="8" s="1"/>
  <c r="M14" i="34"/>
  <c r="M17" i="27"/>
  <c r="J13" i="19"/>
  <c r="AA6" i="19" s="1"/>
  <c r="H20" i="21"/>
  <c r="J7" i="19"/>
  <c r="AA13" i="19" s="1"/>
  <c r="M22" i="32"/>
  <c r="M14" i="29"/>
  <c r="M13" i="29"/>
  <c r="M12" i="29"/>
  <c r="M4" i="29"/>
  <c r="M11" i="29"/>
  <c r="M3" i="29"/>
  <c r="M10" i="29"/>
  <c r="M2" i="29"/>
  <c r="M9" i="29"/>
  <c r="M17" i="29"/>
  <c r="M8" i="29"/>
  <c r="M16" i="29"/>
  <c r="M7" i="29"/>
  <c r="AA3" i="29"/>
  <c r="M15" i="29"/>
  <c r="M6" i="29"/>
  <c r="M5" i="29"/>
  <c r="M9" i="27"/>
  <c r="M14" i="25"/>
  <c r="H19" i="13"/>
  <c r="H20" i="13"/>
  <c r="I2" i="13"/>
  <c r="H19" i="35"/>
  <c r="H20" i="35"/>
  <c r="H19" i="33"/>
  <c r="H20" i="33"/>
  <c r="M4" i="34"/>
  <c r="M30" i="34"/>
  <c r="M10" i="34"/>
  <c r="M33" i="34"/>
  <c r="M4" i="30"/>
  <c r="M9" i="32"/>
  <c r="M10" i="32"/>
  <c r="M30" i="32"/>
  <c r="M21" i="27"/>
  <c r="M23" i="27"/>
  <c r="M25" i="27"/>
  <c r="M9" i="26"/>
  <c r="M7" i="26"/>
  <c r="M15" i="22"/>
  <c r="M13" i="25"/>
  <c r="H19" i="28"/>
  <c r="H20" i="28"/>
  <c r="J10" i="13"/>
  <c r="AA6" i="13" s="1"/>
  <c r="H19" i="12"/>
  <c r="I4" i="12"/>
  <c r="J2" i="11"/>
  <c r="J16" i="11"/>
  <c r="AA6" i="11" s="1"/>
  <c r="J12" i="11"/>
  <c r="AA7" i="11" s="1"/>
  <c r="J13" i="11"/>
  <c r="AA10" i="11" s="1"/>
  <c r="J3" i="11"/>
  <c r="AA14" i="11" s="1"/>
  <c r="J17" i="11"/>
  <c r="AA15" i="11" s="1"/>
  <c r="J9" i="11"/>
  <c r="AA3" i="11" s="1"/>
  <c r="AA8" i="9"/>
  <c r="I8" i="7"/>
  <c r="J8" i="7" s="1"/>
  <c r="K8" i="7" s="1"/>
  <c r="AB8" i="7" s="1"/>
  <c r="H19" i="9"/>
  <c r="M7" i="4"/>
  <c r="AC7" i="4" s="1"/>
  <c r="J9" i="8"/>
  <c r="AA16" i="8" s="1"/>
  <c r="L11" i="6"/>
  <c r="K11" i="6"/>
  <c r="P7" i="3"/>
  <c r="K644" i="2"/>
  <c r="L644" i="2" s="1"/>
  <c r="H20" i="40"/>
  <c r="H19" i="40"/>
  <c r="I2" i="40"/>
  <c r="M16" i="41" a="1"/>
  <c r="M16" i="41" s="1"/>
  <c r="AA13" i="41"/>
  <c r="M8" i="41" a="1"/>
  <c r="M8" i="41" s="1"/>
  <c r="M14" i="41" a="1"/>
  <c r="M14" i="41" s="1"/>
  <c r="M10" i="41" a="1"/>
  <c r="M10" i="41" s="1"/>
  <c r="M6" i="41" a="1"/>
  <c r="M6" i="41" s="1"/>
  <c r="M2" i="41" a="1"/>
  <c r="M2" i="41" s="1"/>
  <c r="M12" i="41" a="1"/>
  <c r="M12" i="41" s="1"/>
  <c r="M4" i="41" a="1"/>
  <c r="M4" i="41" s="1"/>
  <c r="M4" i="36" a="1"/>
  <c r="M4" i="36" s="1"/>
  <c r="M9" i="30"/>
  <c r="M14" i="30"/>
  <c r="M5" i="34"/>
  <c r="M7" i="34"/>
  <c r="M11" i="34"/>
  <c r="M27" i="34"/>
  <c r="M4" i="32"/>
  <c r="M6" i="32"/>
  <c r="M18" i="32"/>
  <c r="M31" i="32"/>
  <c r="M12" i="24"/>
  <c r="M4" i="24"/>
  <c r="M11" i="24"/>
  <c r="AA7" i="24"/>
  <c r="M3" i="24"/>
  <c r="M16" i="24"/>
  <c r="M8" i="24"/>
  <c r="M2" i="24"/>
  <c r="M6" i="24"/>
  <c r="M15" i="24"/>
  <c r="M17" i="24"/>
  <c r="M9" i="24"/>
  <c r="M14" i="24"/>
  <c r="M7" i="24"/>
  <c r="M5" i="24"/>
  <c r="M10" i="24"/>
  <c r="M13" i="24"/>
  <c r="M29" i="27"/>
  <c r="M32" i="27"/>
  <c r="M8" i="27"/>
  <c r="M15" i="26"/>
  <c r="M8" i="22"/>
  <c r="M17" i="20"/>
  <c r="M9" i="20"/>
  <c r="AA4" i="20"/>
  <c r="M16" i="20"/>
  <c r="M8" i="20"/>
  <c r="M13" i="20"/>
  <c r="M4" i="20"/>
  <c r="M12" i="20"/>
  <c r="M3" i="20"/>
  <c r="M14" i="20"/>
  <c r="M5" i="20"/>
  <c r="M7" i="20"/>
  <c r="M10" i="20"/>
  <c r="M2" i="20"/>
  <c r="M6" i="20"/>
  <c r="M15" i="20"/>
  <c r="M11" i="20"/>
  <c r="M6" i="25"/>
  <c r="J17" i="18"/>
  <c r="AA6" i="18" s="1"/>
  <c r="H20" i="18"/>
  <c r="H19" i="18"/>
  <c r="J3" i="16"/>
  <c r="AA4" i="16" s="1"/>
  <c r="J13" i="16"/>
  <c r="AA6" i="16" s="1"/>
  <c r="J4" i="16"/>
  <c r="AA10" i="16" s="1"/>
  <c r="J14" i="16"/>
  <c r="AA15" i="16" s="1"/>
  <c r="J6" i="14"/>
  <c r="AA13" i="14" s="1"/>
  <c r="J4" i="11"/>
  <c r="AA2" i="11" s="1"/>
  <c r="J17" i="8"/>
  <c r="AA6" i="8" s="1"/>
  <c r="H19" i="8"/>
  <c r="J9" i="9"/>
  <c r="AA10" i="9" s="1"/>
  <c r="J6" i="9"/>
  <c r="AA17" i="9" s="1"/>
  <c r="J8" i="9"/>
  <c r="AA3" i="9" s="1"/>
  <c r="J10" i="8"/>
  <c r="AA7" i="8" s="1"/>
  <c r="L628" i="2"/>
  <c r="K628" i="2"/>
  <c r="L612" i="2"/>
  <c r="M387" i="2" s="1"/>
  <c r="J13" i="7"/>
  <c r="I13" i="7"/>
  <c r="J4" i="7"/>
  <c r="M15" i="4"/>
  <c r="AC15" i="4" s="1"/>
  <c r="L3" i="5"/>
  <c r="L3" i="6"/>
  <c r="K3" i="6"/>
  <c r="K612" i="2"/>
  <c r="H19" i="30"/>
  <c r="H20" i="30"/>
  <c r="M20" i="32"/>
  <c r="M16" i="32"/>
  <c r="M2" i="32"/>
  <c r="M27" i="32"/>
  <c r="M2" i="26"/>
  <c r="M6" i="26"/>
  <c r="J16" i="19"/>
  <c r="AA7" i="19" s="1"/>
  <c r="J14" i="15"/>
  <c r="AA13" i="15" s="1"/>
  <c r="J2" i="15"/>
  <c r="J5" i="14"/>
  <c r="AA12" i="14" s="1"/>
  <c r="J5" i="15"/>
  <c r="AA3" i="15" s="1"/>
  <c r="I10" i="15"/>
  <c r="J10" i="14"/>
  <c r="AA15" i="14" s="1"/>
  <c r="X19" i="13"/>
  <c r="J12" i="14"/>
  <c r="AA9" i="14" s="1"/>
  <c r="I9" i="7"/>
  <c r="J9" i="7" s="1"/>
  <c r="J3" i="15"/>
  <c r="AA17" i="15" s="1"/>
  <c r="X19" i="9"/>
  <c r="J19" i="6"/>
  <c r="K4" i="6"/>
  <c r="L4" i="6" s="1"/>
  <c r="L14" i="4"/>
  <c r="K16" i="6"/>
  <c r="L16" i="6" s="1"/>
  <c r="M16" i="6" s="1"/>
  <c r="AD16" i="6" s="1"/>
  <c r="L13" i="4"/>
  <c r="K636" i="2"/>
  <c r="L636" i="2" s="1"/>
  <c r="K655" i="2"/>
  <c r="L655" i="2" s="1"/>
  <c r="K651" i="2"/>
  <c r="L651" i="2" s="1"/>
  <c r="K647" i="2"/>
  <c r="L647" i="2" s="1"/>
  <c r="K643" i="2"/>
  <c r="L643" i="2" s="1"/>
  <c r="AA14" i="28"/>
  <c r="M10" i="28"/>
  <c r="M2" i="28"/>
  <c r="M17" i="28"/>
  <c r="M9" i="28"/>
  <c r="M16" i="28"/>
  <c r="M8" i="28"/>
  <c r="M14" i="28"/>
  <c r="M6" i="28"/>
  <c r="M13" i="28"/>
  <c r="M5" i="28"/>
  <c r="M12" i="28"/>
  <c r="M4" i="28"/>
  <c r="M11" i="28"/>
  <c r="M3" i="28"/>
  <c r="M7" i="28"/>
  <c r="M15" i="28"/>
  <c r="J7" i="14"/>
  <c r="AA6" i="14" s="1"/>
  <c r="H20" i="11"/>
  <c r="H19" i="11"/>
  <c r="J2" i="10"/>
  <c r="J10" i="11"/>
  <c r="AA9" i="11" s="1"/>
  <c r="I5" i="7"/>
  <c r="J5" i="7" s="1"/>
  <c r="J11" i="10"/>
  <c r="AA9" i="10" s="1"/>
  <c r="J4" i="9"/>
  <c r="AA12" i="9" s="1"/>
  <c r="J17" i="13"/>
  <c r="AA2" i="13" s="1"/>
  <c r="L15" i="5"/>
  <c r="J9" i="10"/>
  <c r="AA2" i="10" s="1"/>
  <c r="J20" i="6"/>
  <c r="J16" i="9"/>
  <c r="AA11" i="9" s="1"/>
  <c r="J5" i="9"/>
  <c r="AA15" i="9" s="1"/>
  <c r="I4" i="7"/>
  <c r="M16" i="4"/>
  <c r="AC16" i="4" s="1"/>
  <c r="L620" i="2"/>
  <c r="L650" i="2"/>
  <c r="L646" i="2"/>
  <c r="L642" i="2"/>
  <c r="P3" i="3"/>
  <c r="S2" i="3"/>
  <c r="L649" i="2"/>
  <c r="L645" i="2"/>
  <c r="P11" i="3"/>
  <c r="J17" i="16"/>
  <c r="AA5" i="16" s="1"/>
  <c r="J12" i="15"/>
  <c r="AA12" i="15" s="1"/>
  <c r="J10" i="9"/>
  <c r="AA16" i="9" s="1"/>
  <c r="J7" i="8"/>
  <c r="AA11" i="8" s="1"/>
  <c r="J16" i="7"/>
  <c r="L8" i="6"/>
  <c r="H20" i="7"/>
  <c r="J20" i="5"/>
  <c r="L2" i="5"/>
  <c r="K2" i="5"/>
  <c r="J19" i="5"/>
  <c r="L3" i="4"/>
  <c r="M3" i="4" s="1"/>
  <c r="AC3" i="4" s="1"/>
  <c r="L7" i="5"/>
  <c r="K649" i="2"/>
  <c r="K645" i="2"/>
  <c r="K641" i="2"/>
  <c r="L641" i="2" s="1"/>
  <c r="K624" i="2"/>
  <c r="L624" i="2" s="1"/>
  <c r="K616" i="2"/>
  <c r="L616" i="2" s="1"/>
  <c r="S3" i="3"/>
  <c r="AC9" i="27" l="1"/>
  <c r="AB31" i="27"/>
  <c r="AC5" i="27"/>
  <c r="AC33" i="27"/>
  <c r="AB9" i="27"/>
  <c r="AD9" i="27" s="1"/>
  <c r="AE9" i="27" s="1"/>
  <c r="AF9" i="27" s="1"/>
  <c r="AB21" i="27"/>
  <c r="M5" i="6"/>
  <c r="AD5" i="6" s="1"/>
  <c r="M4" i="6"/>
  <c r="AD4" i="6" s="1"/>
  <c r="K5" i="7"/>
  <c r="AB5" i="7" s="1"/>
  <c r="K10" i="7"/>
  <c r="AB10" i="7" s="1"/>
  <c r="M15" i="6"/>
  <c r="AD15" i="6" s="1"/>
  <c r="M112" i="2"/>
  <c r="M223" i="2"/>
  <c r="M52" i="2"/>
  <c r="M305" i="2"/>
  <c r="M390" i="2"/>
  <c r="M378" i="2"/>
  <c r="M322" i="2"/>
  <c r="M356" i="2"/>
  <c r="M395" i="2"/>
  <c r="M250" i="2"/>
  <c r="M55" i="2"/>
  <c r="M105" i="2"/>
  <c r="M262" i="2"/>
  <c r="M39" i="2"/>
  <c r="M399" i="2"/>
  <c r="K9" i="7"/>
  <c r="AB9" i="7" s="1"/>
  <c r="M2" i="5"/>
  <c r="M10" i="5"/>
  <c r="AC10" i="5" s="1"/>
  <c r="M8" i="5"/>
  <c r="AC8" i="5" s="1"/>
  <c r="M348" i="2"/>
  <c r="M12" i="14"/>
  <c r="M4" i="14"/>
  <c r="M11" i="14"/>
  <c r="M10" i="14"/>
  <c r="M2" i="14"/>
  <c r="M17" i="14"/>
  <c r="M16" i="14"/>
  <c r="M6" i="14"/>
  <c r="M3" i="14"/>
  <c r="M14" i="14"/>
  <c r="M7" i="14"/>
  <c r="M13" i="14"/>
  <c r="M8" i="14"/>
  <c r="M9" i="14"/>
  <c r="M15" i="14"/>
  <c r="M5" i="14"/>
  <c r="AA14" i="14"/>
  <c r="M164" i="2"/>
  <c r="M110" i="2"/>
  <c r="M87" i="2"/>
  <c r="M43" i="2"/>
  <c r="AC5" i="24"/>
  <c r="AB13" i="24"/>
  <c r="AC10" i="24"/>
  <c r="AB3" i="24"/>
  <c r="AC2" i="24"/>
  <c r="AB9" i="24"/>
  <c r="AC7" i="24"/>
  <c r="AB5" i="24"/>
  <c r="AB10" i="24"/>
  <c r="AC16" i="24"/>
  <c r="AB16" i="24"/>
  <c r="AC8" i="24"/>
  <c r="AC11" i="24"/>
  <c r="AB8" i="24"/>
  <c r="AC3" i="24"/>
  <c r="AC15" i="24"/>
  <c r="AC9" i="24"/>
  <c r="AC4" i="24"/>
  <c r="AC13" i="24"/>
  <c r="AC17" i="24"/>
  <c r="AB7" i="24"/>
  <c r="AC6" i="24"/>
  <c r="AC14" i="24"/>
  <c r="AC12" i="24"/>
  <c r="AB14" i="24"/>
  <c r="AB12" i="24"/>
  <c r="AB15" i="24"/>
  <c r="AB6" i="24"/>
  <c r="AB17" i="24"/>
  <c r="AB4" i="24"/>
  <c r="AB2" i="24"/>
  <c r="AB11" i="24"/>
  <c r="AB28" i="27"/>
  <c r="M49" i="2"/>
  <c r="M5" i="4"/>
  <c r="AC5" i="4" s="1"/>
  <c r="M2" i="4"/>
  <c r="J2" i="13"/>
  <c r="J8" i="13"/>
  <c r="AA7" i="13" s="1"/>
  <c r="J6" i="13"/>
  <c r="AA15" i="13" s="1"/>
  <c r="J7" i="13"/>
  <c r="AA12" i="13" s="1"/>
  <c r="J14" i="13"/>
  <c r="AA16" i="13" s="1"/>
  <c r="J9" i="13"/>
  <c r="AA3" i="13" s="1"/>
  <c r="J5" i="13"/>
  <c r="AA17" i="13" s="1"/>
  <c r="J13" i="13"/>
  <c r="AA14" i="13" s="1"/>
  <c r="J12" i="13"/>
  <c r="AA4" i="13" s="1"/>
  <c r="M255" i="2"/>
  <c r="K12" i="7"/>
  <c r="AB12" i="7" s="1"/>
  <c r="M12" i="5"/>
  <c r="AC12" i="5" s="1"/>
  <c r="M383" i="2"/>
  <c r="J4" i="19"/>
  <c r="AA11" i="19" s="1"/>
  <c r="J12" i="19"/>
  <c r="AA17" i="19" s="1"/>
  <c r="J14" i="19"/>
  <c r="AA3" i="19" s="1"/>
  <c r="J5" i="19"/>
  <c r="AA12" i="19" s="1"/>
  <c r="J6" i="19"/>
  <c r="AA16" i="19" s="1"/>
  <c r="M12" i="9"/>
  <c r="M7" i="9"/>
  <c r="M259" i="2"/>
  <c r="M139" i="2"/>
  <c r="M265" i="2"/>
  <c r="M253" i="2"/>
  <c r="M148" i="2"/>
  <c r="M219" i="2"/>
  <c r="M291" i="2"/>
  <c r="M389" i="2"/>
  <c r="M115" i="2"/>
  <c r="M100" i="2"/>
  <c r="M174" i="2"/>
  <c r="M61" i="2"/>
  <c r="M144" i="2"/>
  <c r="M368" i="2"/>
  <c r="M65" i="2"/>
  <c r="M53" i="2"/>
  <c r="M126" i="2"/>
  <c r="M5" i="2"/>
  <c r="M95" i="2"/>
  <c r="M393" i="2"/>
  <c r="M10" i="2"/>
  <c r="M3" i="2"/>
  <c r="M77" i="2"/>
  <c r="M318" i="2"/>
  <c r="M44" i="2"/>
  <c r="M166" i="2"/>
  <c r="M290" i="2"/>
  <c r="M280" i="2"/>
  <c r="M176" i="2"/>
  <c r="M245" i="2"/>
  <c r="M334" i="2"/>
  <c r="M62" i="2"/>
  <c r="M196" i="2"/>
  <c r="M183" i="2"/>
  <c r="M74" i="2"/>
  <c r="M143" i="2"/>
  <c r="M221" i="2"/>
  <c r="M373" i="2"/>
  <c r="M37" i="2"/>
  <c r="M24" i="2"/>
  <c r="M98" i="2"/>
  <c r="M328" i="2"/>
  <c r="M64" i="2"/>
  <c r="M341" i="2"/>
  <c r="M45" i="2"/>
  <c r="M129" i="2"/>
  <c r="M381" i="2"/>
  <c r="M10" i="6"/>
  <c r="AD10" i="6" s="1"/>
  <c r="J9" i="17"/>
  <c r="AA11" i="17" s="1"/>
  <c r="M14" i="5"/>
  <c r="AC14" i="5" s="1"/>
  <c r="AC7" i="23"/>
  <c r="AC6" i="23"/>
  <c r="AC16" i="23"/>
  <c r="AB6" i="23"/>
  <c r="AC14" i="23"/>
  <c r="AC4" i="23"/>
  <c r="AB15" i="23"/>
  <c r="AB4" i="23"/>
  <c r="AC11" i="23"/>
  <c r="AB11" i="23"/>
  <c r="AC10" i="23"/>
  <c r="AC9" i="23"/>
  <c r="AB2" i="23"/>
  <c r="AC8" i="23"/>
  <c r="AB9" i="23"/>
  <c r="AB10" i="23"/>
  <c r="AC13" i="23"/>
  <c r="AB5" i="23"/>
  <c r="AC12" i="23"/>
  <c r="AB7" i="23"/>
  <c r="AB17" i="23"/>
  <c r="AC17" i="23"/>
  <c r="AC15" i="23"/>
  <c r="AC3" i="23"/>
  <c r="AB13" i="23"/>
  <c r="AB16" i="23"/>
  <c r="AB14" i="23"/>
  <c r="AC5" i="23"/>
  <c r="AB12" i="23"/>
  <c r="AB3" i="23"/>
  <c r="AC2" i="23"/>
  <c r="AB8" i="23"/>
  <c r="AC11" i="30"/>
  <c r="AB4" i="30"/>
  <c r="AC3" i="30"/>
  <c r="AC2" i="30"/>
  <c r="AC9" i="30"/>
  <c r="AB2" i="30"/>
  <c r="AC8" i="30"/>
  <c r="AB17" i="30"/>
  <c r="AC15" i="30"/>
  <c r="AC7" i="30"/>
  <c r="AB7" i="30"/>
  <c r="AB6" i="30"/>
  <c r="AC5" i="30"/>
  <c r="AC12" i="30"/>
  <c r="AB13" i="30"/>
  <c r="AC4" i="30"/>
  <c r="AB5" i="30"/>
  <c r="AB8" i="30"/>
  <c r="AB12" i="30"/>
  <c r="AC13" i="30"/>
  <c r="AB14" i="30"/>
  <c r="AC6" i="30"/>
  <c r="AC10" i="30"/>
  <c r="AC17" i="30"/>
  <c r="AB16" i="30"/>
  <c r="AB3" i="30"/>
  <c r="AC16" i="30"/>
  <c r="AC14" i="30"/>
  <c r="AB9" i="30"/>
  <c r="AB10" i="30"/>
  <c r="AB11" i="30"/>
  <c r="AB15" i="30"/>
  <c r="AB32" i="27"/>
  <c r="AC23" i="27"/>
  <c r="AB8" i="27"/>
  <c r="AB27" i="27"/>
  <c r="AC21" i="27"/>
  <c r="AD21" i="27" s="1"/>
  <c r="AE21" i="27" s="1"/>
  <c r="AF21" i="27" s="1"/>
  <c r="M17" i="5"/>
  <c r="AC17" i="5" s="1"/>
  <c r="J17" i="17"/>
  <c r="AA6" i="17" s="1"/>
  <c r="AB3" i="26"/>
  <c r="AC2" i="26"/>
  <c r="AB8" i="26"/>
  <c r="AC7" i="26"/>
  <c r="AB15" i="26"/>
  <c r="AC14" i="26"/>
  <c r="AB7" i="26"/>
  <c r="AC6" i="26"/>
  <c r="AC13" i="26"/>
  <c r="AB6" i="26"/>
  <c r="AB13" i="26"/>
  <c r="AC4" i="26"/>
  <c r="AC11" i="26"/>
  <c r="AB12" i="26"/>
  <c r="AC3" i="26"/>
  <c r="AB4" i="26"/>
  <c r="AC9" i="26"/>
  <c r="AB9" i="26"/>
  <c r="AB16" i="26"/>
  <c r="AB11" i="26"/>
  <c r="AB10" i="26"/>
  <c r="AB17" i="26"/>
  <c r="AB2" i="26"/>
  <c r="AC12" i="26"/>
  <c r="AB14" i="26"/>
  <c r="AC10" i="26"/>
  <c r="AC17" i="26"/>
  <c r="AB5" i="26"/>
  <c r="AC8" i="26"/>
  <c r="AC15" i="26"/>
  <c r="AC5" i="26"/>
  <c r="AC16" i="26"/>
  <c r="M3" i="5"/>
  <c r="AC3" i="5" s="1"/>
  <c r="K13" i="7"/>
  <c r="AB13" i="7" s="1"/>
  <c r="K11" i="7"/>
  <c r="AB11" i="7" s="1"/>
  <c r="M9" i="6"/>
  <c r="AD9" i="6" s="1"/>
  <c r="J4" i="12"/>
  <c r="AA3" i="12" s="1"/>
  <c r="J16" i="12"/>
  <c r="AA13" i="12" s="1"/>
  <c r="J10" i="12"/>
  <c r="AA12" i="12" s="1"/>
  <c r="J2" i="12"/>
  <c r="J6" i="12"/>
  <c r="AA10" i="12" s="1"/>
  <c r="J7" i="12"/>
  <c r="AA16" i="12" s="1"/>
  <c r="J3" i="12"/>
  <c r="AA15" i="12" s="1"/>
  <c r="J14" i="12"/>
  <c r="AA17" i="12" s="1"/>
  <c r="J11" i="12"/>
  <c r="AA8" i="12" s="1"/>
  <c r="M4" i="5"/>
  <c r="AC4" i="5" s="1"/>
  <c r="K17" i="7"/>
  <c r="AB17" i="7" s="1"/>
  <c r="M3" i="9"/>
  <c r="M11" i="9"/>
  <c r="M7" i="6"/>
  <c r="AD7" i="6" s="1"/>
  <c r="AB5" i="41"/>
  <c r="AC11" i="41"/>
  <c r="AC10" i="41"/>
  <c r="AC3" i="41"/>
  <c r="AC2" i="41"/>
  <c r="AB11" i="41"/>
  <c r="AB10" i="41"/>
  <c r="AB3" i="41"/>
  <c r="AB2" i="41"/>
  <c r="AB16" i="41"/>
  <c r="AC14" i="41"/>
  <c r="AB7" i="41"/>
  <c r="AC4" i="41"/>
  <c r="AB14" i="41"/>
  <c r="AC8" i="41"/>
  <c r="AB8" i="41"/>
  <c r="AB6" i="41"/>
  <c r="AC9" i="41"/>
  <c r="AC13" i="41"/>
  <c r="AC17" i="41"/>
  <c r="AC12" i="41"/>
  <c r="AB9" i="41"/>
  <c r="AC5" i="41"/>
  <c r="AB4" i="41"/>
  <c r="AB13" i="41"/>
  <c r="AB15" i="41"/>
  <c r="AC6" i="41"/>
  <c r="AC7" i="41"/>
  <c r="AC16" i="41"/>
  <c r="AC15" i="41"/>
  <c r="AB17" i="41"/>
  <c r="AB12" i="41"/>
  <c r="AB17" i="29"/>
  <c r="AC16" i="29"/>
  <c r="AC5" i="29"/>
  <c r="AC13" i="29"/>
  <c r="AB5" i="29"/>
  <c r="AC4" i="29"/>
  <c r="AB13" i="29"/>
  <c r="AB4" i="29"/>
  <c r="AB3" i="29"/>
  <c r="AC2" i="29"/>
  <c r="AB10" i="29"/>
  <c r="AB2" i="29"/>
  <c r="AB9" i="29"/>
  <c r="AC8" i="29"/>
  <c r="AB8" i="29"/>
  <c r="AC7" i="29"/>
  <c r="AC17" i="29"/>
  <c r="AC11" i="29"/>
  <c r="AC9" i="29"/>
  <c r="AB16" i="29"/>
  <c r="AB12" i="29"/>
  <c r="AC12" i="29"/>
  <c r="AC3" i="29"/>
  <c r="AC15" i="29"/>
  <c r="AC14" i="29"/>
  <c r="AB15" i="29"/>
  <c r="AC10" i="29"/>
  <c r="AB11" i="29"/>
  <c r="AB14" i="29"/>
  <c r="AC6" i="29"/>
  <c r="AB7" i="29"/>
  <c r="AB6" i="29"/>
  <c r="M27" i="2"/>
  <c r="M40" i="2"/>
  <c r="M372" i="2"/>
  <c r="M7" i="5"/>
  <c r="AC7" i="5" s="1"/>
  <c r="K16" i="7"/>
  <c r="AB16" i="7" s="1"/>
  <c r="M15" i="5"/>
  <c r="AC15" i="5" s="1"/>
  <c r="M9" i="15"/>
  <c r="AA11" i="15"/>
  <c r="M15" i="15"/>
  <c r="M14" i="6"/>
  <c r="AD14" i="6" s="1"/>
  <c r="M5" i="5"/>
  <c r="AC5" i="5" s="1"/>
  <c r="AC4" i="28"/>
  <c r="AB4" i="28"/>
  <c r="AB3" i="28"/>
  <c r="AC2" i="28"/>
  <c r="AC16" i="28"/>
  <c r="AB9" i="28"/>
  <c r="AB15" i="28"/>
  <c r="AB2" i="28"/>
  <c r="AC14" i="28"/>
  <c r="AC13" i="28"/>
  <c r="AC17" i="28"/>
  <c r="AB7" i="28"/>
  <c r="AB10" i="28"/>
  <c r="AC12" i="28"/>
  <c r="AC9" i="28"/>
  <c r="AB6" i="28"/>
  <c r="AB17" i="28"/>
  <c r="AB11" i="28"/>
  <c r="AB13" i="28"/>
  <c r="AB14" i="28"/>
  <c r="AB16" i="28"/>
  <c r="AB5" i="28"/>
  <c r="AC8" i="28"/>
  <c r="AC3" i="28"/>
  <c r="AC6" i="28"/>
  <c r="AC11" i="28"/>
  <c r="AC15" i="28"/>
  <c r="AB8" i="28"/>
  <c r="AC7" i="28"/>
  <c r="AC10" i="28"/>
  <c r="AB12" i="28"/>
  <c r="AC5" i="28"/>
  <c r="M13" i="4"/>
  <c r="AC13" i="4" s="1"/>
  <c r="J9" i="12"/>
  <c r="AA7" i="12" s="1"/>
  <c r="M101" i="2"/>
  <c r="M20" i="2"/>
  <c r="M303" i="2"/>
  <c r="AC32" i="27"/>
  <c r="M382" i="2"/>
  <c r="J5" i="12"/>
  <c r="AA4" i="12" s="1"/>
  <c r="AC15" i="34"/>
  <c r="AB23" i="34"/>
  <c r="AC22" i="34"/>
  <c r="AB21" i="34"/>
  <c r="AB14" i="34"/>
  <c r="AB15" i="34"/>
  <c r="AB6" i="34"/>
  <c r="AC5" i="34"/>
  <c r="AC4" i="34"/>
  <c r="AB29" i="34"/>
  <c r="AB26" i="34"/>
  <c r="AC20" i="34"/>
  <c r="AB11" i="34"/>
  <c r="AB10" i="34"/>
  <c r="AB20" i="34"/>
  <c r="AC13" i="34"/>
  <c r="AC21" i="34"/>
  <c r="AC6" i="34"/>
  <c r="AC14" i="34"/>
  <c r="AB13" i="34"/>
  <c r="AC10" i="34"/>
  <c r="AC11" i="34"/>
  <c r="AB8" i="34"/>
  <c r="AC2" i="34"/>
  <c r="AB3" i="34"/>
  <c r="AB33" i="34"/>
  <c r="AC7" i="34"/>
  <c r="AB7" i="34"/>
  <c r="AC9" i="34"/>
  <c r="AC28" i="34"/>
  <c r="AC26" i="34"/>
  <c r="AC3" i="34"/>
  <c r="AC33" i="34"/>
  <c r="AB5" i="34"/>
  <c r="AC29" i="34"/>
  <c r="AC27" i="34"/>
  <c r="AC8" i="34"/>
  <c r="AC16" i="34"/>
  <c r="AC30" i="34"/>
  <c r="AB4" i="34"/>
  <c r="AB32" i="34"/>
  <c r="AC25" i="34"/>
  <c r="AB16" i="34"/>
  <c r="AB30" i="34"/>
  <c r="AC24" i="34"/>
  <c r="AB17" i="34"/>
  <c r="AB22" i="34"/>
  <c r="AB27" i="34"/>
  <c r="AB12" i="34"/>
  <c r="AB24" i="34"/>
  <c r="AC23" i="34"/>
  <c r="AC17" i="34"/>
  <c r="AB2" i="34"/>
  <c r="AC31" i="34"/>
  <c r="AB18" i="34"/>
  <c r="AB19" i="34"/>
  <c r="AC32" i="34"/>
  <c r="AC18" i="34"/>
  <c r="AC12" i="34"/>
  <c r="AB9" i="34"/>
  <c r="AB25" i="34"/>
  <c r="AB31" i="34"/>
  <c r="AC19" i="34"/>
  <c r="AB28" i="34"/>
  <c r="AB10" i="27"/>
  <c r="M13" i="9"/>
  <c r="M15" i="9"/>
  <c r="M132" i="2"/>
  <c r="M203" i="2"/>
  <c r="M315" i="2"/>
  <c r="M306" i="2"/>
  <c r="M198" i="2"/>
  <c r="M273" i="2"/>
  <c r="M371" i="2"/>
  <c r="M34" i="2"/>
  <c r="M171" i="2"/>
  <c r="M156" i="2"/>
  <c r="M47" i="2"/>
  <c r="M117" i="2"/>
  <c r="M195" i="2"/>
  <c r="M374" i="2"/>
  <c r="M123" i="2"/>
  <c r="M107" i="2"/>
  <c r="M186" i="2"/>
  <c r="M68" i="2"/>
  <c r="M152" i="2"/>
  <c r="M397" i="2"/>
  <c r="M71" i="2"/>
  <c r="M59" i="2"/>
  <c r="M133" i="2"/>
  <c r="M15" i="2"/>
  <c r="M102" i="2"/>
  <c r="M230" i="2"/>
  <c r="M362" i="2"/>
  <c r="M326" i="2"/>
  <c r="M224" i="2"/>
  <c r="M299" i="2"/>
  <c r="M369" i="2"/>
  <c r="M118" i="2"/>
  <c r="M247" i="2"/>
  <c r="M232" i="2"/>
  <c r="M127" i="2"/>
  <c r="M199" i="2"/>
  <c r="M271" i="2"/>
  <c r="M385" i="2"/>
  <c r="M92" i="2"/>
  <c r="M81" i="2"/>
  <c r="M154" i="2"/>
  <c r="M38" i="2"/>
  <c r="M122" i="2"/>
  <c r="M33" i="2"/>
  <c r="M104" i="2"/>
  <c r="M185" i="2"/>
  <c r="J9" i="19"/>
  <c r="AA4" i="19" s="1"/>
  <c r="AC17" i="25"/>
  <c r="AB10" i="25"/>
  <c r="AC9" i="25"/>
  <c r="AC14" i="25"/>
  <c r="AB7" i="25"/>
  <c r="AB14" i="25"/>
  <c r="AC13" i="25"/>
  <c r="AB5" i="25"/>
  <c r="AB4" i="25"/>
  <c r="AC3" i="25"/>
  <c r="AC5" i="25"/>
  <c r="AB3" i="25"/>
  <c r="AB6" i="25"/>
  <c r="AC2" i="25"/>
  <c r="AB2" i="25"/>
  <c r="AC10" i="25"/>
  <c r="AB11" i="25"/>
  <c r="AC12" i="25"/>
  <c r="AB16" i="25"/>
  <c r="AC8" i="25"/>
  <c r="AB13" i="25"/>
  <c r="AC6" i="25"/>
  <c r="AB17" i="25"/>
  <c r="AB15" i="25"/>
  <c r="AC4" i="25"/>
  <c r="AC7" i="25"/>
  <c r="AC16" i="25"/>
  <c r="AB9" i="25"/>
  <c r="AB12" i="25"/>
  <c r="AC15" i="25"/>
  <c r="AB8" i="25"/>
  <c r="AC11" i="25"/>
  <c r="M6" i="5"/>
  <c r="AC6" i="5" s="1"/>
  <c r="M207" i="2"/>
  <c r="J11" i="15"/>
  <c r="AA16" i="15" s="1"/>
  <c r="AB5" i="27"/>
  <c r="AB24" i="27"/>
  <c r="AC15" i="27"/>
  <c r="AB2" i="27"/>
  <c r="AB22" i="27"/>
  <c r="J13" i="12"/>
  <c r="AA6" i="12" s="1"/>
  <c r="M11" i="6"/>
  <c r="AD11" i="6" s="1"/>
  <c r="M220" i="2"/>
  <c r="M99" i="2"/>
  <c r="M244" i="2"/>
  <c r="M178" i="2"/>
  <c r="M163" i="2"/>
  <c r="M54" i="2"/>
  <c r="M124" i="2"/>
  <c r="M201" i="2"/>
  <c r="M2" i="2"/>
  <c r="M130" i="2"/>
  <c r="M114" i="2"/>
  <c r="M4" i="2"/>
  <c r="M75" i="2"/>
  <c r="M158" i="2"/>
  <c r="M285" i="2"/>
  <c r="M257" i="2"/>
  <c r="M28" i="2"/>
  <c r="M276" i="2"/>
  <c r="M344" i="2"/>
  <c r="M396" i="2"/>
  <c r="M173" i="2"/>
  <c r="M297" i="2"/>
  <c r="M286" i="2"/>
  <c r="M181" i="2"/>
  <c r="M252" i="2"/>
  <c r="M350" i="2"/>
  <c r="M13" i="2"/>
  <c r="M150" i="2"/>
  <c r="M135" i="2"/>
  <c r="M25" i="2"/>
  <c r="M97" i="2"/>
  <c r="M179" i="2"/>
  <c r="M88" i="2"/>
  <c r="M159" i="2"/>
  <c r="M234" i="2"/>
  <c r="J15" i="19"/>
  <c r="AA5" i="19" s="1"/>
  <c r="J2" i="16"/>
  <c r="J12" i="16"/>
  <c r="AA3" i="16" s="1"/>
  <c r="J11" i="16"/>
  <c r="AA13" i="16" s="1"/>
  <c r="J8" i="16"/>
  <c r="AA16" i="16" s="1"/>
  <c r="J16" i="16"/>
  <c r="AA12" i="16" s="1"/>
  <c r="J7" i="16"/>
  <c r="AA9" i="16" s="1"/>
  <c r="M111" i="2"/>
  <c r="J3" i="19"/>
  <c r="AA8" i="19" s="1"/>
  <c r="AB19" i="27"/>
  <c r="AC6" i="31"/>
  <c r="AB6" i="31"/>
  <c r="AC4" i="31"/>
  <c r="AB4" i="31"/>
  <c r="AC3" i="31"/>
  <c r="AC11" i="31"/>
  <c r="AC10" i="31"/>
  <c r="AB3" i="31"/>
  <c r="AC2" i="31"/>
  <c r="AC13" i="31"/>
  <c r="AB10" i="31"/>
  <c r="AC9" i="31"/>
  <c r="AB9" i="31"/>
  <c r="AC8" i="31"/>
  <c r="AC7" i="31"/>
  <c r="AB14" i="31"/>
  <c r="AB8" i="31"/>
  <c r="AB15" i="31"/>
  <c r="AC5" i="31"/>
  <c r="AB17" i="31"/>
  <c r="AB2" i="31"/>
  <c r="AB11" i="31"/>
  <c r="AB7" i="31"/>
  <c r="AC16" i="31"/>
  <c r="AB16" i="31"/>
  <c r="AC12" i="31"/>
  <c r="AC15" i="31"/>
  <c r="AB5" i="31"/>
  <c r="AB13" i="31"/>
  <c r="AC17" i="31"/>
  <c r="AB12" i="31"/>
  <c r="AC14" i="31"/>
  <c r="AC26" i="27"/>
  <c r="AB23" i="27"/>
  <c r="AB33" i="27"/>
  <c r="AC16" i="27"/>
  <c r="AC18" i="27"/>
  <c r="AC29" i="27"/>
  <c r="M142" i="2"/>
  <c r="M401" i="2"/>
  <c r="M379" i="2"/>
  <c r="M3" i="6"/>
  <c r="AD3" i="6" s="1"/>
  <c r="K4" i="7"/>
  <c r="AB4" i="7" s="1"/>
  <c r="K15" i="7"/>
  <c r="AB15" i="7" s="1"/>
  <c r="M90" i="2"/>
  <c r="M205" i="2"/>
  <c r="M175" i="2"/>
  <c r="M41" i="2"/>
  <c r="M14" i="4"/>
  <c r="AC14" i="4" s="1"/>
  <c r="M9" i="5"/>
  <c r="AC9" i="5" s="1"/>
  <c r="AC2" i="20"/>
  <c r="AC10" i="20"/>
  <c r="AB17" i="20"/>
  <c r="AC17" i="20"/>
  <c r="AB13" i="20"/>
  <c r="AB4" i="20"/>
  <c r="AC12" i="20"/>
  <c r="AC9" i="20"/>
  <c r="AB9" i="20"/>
  <c r="AC3" i="20"/>
  <c r="AB5" i="20"/>
  <c r="AB10" i="20"/>
  <c r="AB2" i="20"/>
  <c r="AC13" i="20"/>
  <c r="AC16" i="20"/>
  <c r="AC5" i="20"/>
  <c r="AC7" i="20"/>
  <c r="AC15" i="20"/>
  <c r="AB12" i="20"/>
  <c r="AB7" i="20"/>
  <c r="AB15" i="20"/>
  <c r="AB3" i="20"/>
  <c r="AB8" i="20"/>
  <c r="AB16" i="20"/>
  <c r="AB11" i="20"/>
  <c r="AB14" i="20"/>
  <c r="AC4" i="20"/>
  <c r="AC14" i="20"/>
  <c r="AC11" i="20"/>
  <c r="AC8" i="20"/>
  <c r="AB6" i="20"/>
  <c r="AC6" i="20"/>
  <c r="AC13" i="36"/>
  <c r="AC5" i="36"/>
  <c r="AC2" i="36"/>
  <c r="AB5" i="36"/>
  <c r="AB2" i="36"/>
  <c r="AC3" i="36"/>
  <c r="AB13" i="36"/>
  <c r="AB3" i="36"/>
  <c r="AC11" i="36"/>
  <c r="AC9" i="36"/>
  <c r="AC4" i="36"/>
  <c r="AB11" i="36"/>
  <c r="AC14" i="36"/>
  <c r="AC17" i="36"/>
  <c r="AB12" i="36"/>
  <c r="AB10" i="36"/>
  <c r="AC15" i="36"/>
  <c r="AB17" i="36"/>
  <c r="AB16" i="36"/>
  <c r="AB9" i="36"/>
  <c r="AB14" i="36"/>
  <c r="AB4" i="36"/>
  <c r="AC7" i="36"/>
  <c r="AC10" i="36"/>
  <c r="AC16" i="36"/>
  <c r="AB8" i="36"/>
  <c r="AB7" i="36"/>
  <c r="AC8" i="36"/>
  <c r="AB15" i="36"/>
  <c r="AC12" i="36"/>
  <c r="M392" i="2"/>
  <c r="M14" i="11"/>
  <c r="M13" i="11"/>
  <c r="M4" i="11"/>
  <c r="M12" i="11"/>
  <c r="M3" i="11"/>
  <c r="M11" i="11"/>
  <c r="M10" i="11"/>
  <c r="M2" i="11"/>
  <c r="M17" i="11"/>
  <c r="M8" i="11"/>
  <c r="M16" i="11"/>
  <c r="M7" i="11"/>
  <c r="M15" i="11"/>
  <c r="M6" i="11"/>
  <c r="M9" i="11"/>
  <c r="M5" i="11"/>
  <c r="AA8" i="11"/>
  <c r="M13" i="5"/>
  <c r="AC13" i="5" s="1"/>
  <c r="AC7" i="22"/>
  <c r="AC15" i="22"/>
  <c r="AB3" i="22"/>
  <c r="AB2" i="22"/>
  <c r="AC14" i="22"/>
  <c r="AC4" i="22"/>
  <c r="AB17" i="22"/>
  <c r="AC13" i="22"/>
  <c r="AB16" i="22"/>
  <c r="AC10" i="22"/>
  <c r="AC3" i="22"/>
  <c r="AC5" i="22"/>
  <c r="AB5" i="22"/>
  <c r="AB13" i="22"/>
  <c r="AB15" i="22"/>
  <c r="AB4" i="22"/>
  <c r="AC17" i="22"/>
  <c r="AB9" i="22"/>
  <c r="AB10" i="22"/>
  <c r="AC12" i="22"/>
  <c r="AB11" i="22"/>
  <c r="AB7" i="22"/>
  <c r="AC9" i="22"/>
  <c r="AB12" i="22"/>
  <c r="AB6" i="22"/>
  <c r="AC2" i="22"/>
  <c r="AC11" i="22"/>
  <c r="AB14" i="22"/>
  <c r="AC6" i="22"/>
  <c r="AC16" i="22"/>
  <c r="M13" i="6"/>
  <c r="AD13" i="6" s="1"/>
  <c r="AC9" i="38"/>
  <c r="AC8" i="38"/>
  <c r="AC15" i="38"/>
  <c r="AC14" i="38"/>
  <c r="AC6" i="38"/>
  <c r="AB6" i="38"/>
  <c r="AC13" i="38"/>
  <c r="AC4" i="38"/>
  <c r="AC2" i="38"/>
  <c r="AB11" i="38"/>
  <c r="AB10" i="38"/>
  <c r="AB9" i="38"/>
  <c r="AB8" i="38"/>
  <c r="AB5" i="38"/>
  <c r="AB4" i="38"/>
  <c r="AC3" i="38"/>
  <c r="AC17" i="38"/>
  <c r="AB2" i="38"/>
  <c r="AB12" i="38"/>
  <c r="AB13" i="38"/>
  <c r="AC16" i="38"/>
  <c r="AB14" i="38"/>
  <c r="AC12" i="38"/>
  <c r="AB17" i="38"/>
  <c r="AC5" i="38"/>
  <c r="AC11" i="38"/>
  <c r="AB3" i="38"/>
  <c r="AB15" i="38"/>
  <c r="AB7" i="38"/>
  <c r="AC7" i="38"/>
  <c r="AB16" i="38"/>
  <c r="AC10" i="38"/>
  <c r="M16" i="9"/>
  <c r="AB14" i="9"/>
  <c r="AC14" i="9"/>
  <c r="AC8" i="9"/>
  <c r="AB8" i="9"/>
  <c r="M333" i="2"/>
  <c r="M311" i="2"/>
  <c r="M323" i="2"/>
  <c r="M56" i="2"/>
  <c r="M301" i="2"/>
  <c r="M21" i="2"/>
  <c r="M359" i="2"/>
  <c r="M146" i="2"/>
  <c r="M272" i="2"/>
  <c r="M260" i="2"/>
  <c r="M155" i="2"/>
  <c r="M225" i="2"/>
  <c r="M296" i="2"/>
  <c r="M96" i="2"/>
  <c r="M228" i="2"/>
  <c r="M212" i="2"/>
  <c r="M106" i="2"/>
  <c r="M182" i="2"/>
  <c r="M251" i="2"/>
  <c r="M48" i="2"/>
  <c r="M184" i="2"/>
  <c r="M170" i="2"/>
  <c r="M60" i="2"/>
  <c r="M131" i="2"/>
  <c r="M208" i="2"/>
  <c r="M23" i="2"/>
  <c r="M11" i="2"/>
  <c r="M84" i="2"/>
  <c r="M320" i="2"/>
  <c r="M51" i="2"/>
  <c r="M365" i="2"/>
  <c r="M237" i="2"/>
  <c r="M6" i="2"/>
  <c r="M329" i="2"/>
  <c r="M231" i="2"/>
  <c r="M308" i="2"/>
  <c r="M353" i="2"/>
  <c r="M69" i="2"/>
  <c r="M202" i="2"/>
  <c r="M189" i="2"/>
  <c r="M80" i="2"/>
  <c r="M151" i="2"/>
  <c r="M227" i="2"/>
  <c r="M141" i="2"/>
  <c r="M211" i="2"/>
  <c r="M283" i="2"/>
  <c r="M6" i="4"/>
  <c r="AC6" i="4" s="1"/>
  <c r="J10" i="19"/>
  <c r="AA9" i="19" s="1"/>
  <c r="AC10" i="27"/>
  <c r="M380" i="2"/>
  <c r="J17" i="12"/>
  <c r="AA5" i="12" s="1"/>
  <c r="AB29" i="27"/>
  <c r="AB9" i="21"/>
  <c r="AC14" i="21"/>
  <c r="AC6" i="21"/>
  <c r="AC13" i="21"/>
  <c r="AC5" i="21"/>
  <c r="AB13" i="21"/>
  <c r="AB5" i="21"/>
  <c r="AC2" i="21"/>
  <c r="AC16" i="21"/>
  <c r="AB7" i="21"/>
  <c r="AB15" i="21"/>
  <c r="AB14" i="21"/>
  <c r="AB3" i="21"/>
  <c r="AB2" i="21"/>
  <c r="AB10" i="21"/>
  <c r="AC9" i="21"/>
  <c r="AC17" i="21"/>
  <c r="AC8" i="21"/>
  <c r="AB12" i="21"/>
  <c r="AB8" i="21"/>
  <c r="AC12" i="21"/>
  <c r="AC10" i="21"/>
  <c r="AC15" i="21"/>
  <c r="AB17" i="21"/>
  <c r="AB16" i="21"/>
  <c r="AC11" i="21"/>
  <c r="AC3" i="21"/>
  <c r="AC4" i="21"/>
  <c r="AB4" i="21"/>
  <c r="AB6" i="21"/>
  <c r="AB11" i="21"/>
  <c r="AC7" i="21"/>
  <c r="AC19" i="27"/>
  <c r="AB20" i="27"/>
  <c r="AC4" i="27"/>
  <c r="AB7" i="27"/>
  <c r="AB17" i="27"/>
  <c r="AC2" i="27"/>
  <c r="AB30" i="27"/>
  <c r="M157" i="2"/>
  <c r="M193" i="2"/>
  <c r="AB12" i="35"/>
  <c r="AC17" i="35"/>
  <c r="AB5" i="35"/>
  <c r="AC15" i="35"/>
  <c r="AC16" i="35"/>
  <c r="AC13" i="35"/>
  <c r="AC8" i="35"/>
  <c r="AB16" i="35"/>
  <c r="AB8" i="35"/>
  <c r="AC12" i="35"/>
  <c r="AC6" i="35"/>
  <c r="AB6" i="35"/>
  <c r="AC5" i="35"/>
  <c r="AC9" i="35"/>
  <c r="AB7" i="35"/>
  <c r="AB3" i="35"/>
  <c r="AB10" i="35"/>
  <c r="AC10" i="35"/>
  <c r="AC2" i="35"/>
  <c r="AB9" i="35"/>
  <c r="AB13" i="35"/>
  <c r="AB17" i="35"/>
  <c r="AC14" i="35"/>
  <c r="AB14" i="35"/>
  <c r="AB4" i="35"/>
  <c r="AC7" i="35"/>
  <c r="AC4" i="35"/>
  <c r="AC11" i="35"/>
  <c r="AB15" i="35"/>
  <c r="AB11" i="35"/>
  <c r="AC3" i="35"/>
  <c r="AB2" i="35"/>
  <c r="M10" i="9"/>
  <c r="M340" i="2"/>
  <c r="M377" i="2"/>
  <c r="M319" i="2"/>
  <c r="M204" i="2"/>
  <c r="M153" i="2"/>
  <c r="M267" i="2"/>
  <c r="M233" i="2"/>
  <c r="M302" i="2"/>
  <c r="M103" i="2"/>
  <c r="M235" i="2"/>
  <c r="M218" i="2"/>
  <c r="M113" i="2"/>
  <c r="M188" i="2"/>
  <c r="M258" i="2"/>
  <c r="M79" i="2"/>
  <c r="M66" i="2"/>
  <c r="M140" i="2"/>
  <c r="M26" i="2"/>
  <c r="M109" i="2"/>
  <c r="M376" i="2"/>
  <c r="M292" i="2"/>
  <c r="M268" i="2"/>
  <c r="M35" i="2"/>
  <c r="M282" i="2"/>
  <c r="M360" i="2"/>
  <c r="M351" i="2"/>
  <c r="M125" i="2"/>
  <c r="M254" i="2"/>
  <c r="M239" i="2"/>
  <c r="M134" i="2"/>
  <c r="M206" i="2"/>
  <c r="M278" i="2"/>
  <c r="M192" i="2"/>
  <c r="M266" i="2"/>
  <c r="M388" i="2"/>
  <c r="J8" i="19"/>
  <c r="AA2" i="19" s="1"/>
  <c r="K14" i="7"/>
  <c r="AB14" i="7" s="1"/>
  <c r="J3" i="10"/>
  <c r="AA13" i="10" s="1"/>
  <c r="J16" i="10"/>
  <c r="AA6" i="10" s="1"/>
  <c r="J17" i="10"/>
  <c r="AA8" i="10" s="1"/>
  <c r="J10" i="10"/>
  <c r="AA10" i="10" s="1"/>
  <c r="J4" i="10"/>
  <c r="AA11" i="10" s="1"/>
  <c r="J13" i="10"/>
  <c r="AA12" i="10" s="1"/>
  <c r="J8" i="10"/>
  <c r="AA14" i="10" s="1"/>
  <c r="J14" i="10"/>
  <c r="AA3" i="10" s="1"/>
  <c r="J6" i="10"/>
  <c r="AA17" i="10" s="1"/>
  <c r="AC12" i="27"/>
  <c r="AD12" i="27" s="1"/>
  <c r="AE12" i="27" s="1"/>
  <c r="AF12" i="27" s="1"/>
  <c r="AC22" i="27"/>
  <c r="AC14" i="27"/>
  <c r="AC25" i="27"/>
  <c r="M76" i="2"/>
  <c r="M17" i="6"/>
  <c r="AD17" i="6" s="1"/>
  <c r="M78" i="2"/>
  <c r="M209" i="2"/>
  <c r="M314" i="2"/>
  <c r="M281" i="2"/>
  <c r="M363" i="2"/>
  <c r="M277" i="2"/>
  <c r="M162" i="2"/>
  <c r="J10" i="15"/>
  <c r="AA8" i="15" s="1"/>
  <c r="J4" i="15"/>
  <c r="AA10" i="15" s="1"/>
  <c r="J15" i="15"/>
  <c r="AA4" i="15" s="1"/>
  <c r="J8" i="15"/>
  <c r="AA6" i="15" s="1"/>
  <c r="J6" i="15"/>
  <c r="AA5" i="15" s="1"/>
  <c r="J17" i="15"/>
  <c r="AA15" i="15" s="1"/>
  <c r="J9" i="15"/>
  <c r="AA9" i="15" s="1"/>
  <c r="J13" i="15"/>
  <c r="AA2" i="15" s="1"/>
  <c r="J4" i="13"/>
  <c r="AA8" i="13" s="1"/>
  <c r="M4" i="4"/>
  <c r="AC4" i="4" s="1"/>
  <c r="M8" i="4"/>
  <c r="AC8" i="4" s="1"/>
  <c r="J16" i="17"/>
  <c r="AA12" i="17" s="1"/>
  <c r="M9" i="4"/>
  <c r="AC9" i="4" s="1"/>
  <c r="M300" i="2"/>
  <c r="K7" i="7"/>
  <c r="AB7" i="7" s="1"/>
  <c r="AB25" i="27"/>
  <c r="AB11" i="27"/>
  <c r="AB13" i="40"/>
  <c r="AC2" i="40"/>
  <c r="AB2" i="40"/>
  <c r="AC6" i="40"/>
  <c r="AC5" i="40"/>
  <c r="AB6" i="40"/>
  <c r="AB15" i="40"/>
  <c r="AC12" i="40"/>
  <c r="AC7" i="40"/>
  <c r="AC8" i="40"/>
  <c r="AB8" i="40"/>
  <c r="AB7" i="40"/>
  <c r="AC4" i="40"/>
  <c r="AC17" i="40"/>
  <c r="AB11" i="40"/>
  <c r="AB9" i="40"/>
  <c r="AB12" i="40"/>
  <c r="AB14" i="40"/>
  <c r="AC16" i="40"/>
  <c r="AB3" i="40"/>
  <c r="AB10" i="40"/>
  <c r="AC11" i="40"/>
  <c r="AB16" i="40"/>
  <c r="AB17" i="40"/>
  <c r="AC10" i="40"/>
  <c r="AC9" i="40"/>
  <c r="AC13" i="40"/>
  <c r="AC14" i="40"/>
  <c r="AB4" i="40"/>
  <c r="AC15" i="40"/>
  <c r="AC3" i="40"/>
  <c r="AB5" i="40"/>
  <c r="M9" i="9"/>
  <c r="M5" i="9"/>
  <c r="M375" i="2"/>
  <c r="M108" i="2"/>
  <c r="M93" i="2"/>
  <c r="M167" i="2"/>
  <c r="M50" i="2"/>
  <c r="M136" i="2"/>
  <c r="M364" i="2"/>
  <c r="M269" i="2"/>
  <c r="M229" i="2"/>
  <c r="M9" i="2"/>
  <c r="M256" i="2"/>
  <c r="M327" i="2"/>
  <c r="M361" i="2"/>
  <c r="M216" i="2"/>
  <c r="M324" i="2"/>
  <c r="M317" i="2"/>
  <c r="M213" i="2"/>
  <c r="M288" i="2"/>
  <c r="M355" i="2"/>
  <c r="M160" i="2"/>
  <c r="M284" i="2"/>
  <c r="M274" i="2"/>
  <c r="M169" i="2"/>
  <c r="M240" i="2"/>
  <c r="M310" i="2"/>
  <c r="M138" i="2"/>
  <c r="M121" i="2"/>
  <c r="M12" i="2"/>
  <c r="M82" i="2"/>
  <c r="M165" i="2"/>
  <c r="M386" i="2"/>
  <c r="M30" i="2"/>
  <c r="M18" i="2"/>
  <c r="M91" i="2"/>
  <c r="M325" i="2"/>
  <c r="M58" i="2"/>
  <c r="M357" i="2"/>
  <c r="M180" i="2"/>
  <c r="M304" i="2"/>
  <c r="M293" i="2"/>
  <c r="M187" i="2"/>
  <c r="M261" i="2"/>
  <c r="M366" i="2"/>
  <c r="M243" i="2"/>
  <c r="M316" i="2"/>
  <c r="M339" i="2"/>
  <c r="M12" i="6"/>
  <c r="AD12" i="6" s="1"/>
  <c r="J2" i="19"/>
  <c r="AB13" i="27"/>
  <c r="AD6" i="27"/>
  <c r="AE6" i="27" s="1"/>
  <c r="AF6" i="27" s="1"/>
  <c r="AB15" i="27"/>
  <c r="AB26" i="27"/>
  <c r="AC3" i="27"/>
  <c r="M11" i="18"/>
  <c r="M3" i="18"/>
  <c r="M10" i="18"/>
  <c r="M2" i="18"/>
  <c r="AA12" i="18"/>
  <c r="M9" i="18"/>
  <c r="M17" i="18"/>
  <c r="M8" i="18"/>
  <c r="M16" i="18"/>
  <c r="M15" i="18"/>
  <c r="M6" i="18"/>
  <c r="M14" i="18"/>
  <c r="M13" i="18"/>
  <c r="M5" i="18"/>
  <c r="M7" i="18"/>
  <c r="M12" i="18"/>
  <c r="M4" i="18"/>
  <c r="M6" i="6"/>
  <c r="AD6" i="6" s="1"/>
  <c r="M17" i="4"/>
  <c r="AC17" i="4" s="1"/>
  <c r="M342" i="2"/>
  <c r="M63" i="2"/>
  <c r="M307" i="2"/>
  <c r="M29" i="2"/>
  <c r="M343" i="2"/>
  <c r="M275" i="2"/>
  <c r="M236" i="2"/>
  <c r="M16" i="2"/>
  <c r="M263" i="2"/>
  <c r="M330" i="2"/>
  <c r="M345" i="2"/>
  <c r="M222" i="2"/>
  <c r="M346" i="2"/>
  <c r="M321" i="2"/>
  <c r="M217" i="2"/>
  <c r="M294" i="2"/>
  <c r="M347" i="2"/>
  <c r="M190" i="2"/>
  <c r="M177" i="2"/>
  <c r="M67" i="2"/>
  <c r="M137" i="2"/>
  <c r="M215" i="2"/>
  <c r="M384" i="2"/>
  <c r="M86" i="2"/>
  <c r="M73" i="2"/>
  <c r="M147" i="2"/>
  <c r="M32" i="2"/>
  <c r="M116" i="2"/>
  <c r="M400" i="2"/>
  <c r="M248" i="2"/>
  <c r="M14" i="2"/>
  <c r="M332" i="2"/>
  <c r="M238" i="2"/>
  <c r="M313" i="2"/>
  <c r="M337" i="2"/>
  <c r="M295" i="2"/>
  <c r="M17" i="2"/>
  <c r="M367" i="2"/>
  <c r="M11" i="5"/>
  <c r="AC11" i="5" s="1"/>
  <c r="J11" i="13"/>
  <c r="AA9" i="13" s="1"/>
  <c r="AC28" i="27"/>
  <c r="AC27" i="27"/>
  <c r="M11" i="8"/>
  <c r="M5" i="8"/>
  <c r="M15" i="8"/>
  <c r="M9" i="8"/>
  <c r="M2" i="8"/>
  <c r="M17" i="8"/>
  <c r="M13" i="8"/>
  <c r="M8" i="8"/>
  <c r="M3" i="8"/>
  <c r="M4" i="8"/>
  <c r="M14" i="8"/>
  <c r="M10" i="8"/>
  <c r="M6" i="8"/>
  <c r="M16" i="8"/>
  <c r="M12" i="8"/>
  <c r="M7" i="8"/>
  <c r="AA4" i="8"/>
  <c r="J8" i="12"/>
  <c r="AA11" i="12" s="1"/>
  <c r="AC20" i="27"/>
  <c r="AB11" i="39"/>
  <c r="AB3" i="39"/>
  <c r="AC12" i="39"/>
  <c r="AC8" i="39"/>
  <c r="AC3" i="39"/>
  <c r="AC15" i="39"/>
  <c r="AC4" i="39"/>
  <c r="AC6" i="39"/>
  <c r="AC14" i="39"/>
  <c r="AC10" i="39"/>
  <c r="AC2" i="39"/>
  <c r="AC7" i="39"/>
  <c r="AB6" i="39"/>
  <c r="AC5" i="39"/>
  <c r="AB14" i="39"/>
  <c r="AB13" i="39"/>
  <c r="AB8" i="39"/>
  <c r="AB17" i="39"/>
  <c r="AB2" i="39"/>
  <c r="AC13" i="39"/>
  <c r="AC11" i="39"/>
  <c r="AB10" i="39"/>
  <c r="AB16" i="39"/>
  <c r="AB4" i="39"/>
  <c r="AC16" i="39"/>
  <c r="AB12" i="39"/>
  <c r="AB7" i="39"/>
  <c r="AC9" i="39"/>
  <c r="AC17" i="39"/>
  <c r="AB5" i="39"/>
  <c r="AB15" i="39"/>
  <c r="AB9" i="39"/>
  <c r="K6" i="7"/>
  <c r="AB6" i="7" s="1"/>
  <c r="AC30" i="27"/>
  <c r="AC13" i="27"/>
  <c r="AB16" i="27"/>
  <c r="AC8" i="27"/>
  <c r="AB4" i="27"/>
  <c r="M16" i="5"/>
  <c r="AC16" i="5" s="1"/>
  <c r="K3" i="7"/>
  <c r="AB3" i="7" s="1"/>
  <c r="AC33" i="32"/>
  <c r="AB23" i="32"/>
  <c r="AC22" i="32"/>
  <c r="AB14" i="32"/>
  <c r="AC13" i="32"/>
  <c r="AB6" i="32"/>
  <c r="AC5" i="32"/>
  <c r="AC31" i="32"/>
  <c r="AC27" i="32"/>
  <c r="AC29" i="32"/>
  <c r="AC26" i="32"/>
  <c r="AB18" i="32"/>
  <c r="AC17" i="32"/>
  <c r="AB10" i="32"/>
  <c r="AC9" i="32"/>
  <c r="AB17" i="32"/>
  <c r="AB9" i="32"/>
  <c r="AC8" i="32"/>
  <c r="AB15" i="32"/>
  <c r="AB8" i="32"/>
  <c r="AC14" i="32"/>
  <c r="AC11" i="32"/>
  <c r="AB20" i="32"/>
  <c r="AB11" i="32"/>
  <c r="AB4" i="32"/>
  <c r="AC10" i="32"/>
  <c r="AC7" i="32"/>
  <c r="AB24" i="32"/>
  <c r="AB7" i="32"/>
  <c r="AC23" i="32"/>
  <c r="AB12" i="32"/>
  <c r="AB3" i="32"/>
  <c r="AC18" i="32"/>
  <c r="AC2" i="32"/>
  <c r="AC15" i="32"/>
  <c r="AB2" i="32"/>
  <c r="AB22" i="32"/>
  <c r="AC12" i="32"/>
  <c r="AB28" i="32"/>
  <c r="AB21" i="32"/>
  <c r="AB29" i="32"/>
  <c r="AC25" i="32"/>
  <c r="AC19" i="32"/>
  <c r="AB33" i="32"/>
  <c r="AB31" i="32"/>
  <c r="AB5" i="32"/>
  <c r="AC28" i="32"/>
  <c r="AB27" i="32"/>
  <c r="AB13" i="32"/>
  <c r="AB25" i="32"/>
  <c r="AC32" i="32"/>
  <c r="AC4" i="32"/>
  <c r="AC24" i="32"/>
  <c r="AB26" i="32"/>
  <c r="AC3" i="32"/>
  <c r="AB30" i="32"/>
  <c r="AC30" i="32"/>
  <c r="AB16" i="32"/>
  <c r="AB32" i="32"/>
  <c r="AC6" i="32"/>
  <c r="AC20" i="32"/>
  <c r="AC16" i="32"/>
  <c r="AB19" i="32"/>
  <c r="AC21" i="32"/>
  <c r="M309" i="2"/>
  <c r="J12" i="12"/>
  <c r="AA9" i="12" s="1"/>
  <c r="J2" i="17"/>
  <c r="J5" i="17"/>
  <c r="AA13" i="17" s="1"/>
  <c r="J10" i="17"/>
  <c r="AA4" i="17" s="1"/>
  <c r="J11" i="17"/>
  <c r="AA15" i="17" s="1"/>
  <c r="J4" i="17"/>
  <c r="AA8" i="17" s="1"/>
  <c r="J13" i="17"/>
  <c r="AA9" i="17" s="1"/>
  <c r="J6" i="17"/>
  <c r="AA17" i="17" s="1"/>
  <c r="J12" i="17"/>
  <c r="AA10" i="17" s="1"/>
  <c r="M17" i="9"/>
  <c r="M14" i="9"/>
  <c r="M149" i="2"/>
  <c r="M191" i="2"/>
  <c r="M338" i="2"/>
  <c r="M11" i="4"/>
  <c r="AC11" i="4" s="1"/>
  <c r="M8" i="6"/>
  <c r="AD8" i="6" s="1"/>
  <c r="M9" i="10"/>
  <c r="AA15" i="10"/>
  <c r="M2" i="6"/>
  <c r="M161" i="2"/>
  <c r="M31" i="2"/>
  <c r="M10" i="4"/>
  <c r="AC10" i="4" s="1"/>
  <c r="M12" i="4"/>
  <c r="AC12" i="4" s="1"/>
  <c r="J16" i="13"/>
  <c r="AA11" i="13" s="1"/>
  <c r="J3" i="13"/>
  <c r="AA5" i="13" s="1"/>
  <c r="M210" i="2"/>
  <c r="M197" i="2"/>
  <c r="AC17" i="27"/>
  <c r="AC7" i="33"/>
  <c r="AC11" i="33"/>
  <c r="AB9" i="33"/>
  <c r="AB17" i="33"/>
  <c r="AB14" i="33"/>
  <c r="AB5" i="33"/>
  <c r="AC2" i="33"/>
  <c r="AC16" i="33"/>
  <c r="AC6" i="33"/>
  <c r="AB2" i="33"/>
  <c r="AB16" i="33"/>
  <c r="AB6" i="33"/>
  <c r="AB3" i="33"/>
  <c r="AC12" i="33"/>
  <c r="AC4" i="33"/>
  <c r="AB8" i="33"/>
  <c r="AB4" i="33"/>
  <c r="AC13" i="33"/>
  <c r="AC5" i="33"/>
  <c r="AC9" i="33"/>
  <c r="AB12" i="33"/>
  <c r="AC15" i="33"/>
  <c r="AC3" i="33"/>
  <c r="AB13" i="33"/>
  <c r="AC17" i="33"/>
  <c r="AC8" i="33"/>
  <c r="AC14" i="33"/>
  <c r="AB11" i="33"/>
  <c r="AB10" i="33"/>
  <c r="AB15" i="33"/>
  <c r="AC10" i="33"/>
  <c r="AB7" i="33"/>
  <c r="M4" i="9"/>
  <c r="M6" i="9"/>
  <c r="M246" i="2"/>
  <c r="M83" i="2"/>
  <c r="M214" i="2"/>
  <c r="M200" i="2"/>
  <c r="M94" i="2"/>
  <c r="M168" i="2"/>
  <c r="M241" i="2"/>
  <c r="M391" i="2"/>
  <c r="M57" i="2"/>
  <c r="M46" i="2"/>
  <c r="M119" i="2"/>
  <c r="M352" i="2"/>
  <c r="M85" i="2"/>
  <c r="M394" i="2"/>
  <c r="M354" i="2"/>
  <c r="M358" i="2"/>
  <c r="M70" i="2"/>
  <c r="M312" i="2"/>
  <c r="M36" i="2"/>
  <c r="M349" i="2"/>
  <c r="M279" i="2"/>
  <c r="M249" i="2"/>
  <c r="M22" i="2"/>
  <c r="M270" i="2"/>
  <c r="M336" i="2"/>
  <c r="M370" i="2"/>
  <c r="M242" i="2"/>
  <c r="M226" i="2"/>
  <c r="M120" i="2"/>
  <c r="M194" i="2"/>
  <c r="M264" i="2"/>
  <c r="M7" i="2"/>
  <c r="M145" i="2"/>
  <c r="M128" i="2"/>
  <c r="M19" i="2"/>
  <c r="M89" i="2"/>
  <c r="M172" i="2"/>
  <c r="M398" i="2"/>
  <c r="M298" i="2"/>
  <c r="M287" i="2"/>
  <c r="M42" i="2"/>
  <c r="M289" i="2"/>
  <c r="M8" i="2"/>
  <c r="M335" i="2"/>
  <c r="M331" i="2"/>
  <c r="M72" i="2"/>
  <c r="J11" i="19"/>
  <c r="AA10" i="19" s="1"/>
  <c r="AC24" i="27"/>
  <c r="AB3" i="37"/>
  <c r="AB2" i="37"/>
  <c r="AC9" i="37"/>
  <c r="AB9" i="37"/>
  <c r="AB17" i="37"/>
  <c r="AB14" i="37"/>
  <c r="AB6" i="37"/>
  <c r="AC11" i="37"/>
  <c r="AC5" i="37"/>
  <c r="AC12" i="37"/>
  <c r="AB5" i="37"/>
  <c r="AC3" i="37"/>
  <c r="AB12" i="37"/>
  <c r="AC7" i="37"/>
  <c r="AB7" i="37"/>
  <c r="AC4" i="37"/>
  <c r="AC6" i="37"/>
  <c r="AB4" i="37"/>
  <c r="AC2" i="37"/>
  <c r="AB8" i="37"/>
  <c r="AB16" i="37"/>
  <c r="AC16" i="37"/>
  <c r="AB11" i="37"/>
  <c r="AC15" i="37"/>
  <c r="AC17" i="37"/>
  <c r="AB13" i="37"/>
  <c r="AC14" i="37"/>
  <c r="AB10" i="37"/>
  <c r="AC13" i="37"/>
  <c r="AC8" i="37"/>
  <c r="AB15" i="37"/>
  <c r="AC10" i="37"/>
  <c r="J8" i="17"/>
  <c r="AA7" i="17" s="1"/>
  <c r="K2" i="7"/>
  <c r="AB3" i="27"/>
  <c r="AC31" i="27"/>
  <c r="AD31" i="27" s="1"/>
  <c r="AE31" i="27" s="1"/>
  <c r="AF31" i="27" s="1"/>
  <c r="AB14" i="27"/>
  <c r="AC7" i="27"/>
  <c r="AB18" i="27"/>
  <c r="AC11" i="27"/>
  <c r="J10" i="16"/>
  <c r="AA17" i="16" s="1"/>
  <c r="M15" i="10" l="1"/>
  <c r="AB2" i="9"/>
  <c r="AC2" i="9"/>
  <c r="AB12" i="9"/>
  <c r="M6" i="10"/>
  <c r="AB4" i="9"/>
  <c r="AC19" i="31"/>
  <c r="M5" i="10"/>
  <c r="AC12" i="9"/>
  <c r="AD7" i="38"/>
  <c r="AE7" i="38" s="1"/>
  <c r="AF7" i="38" s="1"/>
  <c r="AD8" i="38"/>
  <c r="AE8" i="38" s="1"/>
  <c r="AF8" i="38" s="1"/>
  <c r="AD14" i="22"/>
  <c r="AE14" i="22" s="1"/>
  <c r="AF14" i="22" s="1"/>
  <c r="AB19" i="22"/>
  <c r="AD2" i="22"/>
  <c r="AD15" i="36"/>
  <c r="AE15" i="36" s="1"/>
  <c r="AF15" i="36" s="1"/>
  <c r="AD14" i="36"/>
  <c r="AE14" i="36" s="1"/>
  <c r="AF14" i="36" s="1"/>
  <c r="AB19" i="36"/>
  <c r="AD2" i="36"/>
  <c r="AD6" i="20"/>
  <c r="AE6" i="20" s="1"/>
  <c r="AF6" i="20" s="1"/>
  <c r="AD8" i="20"/>
  <c r="AE8" i="20" s="1"/>
  <c r="AF8" i="20" s="1"/>
  <c r="AD24" i="34"/>
  <c r="AE24" i="34" s="1"/>
  <c r="AF24" i="34" s="1"/>
  <c r="AD5" i="34"/>
  <c r="AE5" i="34" s="1"/>
  <c r="AF5" i="34" s="1"/>
  <c r="AD33" i="34"/>
  <c r="AE33" i="34" s="1"/>
  <c r="AF33" i="34" s="1"/>
  <c r="AD29" i="34"/>
  <c r="AE29" i="34" s="1"/>
  <c r="AF29" i="34" s="1"/>
  <c r="AD23" i="34"/>
  <c r="AE23" i="34" s="1"/>
  <c r="AF23" i="34" s="1"/>
  <c r="AD11" i="28"/>
  <c r="AE11" i="28" s="1"/>
  <c r="AF11" i="28" s="1"/>
  <c r="AD4" i="28"/>
  <c r="AE4" i="28" s="1"/>
  <c r="AF4" i="28" s="1"/>
  <c r="M11" i="15"/>
  <c r="AD10" i="29"/>
  <c r="AE10" i="29" s="1"/>
  <c r="AF10" i="29" s="1"/>
  <c r="AD10" i="26"/>
  <c r="AE10" i="26" s="1"/>
  <c r="AF10" i="26" s="1"/>
  <c r="AD15" i="26"/>
  <c r="AE15" i="26" s="1"/>
  <c r="AF15" i="26" s="1"/>
  <c r="AD27" i="27"/>
  <c r="AE27" i="27" s="1"/>
  <c r="AF27" i="27" s="1"/>
  <c r="AD6" i="30"/>
  <c r="AE6" i="30" s="1"/>
  <c r="AF6" i="30" s="1"/>
  <c r="AC19" i="30"/>
  <c r="AD7" i="23"/>
  <c r="AE7" i="23" s="1"/>
  <c r="AF7" i="23" s="1"/>
  <c r="AD6" i="23"/>
  <c r="AE6" i="23" s="1"/>
  <c r="AF6" i="23" s="1"/>
  <c r="AD4" i="24"/>
  <c r="AE4" i="24" s="1"/>
  <c r="AF4" i="24" s="1"/>
  <c r="AD8" i="24"/>
  <c r="AE8" i="24" s="1"/>
  <c r="AF8" i="24" s="1"/>
  <c r="AD9" i="24"/>
  <c r="AE9" i="24" s="1"/>
  <c r="AF9" i="24" s="1"/>
  <c r="AD13" i="37"/>
  <c r="AE13" i="37" s="1"/>
  <c r="AF13" i="37" s="1"/>
  <c r="AD27" i="32"/>
  <c r="AE27" i="32" s="1"/>
  <c r="AF27" i="32" s="1"/>
  <c r="AD17" i="21"/>
  <c r="AE17" i="21" s="1"/>
  <c r="AF17" i="21" s="1"/>
  <c r="AC19" i="21"/>
  <c r="AD29" i="27"/>
  <c r="AE29" i="27" s="1"/>
  <c r="AF29" i="27" s="1"/>
  <c r="AD16" i="31"/>
  <c r="AE16" i="31" s="1"/>
  <c r="AF16" i="31" s="1"/>
  <c r="AD8" i="31"/>
  <c r="AE8" i="31" s="1"/>
  <c r="AF8" i="31" s="1"/>
  <c r="AD22" i="27"/>
  <c r="AE22" i="27" s="1"/>
  <c r="AF22" i="27" s="1"/>
  <c r="AD15" i="25"/>
  <c r="AE15" i="25" s="1"/>
  <c r="AF15" i="25" s="1"/>
  <c r="AD5" i="25"/>
  <c r="AE5" i="25" s="1"/>
  <c r="AF5" i="25" s="1"/>
  <c r="AD3" i="37"/>
  <c r="AE3" i="37" s="1"/>
  <c r="AF3" i="37" s="1"/>
  <c r="AD16" i="33"/>
  <c r="AE16" i="33" s="1"/>
  <c r="AF16" i="33" s="1"/>
  <c r="AD9" i="33"/>
  <c r="AE9" i="33" s="1"/>
  <c r="AF9" i="33" s="1"/>
  <c r="M14" i="10"/>
  <c r="M13" i="10"/>
  <c r="AD19" i="32"/>
  <c r="AE19" i="32" s="1"/>
  <c r="AF19" i="32" s="1"/>
  <c r="AD28" i="32"/>
  <c r="AE28" i="32" s="1"/>
  <c r="AF28" i="32" s="1"/>
  <c r="AD12" i="32"/>
  <c r="AE12" i="32" s="1"/>
  <c r="AF12" i="32" s="1"/>
  <c r="AD20" i="32"/>
  <c r="AE20" i="32" s="1"/>
  <c r="AF20" i="32" s="1"/>
  <c r="AD15" i="39"/>
  <c r="AE15" i="39" s="1"/>
  <c r="AF15" i="39" s="1"/>
  <c r="AD16" i="39"/>
  <c r="AE16" i="39" s="1"/>
  <c r="AF16" i="39" s="1"/>
  <c r="AD14" i="39"/>
  <c r="AE14" i="39" s="1"/>
  <c r="AF14" i="39" s="1"/>
  <c r="AD26" i="27"/>
  <c r="AE26" i="27" s="1"/>
  <c r="AF26" i="27" s="1"/>
  <c r="AD16" i="40"/>
  <c r="AE16" i="40" s="1"/>
  <c r="AF16" i="40" s="1"/>
  <c r="AD11" i="40"/>
  <c r="AE11" i="40" s="1"/>
  <c r="AF11" i="40" s="1"/>
  <c r="AD15" i="40"/>
  <c r="AE15" i="40" s="1"/>
  <c r="AF15" i="40" s="1"/>
  <c r="AD25" i="27"/>
  <c r="AE25" i="27" s="1"/>
  <c r="AF25" i="27" s="1"/>
  <c r="AD11" i="35"/>
  <c r="AE11" i="35" s="1"/>
  <c r="AF11" i="35" s="1"/>
  <c r="AD17" i="35"/>
  <c r="AE17" i="35" s="1"/>
  <c r="AF17" i="35" s="1"/>
  <c r="AD30" i="27"/>
  <c r="AE30" i="27" s="1"/>
  <c r="AF30" i="27" s="1"/>
  <c r="AD11" i="21"/>
  <c r="AE11" i="21" s="1"/>
  <c r="AF11" i="21" s="1"/>
  <c r="AD10" i="21"/>
  <c r="AE10" i="21" s="1"/>
  <c r="AF10" i="21" s="1"/>
  <c r="AD5" i="21"/>
  <c r="AE5" i="21" s="1"/>
  <c r="AF5" i="21" s="1"/>
  <c r="AC9" i="9"/>
  <c r="AC10" i="9"/>
  <c r="AC5" i="9"/>
  <c r="AD15" i="38"/>
  <c r="AE15" i="38" s="1"/>
  <c r="AF15" i="38" s="1"/>
  <c r="AD13" i="38"/>
  <c r="AE13" i="38" s="1"/>
  <c r="AF13" i="38" s="1"/>
  <c r="AD9" i="38"/>
  <c r="AE9" i="38" s="1"/>
  <c r="AF9" i="38" s="1"/>
  <c r="AD10" i="22"/>
  <c r="AE10" i="22" s="1"/>
  <c r="AF10" i="22" s="1"/>
  <c r="AD3" i="22"/>
  <c r="AE3" i="22" s="1"/>
  <c r="AF3" i="22" s="1"/>
  <c r="AD9" i="36"/>
  <c r="AE9" i="36" s="1"/>
  <c r="AF9" i="36" s="1"/>
  <c r="AD11" i="36"/>
  <c r="AE11" i="36" s="1"/>
  <c r="AF11" i="36" s="1"/>
  <c r="AD5" i="36"/>
  <c r="AE5" i="36" s="1"/>
  <c r="AF5" i="36" s="1"/>
  <c r="AD3" i="20"/>
  <c r="AE3" i="20" s="1"/>
  <c r="AF3" i="20" s="1"/>
  <c r="AD4" i="20"/>
  <c r="AE4" i="20" s="1"/>
  <c r="AF4" i="20" s="1"/>
  <c r="AD14" i="31"/>
  <c r="AE14" i="31" s="1"/>
  <c r="AF14" i="31" s="1"/>
  <c r="AD3" i="31"/>
  <c r="AE3" i="31" s="1"/>
  <c r="AF3" i="31" s="1"/>
  <c r="AD19" i="27"/>
  <c r="AE19" i="27" s="1"/>
  <c r="AF19" i="27" s="1"/>
  <c r="M14" i="16"/>
  <c r="M6" i="16"/>
  <c r="M13" i="16"/>
  <c r="M11" i="16"/>
  <c r="M3" i="16"/>
  <c r="M9" i="16"/>
  <c r="M10" i="16"/>
  <c r="AA8" i="16"/>
  <c r="M2" i="16"/>
  <c r="M17" i="16"/>
  <c r="M15" i="16"/>
  <c r="M7" i="16"/>
  <c r="M8" i="16"/>
  <c r="M4" i="16"/>
  <c r="M16" i="16"/>
  <c r="M12" i="16"/>
  <c r="M5" i="16"/>
  <c r="AD2" i="27"/>
  <c r="AE2" i="27" s="1"/>
  <c r="AF2" i="27" s="1"/>
  <c r="AB35" i="27"/>
  <c r="AD8" i="25"/>
  <c r="AE8" i="25" s="1"/>
  <c r="AF8" i="25" s="1"/>
  <c r="AD17" i="25"/>
  <c r="AE17" i="25" s="1"/>
  <c r="AF17" i="25" s="1"/>
  <c r="AB19" i="25"/>
  <c r="AD2" i="25"/>
  <c r="AE2" i="25" s="1"/>
  <c r="AF2" i="25" s="1"/>
  <c r="AD10" i="27"/>
  <c r="AE10" i="27" s="1"/>
  <c r="AF10" i="27" s="1"/>
  <c r="AD12" i="34"/>
  <c r="AE12" i="34" s="1"/>
  <c r="AF12" i="34" s="1"/>
  <c r="AD32" i="34"/>
  <c r="AE32" i="34" s="1"/>
  <c r="AF32" i="34" s="1"/>
  <c r="AD3" i="34"/>
  <c r="AE3" i="34" s="1"/>
  <c r="AF3" i="34" s="1"/>
  <c r="AD17" i="28"/>
  <c r="AE17" i="28" s="1"/>
  <c r="AF17" i="28" s="1"/>
  <c r="M3" i="15"/>
  <c r="M10" i="15"/>
  <c r="AD15" i="29"/>
  <c r="AE15" i="29" s="1"/>
  <c r="AF15" i="29" s="1"/>
  <c r="AC19" i="29"/>
  <c r="AD15" i="41"/>
  <c r="AE15" i="41" s="1"/>
  <c r="AF15" i="41" s="1"/>
  <c r="AD16" i="41"/>
  <c r="AE16" i="41" s="1"/>
  <c r="AF16" i="41" s="1"/>
  <c r="AD5" i="26"/>
  <c r="AE5" i="26" s="1"/>
  <c r="AF5" i="26" s="1"/>
  <c r="AD11" i="26"/>
  <c r="AE11" i="26" s="1"/>
  <c r="AF11" i="26" s="1"/>
  <c r="AD8" i="27"/>
  <c r="AE8" i="27" s="1"/>
  <c r="AF8" i="27" s="1"/>
  <c r="AD12" i="30"/>
  <c r="AE12" i="30" s="1"/>
  <c r="AF12" i="30" s="1"/>
  <c r="AD7" i="30"/>
  <c r="AE7" i="30" s="1"/>
  <c r="AF7" i="30" s="1"/>
  <c r="AD14" i="23"/>
  <c r="AE14" i="23" s="1"/>
  <c r="AF14" i="23" s="1"/>
  <c r="M9" i="13"/>
  <c r="M17" i="13"/>
  <c r="M16" i="13"/>
  <c r="AA13" i="13"/>
  <c r="M6" i="13"/>
  <c r="M3" i="13"/>
  <c r="M2" i="13"/>
  <c r="M8" i="13"/>
  <c r="M7" i="13"/>
  <c r="M5" i="13"/>
  <c r="M4" i="13"/>
  <c r="M10" i="13"/>
  <c r="M14" i="13"/>
  <c r="M11" i="13"/>
  <c r="M13" i="13"/>
  <c r="M12" i="13"/>
  <c r="M15" i="13"/>
  <c r="AD17" i="24"/>
  <c r="AE17" i="24" s="1"/>
  <c r="AF17" i="24" s="1"/>
  <c r="AD7" i="24"/>
  <c r="AE7" i="24" s="1"/>
  <c r="AF7" i="24" s="1"/>
  <c r="AC19" i="24"/>
  <c r="AC11" i="9"/>
  <c r="AB17" i="9"/>
  <c r="AB6" i="9"/>
  <c r="AB11" i="9"/>
  <c r="AD3" i="38"/>
  <c r="AE3" i="38" s="1"/>
  <c r="AF3" i="38" s="1"/>
  <c r="AD12" i="38"/>
  <c r="AE12" i="38" s="1"/>
  <c r="AF12" i="38" s="1"/>
  <c r="AD10" i="38"/>
  <c r="AE10" i="38" s="1"/>
  <c r="AF10" i="38" s="1"/>
  <c r="AC19" i="22"/>
  <c r="AD9" i="22"/>
  <c r="AE9" i="22" s="1"/>
  <c r="AF9" i="22" s="1"/>
  <c r="AD7" i="36"/>
  <c r="AE7" i="36" s="1"/>
  <c r="AF7" i="36" s="1"/>
  <c r="AD16" i="36"/>
  <c r="AE16" i="36" s="1"/>
  <c r="AF16" i="36" s="1"/>
  <c r="AC19" i="36"/>
  <c r="AD15" i="20"/>
  <c r="AE15" i="20" s="1"/>
  <c r="AF15" i="20" s="1"/>
  <c r="AB19" i="20"/>
  <c r="AD2" i="20"/>
  <c r="AD13" i="20"/>
  <c r="AE13" i="20" s="1"/>
  <c r="AF13" i="20" s="1"/>
  <c r="AD12" i="31"/>
  <c r="AE12" i="31" s="1"/>
  <c r="AF12" i="31" s="1"/>
  <c r="AD7" i="31"/>
  <c r="AE7" i="31" s="1"/>
  <c r="AF7" i="31" s="1"/>
  <c r="AC19" i="25"/>
  <c r="AD14" i="25"/>
  <c r="AE14" i="25" s="1"/>
  <c r="AF14" i="25" s="1"/>
  <c r="AD28" i="34"/>
  <c r="AE28" i="34" s="1"/>
  <c r="AF28" i="34" s="1"/>
  <c r="AD19" i="34"/>
  <c r="AE19" i="34" s="1"/>
  <c r="AF19" i="34" s="1"/>
  <c r="AD27" i="34"/>
  <c r="AE27" i="34" s="1"/>
  <c r="AF27" i="34" s="1"/>
  <c r="AD4" i="34"/>
  <c r="AE4" i="34" s="1"/>
  <c r="AF4" i="34" s="1"/>
  <c r="AD6" i="28"/>
  <c r="AE6" i="28" s="1"/>
  <c r="AF6" i="28" s="1"/>
  <c r="AD2" i="28"/>
  <c r="AB19" i="28"/>
  <c r="M4" i="15"/>
  <c r="M16" i="15"/>
  <c r="AD3" i="29"/>
  <c r="AE3" i="29" s="1"/>
  <c r="AF3" i="29" s="1"/>
  <c r="AD17" i="29"/>
  <c r="AE17" i="29" s="1"/>
  <c r="AF17" i="29" s="1"/>
  <c r="AD13" i="41"/>
  <c r="AE13" i="41" s="1"/>
  <c r="AF13" i="41" s="1"/>
  <c r="AD6" i="41"/>
  <c r="AE6" i="41" s="1"/>
  <c r="AF6" i="41" s="1"/>
  <c r="AD2" i="41"/>
  <c r="AE2" i="41" s="1"/>
  <c r="AF2" i="41" s="1"/>
  <c r="AB19" i="41"/>
  <c r="AD5" i="41"/>
  <c r="AE5" i="41" s="1"/>
  <c r="AF5" i="41" s="1"/>
  <c r="AD16" i="26"/>
  <c r="AE16" i="26" s="1"/>
  <c r="AF16" i="26" s="1"/>
  <c r="AD13" i="26"/>
  <c r="AE13" i="26" s="1"/>
  <c r="AF13" i="26" s="1"/>
  <c r="AD8" i="26"/>
  <c r="AE8" i="26" s="1"/>
  <c r="AF8" i="26" s="1"/>
  <c r="AD3" i="30"/>
  <c r="AE3" i="30" s="1"/>
  <c r="AF3" i="30" s="1"/>
  <c r="AD8" i="30"/>
  <c r="AE8" i="30" s="1"/>
  <c r="AF8" i="30" s="1"/>
  <c r="AD4" i="30"/>
  <c r="AE4" i="30" s="1"/>
  <c r="AF4" i="30" s="1"/>
  <c r="AD16" i="23"/>
  <c r="AE16" i="23" s="1"/>
  <c r="AF16" i="23" s="1"/>
  <c r="AD5" i="23"/>
  <c r="AE5" i="23" s="1"/>
  <c r="AF5" i="23" s="1"/>
  <c r="AD11" i="23"/>
  <c r="AE11" i="23" s="1"/>
  <c r="AF11" i="23" s="1"/>
  <c r="O13" i="4"/>
  <c r="O5" i="4"/>
  <c r="O10" i="4"/>
  <c r="O2" i="4"/>
  <c r="O14" i="4"/>
  <c r="O4" i="4"/>
  <c r="O15" i="4"/>
  <c r="O7" i="4"/>
  <c r="O3" i="4"/>
  <c r="O12" i="4"/>
  <c r="O9" i="4"/>
  <c r="O8" i="4"/>
  <c r="O16" i="4"/>
  <c r="O11" i="4"/>
  <c r="O6" i="4"/>
  <c r="AC2" i="4"/>
  <c r="O17" i="4"/>
  <c r="AD6" i="24"/>
  <c r="AE6" i="24" s="1"/>
  <c r="AF6" i="24" s="1"/>
  <c r="AD3" i="24"/>
  <c r="AE3" i="24" s="1"/>
  <c r="AF3" i="24" s="1"/>
  <c r="AD11" i="33"/>
  <c r="AE11" i="33" s="1"/>
  <c r="AF11" i="33" s="1"/>
  <c r="AD6" i="33"/>
  <c r="AE6" i="33" s="1"/>
  <c r="AF6" i="33" s="1"/>
  <c r="AD21" i="32"/>
  <c r="AE21" i="32" s="1"/>
  <c r="AF21" i="32" s="1"/>
  <c r="AD3" i="32"/>
  <c r="AE3" i="32" s="1"/>
  <c r="AF3" i="32" s="1"/>
  <c r="AD11" i="32"/>
  <c r="AE11" i="32" s="1"/>
  <c r="AF11" i="32" s="1"/>
  <c r="AD17" i="32"/>
  <c r="AE17" i="32" s="1"/>
  <c r="AF17" i="32" s="1"/>
  <c r="AD9" i="39"/>
  <c r="AE9" i="39" s="1"/>
  <c r="AF9" i="39" s="1"/>
  <c r="AD4" i="39"/>
  <c r="AE4" i="39" s="1"/>
  <c r="AF4" i="39" s="1"/>
  <c r="AD13" i="39"/>
  <c r="AE13" i="39" s="1"/>
  <c r="AF13" i="39" s="1"/>
  <c r="AD4" i="33"/>
  <c r="AE4" i="33" s="1"/>
  <c r="AF4" i="33" s="1"/>
  <c r="M11" i="10"/>
  <c r="M16" i="10"/>
  <c r="AD31" i="32"/>
  <c r="AE31" i="32" s="1"/>
  <c r="AF31" i="32" s="1"/>
  <c r="AD22" i="32"/>
  <c r="AE22" i="32" s="1"/>
  <c r="AF22" i="32" s="1"/>
  <c r="AD7" i="32"/>
  <c r="AE7" i="32" s="1"/>
  <c r="AF7" i="32" s="1"/>
  <c r="AD6" i="39"/>
  <c r="AE6" i="39" s="1"/>
  <c r="AF6" i="39" s="1"/>
  <c r="AD4" i="40"/>
  <c r="AE4" i="40" s="1"/>
  <c r="AF4" i="40" s="1"/>
  <c r="AD10" i="40"/>
  <c r="AE10" i="40" s="1"/>
  <c r="AF10" i="40" s="1"/>
  <c r="AD9" i="35"/>
  <c r="AE9" i="35" s="1"/>
  <c r="AF9" i="35" s="1"/>
  <c r="AD6" i="35"/>
  <c r="AE6" i="35" s="1"/>
  <c r="AF6" i="35" s="1"/>
  <c r="AD17" i="27"/>
  <c r="AE17" i="27" s="1"/>
  <c r="AF17" i="27" s="1"/>
  <c r="AD4" i="21"/>
  <c r="AE4" i="21" s="1"/>
  <c r="AF4" i="21" s="1"/>
  <c r="AD3" i="21"/>
  <c r="AE3" i="21" s="1"/>
  <c r="AF3" i="21" s="1"/>
  <c r="AC6" i="9"/>
  <c r="AC3" i="9"/>
  <c r="AC4" i="9"/>
  <c r="AD4" i="9" s="1"/>
  <c r="AE4" i="9" s="1"/>
  <c r="AF4" i="9" s="1"/>
  <c r="AD14" i="9"/>
  <c r="AE14" i="9" s="1"/>
  <c r="AF14" i="9" s="1"/>
  <c r="AB19" i="38"/>
  <c r="AD2" i="38"/>
  <c r="AD11" i="38"/>
  <c r="AE11" i="38" s="1"/>
  <c r="AF11" i="38" s="1"/>
  <c r="AD6" i="22"/>
  <c r="AE6" i="22" s="1"/>
  <c r="AF6" i="22" s="1"/>
  <c r="AD16" i="22"/>
  <c r="AE16" i="22" s="1"/>
  <c r="AF16" i="22" s="1"/>
  <c r="AD8" i="36"/>
  <c r="AE8" i="36" s="1"/>
  <c r="AF8" i="36" s="1"/>
  <c r="AD17" i="36"/>
  <c r="AE17" i="36" s="1"/>
  <c r="AF17" i="36" s="1"/>
  <c r="AD7" i="20"/>
  <c r="AE7" i="20" s="1"/>
  <c r="AF7" i="20" s="1"/>
  <c r="AD10" i="20"/>
  <c r="AE10" i="20" s="1"/>
  <c r="AF10" i="20" s="1"/>
  <c r="AD11" i="31"/>
  <c r="AE11" i="31" s="1"/>
  <c r="AF11" i="31" s="1"/>
  <c r="AD24" i="27"/>
  <c r="AE24" i="27" s="1"/>
  <c r="AF24" i="27" s="1"/>
  <c r="AD12" i="25"/>
  <c r="AE12" i="25" s="1"/>
  <c r="AF12" i="25" s="1"/>
  <c r="AD13" i="25"/>
  <c r="AE13" i="25" s="1"/>
  <c r="AF13" i="25" s="1"/>
  <c r="AD6" i="25"/>
  <c r="AE6" i="25" s="1"/>
  <c r="AF6" i="25" s="1"/>
  <c r="AD7" i="25"/>
  <c r="AE7" i="25" s="1"/>
  <c r="AF7" i="25" s="1"/>
  <c r="AD18" i="34"/>
  <c r="AE18" i="34" s="1"/>
  <c r="AF18" i="34" s="1"/>
  <c r="AD22" i="34"/>
  <c r="AE22" i="34" s="1"/>
  <c r="AF22" i="34" s="1"/>
  <c r="AD8" i="34"/>
  <c r="AE8" i="34" s="1"/>
  <c r="AF8" i="34" s="1"/>
  <c r="AD20" i="34"/>
  <c r="AE20" i="34" s="1"/>
  <c r="AF20" i="34" s="1"/>
  <c r="AD6" i="34"/>
  <c r="AE6" i="34" s="1"/>
  <c r="AF6" i="34" s="1"/>
  <c r="AD12" i="28"/>
  <c r="AE12" i="28" s="1"/>
  <c r="AF12" i="28" s="1"/>
  <c r="AD15" i="28"/>
  <c r="AE15" i="28" s="1"/>
  <c r="AF15" i="28" s="1"/>
  <c r="M6" i="15"/>
  <c r="AD6" i="29"/>
  <c r="AE6" i="29" s="1"/>
  <c r="AF6" i="29" s="1"/>
  <c r="AD4" i="29"/>
  <c r="AE4" i="29" s="1"/>
  <c r="AF4" i="29" s="1"/>
  <c r="AD12" i="41"/>
  <c r="AE12" i="41" s="1"/>
  <c r="AF12" i="41" s="1"/>
  <c r="AD4" i="41"/>
  <c r="AE4" i="41" s="1"/>
  <c r="AF4" i="41" s="1"/>
  <c r="AD8" i="41"/>
  <c r="AE8" i="41" s="1"/>
  <c r="AF8" i="41" s="1"/>
  <c r="AD3" i="41"/>
  <c r="AE3" i="41" s="1"/>
  <c r="AF3" i="41" s="1"/>
  <c r="AD9" i="26"/>
  <c r="AE9" i="26" s="1"/>
  <c r="AF9" i="26" s="1"/>
  <c r="AD6" i="26"/>
  <c r="AE6" i="26" s="1"/>
  <c r="AF6" i="26" s="1"/>
  <c r="AC19" i="26"/>
  <c r="AD32" i="27"/>
  <c r="AE32" i="27" s="1"/>
  <c r="AF32" i="27" s="1"/>
  <c r="AD16" i="30"/>
  <c r="AE16" i="30" s="1"/>
  <c r="AF16" i="30" s="1"/>
  <c r="AD5" i="30"/>
  <c r="AE5" i="30" s="1"/>
  <c r="AF5" i="30" s="1"/>
  <c r="AD13" i="23"/>
  <c r="AE13" i="23" s="1"/>
  <c r="AF13" i="23" s="1"/>
  <c r="AD15" i="24"/>
  <c r="AE15" i="24" s="1"/>
  <c r="AF15" i="24" s="1"/>
  <c r="AD16" i="24"/>
  <c r="AE16" i="24" s="1"/>
  <c r="AF16" i="24" s="1"/>
  <c r="AC4" i="18"/>
  <c r="AB4" i="18"/>
  <c r="AC7" i="18"/>
  <c r="AB7" i="18"/>
  <c r="AC14" i="18"/>
  <c r="AB15" i="18"/>
  <c r="AB9" i="18"/>
  <c r="AC8" i="18"/>
  <c r="AC13" i="18"/>
  <c r="AB6" i="18"/>
  <c r="AC5" i="18"/>
  <c r="AC10" i="18"/>
  <c r="AC15" i="18"/>
  <c r="AC17" i="18"/>
  <c r="AC16" i="18"/>
  <c r="AC2" i="18"/>
  <c r="AB17" i="18"/>
  <c r="AC3" i="18"/>
  <c r="AB13" i="18"/>
  <c r="AB8" i="18"/>
  <c r="AB12" i="18"/>
  <c r="AC6" i="18"/>
  <c r="AB3" i="18"/>
  <c r="AB2" i="18"/>
  <c r="AB11" i="18"/>
  <c r="AC9" i="18"/>
  <c r="AC12" i="18"/>
  <c r="AB16" i="18"/>
  <c r="AC11" i="18"/>
  <c r="AB5" i="18"/>
  <c r="AB10" i="18"/>
  <c r="AB14" i="18"/>
  <c r="AD3" i="40"/>
  <c r="AE3" i="40" s="1"/>
  <c r="AF3" i="40" s="1"/>
  <c r="AD7" i="40"/>
  <c r="AE7" i="40" s="1"/>
  <c r="AF7" i="40" s="1"/>
  <c r="AC19" i="35"/>
  <c r="AD5" i="35"/>
  <c r="AE5" i="35" s="1"/>
  <c r="AF5" i="35" s="1"/>
  <c r="AD7" i="27"/>
  <c r="AE7" i="27" s="1"/>
  <c r="AF7" i="27" s="1"/>
  <c r="AD8" i="21"/>
  <c r="AE8" i="21" s="1"/>
  <c r="AF8" i="21" s="1"/>
  <c r="AD14" i="21"/>
  <c r="AE14" i="21" s="1"/>
  <c r="AF14" i="21" s="1"/>
  <c r="AB13" i="9"/>
  <c r="AC15" i="9"/>
  <c r="AB7" i="9"/>
  <c r="AC19" i="38"/>
  <c r="AD12" i="22"/>
  <c r="AE12" i="22" s="1"/>
  <c r="AF12" i="22" s="1"/>
  <c r="AD4" i="22"/>
  <c r="AE4" i="22" s="1"/>
  <c r="AF4" i="22" s="1"/>
  <c r="AD12" i="20"/>
  <c r="AE12" i="20" s="1"/>
  <c r="AF12" i="20" s="1"/>
  <c r="AD5" i="20"/>
  <c r="AE5" i="20" s="1"/>
  <c r="AF5" i="20" s="1"/>
  <c r="AD17" i="20"/>
  <c r="AE17" i="20" s="1"/>
  <c r="AF17" i="20" s="1"/>
  <c r="AD13" i="31"/>
  <c r="AE13" i="31" s="1"/>
  <c r="AF13" i="31" s="1"/>
  <c r="AB19" i="31"/>
  <c r="AD2" i="31"/>
  <c r="AD9" i="31"/>
  <c r="AE9" i="31" s="1"/>
  <c r="AF9" i="31" s="1"/>
  <c r="AD5" i="27"/>
  <c r="AE5" i="27" s="1"/>
  <c r="AF5" i="27" s="1"/>
  <c r="AD9" i="25"/>
  <c r="AE9" i="25" s="1"/>
  <c r="AF9" i="25" s="1"/>
  <c r="AD3" i="25"/>
  <c r="AE3" i="25" s="1"/>
  <c r="AF3" i="25" s="1"/>
  <c r="AD31" i="34"/>
  <c r="AE31" i="34" s="1"/>
  <c r="AF31" i="34" s="1"/>
  <c r="AD17" i="34"/>
  <c r="AE17" i="34" s="1"/>
  <c r="AF17" i="34" s="1"/>
  <c r="AD10" i="34"/>
  <c r="AE10" i="34" s="1"/>
  <c r="AF10" i="34" s="1"/>
  <c r="AD15" i="34"/>
  <c r="AE15" i="34" s="1"/>
  <c r="AF15" i="34" s="1"/>
  <c r="AD5" i="28"/>
  <c r="AE5" i="28" s="1"/>
  <c r="AF5" i="28" s="1"/>
  <c r="AD9" i="28"/>
  <c r="AE9" i="28" s="1"/>
  <c r="AF9" i="28" s="1"/>
  <c r="M5" i="15"/>
  <c r="M17" i="15"/>
  <c r="AD7" i="29"/>
  <c r="AE7" i="29" s="1"/>
  <c r="AF7" i="29" s="1"/>
  <c r="AD8" i="29"/>
  <c r="AE8" i="29" s="1"/>
  <c r="AF8" i="29" s="1"/>
  <c r="AD13" i="29"/>
  <c r="AE13" i="29" s="1"/>
  <c r="AF13" i="29" s="1"/>
  <c r="AD17" i="41"/>
  <c r="AE17" i="41" s="1"/>
  <c r="AF17" i="41" s="1"/>
  <c r="AD10" i="41"/>
  <c r="AE10" i="41" s="1"/>
  <c r="AF10" i="41" s="1"/>
  <c r="AD14" i="26"/>
  <c r="AE14" i="26" s="1"/>
  <c r="AF14" i="26" s="1"/>
  <c r="AD3" i="26"/>
  <c r="AE3" i="26" s="1"/>
  <c r="AF3" i="26" s="1"/>
  <c r="AD15" i="30"/>
  <c r="AE15" i="30" s="1"/>
  <c r="AF15" i="30" s="1"/>
  <c r="AD17" i="30"/>
  <c r="AE17" i="30" s="1"/>
  <c r="AF17" i="30" s="1"/>
  <c r="AD8" i="23"/>
  <c r="AE8" i="23" s="1"/>
  <c r="AF8" i="23" s="1"/>
  <c r="AD10" i="23"/>
  <c r="AE10" i="23" s="1"/>
  <c r="AF10" i="23" s="1"/>
  <c r="AD4" i="23"/>
  <c r="AE4" i="23" s="1"/>
  <c r="AF4" i="23" s="1"/>
  <c r="AD12" i="24"/>
  <c r="AE12" i="24" s="1"/>
  <c r="AF12" i="24" s="1"/>
  <c r="AD13" i="24"/>
  <c r="AE13" i="24" s="1"/>
  <c r="AF13" i="24" s="1"/>
  <c r="AD26" i="32"/>
  <c r="AE26" i="32" s="1"/>
  <c r="AF26" i="32" s="1"/>
  <c r="AD10" i="32"/>
  <c r="AE10" i="32" s="1"/>
  <c r="AF10" i="32" s="1"/>
  <c r="AD4" i="27"/>
  <c r="AE4" i="27" s="1"/>
  <c r="AF4" i="27" s="1"/>
  <c r="AD5" i="39"/>
  <c r="AE5" i="39" s="1"/>
  <c r="AF5" i="39" s="1"/>
  <c r="AD10" i="39"/>
  <c r="AE10" i="39" s="1"/>
  <c r="AF10" i="39" s="1"/>
  <c r="AD33" i="32"/>
  <c r="AE33" i="32" s="1"/>
  <c r="AF33" i="32" s="1"/>
  <c r="AD2" i="32"/>
  <c r="AE2" i="32" s="1"/>
  <c r="AF2" i="32" s="1"/>
  <c r="AD24" i="32"/>
  <c r="AE24" i="32" s="1"/>
  <c r="AF24" i="32" s="1"/>
  <c r="AD8" i="32"/>
  <c r="AE8" i="32" s="1"/>
  <c r="AF8" i="32" s="1"/>
  <c r="AD18" i="32"/>
  <c r="AE18" i="32" s="1"/>
  <c r="AF18" i="32" s="1"/>
  <c r="AD14" i="32"/>
  <c r="AE14" i="32" s="1"/>
  <c r="AF14" i="32" s="1"/>
  <c r="AD16" i="27"/>
  <c r="AE16" i="27" s="1"/>
  <c r="AF16" i="27" s="1"/>
  <c r="AD14" i="27"/>
  <c r="AE14" i="27" s="1"/>
  <c r="AF14" i="27" s="1"/>
  <c r="AD16" i="37"/>
  <c r="AE16" i="37" s="1"/>
  <c r="AF16" i="37" s="1"/>
  <c r="AD12" i="37"/>
  <c r="AE12" i="37" s="1"/>
  <c r="AF12" i="37" s="1"/>
  <c r="AD17" i="37"/>
  <c r="AE17" i="37" s="1"/>
  <c r="AF17" i="37" s="1"/>
  <c r="AC19" i="33"/>
  <c r="P13" i="6"/>
  <c r="P5" i="6"/>
  <c r="P15" i="6"/>
  <c r="P7" i="6"/>
  <c r="P12" i="6"/>
  <c r="P4" i="6"/>
  <c r="P17" i="6"/>
  <c r="P11" i="6"/>
  <c r="P3" i="6"/>
  <c r="P16" i="6"/>
  <c r="P8" i="6"/>
  <c r="P9" i="6"/>
  <c r="P6" i="6"/>
  <c r="P14" i="6"/>
  <c r="P10" i="6"/>
  <c r="P2" i="6"/>
  <c r="AD2" i="6"/>
  <c r="M2" i="10"/>
  <c r="M17" i="10"/>
  <c r="M17" i="17"/>
  <c r="M8" i="17"/>
  <c r="M16" i="17"/>
  <c r="M7" i="17"/>
  <c r="M15" i="17"/>
  <c r="M6" i="17"/>
  <c r="M14" i="17"/>
  <c r="M13" i="17"/>
  <c r="M5" i="17"/>
  <c r="M11" i="17"/>
  <c r="AA14" i="17"/>
  <c r="M2" i="17"/>
  <c r="M10" i="17"/>
  <c r="M12" i="17"/>
  <c r="M9" i="17"/>
  <c r="M3" i="17"/>
  <c r="M4" i="17"/>
  <c r="AD32" i="32"/>
  <c r="AE32" i="32" s="1"/>
  <c r="AF32" i="32" s="1"/>
  <c r="AD15" i="32"/>
  <c r="AE15" i="32" s="1"/>
  <c r="AF15" i="32" s="1"/>
  <c r="AD7" i="39"/>
  <c r="AE7" i="39" s="1"/>
  <c r="AF7" i="39" s="1"/>
  <c r="AB19" i="39"/>
  <c r="AD2" i="39"/>
  <c r="AE2" i="39" s="1"/>
  <c r="AF2" i="39" s="1"/>
  <c r="AC19" i="39"/>
  <c r="AD13" i="27"/>
  <c r="AE13" i="27" s="1"/>
  <c r="AF13" i="27" s="1"/>
  <c r="AD8" i="40"/>
  <c r="AE8" i="40" s="1"/>
  <c r="AF8" i="40" s="1"/>
  <c r="AD2" i="40"/>
  <c r="AE2" i="40" s="1"/>
  <c r="AF2" i="40" s="1"/>
  <c r="AB19" i="40"/>
  <c r="AD12" i="21"/>
  <c r="AE12" i="21" s="1"/>
  <c r="AF12" i="21" s="1"/>
  <c r="AD15" i="21"/>
  <c r="AE15" i="21" s="1"/>
  <c r="AF15" i="21" s="1"/>
  <c r="AB16" i="9"/>
  <c r="AB3" i="9"/>
  <c r="AC7" i="9"/>
  <c r="AB10" i="9"/>
  <c r="AD17" i="38"/>
  <c r="AE17" i="38" s="1"/>
  <c r="AF17" i="38" s="1"/>
  <c r="AD15" i="22"/>
  <c r="AE15" i="22" s="1"/>
  <c r="AF15" i="22" s="1"/>
  <c r="AD17" i="22"/>
  <c r="AE17" i="22" s="1"/>
  <c r="AF17" i="22" s="1"/>
  <c r="AD10" i="36"/>
  <c r="AE10" i="36" s="1"/>
  <c r="AF10" i="36" s="1"/>
  <c r="AD3" i="36"/>
  <c r="AE3" i="36" s="1"/>
  <c r="AF3" i="36" s="1"/>
  <c r="AD14" i="20"/>
  <c r="AE14" i="20" s="1"/>
  <c r="AF14" i="20" s="1"/>
  <c r="AD5" i="31"/>
  <c r="AE5" i="31" s="1"/>
  <c r="AF5" i="31" s="1"/>
  <c r="AD17" i="31"/>
  <c r="AE17" i="31" s="1"/>
  <c r="AF17" i="31" s="1"/>
  <c r="AD4" i="31"/>
  <c r="AE4" i="31" s="1"/>
  <c r="AF4" i="31" s="1"/>
  <c r="AD16" i="25"/>
  <c r="AE16" i="25" s="1"/>
  <c r="AF16" i="25" s="1"/>
  <c r="AD25" i="34"/>
  <c r="AE25" i="34" s="1"/>
  <c r="AF25" i="34" s="1"/>
  <c r="AD2" i="34"/>
  <c r="AD11" i="34"/>
  <c r="AE11" i="34" s="1"/>
  <c r="AF11" i="34" s="1"/>
  <c r="AD14" i="34"/>
  <c r="AE14" i="34" s="1"/>
  <c r="AF14" i="34" s="1"/>
  <c r="AD16" i="28"/>
  <c r="AE16" i="28" s="1"/>
  <c r="AF16" i="28" s="1"/>
  <c r="AD10" i="28"/>
  <c r="AE10" i="28" s="1"/>
  <c r="AF10" i="28" s="1"/>
  <c r="M2" i="15"/>
  <c r="M14" i="15"/>
  <c r="AD9" i="41"/>
  <c r="AE9" i="41" s="1"/>
  <c r="AF9" i="41" s="1"/>
  <c r="AD14" i="41"/>
  <c r="AE14" i="41" s="1"/>
  <c r="AF14" i="41" s="1"/>
  <c r="AD11" i="41"/>
  <c r="AE11" i="41" s="1"/>
  <c r="AF11" i="41" s="1"/>
  <c r="M17" i="12"/>
  <c r="M8" i="12"/>
  <c r="M16" i="12"/>
  <c r="M7" i="12"/>
  <c r="M15" i="12"/>
  <c r="M14" i="12"/>
  <c r="M6" i="12"/>
  <c r="M13" i="12"/>
  <c r="M5" i="12"/>
  <c r="M12" i="12"/>
  <c r="M4" i="12"/>
  <c r="AA14" i="12"/>
  <c r="M11" i="12"/>
  <c r="M3" i="12"/>
  <c r="M10" i="12"/>
  <c r="M2" i="12"/>
  <c r="M9" i="12"/>
  <c r="AD4" i="26"/>
  <c r="AE4" i="26" s="1"/>
  <c r="AF4" i="26" s="1"/>
  <c r="AD11" i="30"/>
  <c r="AE11" i="30" s="1"/>
  <c r="AF11" i="30" s="1"/>
  <c r="AD13" i="30"/>
  <c r="AE13" i="30" s="1"/>
  <c r="AF13" i="30" s="1"/>
  <c r="AC19" i="23"/>
  <c r="AD9" i="23"/>
  <c r="AE9" i="23" s="1"/>
  <c r="AF9" i="23" s="1"/>
  <c r="AD15" i="23"/>
  <c r="AE15" i="23" s="1"/>
  <c r="AF15" i="23" s="1"/>
  <c r="AD28" i="27"/>
  <c r="AE28" i="27" s="1"/>
  <c r="AF28" i="27" s="1"/>
  <c r="AD14" i="24"/>
  <c r="AE14" i="24" s="1"/>
  <c r="AF14" i="24" s="1"/>
  <c r="AD10" i="24"/>
  <c r="AE10" i="24" s="1"/>
  <c r="AF10" i="24" s="1"/>
  <c r="N16" i="7"/>
  <c r="N12" i="7"/>
  <c r="N8" i="7"/>
  <c r="N4" i="7"/>
  <c r="N15" i="7"/>
  <c r="N11" i="7"/>
  <c r="N7" i="7"/>
  <c r="N3" i="7"/>
  <c r="N14" i="7"/>
  <c r="N10" i="7"/>
  <c r="N6" i="7"/>
  <c r="N2" i="7"/>
  <c r="N17" i="7"/>
  <c r="N13" i="7"/>
  <c r="N9" i="7"/>
  <c r="N5" i="7"/>
  <c r="AB2" i="7"/>
  <c r="AD4" i="37"/>
  <c r="AE4" i="37" s="1"/>
  <c r="AF4" i="37" s="1"/>
  <c r="AB19" i="37"/>
  <c r="AD2" i="37"/>
  <c r="AD17" i="33"/>
  <c r="AE17" i="33" s="1"/>
  <c r="AF17" i="33" s="1"/>
  <c r="AD30" i="32"/>
  <c r="AE30" i="32" s="1"/>
  <c r="AF30" i="32" s="1"/>
  <c r="AD5" i="40"/>
  <c r="AE5" i="40" s="1"/>
  <c r="AF5" i="40" s="1"/>
  <c r="AD17" i="40"/>
  <c r="AE17" i="40" s="1"/>
  <c r="AF17" i="40" s="1"/>
  <c r="AD9" i="40"/>
  <c r="AE9" i="40" s="1"/>
  <c r="AF9" i="40" s="1"/>
  <c r="AD11" i="27"/>
  <c r="AE11" i="27" s="1"/>
  <c r="AF11" i="27" s="1"/>
  <c r="AD2" i="33"/>
  <c r="AE2" i="33" s="1"/>
  <c r="AF2" i="33" s="1"/>
  <c r="AB19" i="33"/>
  <c r="M7" i="10"/>
  <c r="M8" i="10"/>
  <c r="AD5" i="32"/>
  <c r="AE5" i="32" s="1"/>
  <c r="AF5" i="32" s="1"/>
  <c r="AD6" i="32"/>
  <c r="AE6" i="32" s="1"/>
  <c r="AF6" i="32" s="1"/>
  <c r="AD6" i="40"/>
  <c r="AE6" i="40" s="1"/>
  <c r="AF6" i="40" s="1"/>
  <c r="AD15" i="35"/>
  <c r="AE15" i="35" s="1"/>
  <c r="AF15" i="35" s="1"/>
  <c r="AC35" i="27"/>
  <c r="AB19" i="21"/>
  <c r="AD2" i="21"/>
  <c r="AD18" i="27"/>
  <c r="AE18" i="27" s="1"/>
  <c r="AF18" i="27" s="1"/>
  <c r="AD15" i="37"/>
  <c r="AE15" i="37" s="1"/>
  <c r="AF15" i="37" s="1"/>
  <c r="AD11" i="37"/>
  <c r="AE11" i="37" s="1"/>
  <c r="AF11" i="37" s="1"/>
  <c r="AD7" i="37"/>
  <c r="AE7" i="37" s="1"/>
  <c r="AF7" i="37" s="1"/>
  <c r="AD6" i="37"/>
  <c r="AE6" i="37" s="1"/>
  <c r="AF6" i="37" s="1"/>
  <c r="AD14" i="37"/>
  <c r="AE14" i="37" s="1"/>
  <c r="AF14" i="37" s="1"/>
  <c r="AD7" i="33"/>
  <c r="AE7" i="33" s="1"/>
  <c r="AF7" i="33" s="1"/>
  <c r="AD13" i="33"/>
  <c r="AE13" i="33" s="1"/>
  <c r="AF13" i="33" s="1"/>
  <c r="AD8" i="33"/>
  <c r="AE8" i="33" s="1"/>
  <c r="AF8" i="33" s="1"/>
  <c r="AD10" i="37"/>
  <c r="AE10" i="37" s="1"/>
  <c r="AF10" i="37" s="1"/>
  <c r="AD8" i="37"/>
  <c r="AE8" i="37" s="1"/>
  <c r="AF8" i="37" s="1"/>
  <c r="AD9" i="37"/>
  <c r="AE9" i="37" s="1"/>
  <c r="AF9" i="37" s="1"/>
  <c r="AD15" i="33"/>
  <c r="AE15" i="33" s="1"/>
  <c r="AF15" i="33" s="1"/>
  <c r="AD5" i="33"/>
  <c r="AE5" i="33" s="1"/>
  <c r="AF5" i="33" s="1"/>
  <c r="M4" i="10"/>
  <c r="M10" i="10"/>
  <c r="AD16" i="32"/>
  <c r="AE16" i="32" s="1"/>
  <c r="AF16" i="32" s="1"/>
  <c r="AD25" i="32"/>
  <c r="AE25" i="32" s="1"/>
  <c r="AF25" i="32" s="1"/>
  <c r="AD23" i="32"/>
  <c r="AE23" i="32" s="1"/>
  <c r="AF23" i="32" s="1"/>
  <c r="AD12" i="39"/>
  <c r="AE12" i="39" s="1"/>
  <c r="AF12" i="39" s="1"/>
  <c r="AD17" i="39"/>
  <c r="AE17" i="39" s="1"/>
  <c r="AF17" i="39" s="1"/>
  <c r="AD3" i="39"/>
  <c r="AE3" i="39" s="1"/>
  <c r="AF3" i="39" s="1"/>
  <c r="AB16" i="8"/>
  <c r="AB12" i="8"/>
  <c r="AC7" i="8"/>
  <c r="AB9" i="8" a="1"/>
  <c r="AB9" i="8" s="1"/>
  <c r="AC5" i="8"/>
  <c r="AC4" i="8"/>
  <c r="AC14" i="8"/>
  <c r="AB5" i="8"/>
  <c r="AB4" i="8"/>
  <c r="AB14" i="8"/>
  <c r="AC11" i="8"/>
  <c r="AB15" i="8"/>
  <c r="AB3" i="8"/>
  <c r="AB8" i="8"/>
  <c r="AC8" i="8"/>
  <c r="AC12" i="8"/>
  <c r="AC10" i="8"/>
  <c r="AB6" i="8"/>
  <c r="AB10" i="8"/>
  <c r="AB11" i="8"/>
  <c r="AC15" i="8"/>
  <c r="AC3" i="8"/>
  <c r="AC17" i="8"/>
  <c r="AC13" i="8"/>
  <c r="AC9" i="8" a="1"/>
  <c r="AC9" i="8" s="1"/>
  <c r="AB7" i="8"/>
  <c r="AB13" i="8"/>
  <c r="AC2" i="8"/>
  <c r="AB2" i="8"/>
  <c r="AC6" i="8"/>
  <c r="AC16" i="8"/>
  <c r="AB17" i="8"/>
  <c r="M15" i="19"/>
  <c r="M11" i="19"/>
  <c r="AA15" i="19"/>
  <c r="M8" i="19"/>
  <c r="M6" i="19"/>
  <c r="M5" i="19"/>
  <c r="M14" i="19"/>
  <c r="M12" i="19"/>
  <c r="M4" i="19"/>
  <c r="M17" i="19"/>
  <c r="M9" i="19"/>
  <c r="M3" i="19"/>
  <c r="M2" i="19"/>
  <c r="M10" i="19"/>
  <c r="M16" i="19"/>
  <c r="M13" i="19"/>
  <c r="M7" i="19"/>
  <c r="AD14" i="40"/>
  <c r="AE14" i="40" s="1"/>
  <c r="AF14" i="40" s="1"/>
  <c r="AC19" i="40"/>
  <c r="AD4" i="35"/>
  <c r="AE4" i="35" s="1"/>
  <c r="AF4" i="35" s="1"/>
  <c r="AD10" i="35"/>
  <c r="AE10" i="35" s="1"/>
  <c r="AF10" i="35" s="1"/>
  <c r="AD8" i="35"/>
  <c r="AE8" i="35" s="1"/>
  <c r="AF8" i="35" s="1"/>
  <c r="AD12" i="35"/>
  <c r="AE12" i="35" s="1"/>
  <c r="AF12" i="35" s="1"/>
  <c r="AD20" i="27"/>
  <c r="AE20" i="27" s="1"/>
  <c r="AF20" i="27" s="1"/>
  <c r="AD7" i="21"/>
  <c r="AE7" i="21" s="1"/>
  <c r="AF7" i="21" s="1"/>
  <c r="AC13" i="9"/>
  <c r="AB5" i="9"/>
  <c r="AB9" i="9"/>
  <c r="AB15" i="9"/>
  <c r="AD16" i="38"/>
  <c r="AE16" i="38" s="1"/>
  <c r="AF16" i="38" s="1"/>
  <c r="AD4" i="38"/>
  <c r="AE4" i="38" s="1"/>
  <c r="AF4" i="38" s="1"/>
  <c r="AD7" i="22"/>
  <c r="AE7" i="22" s="1"/>
  <c r="AF7" i="22" s="1"/>
  <c r="AD13" i="22"/>
  <c r="AE13" i="22" s="1"/>
  <c r="AF13" i="22" s="1"/>
  <c r="AB16" i="11"/>
  <c r="AC15" i="11"/>
  <c r="AB15" i="11"/>
  <c r="AB6" i="11"/>
  <c r="AC12" i="11"/>
  <c r="AB12" i="11"/>
  <c r="AC11" i="11"/>
  <c r="AC10" i="11"/>
  <c r="AB11" i="11"/>
  <c r="AB10" i="11"/>
  <c r="AC16" i="11"/>
  <c r="AC7" i="11"/>
  <c r="AC2" i="11"/>
  <c r="AB2" i="11"/>
  <c r="AB7" i="11"/>
  <c r="AC6" i="11"/>
  <c r="AB3" i="11"/>
  <c r="AC4" i="11"/>
  <c r="AB5" i="11"/>
  <c r="AB9" i="11"/>
  <c r="AB4" i="11"/>
  <c r="AC3" i="11"/>
  <c r="AB17" i="11"/>
  <c r="AC14" i="11"/>
  <c r="AB13" i="11"/>
  <c r="AC13" i="11"/>
  <c r="AC8" i="11"/>
  <c r="AC9" i="11"/>
  <c r="AC5" i="11"/>
  <c r="AC17" i="11"/>
  <c r="AB14" i="11"/>
  <c r="AB8" i="11"/>
  <c r="AD12" i="36"/>
  <c r="AE12" i="36" s="1"/>
  <c r="AF12" i="36" s="1"/>
  <c r="AD13" i="36"/>
  <c r="AE13" i="36" s="1"/>
  <c r="AF13" i="36" s="1"/>
  <c r="AD11" i="20"/>
  <c r="AE11" i="20" s="1"/>
  <c r="AF11" i="20" s="1"/>
  <c r="AD9" i="20"/>
  <c r="AE9" i="20" s="1"/>
  <c r="AF9" i="20" s="1"/>
  <c r="AC19" i="20"/>
  <c r="AD33" i="27"/>
  <c r="AE33" i="27" s="1"/>
  <c r="AF33" i="27" s="1"/>
  <c r="AD10" i="31"/>
  <c r="AE10" i="31" s="1"/>
  <c r="AF10" i="31" s="1"/>
  <c r="AD10" i="25"/>
  <c r="AE10" i="25" s="1"/>
  <c r="AF10" i="25" s="1"/>
  <c r="AD9" i="34"/>
  <c r="AE9" i="34" s="1"/>
  <c r="AF9" i="34" s="1"/>
  <c r="AD30" i="34"/>
  <c r="AE30" i="34" s="1"/>
  <c r="AF30" i="34" s="1"/>
  <c r="AD7" i="34"/>
  <c r="AE7" i="34" s="1"/>
  <c r="AF7" i="34" s="1"/>
  <c r="AD13" i="34"/>
  <c r="AE13" i="34" s="1"/>
  <c r="AF13" i="34" s="1"/>
  <c r="AD21" i="34"/>
  <c r="AE21" i="34" s="1"/>
  <c r="AF21" i="34" s="1"/>
  <c r="AD8" i="28"/>
  <c r="AE8" i="28" s="1"/>
  <c r="AF8" i="28" s="1"/>
  <c r="AD14" i="28"/>
  <c r="AE14" i="28" s="1"/>
  <c r="AF14" i="28" s="1"/>
  <c r="AD7" i="28"/>
  <c r="AE7" i="28" s="1"/>
  <c r="AF7" i="28" s="1"/>
  <c r="AC19" i="28"/>
  <c r="M7" i="15"/>
  <c r="M12" i="15"/>
  <c r="AD14" i="29"/>
  <c r="AE14" i="29" s="1"/>
  <c r="AF14" i="29" s="1"/>
  <c r="AD12" i="29"/>
  <c r="AE12" i="29" s="1"/>
  <c r="AF12" i="29" s="1"/>
  <c r="AD9" i="29"/>
  <c r="AE9" i="29" s="1"/>
  <c r="AF9" i="29" s="1"/>
  <c r="AD5" i="29"/>
  <c r="AE5" i="29" s="1"/>
  <c r="AF5" i="29" s="1"/>
  <c r="AC19" i="41"/>
  <c r="AB19" i="26"/>
  <c r="AD2" i="26"/>
  <c r="AE2" i="26" s="1"/>
  <c r="AF2" i="26" s="1"/>
  <c r="AD7" i="26"/>
  <c r="AE7" i="26" s="1"/>
  <c r="AF7" i="26" s="1"/>
  <c r="AD10" i="30"/>
  <c r="AE10" i="30" s="1"/>
  <c r="AF10" i="30" s="1"/>
  <c r="AD2" i="30"/>
  <c r="AE2" i="30" s="1"/>
  <c r="AF2" i="30" s="1"/>
  <c r="AB19" i="30"/>
  <c r="AD3" i="23"/>
  <c r="AE3" i="23" s="1"/>
  <c r="AF3" i="23" s="1"/>
  <c r="AD11" i="24"/>
  <c r="AE11" i="24" s="1"/>
  <c r="AF11" i="24" s="1"/>
  <c r="AD5" i="24"/>
  <c r="AE5" i="24" s="1"/>
  <c r="AF5" i="24" s="1"/>
  <c r="AC9" i="14"/>
  <c r="AC2" i="14"/>
  <c r="AB9" i="14"/>
  <c r="AB2" i="14"/>
  <c r="AB11" i="14"/>
  <c r="AB17" i="14"/>
  <c r="AC10" i="14"/>
  <c r="AC7" i="14"/>
  <c r="AC16" i="14"/>
  <c r="AB7" i="14"/>
  <c r="AC8" i="14"/>
  <c r="AC14" i="14"/>
  <c r="AB3" i="14"/>
  <c r="AB12" i="14"/>
  <c r="AB16" i="14"/>
  <c r="AB15" i="14"/>
  <c r="AB4" i="14"/>
  <c r="AB10" i="14"/>
  <c r="AC3" i="14"/>
  <c r="AB5" i="14"/>
  <c r="AC11" i="14"/>
  <c r="AC15" i="14"/>
  <c r="AB8" i="14"/>
  <c r="AB14" i="14"/>
  <c r="AB6" i="14"/>
  <c r="AC12" i="14"/>
  <c r="AC5" i="14"/>
  <c r="AC13" i="14"/>
  <c r="AC4" i="14"/>
  <c r="AC6" i="14"/>
  <c r="AB13" i="14"/>
  <c r="AC17" i="14"/>
  <c r="O14" i="5"/>
  <c r="O6" i="5"/>
  <c r="O11" i="5"/>
  <c r="O3" i="5"/>
  <c r="O15" i="5"/>
  <c r="O7" i="5"/>
  <c r="O12" i="5"/>
  <c r="O17" i="5"/>
  <c r="O8" i="5"/>
  <c r="O4" i="5"/>
  <c r="O5" i="5"/>
  <c r="AC2" i="5"/>
  <c r="O13" i="5"/>
  <c r="O9" i="5"/>
  <c r="O10" i="5"/>
  <c r="O16" i="5"/>
  <c r="O2" i="5"/>
  <c r="AD7" i="35"/>
  <c r="AE7" i="35" s="1"/>
  <c r="AF7" i="35" s="1"/>
  <c r="AD15" i="27"/>
  <c r="AE15" i="27" s="1"/>
  <c r="AF15" i="27" s="1"/>
  <c r="AD13" i="35"/>
  <c r="AE13" i="35" s="1"/>
  <c r="AF13" i="35" s="1"/>
  <c r="AD6" i="21"/>
  <c r="AE6" i="21" s="1"/>
  <c r="AF6" i="21" s="1"/>
  <c r="AD13" i="21"/>
  <c r="AE13" i="21" s="1"/>
  <c r="AF13" i="21" s="1"/>
  <c r="AD3" i="27"/>
  <c r="AE3" i="27" s="1"/>
  <c r="AF3" i="27" s="1"/>
  <c r="AC19" i="37"/>
  <c r="AD5" i="37"/>
  <c r="AE5" i="37" s="1"/>
  <c r="AF5" i="37" s="1"/>
  <c r="AD10" i="33"/>
  <c r="AE10" i="33" s="1"/>
  <c r="AF10" i="33" s="1"/>
  <c r="AD12" i="33"/>
  <c r="AE12" i="33" s="1"/>
  <c r="AF12" i="33" s="1"/>
  <c r="AD3" i="33"/>
  <c r="AE3" i="33" s="1"/>
  <c r="AF3" i="33" s="1"/>
  <c r="AD14" i="33"/>
  <c r="AE14" i="33" s="1"/>
  <c r="AF14" i="33" s="1"/>
  <c r="M3" i="10"/>
  <c r="M12" i="10"/>
  <c r="AD13" i="32"/>
  <c r="AE13" i="32" s="1"/>
  <c r="AF13" i="32" s="1"/>
  <c r="AD29" i="32"/>
  <c r="AE29" i="32" s="1"/>
  <c r="AF29" i="32" s="1"/>
  <c r="AD4" i="32"/>
  <c r="AE4" i="32" s="1"/>
  <c r="AF4" i="32" s="1"/>
  <c r="AD9" i="32"/>
  <c r="AE9" i="32" s="1"/>
  <c r="AF9" i="32" s="1"/>
  <c r="AD8" i="39"/>
  <c r="AE8" i="39" s="1"/>
  <c r="AF8" i="39" s="1"/>
  <c r="AD11" i="39"/>
  <c r="AE11" i="39" s="1"/>
  <c r="AF11" i="39" s="1"/>
  <c r="AD12" i="40"/>
  <c r="AE12" i="40" s="1"/>
  <c r="AF12" i="40" s="1"/>
  <c r="AD13" i="40"/>
  <c r="AE13" i="40" s="1"/>
  <c r="AF13" i="40" s="1"/>
  <c r="AD2" i="35"/>
  <c r="AB19" i="35"/>
  <c r="AD14" i="35"/>
  <c r="AE14" i="35" s="1"/>
  <c r="AF14" i="35" s="1"/>
  <c r="AD3" i="35"/>
  <c r="AE3" i="35" s="1"/>
  <c r="AF3" i="35" s="1"/>
  <c r="AD16" i="35"/>
  <c r="AE16" i="35" s="1"/>
  <c r="AF16" i="35" s="1"/>
  <c r="AD16" i="21"/>
  <c r="AE16" i="21" s="1"/>
  <c r="AF16" i="21" s="1"/>
  <c r="AD9" i="21"/>
  <c r="AE9" i="21" s="1"/>
  <c r="AF9" i="21" s="1"/>
  <c r="AC17" i="9"/>
  <c r="AD8" i="9"/>
  <c r="AE8" i="9" s="1"/>
  <c r="AF8" i="9" s="1"/>
  <c r="AC16" i="9"/>
  <c r="AD14" i="38"/>
  <c r="AE14" i="38" s="1"/>
  <c r="AF14" i="38" s="1"/>
  <c r="AD5" i="38"/>
  <c r="AE5" i="38" s="1"/>
  <c r="AF5" i="38" s="1"/>
  <c r="AD6" i="38"/>
  <c r="AE6" i="38" s="1"/>
  <c r="AF6" i="38" s="1"/>
  <c r="AD11" i="22"/>
  <c r="AE11" i="22" s="1"/>
  <c r="AF11" i="22" s="1"/>
  <c r="AD5" i="22"/>
  <c r="AE5" i="22" s="1"/>
  <c r="AF5" i="22" s="1"/>
  <c r="AD4" i="36"/>
  <c r="AE4" i="36" s="1"/>
  <c r="AF4" i="36" s="1"/>
  <c r="AD16" i="20"/>
  <c r="AE16" i="20" s="1"/>
  <c r="AF16" i="20" s="1"/>
  <c r="AD23" i="27"/>
  <c r="AE23" i="27" s="1"/>
  <c r="AF23" i="27" s="1"/>
  <c r="AD15" i="31"/>
  <c r="AE15" i="31" s="1"/>
  <c r="AF15" i="31" s="1"/>
  <c r="AD6" i="31"/>
  <c r="AE6" i="31" s="1"/>
  <c r="AF6" i="31" s="1"/>
  <c r="AD11" i="25"/>
  <c r="AE11" i="25" s="1"/>
  <c r="AF11" i="25" s="1"/>
  <c r="AD4" i="25"/>
  <c r="AE4" i="25" s="1"/>
  <c r="AF4" i="25" s="1"/>
  <c r="AD16" i="34"/>
  <c r="AE16" i="34" s="1"/>
  <c r="AF16" i="34" s="1"/>
  <c r="AD26" i="34"/>
  <c r="AE26" i="34" s="1"/>
  <c r="AF26" i="34" s="1"/>
  <c r="AD13" i="28"/>
  <c r="AE13" i="28" s="1"/>
  <c r="AF13" i="28" s="1"/>
  <c r="AD3" i="28"/>
  <c r="AE3" i="28" s="1"/>
  <c r="AF3" i="28" s="1"/>
  <c r="M8" i="15"/>
  <c r="M13" i="15"/>
  <c r="AD11" i="29"/>
  <c r="AE11" i="29" s="1"/>
  <c r="AF11" i="29" s="1"/>
  <c r="AD16" i="29"/>
  <c r="AE16" i="29" s="1"/>
  <c r="AF16" i="29" s="1"/>
  <c r="AB19" i="29"/>
  <c r="AD2" i="29"/>
  <c r="AD7" i="41"/>
  <c r="AE7" i="41" s="1"/>
  <c r="AF7" i="41" s="1"/>
  <c r="AD17" i="26"/>
  <c r="AE17" i="26" s="1"/>
  <c r="AF17" i="26" s="1"/>
  <c r="AD12" i="26"/>
  <c r="AE12" i="26" s="1"/>
  <c r="AF12" i="26" s="1"/>
  <c r="AD9" i="30"/>
  <c r="AE9" i="30" s="1"/>
  <c r="AF9" i="30" s="1"/>
  <c r="AD14" i="30"/>
  <c r="AE14" i="30" s="1"/>
  <c r="AF14" i="30" s="1"/>
  <c r="AD12" i="23"/>
  <c r="AE12" i="23" s="1"/>
  <c r="AF12" i="23" s="1"/>
  <c r="AD17" i="23"/>
  <c r="AE17" i="23" s="1"/>
  <c r="AF17" i="23" s="1"/>
  <c r="AB19" i="23"/>
  <c r="AD2" i="23"/>
  <c r="AE2" i="23" s="1"/>
  <c r="AF2" i="23" s="1"/>
  <c r="AD2" i="24"/>
  <c r="AB19" i="24"/>
  <c r="AD2" i="9" l="1"/>
  <c r="AE2" i="9" s="1"/>
  <c r="AF2" i="9" s="1"/>
  <c r="AD12" i="9"/>
  <c r="AE12" i="9" s="1"/>
  <c r="AF12" i="9" s="1"/>
  <c r="AC19" i="14"/>
  <c r="AG11" i="25"/>
  <c r="AG12" i="39"/>
  <c r="AG11" i="30"/>
  <c r="AC19" i="9"/>
  <c r="AG9" i="41"/>
  <c r="AG4" i="27"/>
  <c r="AG12" i="26"/>
  <c r="AG29" i="32"/>
  <c r="AG10" i="33"/>
  <c r="AG3" i="23"/>
  <c r="AB19" i="9"/>
  <c r="AG14" i="40"/>
  <c r="AG7" i="41"/>
  <c r="AG9" i="40"/>
  <c r="AG10" i="39"/>
  <c r="AG3" i="26"/>
  <c r="AG7" i="40"/>
  <c r="AG16" i="30"/>
  <c r="AG8" i="41"/>
  <c r="AG24" i="27"/>
  <c r="AG22" i="32"/>
  <c r="AG21" i="32"/>
  <c r="AG2" i="27"/>
  <c r="AG12" i="27"/>
  <c r="AG21" i="27"/>
  <c r="AG6" i="27"/>
  <c r="AG9" i="27"/>
  <c r="AG31" i="27"/>
  <c r="AG25" i="27"/>
  <c r="AG6" i="23"/>
  <c r="AG6" i="32"/>
  <c r="AG17" i="23"/>
  <c r="AG5" i="39"/>
  <c r="AG14" i="26"/>
  <c r="AG4" i="41"/>
  <c r="AG3" i="30"/>
  <c r="AG14" i="23"/>
  <c r="AG15" i="40"/>
  <c r="AG7" i="23"/>
  <c r="AG8" i="26"/>
  <c r="AG11" i="40"/>
  <c r="AG25" i="32"/>
  <c r="AG5" i="40"/>
  <c r="AG10" i="23"/>
  <c r="AG7" i="25"/>
  <c r="AG5" i="23"/>
  <c r="AG6" i="41"/>
  <c r="AG16" i="40"/>
  <c r="AG6" i="30"/>
  <c r="AG14" i="30"/>
  <c r="AG9" i="32"/>
  <c r="AG3" i="33"/>
  <c r="AG30" i="32"/>
  <c r="AG28" i="27"/>
  <c r="AG14" i="27"/>
  <c r="AG8" i="23"/>
  <c r="AG6" i="25"/>
  <c r="AG16" i="23"/>
  <c r="AG13" i="41"/>
  <c r="AG15" i="41"/>
  <c r="AG30" i="27"/>
  <c r="AG26" i="27"/>
  <c r="AG29" i="27"/>
  <c r="AG27" i="27"/>
  <c r="AG9" i="30"/>
  <c r="AG13" i="40"/>
  <c r="AG4" i="32"/>
  <c r="AG12" i="33"/>
  <c r="AG17" i="33"/>
  <c r="AG15" i="23"/>
  <c r="AG16" i="27"/>
  <c r="AG2" i="32"/>
  <c r="AG26" i="32"/>
  <c r="AG17" i="30"/>
  <c r="AG13" i="25"/>
  <c r="AG4" i="33"/>
  <c r="AG11" i="32"/>
  <c r="AG14" i="39"/>
  <c r="AG15" i="26"/>
  <c r="AG2" i="33"/>
  <c r="AG9" i="23"/>
  <c r="AG8" i="40"/>
  <c r="AG14" i="32"/>
  <c r="AG13" i="23"/>
  <c r="AG9" i="26"/>
  <c r="AG13" i="39"/>
  <c r="AG8" i="27"/>
  <c r="AG8" i="25"/>
  <c r="AG16" i="39"/>
  <c r="AG19" i="32"/>
  <c r="AG5" i="25"/>
  <c r="AG17" i="26"/>
  <c r="AG13" i="32"/>
  <c r="AG10" i="25"/>
  <c r="AG6" i="40"/>
  <c r="AG11" i="27"/>
  <c r="AG5" i="27"/>
  <c r="AG5" i="30"/>
  <c r="AG3" i="41"/>
  <c r="AG7" i="32"/>
  <c r="AG5" i="41"/>
  <c r="AG11" i="26"/>
  <c r="AG15" i="39"/>
  <c r="AG15" i="25"/>
  <c r="AG23" i="27"/>
  <c r="AG2" i="30"/>
  <c r="AD16" i="8"/>
  <c r="AE16" i="8" s="1"/>
  <c r="AF16" i="8" s="1"/>
  <c r="AD20" i="37"/>
  <c r="AD19" i="37"/>
  <c r="AG32" i="32"/>
  <c r="AG12" i="23"/>
  <c r="AG14" i="33"/>
  <c r="AD8" i="14"/>
  <c r="AE8" i="14" s="1"/>
  <c r="AF8" i="14" s="1"/>
  <c r="AG8" i="39"/>
  <c r="AD5" i="14"/>
  <c r="AE5" i="14" s="1"/>
  <c r="AF5" i="14" s="1"/>
  <c r="AD2" i="14"/>
  <c r="AE2" i="14" s="1"/>
  <c r="AF2" i="14" s="1"/>
  <c r="AB19" i="14"/>
  <c r="AG7" i="26"/>
  <c r="AD14" i="11"/>
  <c r="AE14" i="11" s="1"/>
  <c r="AF14" i="11" s="1"/>
  <c r="AD17" i="11"/>
  <c r="AE17" i="11" s="1"/>
  <c r="AF17" i="11" s="1"/>
  <c r="AD7" i="11"/>
  <c r="AE7" i="11" s="1"/>
  <c r="AF7" i="11" s="1"/>
  <c r="AD9" i="9"/>
  <c r="AE9" i="9" s="1"/>
  <c r="AF9" i="9" s="1"/>
  <c r="AD13" i="8"/>
  <c r="AE13" i="8" s="1"/>
  <c r="AF13" i="8" s="1"/>
  <c r="AD10" i="8"/>
  <c r="AE10" i="8" s="1"/>
  <c r="AF10" i="8" s="1"/>
  <c r="AG7" i="33"/>
  <c r="AG5" i="32"/>
  <c r="AG4" i="26"/>
  <c r="AG13" i="27"/>
  <c r="AG15" i="32"/>
  <c r="AB9" i="17"/>
  <c r="AC12" i="17"/>
  <c r="AC3" i="17"/>
  <c r="AB12" i="17"/>
  <c r="AC4" i="17"/>
  <c r="AB3" i="17"/>
  <c r="AB4" i="17"/>
  <c r="AC11" i="17"/>
  <c r="AC5" i="17"/>
  <c r="AC10" i="17"/>
  <c r="AB6" i="17"/>
  <c r="AB17" i="17"/>
  <c r="AC2" i="17"/>
  <c r="AC8" i="17"/>
  <c r="AB14" i="17"/>
  <c r="AB2" i="17"/>
  <c r="AB8" i="17"/>
  <c r="AB5" i="17"/>
  <c r="AC14" i="17"/>
  <c r="AC16" i="17"/>
  <c r="AB16" i="17"/>
  <c r="AC17" i="17"/>
  <c r="AC6" i="17"/>
  <c r="AB15" i="17"/>
  <c r="AC13" i="17"/>
  <c r="AC9" i="17"/>
  <c r="AB13" i="17"/>
  <c r="AB11" i="17"/>
  <c r="AC7" i="17"/>
  <c r="AB10" i="17"/>
  <c r="AB7" i="17"/>
  <c r="AC15" i="17"/>
  <c r="AG24" i="32"/>
  <c r="AG3" i="40"/>
  <c r="AD6" i="18"/>
  <c r="AE6" i="18" s="1"/>
  <c r="AF6" i="18" s="1"/>
  <c r="AD4" i="18"/>
  <c r="AE4" i="18" s="1"/>
  <c r="AF4" i="18" s="1"/>
  <c r="AG6" i="26"/>
  <c r="AD20" i="38"/>
  <c r="AD19" i="38"/>
  <c r="AG17" i="32"/>
  <c r="AG6" i="33"/>
  <c r="AG4" i="30"/>
  <c r="AG13" i="26"/>
  <c r="AG14" i="25"/>
  <c r="AD20" i="20"/>
  <c r="AD19" i="20"/>
  <c r="AG7" i="30"/>
  <c r="AG5" i="26"/>
  <c r="AG17" i="25"/>
  <c r="AG19" i="27"/>
  <c r="AG20" i="32"/>
  <c r="AG27" i="32"/>
  <c r="AG4" i="25"/>
  <c r="AC19" i="11"/>
  <c r="AG5" i="33"/>
  <c r="AG17" i="40"/>
  <c r="AD36" i="34"/>
  <c r="AD35" i="34"/>
  <c r="AD20" i="24"/>
  <c r="AD19" i="24"/>
  <c r="AD16" i="14"/>
  <c r="AE16" i="14" s="1"/>
  <c r="AF16" i="14" s="1"/>
  <c r="AG10" i="30"/>
  <c r="AG33" i="27"/>
  <c r="AE2" i="24"/>
  <c r="AF2" i="24" s="1"/>
  <c r="AG2" i="24" s="1"/>
  <c r="AG11" i="39"/>
  <c r="AG2" i="23"/>
  <c r="AD20" i="29"/>
  <c r="AD19" i="29"/>
  <c r="AD20" i="35"/>
  <c r="AD19" i="35"/>
  <c r="AG3" i="27"/>
  <c r="AG15" i="27"/>
  <c r="AE2" i="29"/>
  <c r="AF2" i="29" s="1"/>
  <c r="AG2" i="29" s="1"/>
  <c r="AE2" i="35"/>
  <c r="AF2" i="35" s="1"/>
  <c r="AG2" i="35" s="1"/>
  <c r="AD9" i="14"/>
  <c r="AE9" i="14" s="1"/>
  <c r="AF9" i="14" s="1"/>
  <c r="AD19" i="26"/>
  <c r="AD20" i="26"/>
  <c r="AB19" i="11"/>
  <c r="AD2" i="11"/>
  <c r="AE2" i="11" s="1"/>
  <c r="AF2" i="11" s="1"/>
  <c r="AD12" i="11"/>
  <c r="AE12" i="11" s="1"/>
  <c r="AF12" i="11" s="1"/>
  <c r="AD5" i="9"/>
  <c r="AE5" i="9" s="1"/>
  <c r="AF5" i="9" s="1"/>
  <c r="AD7" i="8"/>
  <c r="AE7" i="8" s="1"/>
  <c r="AF7" i="8" s="1"/>
  <c r="AD6" i="8"/>
  <c r="AE6" i="8" s="1"/>
  <c r="AF6" i="8" s="1"/>
  <c r="AD14" i="8"/>
  <c r="AE14" i="8" s="1"/>
  <c r="AF14" i="8" s="1"/>
  <c r="AD12" i="8"/>
  <c r="AE12" i="8" s="1"/>
  <c r="AF12" i="8" s="1"/>
  <c r="AC8" i="15"/>
  <c r="AC7" i="15"/>
  <c r="AB6" i="15"/>
  <c r="AB5" i="15"/>
  <c r="AC15" i="15"/>
  <c r="AC9" i="15"/>
  <c r="AB13" i="15"/>
  <c r="AC12" i="15"/>
  <c r="AB12" i="15"/>
  <c r="AC6" i="15"/>
  <c r="AC5" i="15"/>
  <c r="AC4" i="15"/>
  <c r="AB4" i="15"/>
  <c r="AB3" i="15"/>
  <c r="AC2" i="15"/>
  <c r="AB2" i="15"/>
  <c r="AB8" i="15"/>
  <c r="AB7" i="15"/>
  <c r="AB17" i="15"/>
  <c r="AB11" i="15"/>
  <c r="AB10" i="15"/>
  <c r="AC3" i="15"/>
  <c r="AC10" i="15"/>
  <c r="AC14" i="15"/>
  <c r="AC17" i="15"/>
  <c r="AB16" i="15"/>
  <c r="AB14" i="15"/>
  <c r="AC13" i="15"/>
  <c r="AB9" i="15"/>
  <c r="AC11" i="15"/>
  <c r="AB15" i="15"/>
  <c r="AC16" i="15"/>
  <c r="AD11" i="18"/>
  <c r="AE11" i="18" s="1"/>
  <c r="AF11" i="18" s="1"/>
  <c r="AD17" i="18"/>
  <c r="AE17" i="18" s="1"/>
  <c r="AF17" i="18" s="1"/>
  <c r="AE2" i="38"/>
  <c r="AF2" i="38" s="1"/>
  <c r="AG13" i="38" s="1"/>
  <c r="AE2" i="20"/>
  <c r="AF2" i="20" s="1"/>
  <c r="AG2" i="20" s="1"/>
  <c r="AG12" i="41"/>
  <c r="AG10" i="40"/>
  <c r="AG11" i="33"/>
  <c r="AG11" i="23"/>
  <c r="AG8" i="30"/>
  <c r="AG16" i="26"/>
  <c r="AG12" i="30"/>
  <c r="AG16" i="41"/>
  <c r="AG10" i="27"/>
  <c r="AG12" i="32"/>
  <c r="AG9" i="33"/>
  <c r="AD20" i="22"/>
  <c r="AD19" i="22"/>
  <c r="AD10" i="14"/>
  <c r="AE10" i="14" s="1"/>
  <c r="AF10" i="14" s="1"/>
  <c r="AG23" i="32"/>
  <c r="AG11" i="41"/>
  <c r="AG2" i="40"/>
  <c r="AG3" i="25"/>
  <c r="AD20" i="31"/>
  <c r="AD19" i="31"/>
  <c r="AD7" i="9"/>
  <c r="AE7" i="9" s="1"/>
  <c r="AF7" i="9" s="1"/>
  <c r="AG7" i="27"/>
  <c r="AD14" i="18"/>
  <c r="AE14" i="18" s="1"/>
  <c r="AF14" i="18" s="1"/>
  <c r="AD2" i="18"/>
  <c r="AB19" i="18"/>
  <c r="AC19" i="18"/>
  <c r="AE10" i="5"/>
  <c r="AE2" i="5"/>
  <c r="AE11" i="5"/>
  <c r="AD10" i="5"/>
  <c r="AD6" i="5"/>
  <c r="AD2" i="5"/>
  <c r="AE8" i="5"/>
  <c r="AD8" i="5"/>
  <c r="AE16" i="5"/>
  <c r="AD14" i="5"/>
  <c r="AE9" i="5"/>
  <c r="AD17" i="5"/>
  <c r="AE6" i="5"/>
  <c r="AD12" i="5"/>
  <c r="AD16" i="5"/>
  <c r="AD11" i="5"/>
  <c r="AD15" i="5"/>
  <c r="AD13" i="5"/>
  <c r="AE15" i="5"/>
  <c r="AE7" i="5"/>
  <c r="AE14" i="5"/>
  <c r="AE3" i="5"/>
  <c r="AE4" i="5"/>
  <c r="AD5" i="5"/>
  <c r="AD9" i="5"/>
  <c r="AE12" i="5"/>
  <c r="AD3" i="5"/>
  <c r="AD4" i="5"/>
  <c r="AE13" i="5"/>
  <c r="AE17" i="5"/>
  <c r="AD7" i="5"/>
  <c r="AE5" i="5"/>
  <c r="AD6" i="14"/>
  <c r="AE6" i="14" s="1"/>
  <c r="AF6" i="14" s="1"/>
  <c r="AD4" i="14"/>
  <c r="AE4" i="14" s="1"/>
  <c r="AF4" i="14" s="1"/>
  <c r="AD9" i="11"/>
  <c r="AE9" i="11" s="1"/>
  <c r="AF9" i="11" s="1"/>
  <c r="AD6" i="11"/>
  <c r="AE6" i="11" s="1"/>
  <c r="AF6" i="11" s="1"/>
  <c r="AD17" i="8"/>
  <c r="AE17" i="8" s="1"/>
  <c r="AF17" i="8" s="1"/>
  <c r="AD5" i="8"/>
  <c r="AE5" i="8" s="1"/>
  <c r="AF5" i="8" s="1"/>
  <c r="AE2" i="34"/>
  <c r="AF2" i="34" s="1"/>
  <c r="AG2" i="34" s="1"/>
  <c r="AD19" i="39"/>
  <c r="AD20" i="39"/>
  <c r="AE2" i="31"/>
  <c r="AF2" i="31" s="1"/>
  <c r="AG2" i="31" s="1"/>
  <c r="AD10" i="18"/>
  <c r="AE10" i="18" s="1"/>
  <c r="AF10" i="18" s="1"/>
  <c r="AD3" i="18"/>
  <c r="AE3" i="18" s="1"/>
  <c r="AF3" i="18" s="1"/>
  <c r="AD9" i="18"/>
  <c r="AE9" i="18" s="1"/>
  <c r="AF9" i="18" s="1"/>
  <c r="AD20" i="28"/>
  <c r="AD19" i="28"/>
  <c r="AD11" i="9"/>
  <c r="AE11" i="9" s="1"/>
  <c r="AF11" i="9" s="1"/>
  <c r="AD20" i="36"/>
  <c r="AD19" i="36"/>
  <c r="AE2" i="22"/>
  <c r="AF2" i="22" s="1"/>
  <c r="AG8" i="22" s="1"/>
  <c r="AD7" i="14"/>
  <c r="AE7" i="14" s="1"/>
  <c r="AF7" i="14" s="1"/>
  <c r="AD4" i="8"/>
  <c r="AE4" i="8" s="1"/>
  <c r="AF4" i="8" s="1"/>
  <c r="AD14" i="14"/>
  <c r="AE14" i="14" s="1"/>
  <c r="AF14" i="14" s="1"/>
  <c r="AD15" i="14"/>
  <c r="AE15" i="14" s="1"/>
  <c r="AF15" i="14" s="1"/>
  <c r="AD20" i="30"/>
  <c r="AD19" i="30"/>
  <c r="AD5" i="11"/>
  <c r="AE5" i="11" s="1"/>
  <c r="AF5" i="11" s="1"/>
  <c r="AD15" i="11"/>
  <c r="AE15" i="11" s="1"/>
  <c r="AF15" i="11" s="1"/>
  <c r="AG15" i="33"/>
  <c r="AG8" i="33"/>
  <c r="AG18" i="27"/>
  <c r="AE2" i="37"/>
  <c r="AF2" i="37" s="1"/>
  <c r="AG2" i="37" s="1"/>
  <c r="AC15" i="7"/>
  <c r="AC11" i="7"/>
  <c r="AC7" i="7"/>
  <c r="AC3" i="7"/>
  <c r="AD14" i="7"/>
  <c r="AD10" i="7"/>
  <c r="AD6" i="7"/>
  <c r="AD17" i="7"/>
  <c r="AD13" i="7"/>
  <c r="AD9" i="7"/>
  <c r="AD5" i="7"/>
  <c r="AD2" i="7"/>
  <c r="AD11" i="7"/>
  <c r="AC9" i="7"/>
  <c r="AD7" i="7"/>
  <c r="AC10" i="7"/>
  <c r="AC6" i="7"/>
  <c r="AC12" i="7"/>
  <c r="AD12" i="7"/>
  <c r="AC16" i="7"/>
  <c r="AC14" i="7"/>
  <c r="AD16" i="7"/>
  <c r="AC13" i="7"/>
  <c r="AC17" i="7"/>
  <c r="AC5" i="7"/>
  <c r="AD4" i="7"/>
  <c r="AC2" i="7"/>
  <c r="AC8" i="7"/>
  <c r="AD3" i="7"/>
  <c r="AD8" i="7"/>
  <c r="AD15" i="7"/>
  <c r="AC4" i="7"/>
  <c r="AG13" i="30"/>
  <c r="AD3" i="9"/>
  <c r="AE3" i="9" s="1"/>
  <c r="AF3" i="9" s="1"/>
  <c r="AD19" i="40"/>
  <c r="AD20" i="40"/>
  <c r="AD13" i="9"/>
  <c r="AE13" i="9" s="1"/>
  <c r="AF13" i="9" s="1"/>
  <c r="AD5" i="18"/>
  <c r="AE5" i="18" s="1"/>
  <c r="AF5" i="18" s="1"/>
  <c r="AD15" i="18"/>
  <c r="AE15" i="18" s="1"/>
  <c r="AF15" i="18" s="1"/>
  <c r="AE2" i="28"/>
  <c r="AF2" i="28" s="1"/>
  <c r="AG2" i="28" s="1"/>
  <c r="AD6" i="9"/>
  <c r="AE6" i="9" s="1"/>
  <c r="AF6" i="9" s="1"/>
  <c r="AD19" i="25"/>
  <c r="AD20" i="25"/>
  <c r="AE2" i="36"/>
  <c r="AF2" i="36" s="1"/>
  <c r="AG13" i="36" s="1"/>
  <c r="AD10" i="9"/>
  <c r="AE10" i="9" s="1"/>
  <c r="AF10" i="9" s="1"/>
  <c r="AD10" i="11"/>
  <c r="AE10" i="11" s="1"/>
  <c r="AF10" i="11" s="1"/>
  <c r="AG20" i="27"/>
  <c r="AD8" i="8"/>
  <c r="AE8" i="8" s="1"/>
  <c r="AF8" i="8" s="1"/>
  <c r="AG17" i="39"/>
  <c r="AG16" i="32"/>
  <c r="AG13" i="33"/>
  <c r="AD20" i="21"/>
  <c r="AD19" i="21"/>
  <c r="AD20" i="33"/>
  <c r="AD19" i="33"/>
  <c r="AG14" i="41"/>
  <c r="AD16" i="9"/>
  <c r="AE16" i="9" s="1"/>
  <c r="AF16" i="9" s="1"/>
  <c r="AG7" i="39"/>
  <c r="AB12" i="10"/>
  <c r="AB17" i="10"/>
  <c r="AC8" i="10"/>
  <c r="AC3" i="10"/>
  <c r="AC16" i="10"/>
  <c r="AB8" i="10"/>
  <c r="AC12" i="10"/>
  <c r="AC15" i="10"/>
  <c r="AC7" i="10"/>
  <c r="AC4" i="10"/>
  <c r="AB4" i="10"/>
  <c r="AB13" i="10"/>
  <c r="AB15" i="10"/>
  <c r="AB2" i="10"/>
  <c r="AB6" i="10"/>
  <c r="AB14" i="10"/>
  <c r="AB9" i="10"/>
  <c r="AB3" i="10"/>
  <c r="AC11" i="10"/>
  <c r="AC9" i="10"/>
  <c r="AB11" i="10"/>
  <c r="AB5" i="10"/>
  <c r="AB16" i="10"/>
  <c r="AC5" i="10"/>
  <c r="AC2" i="10"/>
  <c r="AB10" i="10"/>
  <c r="AC13" i="10"/>
  <c r="AB7" i="10"/>
  <c r="AC14" i="10"/>
  <c r="AC10" i="10"/>
  <c r="AC17" i="10"/>
  <c r="AC6" i="10"/>
  <c r="AG18" i="32"/>
  <c r="AG33" i="32"/>
  <c r="AG10" i="32"/>
  <c r="AG4" i="23"/>
  <c r="AG15" i="30"/>
  <c r="AG17" i="41"/>
  <c r="AG9" i="25"/>
  <c r="AD12" i="18"/>
  <c r="AE12" i="18" s="1"/>
  <c r="AF12" i="18" s="1"/>
  <c r="AG32" i="27"/>
  <c r="AG12" i="25"/>
  <c r="AG17" i="27"/>
  <c r="AG4" i="40"/>
  <c r="AG31" i="32"/>
  <c r="AG4" i="39"/>
  <c r="AG3" i="32"/>
  <c r="AE17" i="4"/>
  <c r="AD17" i="4"/>
  <c r="AD13" i="4"/>
  <c r="AE10" i="4"/>
  <c r="AD15" i="4"/>
  <c r="AD10" i="4"/>
  <c r="AE9" i="4"/>
  <c r="AD5" i="4"/>
  <c r="AE12" i="4"/>
  <c r="AD9" i="4"/>
  <c r="AE6" i="4"/>
  <c r="AD6" i="4"/>
  <c r="AE14" i="4"/>
  <c r="AD12" i="4"/>
  <c r="AE8" i="4"/>
  <c r="AD7" i="4"/>
  <c r="AE2" i="4"/>
  <c r="AD8" i="4"/>
  <c r="AE7" i="4"/>
  <c r="AE16" i="4"/>
  <c r="AE11" i="4"/>
  <c r="AD14" i="4"/>
  <c r="AE4" i="4"/>
  <c r="AE15" i="4"/>
  <c r="AD16" i="4"/>
  <c r="AD3" i="4"/>
  <c r="AD2" i="4"/>
  <c r="AE13" i="4"/>
  <c r="AD11" i="4"/>
  <c r="AE3" i="4"/>
  <c r="AE5" i="4"/>
  <c r="AD4" i="4"/>
  <c r="AG2" i="41"/>
  <c r="AD17" i="9"/>
  <c r="AE17" i="9" s="1"/>
  <c r="AF17" i="9" s="1"/>
  <c r="AG2" i="25"/>
  <c r="AD35" i="27"/>
  <c r="AG28" i="32"/>
  <c r="AG16" i="33"/>
  <c r="AG22" i="27"/>
  <c r="AG10" i="26"/>
  <c r="AD4" i="11"/>
  <c r="AE4" i="11" s="1"/>
  <c r="AF4" i="11" s="1"/>
  <c r="AB10" i="12"/>
  <c r="AC9" i="12"/>
  <c r="AB2" i="12"/>
  <c r="AB9" i="12"/>
  <c r="AC6" i="12"/>
  <c r="AB15" i="12"/>
  <c r="AB14" i="12"/>
  <c r="AC13" i="12"/>
  <c r="AB6" i="12"/>
  <c r="AC5" i="12"/>
  <c r="AB13" i="12"/>
  <c r="AB5" i="12"/>
  <c r="AC10" i="12"/>
  <c r="AB11" i="12"/>
  <c r="AB12" i="12"/>
  <c r="AB7" i="12"/>
  <c r="AC2" i="12"/>
  <c r="AC3" i="12"/>
  <c r="AB16" i="12"/>
  <c r="AB8" i="12"/>
  <c r="AC17" i="12"/>
  <c r="AC4" i="12"/>
  <c r="AC11" i="12"/>
  <c r="AB3" i="12"/>
  <c r="AB17" i="12"/>
  <c r="AC7" i="12"/>
  <c r="AB4" i="12"/>
  <c r="AC14" i="12"/>
  <c r="AC16" i="12"/>
  <c r="AC15" i="12"/>
  <c r="AC12" i="12"/>
  <c r="AC8" i="12"/>
  <c r="AG10" i="41"/>
  <c r="AG12" i="40"/>
  <c r="AD12" i="14"/>
  <c r="AE12" i="14" s="1"/>
  <c r="AF12" i="14" s="1"/>
  <c r="AD13" i="11"/>
  <c r="AE13" i="11" s="1"/>
  <c r="AF13" i="11" s="1"/>
  <c r="AD3" i="11"/>
  <c r="AE3" i="11" s="1"/>
  <c r="AF3" i="11" s="1"/>
  <c r="AD16" i="11"/>
  <c r="AE16" i="11" s="1"/>
  <c r="AF16" i="11" s="1"/>
  <c r="AB7" i="19"/>
  <c r="AC13" i="19"/>
  <c r="AC14" i="19"/>
  <c r="AB4" i="19"/>
  <c r="AC2" i="19"/>
  <c r="AC15" i="19"/>
  <c r="AB2" i="19"/>
  <c r="AB15" i="19"/>
  <c r="AC10" i="19"/>
  <c r="AC12" i="19"/>
  <c r="AC8" i="19"/>
  <c r="AC5" i="19"/>
  <c r="AB12" i="19"/>
  <c r="AB16" i="19"/>
  <c r="AB10" i="19"/>
  <c r="AB5" i="19"/>
  <c r="AC7" i="19"/>
  <c r="AB11" i="19"/>
  <c r="AB3" i="19"/>
  <c r="AC17" i="19"/>
  <c r="AC9" i="19"/>
  <c r="AB8" i="19"/>
  <c r="AC6" i="19"/>
  <c r="AC4" i="19"/>
  <c r="AB17" i="19"/>
  <c r="AC3" i="19"/>
  <c r="AB14" i="19"/>
  <c r="AC16" i="19"/>
  <c r="AB13" i="19"/>
  <c r="AB9" i="19"/>
  <c r="AB6" i="19"/>
  <c r="AC11" i="19"/>
  <c r="AD2" i="8"/>
  <c r="AB19" i="8"/>
  <c r="AD3" i="8"/>
  <c r="AE3" i="8" s="1"/>
  <c r="AF3" i="8" s="1"/>
  <c r="AE2" i="21"/>
  <c r="AF2" i="21" s="1"/>
  <c r="AG2" i="21" s="1"/>
  <c r="AG16" i="25"/>
  <c r="AG8" i="32"/>
  <c r="AD16" i="18"/>
  <c r="AE16" i="18" s="1"/>
  <c r="AF16" i="18" s="1"/>
  <c r="AD8" i="18"/>
  <c r="AE8" i="18" s="1"/>
  <c r="AF8" i="18" s="1"/>
  <c r="AD7" i="18"/>
  <c r="AE7" i="18" s="1"/>
  <c r="AF7" i="18" s="1"/>
  <c r="AG6" i="39"/>
  <c r="AG9" i="39"/>
  <c r="AB14" i="13"/>
  <c r="AB13" i="13"/>
  <c r="AC12" i="13"/>
  <c r="AB12" i="13"/>
  <c r="AC7" i="13"/>
  <c r="AB8" i="13"/>
  <c r="AB7" i="13"/>
  <c r="AC4" i="13"/>
  <c r="AB9" i="13"/>
  <c r="AB4" i="13"/>
  <c r="AC14" i="13"/>
  <c r="AC17" i="13"/>
  <c r="AC3" i="13"/>
  <c r="AB15" i="13"/>
  <c r="AB11" i="13"/>
  <c r="AB3" i="13"/>
  <c r="AB5" i="13"/>
  <c r="AC10" i="13"/>
  <c r="AB10" i="13"/>
  <c r="AC16" i="13"/>
  <c r="AC13" i="13"/>
  <c r="AC15" i="13"/>
  <c r="AB2" i="13"/>
  <c r="AB16" i="13"/>
  <c r="AC8" i="13"/>
  <c r="AB17" i="13"/>
  <c r="AC2" i="13"/>
  <c r="AC6" i="13"/>
  <c r="AC11" i="13"/>
  <c r="AC9" i="13"/>
  <c r="AC5" i="13"/>
  <c r="AB6" i="13"/>
  <c r="AB12" i="16"/>
  <c r="AC8" i="16"/>
  <c r="AC5" i="16"/>
  <c r="AC17" i="16"/>
  <c r="AB17" i="16"/>
  <c r="AB11" i="16"/>
  <c r="AB6" i="16"/>
  <c r="AB3" i="16"/>
  <c r="AB7" i="16"/>
  <c r="AB13" i="16"/>
  <c r="AB5" i="16"/>
  <c r="AC3" i="16"/>
  <c r="AB4" i="16"/>
  <c r="AC6" i="16"/>
  <c r="AC15" i="16"/>
  <c r="AC2" i="16"/>
  <c r="AC14" i="16"/>
  <c r="AB8" i="16"/>
  <c r="AC11" i="16"/>
  <c r="AB9" i="16"/>
  <c r="AC4" i="16"/>
  <c r="AC7" i="16"/>
  <c r="AB15" i="16"/>
  <c r="AC10" i="16"/>
  <c r="AC13" i="16"/>
  <c r="AC16" i="16"/>
  <c r="AB16" i="16"/>
  <c r="AC9" i="16"/>
  <c r="AC12" i="16"/>
  <c r="AB2" i="16"/>
  <c r="AB14" i="16"/>
  <c r="AB10" i="16"/>
  <c r="AG2" i="26"/>
  <c r="AD13" i="14"/>
  <c r="AE13" i="14" s="1"/>
  <c r="AF13" i="14" s="1"/>
  <c r="AD17" i="14"/>
  <c r="AE17" i="14" s="1"/>
  <c r="AF17" i="14" s="1"/>
  <c r="AD11" i="11"/>
  <c r="AE11" i="11" s="1"/>
  <c r="AF11" i="11" s="1"/>
  <c r="AD20" i="23"/>
  <c r="AD19" i="23"/>
  <c r="AD3" i="14"/>
  <c r="AE3" i="14" s="1"/>
  <c r="AF3" i="14" s="1"/>
  <c r="AD11" i="14"/>
  <c r="AE11" i="14" s="1"/>
  <c r="AF11" i="14" s="1"/>
  <c r="AD8" i="11"/>
  <c r="AE8" i="11" s="1"/>
  <c r="AF8" i="11" s="1"/>
  <c r="AD15" i="9"/>
  <c r="AE15" i="9" s="1"/>
  <c r="AF15" i="9" s="1"/>
  <c r="AC19" i="8"/>
  <c r="AD11" i="8"/>
  <c r="AE11" i="8" s="1"/>
  <c r="AF11" i="8" s="1"/>
  <c r="AD15" i="8"/>
  <c r="AE15" i="8" s="1"/>
  <c r="AF15" i="8" s="1"/>
  <c r="AG9" i="8"/>
  <c r="AD9" i="8"/>
  <c r="AE9" i="8" s="1"/>
  <c r="AF9" i="8" s="1"/>
  <c r="AE15" i="6"/>
  <c r="AF11" i="6"/>
  <c r="AF3" i="6"/>
  <c r="AF17" i="6"/>
  <c r="AE7" i="6"/>
  <c r="AF4" i="6"/>
  <c r="AF12" i="6"/>
  <c r="AE11" i="6"/>
  <c r="AF8" i="6"/>
  <c r="AE8" i="6"/>
  <c r="AE16" i="6"/>
  <c r="AF7" i="6"/>
  <c r="AE2" i="6"/>
  <c r="AF10" i="6"/>
  <c r="AE3" i="6"/>
  <c r="AF9" i="6"/>
  <c r="AE10" i="6"/>
  <c r="AF15" i="6"/>
  <c r="AF5" i="6"/>
  <c r="AF16" i="6"/>
  <c r="AF13" i="6"/>
  <c r="AE17" i="6"/>
  <c r="AF14" i="6"/>
  <c r="AE12" i="6"/>
  <c r="AE9" i="6"/>
  <c r="AE4" i="6"/>
  <c r="AF6" i="6"/>
  <c r="AF2" i="6"/>
  <c r="AE5" i="6"/>
  <c r="AE6" i="6"/>
  <c r="AE14" i="6"/>
  <c r="AE13" i="6"/>
  <c r="AD13" i="18"/>
  <c r="AE13" i="18" s="1"/>
  <c r="AF13" i="18" s="1"/>
  <c r="AD20" i="41"/>
  <c r="AD19" i="41"/>
  <c r="AG4" i="29" l="1"/>
  <c r="AG15" i="37"/>
  <c r="AG14" i="29"/>
  <c r="AG15" i="29"/>
  <c r="AG11" i="20"/>
  <c r="AG14" i="20"/>
  <c r="AG12" i="20"/>
  <c r="AG16" i="29"/>
  <c r="AG17" i="29"/>
  <c r="AG12" i="29"/>
  <c r="AG7" i="20"/>
  <c r="AG5" i="29"/>
  <c r="AG6" i="34"/>
  <c r="AG16" i="20"/>
  <c r="AG10" i="34"/>
  <c r="AG3" i="34"/>
  <c r="AG23" i="34"/>
  <c r="AG10" i="37"/>
  <c r="AG16" i="37"/>
  <c r="AG15" i="20"/>
  <c r="AG10" i="35"/>
  <c r="AG5" i="35"/>
  <c r="AG8" i="35"/>
  <c r="AG17" i="35"/>
  <c r="AG16" i="35"/>
  <c r="AG3" i="35"/>
  <c r="AG16" i="38"/>
  <c r="AG12" i="31"/>
  <c r="AG6" i="38"/>
  <c r="AG13" i="28"/>
  <c r="AG4" i="38"/>
  <c r="AG7" i="38"/>
  <c r="AG15" i="21"/>
  <c r="AG16" i="28"/>
  <c r="AG15" i="34"/>
  <c r="AG5" i="24"/>
  <c r="AG9" i="29"/>
  <c r="AG6" i="22"/>
  <c r="AG17" i="22"/>
  <c r="AG6" i="37"/>
  <c r="AG4" i="36"/>
  <c r="AG6" i="29"/>
  <c r="AG3" i="37"/>
  <c r="AG15" i="9"/>
  <c r="AG15" i="24"/>
  <c r="AG4" i="35"/>
  <c r="AG4" i="31"/>
  <c r="AC19" i="10"/>
  <c r="AG6" i="24"/>
  <c r="AG11" i="34"/>
  <c r="AD20" i="9"/>
  <c r="AG14" i="34"/>
  <c r="AG3" i="24"/>
  <c r="AG9" i="24"/>
  <c r="AG17" i="24"/>
  <c r="AG16" i="34"/>
  <c r="AG18" i="34"/>
  <c r="AD19" i="9"/>
  <c r="AG14" i="37"/>
  <c r="AG27" i="34"/>
  <c r="AG16" i="21"/>
  <c r="AG9" i="38"/>
  <c r="AG9" i="14"/>
  <c r="AG25" i="34"/>
  <c r="AG15" i="11"/>
  <c r="AG29" i="34"/>
  <c r="AG3" i="21"/>
  <c r="AG8" i="14"/>
  <c r="AG11" i="14"/>
  <c r="AG13" i="11"/>
  <c r="AG4" i="11"/>
  <c r="AG5" i="11"/>
  <c r="AG9" i="11"/>
  <c r="AG12" i="11"/>
  <c r="AG17" i="11"/>
  <c r="AG7" i="11"/>
  <c r="AG7" i="14"/>
  <c r="AG7" i="9"/>
  <c r="AG14" i="9"/>
  <c r="AG10" i="14"/>
  <c r="AG6" i="11"/>
  <c r="AG11" i="11"/>
  <c r="AF19" i="6"/>
  <c r="AD2" i="13"/>
  <c r="AE2" i="13" s="1"/>
  <c r="AF2" i="13" s="1"/>
  <c r="AB19" i="13"/>
  <c r="AF4" i="4"/>
  <c r="AG4" i="4" s="1"/>
  <c r="AH4" i="4" s="1"/>
  <c r="AG14" i="6"/>
  <c r="AH14" i="6" s="1"/>
  <c r="AI14" i="6" s="1"/>
  <c r="AG3" i="6"/>
  <c r="AH3" i="6" s="1"/>
  <c r="AI3" i="6" s="1"/>
  <c r="AD12" i="16"/>
  <c r="AE12" i="16" s="1"/>
  <c r="AF12" i="16" s="1"/>
  <c r="AD13" i="13"/>
  <c r="AE13" i="13" s="1"/>
  <c r="AF13" i="13" s="1"/>
  <c r="AC19" i="19"/>
  <c r="AD17" i="12"/>
  <c r="AE17" i="12" s="1"/>
  <c r="AF17" i="12" s="1"/>
  <c r="AD6" i="12"/>
  <c r="AE6" i="12" s="1"/>
  <c r="AF6" i="12" s="1"/>
  <c r="AF13" i="4"/>
  <c r="AG13" i="4" s="1"/>
  <c r="AH13" i="4" s="1"/>
  <c r="AG6" i="9"/>
  <c r="AG17" i="6"/>
  <c r="AH17" i="6" s="1"/>
  <c r="AI17" i="6" s="1"/>
  <c r="AG8" i="11"/>
  <c r="AC19" i="16"/>
  <c r="AD5" i="13"/>
  <c r="AE5" i="13" s="1"/>
  <c r="AF5" i="13" s="1"/>
  <c r="AD14" i="13"/>
  <c r="AE14" i="13" s="1"/>
  <c r="AF14" i="13" s="1"/>
  <c r="AD4" i="19"/>
  <c r="AE4" i="19" s="1"/>
  <c r="AF4" i="19" s="1"/>
  <c r="AD3" i="12"/>
  <c r="AE3" i="12" s="1"/>
  <c r="AF3" i="12" s="1"/>
  <c r="AD7" i="12"/>
  <c r="AE7" i="12" s="1"/>
  <c r="AF7" i="12" s="1"/>
  <c r="AF3" i="4"/>
  <c r="AG3" i="4" s="1"/>
  <c r="AH3" i="4" s="1"/>
  <c r="AF8" i="4"/>
  <c r="AG8" i="4" s="1"/>
  <c r="AH8" i="4" s="1"/>
  <c r="AF9" i="4"/>
  <c r="AG9" i="4" s="1"/>
  <c r="AH9" i="4" s="1"/>
  <c r="AF17" i="4"/>
  <c r="AG17" i="4" s="1"/>
  <c r="AH17" i="4" s="1"/>
  <c r="AD4" i="10"/>
  <c r="AE4" i="10" s="1"/>
  <c r="AF4" i="10" s="1"/>
  <c r="AE5" i="7"/>
  <c r="AF5" i="7" s="1"/>
  <c r="AG5" i="7" s="1"/>
  <c r="AE6" i="7"/>
  <c r="AF6" i="7" s="1"/>
  <c r="AG6" i="7" s="1"/>
  <c r="AE15" i="7"/>
  <c r="AF15" i="7" s="1"/>
  <c r="AG15" i="7" s="1"/>
  <c r="AG15" i="14"/>
  <c r="AF12" i="5"/>
  <c r="AG12" i="5" s="1"/>
  <c r="AH12" i="5" s="1"/>
  <c r="AF2" i="5"/>
  <c r="AG2" i="5" s="1"/>
  <c r="AH2" i="5" s="1"/>
  <c r="AD19" i="5"/>
  <c r="AD20" i="18"/>
  <c r="AD19" i="18"/>
  <c r="AG11" i="22"/>
  <c r="AG4" i="28"/>
  <c r="AD8" i="15"/>
  <c r="AE8" i="15" s="1"/>
  <c r="AF8" i="15" s="1"/>
  <c r="AD12" i="15"/>
  <c r="AE12" i="15" s="1"/>
  <c r="AF12" i="15" s="1"/>
  <c r="AG15" i="36"/>
  <c r="AG13" i="24"/>
  <c r="AD5" i="17"/>
  <c r="AE5" i="17" s="1"/>
  <c r="AF5" i="17" s="1"/>
  <c r="AG9" i="9"/>
  <c r="AG9" i="20"/>
  <c r="AG5" i="14"/>
  <c r="AG3" i="29"/>
  <c r="AG3" i="36"/>
  <c r="AG9" i="37"/>
  <c r="AG12" i="28"/>
  <c r="AG8" i="31"/>
  <c r="AG17" i="34"/>
  <c r="AG13" i="20"/>
  <c r="AG22" i="34"/>
  <c r="AD7" i="13"/>
  <c r="AE7" i="13" s="1"/>
  <c r="AF7" i="13" s="1"/>
  <c r="AD19" i="8"/>
  <c r="AG12" i="14"/>
  <c r="AF7" i="4"/>
  <c r="AG7" i="4" s="1"/>
  <c r="AH7" i="4" s="1"/>
  <c r="AD12" i="10"/>
  <c r="AE12" i="10" s="1"/>
  <c r="AF12" i="10" s="1"/>
  <c r="AE13" i="7"/>
  <c r="AF13" i="7" s="1"/>
  <c r="AG13" i="7" s="1"/>
  <c r="AF17" i="5"/>
  <c r="AG17" i="5" s="1"/>
  <c r="AH17" i="5" s="1"/>
  <c r="AD7" i="16"/>
  <c r="AE7" i="16" s="1"/>
  <c r="AF7" i="16" s="1"/>
  <c r="AD17" i="13"/>
  <c r="AE17" i="13" s="1"/>
  <c r="AF17" i="13" s="1"/>
  <c r="AD4" i="13"/>
  <c r="AE4" i="13" s="1"/>
  <c r="AF4" i="13" s="1"/>
  <c r="AD13" i="19"/>
  <c r="AE13" i="19" s="1"/>
  <c r="AF13" i="19" s="1"/>
  <c r="AD12" i="19"/>
  <c r="AE12" i="19" s="1"/>
  <c r="AF12" i="19" s="1"/>
  <c r="AG3" i="11"/>
  <c r="AC19" i="12"/>
  <c r="AD10" i="12"/>
  <c r="AE10" i="12" s="1"/>
  <c r="AF10" i="12" s="1"/>
  <c r="AF2" i="4"/>
  <c r="AG2" i="4" s="1"/>
  <c r="AH2" i="4" s="1"/>
  <c r="AD19" i="4"/>
  <c r="AD7" i="10"/>
  <c r="AE7" i="10" s="1"/>
  <c r="AF7" i="10" s="1"/>
  <c r="AD13" i="10"/>
  <c r="AE13" i="10" s="1"/>
  <c r="AF13" i="10" s="1"/>
  <c r="AG10" i="9"/>
  <c r="AG3" i="9"/>
  <c r="AG6" i="6"/>
  <c r="AH6" i="6" s="1"/>
  <c r="AI6" i="6" s="1"/>
  <c r="AD10" i="16"/>
  <c r="AE10" i="16" s="1"/>
  <c r="AF10" i="16" s="1"/>
  <c r="AD3" i="16"/>
  <c r="AE3" i="16" s="1"/>
  <c r="AF3" i="16" s="1"/>
  <c r="AD9" i="13"/>
  <c r="AE9" i="13" s="1"/>
  <c r="AF9" i="13" s="1"/>
  <c r="AG5" i="6"/>
  <c r="AH5" i="6" s="1"/>
  <c r="AI5" i="6" s="1"/>
  <c r="AE19" i="6"/>
  <c r="AG2" i="6"/>
  <c r="AG7" i="6"/>
  <c r="AH7" i="6" s="1"/>
  <c r="AI7" i="6" s="1"/>
  <c r="AD14" i="16"/>
  <c r="AE14" i="16" s="1"/>
  <c r="AF14" i="16" s="1"/>
  <c r="AD15" i="16"/>
  <c r="AE15" i="16" s="1"/>
  <c r="AF15" i="16" s="1"/>
  <c r="AD6" i="16"/>
  <c r="AE6" i="16" s="1"/>
  <c r="AF6" i="16" s="1"/>
  <c r="AD6" i="13"/>
  <c r="AE6" i="13" s="1"/>
  <c r="AF6" i="13" s="1"/>
  <c r="AD16" i="13"/>
  <c r="AE16" i="13" s="1"/>
  <c r="AF16" i="13" s="1"/>
  <c r="AD3" i="13"/>
  <c r="AE3" i="13" s="1"/>
  <c r="AF3" i="13" s="1"/>
  <c r="AD14" i="19"/>
  <c r="AE14" i="19" s="1"/>
  <c r="AF14" i="19" s="1"/>
  <c r="AD3" i="19"/>
  <c r="AE3" i="19" s="1"/>
  <c r="AF3" i="19" s="1"/>
  <c r="AD12" i="12"/>
  <c r="AE12" i="12" s="1"/>
  <c r="AF12" i="12" s="1"/>
  <c r="AD14" i="12"/>
  <c r="AE14" i="12" s="1"/>
  <c r="AF14" i="12" s="1"/>
  <c r="AG5" i="21"/>
  <c r="AF16" i="4"/>
  <c r="AG16" i="4" s="1"/>
  <c r="AH16" i="4" s="1"/>
  <c r="AE19" i="4"/>
  <c r="AG14" i="21"/>
  <c r="AD10" i="10"/>
  <c r="AE10" i="10" s="1"/>
  <c r="AF10" i="10" s="1"/>
  <c r="AD3" i="10"/>
  <c r="AE3" i="10" s="1"/>
  <c r="AF3" i="10" s="1"/>
  <c r="AD17" i="10"/>
  <c r="AE17" i="10" s="1"/>
  <c r="AF17" i="10" s="1"/>
  <c r="AE4" i="7"/>
  <c r="AF4" i="7" s="1"/>
  <c r="AG4" i="7" s="1"/>
  <c r="AE17" i="7"/>
  <c r="AF17" i="7" s="1"/>
  <c r="AG17" i="7" s="1"/>
  <c r="AE10" i="7"/>
  <c r="AF10" i="7" s="1"/>
  <c r="AG10" i="7" s="1"/>
  <c r="AG11" i="28"/>
  <c r="AF6" i="5"/>
  <c r="AG6" i="5" s="1"/>
  <c r="AH6" i="5" s="1"/>
  <c r="AE2" i="18"/>
  <c r="AF2" i="18" s="1"/>
  <c r="AG2" i="18" s="1"/>
  <c r="AG13" i="37"/>
  <c r="AG10" i="20"/>
  <c r="AB19" i="15"/>
  <c r="AD2" i="15"/>
  <c r="AG12" i="36"/>
  <c r="AG8" i="20"/>
  <c r="AD8" i="17"/>
  <c r="AE8" i="17" s="1"/>
  <c r="AF8" i="17" s="1"/>
  <c r="AD9" i="17"/>
  <c r="AE9" i="17" s="1"/>
  <c r="AF9" i="17" s="1"/>
  <c r="AG8" i="37"/>
  <c r="AG13" i="22"/>
  <c r="AG7" i="28"/>
  <c r="AG2" i="9"/>
  <c r="AG8" i="29"/>
  <c r="AG14" i="38"/>
  <c r="AG17" i="36"/>
  <c r="AG10" i="36"/>
  <c r="AG8" i="24"/>
  <c r="AG10" i="28"/>
  <c r="AG11" i="29"/>
  <c r="AG4" i="21"/>
  <c r="AG7" i="34"/>
  <c r="AG31" i="34"/>
  <c r="AG14" i="24"/>
  <c r="AG19" i="34"/>
  <c r="AG17" i="37"/>
  <c r="AG4" i="14"/>
  <c r="AC19" i="15"/>
  <c r="AB19" i="17"/>
  <c r="AD2" i="17"/>
  <c r="AD17" i="16"/>
  <c r="AE17" i="16" s="1"/>
  <c r="AF17" i="16" s="1"/>
  <c r="AE9" i="7"/>
  <c r="AF9" i="7" s="1"/>
  <c r="AG9" i="7" s="1"/>
  <c r="AG11" i="9"/>
  <c r="AF3" i="5"/>
  <c r="AG3" i="5" s="1"/>
  <c r="AH3" i="5" s="1"/>
  <c r="AD3" i="15"/>
  <c r="AE3" i="15" s="1"/>
  <c r="AF3" i="15" s="1"/>
  <c r="AG5" i="22"/>
  <c r="AG4" i="24"/>
  <c r="AG7" i="24"/>
  <c r="AD7" i="17"/>
  <c r="AE7" i="17" s="1"/>
  <c r="AF7" i="17" s="1"/>
  <c r="AD14" i="17"/>
  <c r="AE14" i="17" s="1"/>
  <c r="AF14" i="17" s="1"/>
  <c r="AD4" i="17"/>
  <c r="AE4" i="17" s="1"/>
  <c r="AF4" i="17" s="1"/>
  <c r="AG8" i="28"/>
  <c r="AG15" i="35"/>
  <c r="AG14" i="31"/>
  <c r="AG20" i="34"/>
  <c r="AG12" i="22"/>
  <c r="AG15" i="38"/>
  <c r="AG5" i="28"/>
  <c r="AG11" i="38"/>
  <c r="AG7" i="37"/>
  <c r="AG10" i="38"/>
  <c r="AG28" i="34"/>
  <c r="AG12" i="37"/>
  <c r="AG4" i="37"/>
  <c r="AG17" i="14"/>
  <c r="AD11" i="16"/>
  <c r="AE11" i="16" s="1"/>
  <c r="AF11" i="16" s="1"/>
  <c r="AD11" i="12"/>
  <c r="AE11" i="12" s="1"/>
  <c r="AF11" i="12" s="1"/>
  <c r="AG14" i="14"/>
  <c r="AD13" i="15"/>
  <c r="AE13" i="15" s="1"/>
  <c r="AF13" i="15" s="1"/>
  <c r="AG16" i="6"/>
  <c r="AH16" i="6" s="1"/>
  <c r="AI16" i="6" s="1"/>
  <c r="AD4" i="16"/>
  <c r="AE4" i="16" s="1"/>
  <c r="AF4" i="16" s="1"/>
  <c r="AD15" i="13"/>
  <c r="AE15" i="13" s="1"/>
  <c r="AF15" i="13" s="1"/>
  <c r="AE2" i="8"/>
  <c r="AF2" i="8" s="1"/>
  <c r="AG2" i="8" s="1"/>
  <c r="AD14" i="10"/>
  <c r="AE14" i="10" s="1"/>
  <c r="AF14" i="10" s="1"/>
  <c r="AG4" i="6"/>
  <c r="AH4" i="6" s="1"/>
  <c r="AI4" i="6" s="1"/>
  <c r="AG8" i="6"/>
  <c r="AH8" i="6" s="1"/>
  <c r="AI8" i="6" s="1"/>
  <c r="AD9" i="16"/>
  <c r="AE9" i="16" s="1"/>
  <c r="AF9" i="16" s="1"/>
  <c r="AD5" i="19"/>
  <c r="AE5" i="19" s="1"/>
  <c r="AF5" i="19" s="1"/>
  <c r="AD15" i="19"/>
  <c r="AE15" i="19" s="1"/>
  <c r="AF15" i="19" s="1"/>
  <c r="AD8" i="12"/>
  <c r="AE8" i="12" s="1"/>
  <c r="AF8" i="12" s="1"/>
  <c r="AD5" i="12"/>
  <c r="AE5" i="12" s="1"/>
  <c r="AF5" i="12" s="1"/>
  <c r="AD9" i="12"/>
  <c r="AE9" i="12" s="1"/>
  <c r="AF9" i="12" s="1"/>
  <c r="AF14" i="4"/>
  <c r="AG14" i="4" s="1"/>
  <c r="AH14" i="4" s="1"/>
  <c r="AF12" i="4"/>
  <c r="AG12" i="4" s="1"/>
  <c r="AH12" i="4" s="1"/>
  <c r="AF10" i="4"/>
  <c r="AG10" i="4" s="1"/>
  <c r="AH10" i="4" s="1"/>
  <c r="AD16" i="10"/>
  <c r="AE16" i="10" s="1"/>
  <c r="AF16" i="10" s="1"/>
  <c r="AD6" i="10"/>
  <c r="AE6" i="10" s="1"/>
  <c r="AF6" i="10" s="1"/>
  <c r="AG2" i="36"/>
  <c r="AG6" i="36"/>
  <c r="AE14" i="7"/>
  <c r="AF14" i="7" s="1"/>
  <c r="AG14" i="7" s="1"/>
  <c r="AF13" i="5"/>
  <c r="AG13" i="5" s="1"/>
  <c r="AH13" i="5" s="1"/>
  <c r="AF14" i="5"/>
  <c r="AG14" i="5" s="1"/>
  <c r="AH14" i="5" s="1"/>
  <c r="AE19" i="5"/>
  <c r="AG10" i="22"/>
  <c r="AD9" i="15"/>
  <c r="AE9" i="15" s="1"/>
  <c r="AF9" i="15" s="1"/>
  <c r="AD10" i="15"/>
  <c r="AE10" i="15" s="1"/>
  <c r="AF10" i="15" s="1"/>
  <c r="AD4" i="15"/>
  <c r="AE4" i="15" s="1"/>
  <c r="AF4" i="15" s="1"/>
  <c r="AG12" i="38"/>
  <c r="AD10" i="17"/>
  <c r="AE10" i="17" s="1"/>
  <c r="AF10" i="17" s="1"/>
  <c r="AD3" i="17"/>
  <c r="AE3" i="17" s="1"/>
  <c r="AF3" i="17" s="1"/>
  <c r="AG17" i="38"/>
  <c r="AG2" i="14"/>
  <c r="AG11" i="35"/>
  <c r="AG6" i="35"/>
  <c r="AG7" i="21"/>
  <c r="AG9" i="34"/>
  <c r="AG6" i="21"/>
  <c r="AG9" i="36"/>
  <c r="AG30" i="34"/>
  <c r="AG12" i="21"/>
  <c r="AG11" i="36"/>
  <c r="AG16" i="31"/>
  <c r="AG15" i="22"/>
  <c r="AG5" i="31"/>
  <c r="AG9" i="35"/>
  <c r="AG9" i="31"/>
  <c r="AB19" i="16"/>
  <c r="AD2" i="16"/>
  <c r="AE2" i="16" s="1"/>
  <c r="AF2" i="16" s="1"/>
  <c r="AD11" i="19"/>
  <c r="AE11" i="19" s="1"/>
  <c r="AF11" i="19" s="1"/>
  <c r="AD15" i="12"/>
  <c r="AE15" i="12" s="1"/>
  <c r="AF15" i="12" s="1"/>
  <c r="AF5" i="4"/>
  <c r="AG5" i="4" s="1"/>
  <c r="AH5" i="4" s="1"/>
  <c r="AF10" i="5"/>
  <c r="AG10" i="5" s="1"/>
  <c r="AH10" i="5" s="1"/>
  <c r="AD15" i="15"/>
  <c r="AE15" i="15" s="1"/>
  <c r="AF15" i="15" s="1"/>
  <c r="AG5" i="9"/>
  <c r="AD15" i="17"/>
  <c r="AE15" i="17" s="1"/>
  <c r="AF15" i="17" s="1"/>
  <c r="AD8" i="13"/>
  <c r="AE8" i="13" s="1"/>
  <c r="AF8" i="13" s="1"/>
  <c r="AD17" i="19"/>
  <c r="AE17" i="19" s="1"/>
  <c r="AF17" i="19" s="1"/>
  <c r="AD7" i="19"/>
  <c r="AE7" i="19" s="1"/>
  <c r="AF7" i="19" s="1"/>
  <c r="AG9" i="6"/>
  <c r="AH9" i="6" s="1"/>
  <c r="AI9" i="6" s="1"/>
  <c r="AG10" i="6"/>
  <c r="AH10" i="6" s="1"/>
  <c r="AI10" i="6" s="1"/>
  <c r="AG15" i="6"/>
  <c r="AH15" i="6" s="1"/>
  <c r="AI15" i="6" s="1"/>
  <c r="AG3" i="14"/>
  <c r="AG13" i="14"/>
  <c r="AD16" i="16"/>
  <c r="AE16" i="16" s="1"/>
  <c r="AF16" i="16" s="1"/>
  <c r="AD5" i="16"/>
  <c r="AE5" i="16" s="1"/>
  <c r="AF5" i="16" s="1"/>
  <c r="AD12" i="13"/>
  <c r="AE12" i="13" s="1"/>
  <c r="AF12" i="13" s="1"/>
  <c r="AD6" i="19"/>
  <c r="AE6" i="19" s="1"/>
  <c r="AF6" i="19" s="1"/>
  <c r="AD10" i="19"/>
  <c r="AE10" i="19" s="1"/>
  <c r="AF10" i="19" s="1"/>
  <c r="AB19" i="19"/>
  <c r="AD2" i="19"/>
  <c r="AG16" i="11"/>
  <c r="AD4" i="12"/>
  <c r="AE4" i="12" s="1"/>
  <c r="AF4" i="12" s="1"/>
  <c r="AD16" i="12"/>
  <c r="AE16" i="12" s="1"/>
  <c r="AF16" i="12" s="1"/>
  <c r="AD13" i="12"/>
  <c r="AE13" i="12" s="1"/>
  <c r="AF13" i="12" s="1"/>
  <c r="AB19" i="12"/>
  <c r="AD2" i="12"/>
  <c r="AE2" i="12" s="1"/>
  <c r="AF2" i="12" s="1"/>
  <c r="AF11" i="4"/>
  <c r="AG11" i="4" s="1"/>
  <c r="AH11" i="4" s="1"/>
  <c r="AF15" i="4"/>
  <c r="AG15" i="4" s="1"/>
  <c r="AH15" i="4" s="1"/>
  <c r="AD5" i="10"/>
  <c r="AE5" i="10" s="1"/>
  <c r="AF5" i="10" s="1"/>
  <c r="AB19" i="10"/>
  <c r="AD2" i="10"/>
  <c r="AE2" i="10" s="1"/>
  <c r="AF2" i="10" s="1"/>
  <c r="AD8" i="10"/>
  <c r="AE8" i="10" s="1"/>
  <c r="AF8" i="10" s="1"/>
  <c r="AG16" i="9"/>
  <c r="AG10" i="11"/>
  <c r="AE8" i="7"/>
  <c r="AF8" i="7" s="1"/>
  <c r="AG8" i="7" s="1"/>
  <c r="AE16" i="7"/>
  <c r="AF16" i="7" s="1"/>
  <c r="AG16" i="7" s="1"/>
  <c r="AD19" i="7"/>
  <c r="AE3" i="7"/>
  <c r="AF3" i="7" s="1"/>
  <c r="AG3" i="7" s="1"/>
  <c r="AG13" i="21"/>
  <c r="AG6" i="14"/>
  <c r="AF9" i="5"/>
  <c r="AG9" i="5" s="1"/>
  <c r="AH9" i="5" s="1"/>
  <c r="AF15" i="5"/>
  <c r="AG15" i="5" s="1"/>
  <c r="AH15" i="5" s="1"/>
  <c r="AG5" i="36"/>
  <c r="AD11" i="15"/>
  <c r="AE11" i="15" s="1"/>
  <c r="AF11" i="15" s="1"/>
  <c r="AD5" i="15"/>
  <c r="AE5" i="15" s="1"/>
  <c r="AF5" i="15" s="1"/>
  <c r="AD20" i="11"/>
  <c r="AD19" i="11"/>
  <c r="AG16" i="14"/>
  <c r="AD16" i="17"/>
  <c r="AE16" i="17" s="1"/>
  <c r="AF16" i="17" s="1"/>
  <c r="AC19" i="17"/>
  <c r="AG4" i="20"/>
  <c r="AG8" i="36"/>
  <c r="AG10" i="24"/>
  <c r="AG12" i="34"/>
  <c r="AG5" i="20"/>
  <c r="AG5" i="38"/>
  <c r="AG32" i="34"/>
  <c r="AG11" i="24"/>
  <c r="AG14" i="36"/>
  <c r="AG16" i="24"/>
  <c r="AG13" i="34"/>
  <c r="AG21" i="34"/>
  <c r="AG11" i="31"/>
  <c r="AG17" i="31"/>
  <c r="AG7" i="35"/>
  <c r="AG4" i="9"/>
  <c r="AG7" i="29"/>
  <c r="AG10" i="31"/>
  <c r="AD11" i="13"/>
  <c r="AE11" i="13" s="1"/>
  <c r="AF11" i="13" s="1"/>
  <c r="AD9" i="10"/>
  <c r="AE9" i="10" s="1"/>
  <c r="AF9" i="10" s="1"/>
  <c r="AG13" i="9"/>
  <c r="AF4" i="5"/>
  <c r="AG4" i="5" s="1"/>
  <c r="AH4" i="5" s="1"/>
  <c r="AG13" i="6"/>
  <c r="AH13" i="6" s="1"/>
  <c r="AI13" i="6" s="1"/>
  <c r="AG12" i="6"/>
  <c r="AH12" i="6" s="1"/>
  <c r="AI12" i="6" s="1"/>
  <c r="AG11" i="6"/>
  <c r="AH11" i="6" s="1"/>
  <c r="AI11" i="6" s="1"/>
  <c r="AD8" i="16"/>
  <c r="AE8" i="16" s="1"/>
  <c r="AF8" i="16" s="1"/>
  <c r="AD13" i="16"/>
  <c r="AE13" i="16" s="1"/>
  <c r="AF13" i="16" s="1"/>
  <c r="AC19" i="13"/>
  <c r="AD10" i="13"/>
  <c r="AE10" i="13" s="1"/>
  <c r="AF10" i="13" s="1"/>
  <c r="AD9" i="19"/>
  <c r="AE9" i="19" s="1"/>
  <c r="AF9" i="19" s="1"/>
  <c r="AD8" i="19"/>
  <c r="AE8" i="19" s="1"/>
  <c r="AF8" i="19" s="1"/>
  <c r="AD16" i="19"/>
  <c r="AE16" i="19" s="1"/>
  <c r="AF16" i="19" s="1"/>
  <c r="AG17" i="9"/>
  <c r="AF6" i="4"/>
  <c r="AG6" i="4" s="1"/>
  <c r="AH6" i="4" s="1"/>
  <c r="AD11" i="10"/>
  <c r="AE11" i="10" s="1"/>
  <c r="AF11" i="10" s="1"/>
  <c r="AD15" i="10"/>
  <c r="AE15" i="10" s="1"/>
  <c r="AF15" i="10" s="1"/>
  <c r="AC19" i="7"/>
  <c r="AE2" i="7"/>
  <c r="AF2" i="7" s="1"/>
  <c r="AG2" i="7" s="1"/>
  <c r="AE7" i="7"/>
  <c r="AF7" i="7" s="1"/>
  <c r="AG7" i="7" s="1"/>
  <c r="AF5" i="5"/>
  <c r="AG5" i="5" s="1"/>
  <c r="AH5" i="5" s="1"/>
  <c r="AF11" i="5"/>
  <c r="AG11" i="5" s="1"/>
  <c r="AH11" i="5" s="1"/>
  <c r="AF8" i="5"/>
  <c r="AG8" i="5" s="1"/>
  <c r="AH8" i="5" s="1"/>
  <c r="AG6" i="20"/>
  <c r="AG3" i="31"/>
  <c r="AD14" i="15"/>
  <c r="AE14" i="15" s="1"/>
  <c r="AF14" i="15" s="1"/>
  <c r="AD17" i="15"/>
  <c r="AE17" i="15" s="1"/>
  <c r="AF17" i="15" s="1"/>
  <c r="AD6" i="15"/>
  <c r="AE6" i="15" s="1"/>
  <c r="AF6" i="15" s="1"/>
  <c r="AG2" i="11"/>
  <c r="AG5" i="37"/>
  <c r="AG3" i="20"/>
  <c r="AG8" i="34"/>
  <c r="AG8" i="21"/>
  <c r="AD11" i="17"/>
  <c r="AE11" i="17" s="1"/>
  <c r="AF11" i="17" s="1"/>
  <c r="AD17" i="17"/>
  <c r="AE17" i="17" s="1"/>
  <c r="AF17" i="17" s="1"/>
  <c r="AD12" i="17"/>
  <c r="AE12" i="17" s="1"/>
  <c r="AF12" i="17" s="1"/>
  <c r="AG12" i="35"/>
  <c r="AG14" i="11"/>
  <c r="AD19" i="14"/>
  <c r="AD20" i="14"/>
  <c r="AG7" i="22"/>
  <c r="AG14" i="28"/>
  <c r="AG12" i="9"/>
  <c r="AG13" i="29"/>
  <c r="AG14" i="35"/>
  <c r="AG7" i="31"/>
  <c r="AG5" i="34"/>
  <c r="AG6" i="28"/>
  <c r="AG10" i="21"/>
  <c r="AG11" i="21"/>
  <c r="AG13" i="31"/>
  <c r="AG9" i="21"/>
  <c r="AG15" i="31"/>
  <c r="AG8" i="9"/>
  <c r="AG10" i="29"/>
  <c r="AG16" i="22"/>
  <c r="AG3" i="28"/>
  <c r="AE12" i="7"/>
  <c r="AF12" i="7" s="1"/>
  <c r="AG12" i="7" s="1"/>
  <c r="AE11" i="7"/>
  <c r="AF11" i="7" s="1"/>
  <c r="AG11" i="7" s="1"/>
  <c r="AF7" i="5"/>
  <c r="AG7" i="5" s="1"/>
  <c r="AH7" i="5" s="1"/>
  <c r="AF16" i="5"/>
  <c r="AG16" i="5" s="1"/>
  <c r="AH16" i="5" s="1"/>
  <c r="AG33" i="34"/>
  <c r="AD16" i="15"/>
  <c r="AE16" i="15" s="1"/>
  <c r="AF16" i="15" s="1"/>
  <c r="AD7" i="15"/>
  <c r="AE7" i="15" s="1"/>
  <c r="AF7" i="15" s="1"/>
  <c r="AG8" i="38"/>
  <c r="AG15" i="28"/>
  <c r="AG17" i="20"/>
  <c r="AD13" i="17"/>
  <c r="AE13" i="17" s="1"/>
  <c r="AF13" i="17" s="1"/>
  <c r="AD6" i="17"/>
  <c r="AE6" i="17" s="1"/>
  <c r="AF6" i="17" s="1"/>
  <c r="AG11" i="37"/>
  <c r="AG7" i="36"/>
  <c r="AG13" i="35"/>
  <c r="AG17" i="21"/>
  <c r="AG16" i="36"/>
  <c r="AG24" i="34"/>
  <c r="AG4" i="34"/>
  <c r="AG17" i="28"/>
  <c r="AG9" i="28"/>
  <c r="AG26" i="34"/>
  <c r="AG14" i="22"/>
  <c r="AG4" i="22"/>
  <c r="AG6" i="31"/>
  <c r="AG9" i="22"/>
  <c r="AG12" i="24"/>
  <c r="AG17" i="18" l="1"/>
  <c r="AG13" i="18"/>
  <c r="AG10" i="18"/>
  <c r="AG8" i="18"/>
  <c r="AG4" i="18"/>
  <c r="AG4" i="8"/>
  <c r="AG6" i="8"/>
  <c r="AG17" i="8"/>
  <c r="AI11" i="5"/>
  <c r="AG4" i="12"/>
  <c r="AH9" i="7"/>
  <c r="AG3" i="13"/>
  <c r="AG7" i="10"/>
  <c r="AG14" i="8"/>
  <c r="AI10" i="4"/>
  <c r="AG6" i="18"/>
  <c r="AI12" i="5"/>
  <c r="AG3" i="18"/>
  <c r="AG5" i="16"/>
  <c r="AG15" i="18"/>
  <c r="AG11" i="8"/>
  <c r="AG10" i="13"/>
  <c r="AH3" i="7"/>
  <c r="AH12" i="7"/>
  <c r="AI8" i="5"/>
  <c r="AI15" i="4"/>
  <c r="AG5" i="12"/>
  <c r="AG11" i="16"/>
  <c r="AI3" i="5"/>
  <c r="AG7" i="16"/>
  <c r="AH5" i="7"/>
  <c r="AG12" i="13"/>
  <c r="AG15" i="12"/>
  <c r="AI14" i="5"/>
  <c r="AG15" i="16"/>
  <c r="AG9" i="13"/>
  <c r="AG4" i="10"/>
  <c r="AG3" i="12"/>
  <c r="AI13" i="4"/>
  <c r="AG3" i="16"/>
  <c r="AI4" i="4"/>
  <c r="AH7" i="7"/>
  <c r="AI15" i="5"/>
  <c r="AH14" i="7"/>
  <c r="AI12" i="4"/>
  <c r="AI2" i="4"/>
  <c r="AI9" i="4"/>
  <c r="AG5" i="13"/>
  <c r="AG17" i="12"/>
  <c r="AI6" i="5"/>
  <c r="AI16" i="5"/>
  <c r="AG2" i="10"/>
  <c r="AH2" i="7"/>
  <c r="AH16" i="7"/>
  <c r="AI14" i="4"/>
  <c r="AG14" i="12"/>
  <c r="AI8" i="4"/>
  <c r="AG9" i="10"/>
  <c r="AH8" i="7"/>
  <c r="AG13" i="12"/>
  <c r="AG8" i="13"/>
  <c r="AG9" i="16"/>
  <c r="AG12" i="12"/>
  <c r="AI3" i="4"/>
  <c r="AG13" i="13"/>
  <c r="AG17" i="16"/>
  <c r="AG14" i="13"/>
  <c r="AI4" i="5"/>
  <c r="AH11" i="7"/>
  <c r="AG8" i="16"/>
  <c r="AH17" i="7"/>
  <c r="AI7" i="4"/>
  <c r="AH6" i="7"/>
  <c r="AG12" i="16"/>
  <c r="AG6" i="10"/>
  <c r="AD20" i="15"/>
  <c r="AD19" i="15"/>
  <c r="AG17" i="10"/>
  <c r="AI16" i="4"/>
  <c r="AG6" i="16"/>
  <c r="AG20" i="6"/>
  <c r="AG19" i="6"/>
  <c r="AG13" i="10"/>
  <c r="AG10" i="12"/>
  <c r="AG4" i="13"/>
  <c r="AH13" i="7"/>
  <c r="AG7" i="13"/>
  <c r="AG6" i="12"/>
  <c r="AD19" i="12"/>
  <c r="AD20" i="12"/>
  <c r="AE2" i="15"/>
  <c r="AF2" i="15" s="1"/>
  <c r="AG2" i="15" s="1"/>
  <c r="AH2" i="6"/>
  <c r="AI2" i="6" s="1"/>
  <c r="AJ2" i="6" s="1"/>
  <c r="AF19" i="5"/>
  <c r="AF20" i="5"/>
  <c r="AD20" i="13"/>
  <c r="AD19" i="13"/>
  <c r="AI7" i="5"/>
  <c r="AG16" i="10"/>
  <c r="AG12" i="10"/>
  <c r="AI2" i="5"/>
  <c r="AG5" i="10"/>
  <c r="AD20" i="19"/>
  <c r="AD19" i="19"/>
  <c r="AG10" i="10"/>
  <c r="AG11" i="18"/>
  <c r="AG3" i="8"/>
  <c r="AI11" i="4"/>
  <c r="AG9" i="12"/>
  <c r="AE2" i="19"/>
  <c r="AF2" i="19" s="1"/>
  <c r="AG2" i="19" s="1"/>
  <c r="AG15" i="13"/>
  <c r="AD19" i="17"/>
  <c r="AD20" i="17"/>
  <c r="AG16" i="13"/>
  <c r="AG14" i="16"/>
  <c r="AG5" i="8"/>
  <c r="AG10" i="8"/>
  <c r="AG12" i="8"/>
  <c r="AE20" i="7"/>
  <c r="AE19" i="7"/>
  <c r="AG2" i="12"/>
  <c r="AI13" i="5"/>
  <c r="AG14" i="10"/>
  <c r="AH10" i="7"/>
  <c r="AG2" i="13"/>
  <c r="AI10" i="5"/>
  <c r="AG8" i="12"/>
  <c r="AE2" i="17"/>
  <c r="AF2" i="17" s="1"/>
  <c r="AG2" i="17" s="1"/>
  <c r="AH4" i="7"/>
  <c r="AG8" i="8"/>
  <c r="AG9" i="18"/>
  <c r="AG12" i="18"/>
  <c r="AG13" i="8"/>
  <c r="AI6" i="4"/>
  <c r="AG3" i="10"/>
  <c r="AG10" i="16"/>
  <c r="AG17" i="13"/>
  <c r="AG15" i="10"/>
  <c r="AG11" i="13"/>
  <c r="AD19" i="16"/>
  <c r="AD20" i="16"/>
  <c r="AG5" i="18"/>
  <c r="AF19" i="4"/>
  <c r="AF20" i="4"/>
  <c r="AI17" i="5"/>
  <c r="AG14" i="18"/>
  <c r="AG15" i="8"/>
  <c r="AG7" i="18"/>
  <c r="AG11" i="10"/>
  <c r="AD20" i="10"/>
  <c r="AD19" i="10"/>
  <c r="AI5" i="4"/>
  <c r="AG11" i="12"/>
  <c r="AI5" i="5"/>
  <c r="AG13" i="16"/>
  <c r="AI9" i="5"/>
  <c r="AG8" i="10"/>
  <c r="AG16" i="12"/>
  <c r="AG16" i="16"/>
  <c r="AG2" i="16"/>
  <c r="AG16" i="8"/>
  <c r="AG4" i="16"/>
  <c r="AG6" i="13"/>
  <c r="AH15" i="7"/>
  <c r="AI17" i="4"/>
  <c r="AG7" i="12"/>
  <c r="AG7" i="8"/>
  <c r="AG16" i="18"/>
  <c r="AG15" i="15" l="1"/>
  <c r="AG12" i="17"/>
  <c r="AG13" i="17"/>
  <c r="AG10" i="15"/>
  <c r="AG9" i="19"/>
  <c r="AG10" i="19"/>
  <c r="AJ7" i="6"/>
  <c r="AG3" i="19"/>
  <c r="AG8" i="19"/>
  <c r="AG4" i="17"/>
  <c r="AG6" i="19"/>
  <c r="AG13" i="15"/>
  <c r="AG7" i="15"/>
  <c r="AG16" i="15"/>
  <c r="AG11" i="19"/>
  <c r="AG17" i="19"/>
  <c r="AG4" i="19"/>
  <c r="AG10" i="17"/>
  <c r="AG15" i="17"/>
  <c r="AG5" i="19"/>
  <c r="AG13" i="19"/>
  <c r="AG14" i="15"/>
  <c r="AG11" i="15"/>
  <c r="AJ13" i="6"/>
  <c r="AJ6" i="6"/>
  <c r="AG6" i="15"/>
  <c r="AG5" i="17"/>
  <c r="AG15" i="19"/>
  <c r="AG12" i="19"/>
  <c r="AG17" i="17"/>
  <c r="AG3" i="15"/>
  <c r="AG8" i="15"/>
  <c r="AJ14" i="6"/>
  <c r="AG4" i="15"/>
  <c r="AG14" i="19"/>
  <c r="AG11" i="17"/>
  <c r="AJ10" i="6"/>
  <c r="AJ9" i="6"/>
  <c r="AG17" i="15"/>
  <c r="AG9" i="15"/>
  <c r="AJ11" i="6"/>
  <c r="AJ8" i="6"/>
  <c r="AG7" i="17"/>
  <c r="AG7" i="19"/>
  <c r="AG6" i="17"/>
  <c r="AG9" i="17"/>
  <c r="AJ5" i="6"/>
  <c r="AG3" i="17"/>
  <c r="AG16" i="19"/>
  <c r="AG14" i="17"/>
  <c r="AG5" i="15"/>
  <c r="AG12" i="15"/>
  <c r="AG8" i="17"/>
  <c r="AJ4" i="6"/>
  <c r="AJ3" i="6"/>
  <c r="AJ17" i="6"/>
  <c r="AJ15" i="6"/>
  <c r="AG16" i="17"/>
  <c r="AJ16" i="6"/>
  <c r="AJ1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scheme val="minor"/>
          </rPr>
          <t>=IF(L42/147&gt;=0.97, "A+",
IF(L42/147&gt;=0.93, "A",
IF(L42/147&gt;=0.9, "A-", 
IF(L42/147&gt;=0.87, "B+", 
IF(L42/147&gt;=0.83, "B", 
IF(L42/147&gt;=0.8, "B-", 
IF(L42/147&gt;=0.77, "C+", 
IF(L42/147&gt;=0.73, "C", 
IF(L42/147&gt;=0.7, "C-", 
IF(L42/147&gt;=0.67, "D+", 
IF(L42/147&gt;=0.63, "D", 
IF(L42/147&gt;=0.6, "D-", "F"))))))))))))</t>
        </r>
      </text>
    </comment>
    <comment ref="W29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Introduction of the "Stolte Round", in which ALL teams advance, and position in the round of 16 is determined by seeding, with winning % as the ranking criteria
</t>
        </r>
      </text>
    </comment>
    <comment ref="W41" authorId="0" shapeId="0" xr:uid="{00000000-0006-0000-0000-000003000000}">
      <text>
        <r>
          <rPr>
            <sz val="10"/>
            <color rgb="FF000000"/>
            <rFont val="Arial"/>
            <scheme val="minor"/>
          </rPr>
          <t>Improved the seeding formula:
=if(J2&gt;0,K2-(33-H2),)
See Column L on scores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100-000001000000}">
      <text>
        <r>
          <rPr>
            <sz val="10"/>
            <color rgb="FF000000"/>
            <rFont val="Arial"/>
            <scheme val="minor"/>
          </rPr>
          <t>Created for the 2023-10-07 BOD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17" authorId="0" shapeId="0" xr:uid="{00000000-0006-0000-0800-000001000000}">
      <text>
        <r>
          <rPr>
            <sz val="10"/>
            <color rgb="FF000000"/>
            <rFont val="Arial"/>
            <scheme val="minor"/>
          </rPr>
          <t>Nathan and Richard did better in the RR than Josh and Mike, so they should be ranked higher. Need to figure out how to do that.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1" authorId="0" shapeId="0" xr:uid="{00000000-0006-0000-1300-000001000000}">
      <text>
        <r>
          <rPr>
            <sz val="10"/>
            <color rgb="FF000000"/>
            <rFont val="Arial"/>
            <scheme val="minor"/>
          </rPr>
          <t>the problem is, this D-Rank value doesn't do anything. It functions similar to the seeding in latter sheets, but it's not useful here. Yet.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2" authorId="0" shapeId="0" xr:uid="{00000000-0006-0000-1500-000001000000}">
      <text>
        <r>
          <rPr>
            <sz val="10"/>
            <color rgb="FF000000"/>
            <rFont val="Arial"/>
            <scheme val="minor"/>
          </rPr>
          <t>Thu and Eric won the final match. The total games won doesn't reflect the BOD winner in this case.</t>
        </r>
      </text>
    </comment>
  </commentList>
</comments>
</file>

<file path=xl/sharedStrings.xml><?xml version="1.0" encoding="utf-8"?>
<sst xmlns="http://schemas.openxmlformats.org/spreadsheetml/2006/main" count="9541" uniqueCount="1456">
  <si>
    <t>Date</t>
  </si>
  <si>
    <t>BOD#</t>
  </si>
  <si>
    <t>Format</t>
  </si>
  <si>
    <t>Champions</t>
  </si>
  <si>
    <t>W</t>
  </si>
  <si>
    <t>L</t>
  </si>
  <si>
    <t># Games</t>
  </si>
  <si>
    <t>Suffering Score (W)</t>
  </si>
  <si>
    <t>Finalists</t>
  </si>
  <si>
    <t>Suffering Score (L)</t>
  </si>
  <si>
    <t>Final Match</t>
  </si>
  <si>
    <t>Total RR Games</t>
  </si>
  <si>
    <t>Avg RR Games</t>
  </si>
  <si>
    <t>Total Games</t>
  </si>
  <si>
    <t>AVG Games</t>
  </si>
  <si>
    <t>Tiebreakers</t>
  </si>
  <si>
    <t>Teams</t>
  </si>
  <si>
    <t>Location</t>
  </si>
  <si>
    <t>Advancement Criteria</t>
  </si>
  <si>
    <t>Notes</t>
  </si>
  <si>
    <t>Photo Albums</t>
  </si>
  <si>
    <t>Men's Singles</t>
  </si>
  <si>
    <t>Tom McBride</t>
  </si>
  <si>
    <t>Robert Madison</t>
  </si>
  <si>
    <t>6-0, 6-0</t>
  </si>
  <si>
    <t>N/A</t>
  </si>
  <si>
    <t>Mill Valley HS</t>
  </si>
  <si>
    <t>double elimination</t>
  </si>
  <si>
    <t>6 players</t>
  </si>
  <si>
    <t>Tom Spenceri</t>
  </si>
  <si>
    <t>Barry Vonada</t>
  </si>
  <si>
    <t>8-4</t>
  </si>
  <si>
    <t>SMNW</t>
  </si>
  <si>
    <t>16 players</t>
  </si>
  <si>
    <t>Men's Doubles</t>
  </si>
  <si>
    <t>Bob Kreifels &amp; Bond Marrs</t>
  </si>
  <si>
    <t>Troy Caskey &amp; William Edwards</t>
  </si>
  <si>
    <t>6-2, 6-3</t>
  </si>
  <si>
    <t>Top RR Team</t>
  </si>
  <si>
    <t>Photo Album</t>
  </si>
  <si>
    <t>Brian Sullivan &amp; Steve Sturis</t>
  </si>
  <si>
    <t>Monty Miller &amp; Irwin Don</t>
  </si>
  <si>
    <t>6-1, 1-6, 6-3</t>
  </si>
  <si>
    <t>Gary Bradley &amp; Mickey Tan</t>
  </si>
  <si>
    <t>Brian Sullivan &amp; Danny Ng</t>
  </si>
  <si>
    <t>0-6, 7-5, 6-4</t>
  </si>
  <si>
    <t>Travis Gillitzer &amp; Shuai Wang</t>
  </si>
  <si>
    <t>Scott Heffner &amp; Tom Lee</t>
  </si>
  <si>
    <t>3-6, 7-5, 11-9</t>
  </si>
  <si>
    <t>PTC #1</t>
  </si>
  <si>
    <t>1st BOD at PTC</t>
  </si>
  <si>
    <t>Craig Donnelly &amp; Matt Don</t>
  </si>
  <si>
    <t>Witold Rzepnicki &amp; Tom Wolfe</t>
  </si>
  <si>
    <t>7-6(4), 6-4</t>
  </si>
  <si>
    <t>PTC</t>
  </si>
  <si>
    <t>Top 2 RR Teams</t>
  </si>
  <si>
    <t>Marlin Carlson &amp; Marc Richard</t>
  </si>
  <si>
    <t>John Stolte &amp; Craig Donnelly</t>
  </si>
  <si>
    <t>6-2, 6-4</t>
  </si>
  <si>
    <t>Bond Marrs &amp; Bill Roller</t>
  </si>
  <si>
    <t>Mike McGillicuddy &amp; Barry Vonada</t>
  </si>
  <si>
    <t>6-3, 6-2</t>
  </si>
  <si>
    <t>Mixed Doubles</t>
  </si>
  <si>
    <t>Bill Roller &amp; Robin Yaple</t>
  </si>
  <si>
    <t>Allen Meyer &amp; Jodi Hanish</t>
  </si>
  <si>
    <t>6-2, 6-2</t>
  </si>
  <si>
    <t>PTC + KCRC</t>
  </si>
  <si>
    <t>First mixed = 32 Teams / Introduced T-shirts</t>
  </si>
  <si>
    <t>Rob Hurtado &amp; John Evatt</t>
  </si>
  <si>
    <t>Mike McGillicuddy &amp; Ryan Carpenter</t>
  </si>
  <si>
    <t>6-4, 6-4</t>
  </si>
  <si>
    <t>5th BOD with this format</t>
  </si>
  <si>
    <t>Mike &amp; Issa Sullivan</t>
  </si>
  <si>
    <t>Bob Kreifels &amp; Erinn Metcalf</t>
  </si>
  <si>
    <t>11-7</t>
  </si>
  <si>
    <t>Homestead</t>
  </si>
  <si>
    <t>32 Teams</t>
  </si>
  <si>
    <t>Women's Doubles</t>
  </si>
  <si>
    <t>Mary Daniels (Thornton) &amp; Christy Meller</t>
  </si>
  <si>
    <t>Tamara Hutcheson &amp; Jacqui O'Connor</t>
  </si>
  <si>
    <t>Mike McGillicuddy &amp; Jeff Potts</t>
  </si>
  <si>
    <t>Bob Kreifels &amp; Ryan Carpenter</t>
  </si>
  <si>
    <t>7-5, 6-3</t>
  </si>
  <si>
    <t>Armando Reyes &amp; Liz Decker</t>
  </si>
  <si>
    <t>Ryan Carpenter &amp; Carrie Lapin</t>
  </si>
  <si>
    <t>6-2, 4-6, 6-2</t>
  </si>
  <si>
    <t>Joe Zucht &amp; Mike Klender</t>
  </si>
  <si>
    <t>Justin Hoffman &amp; Greg Roith</t>
  </si>
  <si>
    <t>11-8</t>
  </si>
  <si>
    <t>OPRC (rain)</t>
  </si>
  <si>
    <t>10th BOD with this format</t>
  </si>
  <si>
    <t>Shanna Loyd &amp; Ryan Carpenter</t>
  </si>
  <si>
    <t>Maria Moore &amp; Troy Thomasson</t>
  </si>
  <si>
    <t>6-1, 7-6</t>
  </si>
  <si>
    <t>PTC + Homestead</t>
  </si>
  <si>
    <t>Romy Carlson &amp; Katy Gondring</t>
  </si>
  <si>
    <t>Tamara Hutcheson &amp; Susan Mitts</t>
  </si>
  <si>
    <t>5-7, 7-6, 6-4</t>
  </si>
  <si>
    <t>Back-to-Back BODs</t>
  </si>
  <si>
    <t>Steve Schanker &amp; Matt Svoboda</t>
  </si>
  <si>
    <t>John Stauffer &amp; Marlin Carlson</t>
  </si>
  <si>
    <t>7-6, 7-6</t>
  </si>
  <si>
    <t>Susan Mitts &amp; Rob Hurtado</t>
  </si>
  <si>
    <t>Jenny Carpenter &amp; Joe Zucht</t>
  </si>
  <si>
    <t>6-2, 6-7, 6-3</t>
  </si>
  <si>
    <t>Steve Schanker &amp; Maulik Nanavati</t>
  </si>
  <si>
    <t>Irwin Don &amp; Roy True</t>
  </si>
  <si>
    <t>4-6, 6-4, 1-0 (8)</t>
  </si>
  <si>
    <t>15th BOD with this format</t>
  </si>
  <si>
    <t>Thu Nguyen &amp; Eric Santon</t>
  </si>
  <si>
    <t>Keely Schneider &amp; Curtis Stoneman</t>
  </si>
  <si>
    <t>6-4, 3-6, 11-3</t>
  </si>
  <si>
    <t>PTC #15</t>
  </si>
  <si>
    <t>Justin Hoffman &amp; Vageesh Kumar</t>
  </si>
  <si>
    <t>Kelcie Glasgow &amp; Robert Madison</t>
  </si>
  <si>
    <t>6-4, 4-6, 6-4</t>
  </si>
  <si>
    <t>Paige Salveter &amp; Stephanie Patterson</t>
  </si>
  <si>
    <t>Angie Eason &amp; Stephanie Campbell</t>
  </si>
  <si>
    <t>6-1, 6-4</t>
  </si>
  <si>
    <t>18 BODs with this format / bought the banner</t>
  </si>
  <si>
    <t>Brook Vitt &amp; Curtis Stoneman</t>
  </si>
  <si>
    <t>Tracy Lockton &amp; Miguel Cartagena</t>
  </si>
  <si>
    <t>All Teams Advance</t>
  </si>
  <si>
    <t>Introduced the "Stolte Round"</t>
  </si>
  <si>
    <t>Troy Thomasson &amp; Justin Winner</t>
  </si>
  <si>
    <t>Curtis Stoneman &amp; Travis Horn</t>
  </si>
  <si>
    <t>11-6</t>
  </si>
  <si>
    <t>Loras Heck &amp; Amanda Miller</t>
  </si>
  <si>
    <t>Erinn Metcalf &amp; Jamie Myers</t>
  </si>
  <si>
    <t>11-9</t>
  </si>
  <si>
    <t>PTC #20</t>
  </si>
  <si>
    <t>20th BOD at PTC</t>
  </si>
  <si>
    <t>Susan Mitts &amp; John Stauffer</t>
  </si>
  <si>
    <t>Eric Santon &amp; Raquel Madison</t>
  </si>
  <si>
    <t>Susan Mitts &amp; Paige Johnson</t>
  </si>
  <si>
    <t>Phyllis Norman &amp; Amanda Miller</t>
  </si>
  <si>
    <t>11-5</t>
  </si>
  <si>
    <t>Curtis Stoneman &amp; Jeremie Wilson</t>
  </si>
  <si>
    <t>William Hyde &amp; Troy Thomasson</t>
  </si>
  <si>
    <t>Nicolle Ratliff &amp; Danny Ng</t>
  </si>
  <si>
    <t>Erinn Metcalf &amp; Josh Weber</t>
  </si>
  <si>
    <t>Curtis Stoneman &amp; Grif Sims</t>
  </si>
  <si>
    <t>Eric Bubb &amp; Jeremie Wilson</t>
  </si>
  <si>
    <t>PTC #25</t>
  </si>
  <si>
    <t>Nicolle Ratliff &amp; Bree Ginden</t>
  </si>
  <si>
    <t>Erinn Metcalf &amp; Mallory Daniels</t>
  </si>
  <si>
    <t>Theresa Nelson &amp; Mike Magel</t>
  </si>
  <si>
    <t>Viliamu Vaofanua &amp; Alli Hiatt</t>
  </si>
  <si>
    <t>10th BOD w/ Stolte Round</t>
  </si>
  <si>
    <t>Dung Le &amp; JD Asbell</t>
  </si>
  <si>
    <t>Andy Lockard &amp; Chris Lyon</t>
  </si>
  <si>
    <t>11-10 (11-8)</t>
  </si>
  <si>
    <t>Mary Sandefur &amp; Ola Vaughn</t>
  </si>
  <si>
    <t>Stephanie Patterson &amp; Julianna Norgren</t>
  </si>
  <si>
    <t>11-4</t>
  </si>
  <si>
    <t>Finished at KCRC (rain)</t>
  </si>
  <si>
    <t>Betsy Norberg &amp; Andy Lockard</t>
  </si>
  <si>
    <t>Bree Ginden &amp; William Gross</t>
  </si>
  <si>
    <t>11-10 (11-7)</t>
  </si>
  <si>
    <t>PTC #30</t>
  </si>
  <si>
    <t>30th BOD at PTC / Perfected seeding formula</t>
  </si>
  <si>
    <t>Dung Le &amp; Robert Madison</t>
  </si>
  <si>
    <t>Curtis Stoneman &amp; Randy Burgess</t>
  </si>
  <si>
    <t>36th doubles BOD, played RR in the rain!</t>
  </si>
  <si>
    <t>Nicolle Ratliff &amp; Olivia Haney</t>
  </si>
  <si>
    <t>Jennifer Eckert &amp; Kristen Doherty</t>
  </si>
  <si>
    <t>15th BOD w/ Stolte Round format / updated seeding positions</t>
  </si>
  <si>
    <t>Debbie Davis &amp; Randy Burgess</t>
  </si>
  <si>
    <t>Cori Cunningham &amp; Thomas Rosewicz</t>
  </si>
  <si>
    <t>PTC #35</t>
  </si>
  <si>
    <t>BODs with Stolte Round format = old format (Top-2 Teams)</t>
  </si>
  <si>
    <t>Division</t>
  </si>
  <si>
    <t>Teams (Round Robin)</t>
  </si>
  <si>
    <t>Round-1</t>
  </si>
  <si>
    <t>Round-2</t>
  </si>
  <si>
    <t>Round-3</t>
  </si>
  <si>
    <t>RR Won</t>
  </si>
  <si>
    <t>RR Lost</t>
  </si>
  <si>
    <t>RR Played</t>
  </si>
  <si>
    <t>RR Win %</t>
  </si>
  <si>
    <t>RR Rank</t>
  </si>
  <si>
    <t>Seed</t>
  </si>
  <si>
    <t>Bracket Matchup</t>
  </si>
  <si>
    <t>Teams (BOD)</t>
  </si>
  <si>
    <t>R16 Won</t>
  </si>
  <si>
    <t>R16 Lost</t>
  </si>
  <si>
    <t>QF Won</t>
  </si>
  <si>
    <t>QF Lost</t>
  </si>
  <si>
    <t>SF Won</t>
  </si>
  <si>
    <t>SF Lost</t>
  </si>
  <si>
    <t>Finals Won</t>
  </si>
  <si>
    <t>Finals Lost</t>
  </si>
  <si>
    <t>Bracket Won</t>
  </si>
  <si>
    <t>Bracket Lost</t>
  </si>
  <si>
    <t>Bracket Played</t>
  </si>
  <si>
    <t>Teams (Summary)</t>
  </si>
  <si>
    <t>Total Won</t>
  </si>
  <si>
    <t>Total Lost</t>
  </si>
  <si>
    <t>Total Played</t>
  </si>
  <si>
    <t>Win%</t>
  </si>
  <si>
    <t>Final Rank</t>
  </si>
  <si>
    <t>BOD Finish</t>
  </si>
  <si>
    <t>Player 1</t>
  </si>
  <si>
    <t>Player 2</t>
  </si>
  <si>
    <t>Men's</t>
  </si>
  <si>
    <t>1A</t>
  </si>
  <si>
    <t>Bill Mikkelsen &amp; Matt Hood</t>
  </si>
  <si>
    <t>D1-1</t>
  </si>
  <si>
    <t>D1-3</t>
  </si>
  <si>
    <t>Bill Mikkelsen</t>
  </si>
  <si>
    <t>Matt Hood</t>
  </si>
  <si>
    <t>1B</t>
  </si>
  <si>
    <t>Jon Bichelmeyer &amp; Roy Haler</t>
  </si>
  <si>
    <t>D1-4</t>
  </si>
  <si>
    <t>Jon Bichelmeyer</t>
  </si>
  <si>
    <t>Roy Haler</t>
  </si>
  <si>
    <t>1C</t>
  </si>
  <si>
    <t>Prashant Vemireddy &amp; Gary Smith</t>
  </si>
  <si>
    <t>D1-2</t>
  </si>
  <si>
    <t>Prashant Vemireddy</t>
  </si>
  <si>
    <t>Gary Smith</t>
  </si>
  <si>
    <t>1D</t>
  </si>
  <si>
    <t>Troy Caskey</t>
  </si>
  <si>
    <t>William Edwards</t>
  </si>
  <si>
    <t>2A</t>
  </si>
  <si>
    <t>D2-1</t>
  </si>
  <si>
    <t>Bob Kreifels</t>
  </si>
  <si>
    <t>Bond Marrs</t>
  </si>
  <si>
    <t>2B</t>
  </si>
  <si>
    <t>Brad Bicknell &amp; Robert Madison</t>
  </si>
  <si>
    <t>D2-2</t>
  </si>
  <si>
    <t>Brad Bicknell</t>
  </si>
  <si>
    <t>2C</t>
  </si>
  <si>
    <t>Alex Pangilinan &amp; Tom Lee</t>
  </si>
  <si>
    <t>D2-4</t>
  </si>
  <si>
    <t>Alex Pangilinan</t>
  </si>
  <si>
    <t>Tom Lee</t>
  </si>
  <si>
    <t>2D</t>
  </si>
  <si>
    <t>Jason Denney &amp; Tom Spenceri</t>
  </si>
  <si>
    <t>D2-3</t>
  </si>
  <si>
    <t>Jason Denney</t>
  </si>
  <si>
    <t>3A</t>
  </si>
  <si>
    <t>Andy Brez &amp; Brian Jenkins</t>
  </si>
  <si>
    <t>D3-1</t>
  </si>
  <si>
    <t>Andy Brez</t>
  </si>
  <si>
    <t>Brian Jenkins</t>
  </si>
  <si>
    <t>3B</t>
  </si>
  <si>
    <t>John Shehan &amp; Scott Monachello</t>
  </si>
  <si>
    <t>D3-3</t>
  </si>
  <si>
    <t>John Shehan</t>
  </si>
  <si>
    <t>Scott Monachello</t>
  </si>
  <si>
    <t>3C</t>
  </si>
  <si>
    <t>Eric Kwete &amp; Steve Planchon</t>
  </si>
  <si>
    <t>D3-2</t>
  </si>
  <si>
    <t>Eric Kwete</t>
  </si>
  <si>
    <t>Steve Planchon</t>
  </si>
  <si>
    <t>3D</t>
  </si>
  <si>
    <t>Devin Gist &amp; Danny Ng</t>
  </si>
  <si>
    <t>D3-4</t>
  </si>
  <si>
    <t>Devin Gist</t>
  </si>
  <si>
    <t>Danny Ng</t>
  </si>
  <si>
    <t>4A</t>
  </si>
  <si>
    <t>Marlin Carlson &amp; Allen Meyer</t>
  </si>
  <si>
    <t>D4-1</t>
  </si>
  <si>
    <t>Tim Askew &amp; Brian Shehan</t>
  </si>
  <si>
    <t>D4-2</t>
  </si>
  <si>
    <t>Marlin Carlson</t>
  </si>
  <si>
    <t>Allen Meyer</t>
  </si>
  <si>
    <t>4B</t>
  </si>
  <si>
    <t>Tim Askew</t>
  </si>
  <si>
    <t>Brian Shehan</t>
  </si>
  <si>
    <t>4C</t>
  </si>
  <si>
    <t>Jayme Watts &amp; John Evatt</t>
  </si>
  <si>
    <t>D4-4</t>
  </si>
  <si>
    <t>Jayme Watts</t>
  </si>
  <si>
    <t>John Evatt</t>
  </si>
  <si>
    <t>4D</t>
  </si>
  <si>
    <t>Frank King &amp; Greg Summers</t>
  </si>
  <si>
    <t>D4-3</t>
  </si>
  <si>
    <t>Frank King</t>
  </si>
  <si>
    <t>Greg Summers</t>
  </si>
  <si>
    <t>Monty Miller</t>
  </si>
  <si>
    <t>Irwin Don</t>
  </si>
  <si>
    <t>Barry Vonada &amp; John Evatt</t>
  </si>
  <si>
    <t>Gary Roberds &amp; Robert Madison</t>
  </si>
  <si>
    <t>Gary Roberds</t>
  </si>
  <si>
    <t>Brian Shehan &amp; Darren Hinkle</t>
  </si>
  <si>
    <t>Darren Hinkle</t>
  </si>
  <si>
    <t>Bob Kreifels &amp; Rod Muff</t>
  </si>
  <si>
    <t>Rod Muff</t>
  </si>
  <si>
    <t>Travis Gillitzer &amp; Jayme Watts</t>
  </si>
  <si>
    <t>Travis Gillitzer</t>
  </si>
  <si>
    <t>Jason Denney &amp; Drew Felling</t>
  </si>
  <si>
    <t>Drew Felling</t>
  </si>
  <si>
    <t>Tom Wolfe &amp; Allen Meyer</t>
  </si>
  <si>
    <t>Tom Wolfe</t>
  </si>
  <si>
    <t>Doug Kalvelage &amp; John Stolte</t>
  </si>
  <si>
    <t>Brian Sullivan &amp; Steven Sturis</t>
  </si>
  <si>
    <t>Doug Kalvelage</t>
  </si>
  <si>
    <t>John Stolte</t>
  </si>
  <si>
    <t>Bond Marrs &amp; Gary Smith</t>
  </si>
  <si>
    <t>Brad Bicknell &amp; Nizar Ali</t>
  </si>
  <si>
    <t>Nizar Ali</t>
  </si>
  <si>
    <t>Brian Sullivan</t>
  </si>
  <si>
    <t>Steven Sturis</t>
  </si>
  <si>
    <t>Brandon Vereyken &amp; William Edwards</t>
  </si>
  <si>
    <t>Joey Rathbone &amp; Tim Askew</t>
  </si>
  <si>
    <t>Brandon Vereyken</t>
  </si>
  <si>
    <t>Frank King &amp; Alex Pangilinan</t>
  </si>
  <si>
    <t>Devin Gist &amp; Roy Haler</t>
  </si>
  <si>
    <t>Joey Rathbone</t>
  </si>
  <si>
    <t>Devin Gist &amp; Brandon Vereyken</t>
  </si>
  <si>
    <t>Tim Askew &amp; Darren Hinkle</t>
  </si>
  <si>
    <t>William Edwards &amp; Irwin Don</t>
  </si>
  <si>
    <t>Andy Peng &amp; Alex Pangilinan</t>
  </si>
  <si>
    <t>Andy Peng</t>
  </si>
  <si>
    <t>Drew Felling &amp; Jack Moorhead</t>
  </si>
  <si>
    <t>Sid Khan &amp; Gary Bicknell</t>
  </si>
  <si>
    <t>Jack Moorhead</t>
  </si>
  <si>
    <t>Sid Khan</t>
  </si>
  <si>
    <t>Gary Bicknell</t>
  </si>
  <si>
    <t>Scott Heffner</t>
  </si>
  <si>
    <t>John Evatt &amp; Bond Marrs</t>
  </si>
  <si>
    <t>Matt Hood &amp; Derek Hoffman</t>
  </si>
  <si>
    <t>Derek Hoffman</t>
  </si>
  <si>
    <t>Gary Roberds &amp; Craig Donnelly</t>
  </si>
  <si>
    <t>Craig Donnelly</t>
  </si>
  <si>
    <t>Allen Meyer &amp; Monty Miller</t>
  </si>
  <si>
    <t>Greg Roith &amp; Marlin Carlson</t>
  </si>
  <si>
    <t>Greg Roith</t>
  </si>
  <si>
    <t>Bob Kreifels &amp; Tom Spenceri</t>
  </si>
  <si>
    <t>Brian Shehan &amp; Robert Madison</t>
  </si>
  <si>
    <t>Gary Bradley</t>
  </si>
  <si>
    <t>Mickey Tan</t>
  </si>
  <si>
    <t>Barry Vonada &amp; Alex Pangilinan</t>
  </si>
  <si>
    <t>Randy Swearengin &amp; Irwin Don</t>
  </si>
  <si>
    <t>John Evatt &amp; Jeff Nelson</t>
  </si>
  <si>
    <t>Jeff Nelson</t>
  </si>
  <si>
    <t>Randy Swearengin</t>
  </si>
  <si>
    <t>Brody Carlson &amp; Derek Hoffman</t>
  </si>
  <si>
    <t>Brody Carlson</t>
  </si>
  <si>
    <t>Clark Ward &amp; Steven Sturis</t>
  </si>
  <si>
    <t>Andy Peng &amp; Monty Miller</t>
  </si>
  <si>
    <t>Clark Ward</t>
  </si>
  <si>
    <t>Jon Carenza &amp; Jim Bell</t>
  </si>
  <si>
    <t>Jon Carenza</t>
  </si>
  <si>
    <t>Jim Bell</t>
  </si>
  <si>
    <t>Danny Ng &amp; Tim Askew</t>
  </si>
  <si>
    <t>Robert Madison &amp; Tom Spenceri</t>
  </si>
  <si>
    <t>Tom Lee &amp; Scott Heffner</t>
  </si>
  <si>
    <t>Joey Rathbone &amp; Greg Summers</t>
  </si>
  <si>
    <t>Bob Kreifels &amp; Brian Shehan</t>
  </si>
  <si>
    <t>Brandon Vereyken &amp; Ryan Vereyken</t>
  </si>
  <si>
    <t>Ryan Vereyken</t>
  </si>
  <si>
    <t>Brian Sullivan &amp; Kevin O'Dwyer</t>
  </si>
  <si>
    <t>Kevin O'Dwyer</t>
  </si>
  <si>
    <t>Shuai Wang</t>
  </si>
  <si>
    <t>Matt Hood &amp; Scott Siemers</t>
  </si>
  <si>
    <t>Scott Siemers</t>
  </si>
  <si>
    <t>Austin Brown &amp; Tom Lee</t>
  </si>
  <si>
    <t>Austin Brown</t>
  </si>
  <si>
    <t>Mickey Tan &amp; John Evatt</t>
  </si>
  <si>
    <t>Steven Sturis &amp; Bob Kreifels</t>
  </si>
  <si>
    <t>Rod Muff &amp; Danny Ng</t>
  </si>
  <si>
    <t>Witold Rzepnicki</t>
  </si>
  <si>
    <t>Clark Ward &amp; Irwin Don</t>
  </si>
  <si>
    <t>Yash Ramoo &amp; Anant Puri</t>
  </si>
  <si>
    <t>Scott Siemers &amp; Barry Vonada</t>
  </si>
  <si>
    <t>Monty Miller &amp; Allen Meyer</t>
  </si>
  <si>
    <t>Yash Ramoo</t>
  </si>
  <si>
    <t>Anant Puri</t>
  </si>
  <si>
    <t>Jeff Nelson &amp; John Purugganan</t>
  </si>
  <si>
    <t>John Purugganan</t>
  </si>
  <si>
    <t>Robert Madison &amp; Matt Hood</t>
  </si>
  <si>
    <t>Brian Sullivan &amp; Joe Zucht</t>
  </si>
  <si>
    <t>Joe Zucht</t>
  </si>
  <si>
    <t>Matt Don</t>
  </si>
  <si>
    <t>Marlin Carlson &amp; Derek Hoffman</t>
  </si>
  <si>
    <t>Michael Sullivan &amp; William Edwards</t>
  </si>
  <si>
    <t>Randy Swearengin &amp; Brian Shehan</t>
  </si>
  <si>
    <t>Michael Sullivan</t>
  </si>
  <si>
    <t>Tom Wolfe &amp; Rory Carvajal</t>
  </si>
  <si>
    <t>Irwin Don &amp; Alex Pangilinan</t>
  </si>
  <si>
    <t>Rory Carvajal</t>
  </si>
  <si>
    <t>Derek Hoffman &amp; Ricky Carvajal</t>
  </si>
  <si>
    <t>Jay Sidie &amp; Tom Spenceri</t>
  </si>
  <si>
    <t>Ricky Carvajal</t>
  </si>
  <si>
    <t>Gene Humphries &amp; Austin Brown</t>
  </si>
  <si>
    <t>Gene Humphries</t>
  </si>
  <si>
    <t>Matt Hood &amp; Robert Madison</t>
  </si>
  <si>
    <t>Randy Swearengin &amp; Joe Zucht</t>
  </si>
  <si>
    <t>Paul Yaple &amp; Yash Ramoo</t>
  </si>
  <si>
    <t>Marc Richard</t>
  </si>
  <si>
    <t>Brian Sullivan &amp; Bill Roller</t>
  </si>
  <si>
    <t>Bill Roller</t>
  </si>
  <si>
    <t>Greg Roith &amp; Steve Peterson</t>
  </si>
  <si>
    <t>Steve Peterson</t>
  </si>
  <si>
    <t>Paul Yaple</t>
  </si>
  <si>
    <t>Brian Shehan &amp; John Purugganan</t>
  </si>
  <si>
    <t>Monty Miller &amp; Kevin O'Dwyer</t>
  </si>
  <si>
    <t>Jay Sidie</t>
  </si>
  <si>
    <t>Steven Sturis &amp; Jeff Nelson</t>
  </si>
  <si>
    <t>Gary Roberds &amp; Anant Puri</t>
  </si>
  <si>
    <t>Derek Hoffman &amp; Michael Maxwell</t>
  </si>
  <si>
    <t>Michael Maxwell</t>
  </si>
  <si>
    <t>Drew Felling &amp; Bob Kreifels</t>
  </si>
  <si>
    <t>Troy Davig &amp; Anant Puri</t>
  </si>
  <si>
    <t>Dung Le &amp; Allen Meyer</t>
  </si>
  <si>
    <t>Dung Le</t>
  </si>
  <si>
    <t>Cal Morgan &amp; Gary Roberds</t>
  </si>
  <si>
    <t>Brehon Davis &amp; Paul Yaple</t>
  </si>
  <si>
    <t>Cal Morgan</t>
  </si>
  <si>
    <t>Randy Swearengin &amp; Tom Wolfe</t>
  </si>
  <si>
    <t>Yash Ramoo &amp; William Edwards</t>
  </si>
  <si>
    <t>Brehon Davis</t>
  </si>
  <si>
    <t>Danny Ng &amp; Marlin Carlson</t>
  </si>
  <si>
    <t>Marc Richard &amp; Tom Lee</t>
  </si>
  <si>
    <t>Mike McGillicuddy</t>
  </si>
  <si>
    <t>Eric Kwete &amp; Robert Madison</t>
  </si>
  <si>
    <t>Ricky Carvajal &amp; Miguel Cartagena</t>
  </si>
  <si>
    <t>Joe Jacelone &amp; Jeff Potts</t>
  </si>
  <si>
    <t>Miguel Cartagena</t>
  </si>
  <si>
    <t>Brett Munsey &amp; Mike Mattingly</t>
  </si>
  <si>
    <t>Brett Munsey</t>
  </si>
  <si>
    <t>Mike Mattingly</t>
  </si>
  <si>
    <t>Troy Davig</t>
  </si>
  <si>
    <t>Joe Jacelone</t>
  </si>
  <si>
    <t>Jeff Potts</t>
  </si>
  <si>
    <t>Mixed</t>
  </si>
  <si>
    <t>Michael Sullivan &amp; Deon Rasmuson</t>
  </si>
  <si>
    <t>Sarah Page &amp; Matt Svoboda</t>
  </si>
  <si>
    <t>Deon Rasmuson</t>
  </si>
  <si>
    <t>Sid Khan &amp; Kim Hanson</t>
  </si>
  <si>
    <t>Kim Hanson</t>
  </si>
  <si>
    <t>Bob Kreifels &amp; Barb Wood</t>
  </si>
  <si>
    <t>Rob Hurtado &amp; Imelda Tooey</t>
  </si>
  <si>
    <t>Barb Wood</t>
  </si>
  <si>
    <t>Sarah Page</t>
  </si>
  <si>
    <t>Matt Svoboda</t>
  </si>
  <si>
    <t>Robin Yaple &amp; Bill Roller</t>
  </si>
  <si>
    <t>Robin Yaple</t>
  </si>
  <si>
    <t>Steve Planchon &amp; Tasha Evatt</t>
  </si>
  <si>
    <t>Tasha Evatt</t>
  </si>
  <si>
    <t>Steve Peterson &amp; Lorie Wilson</t>
  </si>
  <si>
    <t>Maria Moore &amp; Greg Roith</t>
  </si>
  <si>
    <t>Lorie Wilson</t>
  </si>
  <si>
    <t>Yash Ramoo &amp; Eileen Joyce</t>
  </si>
  <si>
    <t>Eileen Joyce</t>
  </si>
  <si>
    <t>John Evatt &amp; Wendy Leiker</t>
  </si>
  <si>
    <t>Wendy Leiker</t>
  </si>
  <si>
    <t>Maria Moore</t>
  </si>
  <si>
    <t>Kevin O'Farrell &amp; Mary Sanchez</t>
  </si>
  <si>
    <t>Kevin O'Farrell</t>
  </si>
  <si>
    <t>Mary Sanchez</t>
  </si>
  <si>
    <t>Paul Yaple &amp; Cynthia Palmer</t>
  </si>
  <si>
    <t>Cynthia Palmer</t>
  </si>
  <si>
    <t>Allyson Braun &amp; Dennis Radio</t>
  </si>
  <si>
    <t>Brian Sullivan &amp; Nikki Carpenter</t>
  </si>
  <si>
    <t>Allyson Braun</t>
  </si>
  <si>
    <t>Dennis Radio</t>
  </si>
  <si>
    <t>Nikki Carpenter</t>
  </si>
  <si>
    <t>Ryan Carpenter &amp; Kristen Emerson</t>
  </si>
  <si>
    <t>Ryan Carpenter</t>
  </si>
  <si>
    <t>Kristen Emerson</t>
  </si>
  <si>
    <t>Rob Hurtado</t>
  </si>
  <si>
    <t>Imelda Tooey</t>
  </si>
  <si>
    <t>5A</t>
  </si>
  <si>
    <t>Matt Hood &amp; Lindsey Kalivoda</t>
  </si>
  <si>
    <t>D5-1</t>
  </si>
  <si>
    <t>Ron Larson &amp; Sia Carlile</t>
  </si>
  <si>
    <t>D5-2</t>
  </si>
  <si>
    <t>Lindsey Kalivoda</t>
  </si>
  <si>
    <t>5B</t>
  </si>
  <si>
    <t>Kim Hunt &amp; Dale Wooderson</t>
  </si>
  <si>
    <t>D5-3</t>
  </si>
  <si>
    <t>Kim Hunt</t>
  </si>
  <si>
    <t>Dale Wooderson</t>
  </si>
  <si>
    <t>5C</t>
  </si>
  <si>
    <t>Ricky Carvajal &amp; Kristi Colgan</t>
  </si>
  <si>
    <t>D8-2</t>
  </si>
  <si>
    <t>Jacqui O'Connor &amp; Mike McGillicuddy</t>
  </si>
  <si>
    <t>D5-4</t>
  </si>
  <si>
    <t>Kristi Colgan</t>
  </si>
  <si>
    <t>5D</t>
  </si>
  <si>
    <t>Ron Larson</t>
  </si>
  <si>
    <t>Sia Carlile</t>
  </si>
  <si>
    <t>6A</t>
  </si>
  <si>
    <t>Jodi Wilson &amp; Marc Richard</t>
  </si>
  <si>
    <t>D6-1</t>
  </si>
  <si>
    <t>Todd Jones &amp; Beth McDonald</t>
  </si>
  <si>
    <t>D6-2</t>
  </si>
  <si>
    <t>Jodi Wilson</t>
  </si>
  <si>
    <t>6B</t>
  </si>
  <si>
    <t>Carrie Hellerich &amp; Jayme Watts</t>
  </si>
  <si>
    <t>D6-4</t>
  </si>
  <si>
    <t>Carrie Hellerich</t>
  </si>
  <si>
    <t>6C</t>
  </si>
  <si>
    <t>D7-2</t>
  </si>
  <si>
    <t>Jodi Hanish &amp; Allen Meyer</t>
  </si>
  <si>
    <t>Todd Jones</t>
  </si>
  <si>
    <t>Beth McDonald</t>
  </si>
  <si>
    <t>6D</t>
  </si>
  <si>
    <t>Margaret Filbert &amp; Dave Coleman</t>
  </si>
  <si>
    <t>D6-3</t>
  </si>
  <si>
    <t>Margaret Filbert</t>
  </si>
  <si>
    <t>Dave Coleman</t>
  </si>
  <si>
    <t>7A</t>
  </si>
  <si>
    <t>Binh Pham &amp; Thu Nguyen</t>
  </si>
  <si>
    <t>D7-1</t>
  </si>
  <si>
    <t>Steve Baker &amp; Lynn Potter</t>
  </si>
  <si>
    <t>D7-4</t>
  </si>
  <si>
    <t>Binh Pham</t>
  </si>
  <si>
    <t>Thu Nguyen</t>
  </si>
  <si>
    <t>7B</t>
  </si>
  <si>
    <t>Jodi Hanish</t>
  </si>
  <si>
    <t>7C</t>
  </si>
  <si>
    <t>Tina Kempf &amp; Robert Madison</t>
  </si>
  <si>
    <t>D7-3</t>
  </si>
  <si>
    <t>Tina Kempf</t>
  </si>
  <si>
    <t>7D</t>
  </si>
  <si>
    <t>Steve Baker</t>
  </si>
  <si>
    <t>Lynn Potter</t>
  </si>
  <si>
    <t>8A</t>
  </si>
  <si>
    <t>Erinn Metcalf &amp; Jeff Potts</t>
  </si>
  <si>
    <t>D8-1</t>
  </si>
  <si>
    <t>Erinn Metcalf</t>
  </si>
  <si>
    <t>8B</t>
  </si>
  <si>
    <t>Deborah Weixeldorfer &amp; Anant Puri</t>
  </si>
  <si>
    <t>D8-4</t>
  </si>
  <si>
    <t>Deborah Weixeldorfer</t>
  </si>
  <si>
    <t>8C</t>
  </si>
  <si>
    <t>Jeff Nelson &amp; Susan Geick</t>
  </si>
  <si>
    <t>D8-3</t>
  </si>
  <si>
    <t>Susan Geick</t>
  </si>
  <si>
    <t>8D</t>
  </si>
  <si>
    <t>Jacqui O'Connor</t>
  </si>
  <si>
    <t>Dale Wooderson &amp; Michael Sullivan</t>
  </si>
  <si>
    <t>Bob Kreifels &amp; Steve Schanker</t>
  </si>
  <si>
    <t>Bek Abdullayev &amp; Miguel Cartagena</t>
  </si>
  <si>
    <t>Bek Abdullayev</t>
  </si>
  <si>
    <t>Armando Reyes &amp; David Latzman</t>
  </si>
  <si>
    <t>Armando Reyes</t>
  </si>
  <si>
    <t>David Latzman</t>
  </si>
  <si>
    <t>Steve Schanker</t>
  </si>
  <si>
    <t>Cal Morgan &amp; Robert Reed</t>
  </si>
  <si>
    <t>Matt Svoboda &amp; Brehon Davis</t>
  </si>
  <si>
    <t>Robert Reed</t>
  </si>
  <si>
    <t>Dane Plummer &amp; Randy Swearengin</t>
  </si>
  <si>
    <t>Dane Plummer</t>
  </si>
  <si>
    <t>Tom Elmendorf &amp; Danny Ng</t>
  </si>
  <si>
    <t>Eric Kwete &amp; Brian Schwermann</t>
  </si>
  <si>
    <t>Brian Schwermann</t>
  </si>
  <si>
    <t>Marlin Carlson &amp; Matt Hood</t>
  </si>
  <si>
    <t>Tom Elmendorf</t>
  </si>
  <si>
    <t>David Garrett &amp; Yash Ramoo</t>
  </si>
  <si>
    <t>David Garrett</t>
  </si>
  <si>
    <t>Steve Peterson &amp; Allen Meyer</t>
  </si>
  <si>
    <t>Ryan Carpenter &amp; Mike McGillicuddy</t>
  </si>
  <si>
    <t>Robert Madison &amp; Gary Mulsow</t>
  </si>
  <si>
    <t>Gary Mulsow</t>
  </si>
  <si>
    <t>David Lapin &amp; Bill Roller</t>
  </si>
  <si>
    <t>David Lapin</t>
  </si>
  <si>
    <t>Ron Larson &amp; Kristen Emerson</t>
  </si>
  <si>
    <t>Scott Siemers &amp; Carrie Lapin</t>
  </si>
  <si>
    <t>Miguel Cartagena &amp; Susan Geick</t>
  </si>
  <si>
    <t>Ricky Carvajal &amp; Beth McDonald</t>
  </si>
  <si>
    <t>Carrie Lapin</t>
  </si>
  <si>
    <t>Gary Mulsow &amp; Wendy Leiker</t>
  </si>
  <si>
    <t>Ryan Carpenter &amp; Krista Fisher</t>
  </si>
  <si>
    <t>Kevin O'Farrell &amp; Thu Nguyen</t>
  </si>
  <si>
    <t>Dale Wooderson &amp; Seema Ahluwalia</t>
  </si>
  <si>
    <t>Bond Marrs &amp; Heather Nichols</t>
  </si>
  <si>
    <t>Seema Ahluwalia</t>
  </si>
  <si>
    <t>Ryan Carpenter &amp; Krista Shelton</t>
  </si>
  <si>
    <t>Krista Shelton</t>
  </si>
  <si>
    <t>Bill Roller &amp; Kristi Colgan</t>
  </si>
  <si>
    <t>Mark Kuhls &amp; Deborah Weixeldorfer</t>
  </si>
  <si>
    <t>Heather Nichols</t>
  </si>
  <si>
    <t>Doug Wright &amp; Mary Sanchez</t>
  </si>
  <si>
    <t>Doug Wright</t>
  </si>
  <si>
    <t>Mark Kuhls</t>
  </si>
  <si>
    <t>Dennis Radio &amp; Sarah Page</t>
  </si>
  <si>
    <t>Rob Hurtado &amp; Terri Lilek</t>
  </si>
  <si>
    <t>Sam Madison &amp; Raquel Madison</t>
  </si>
  <si>
    <t>Sam Madison</t>
  </si>
  <si>
    <t>Raquel Madison</t>
  </si>
  <si>
    <t>Terri Lilek</t>
  </si>
  <si>
    <t>Michael Sullivan &amp; Issa Sullivan</t>
  </si>
  <si>
    <t>Issa Sullivan</t>
  </si>
  <si>
    <t>David Garrett &amp; Sia Carlile</t>
  </si>
  <si>
    <t>Tom Langdon &amp; Heather Johnson</t>
  </si>
  <si>
    <t>Barry Vonada &amp; Kelly Dreyer Wright</t>
  </si>
  <si>
    <t>Tom Langdon</t>
  </si>
  <si>
    <t>Heather Johnson</t>
  </si>
  <si>
    <t>Allen Meyer &amp; Jennifer Stolte</t>
  </si>
  <si>
    <t>Jennifer Stolte</t>
  </si>
  <si>
    <t>Matt Svoboda &amp; Kerry Helmuth</t>
  </si>
  <si>
    <t>Binh Pham &amp; Jean Orpin</t>
  </si>
  <si>
    <t>Kerry Helmuth</t>
  </si>
  <si>
    <t>Jean Orpin</t>
  </si>
  <si>
    <t>Dane Plummer &amp; Kim Hanson</t>
  </si>
  <si>
    <t>John Stolte &amp; Shelly Marsh</t>
  </si>
  <si>
    <t>David Latzman &amp; Sabrina Caldwell</t>
  </si>
  <si>
    <t>Sabrina Caldwell</t>
  </si>
  <si>
    <t>Dave Lapin &amp; Jodi Wilson</t>
  </si>
  <si>
    <t>Will Talbert &amp; Kim Hunt</t>
  </si>
  <si>
    <t>Will Talbert</t>
  </si>
  <si>
    <t>Mike McGillicuddy &amp; Jenny Carpenter</t>
  </si>
  <si>
    <t>Jenny Carpenter</t>
  </si>
  <si>
    <t>Shelly Marsh</t>
  </si>
  <si>
    <t>Yash Ramoo &amp; Imelda Tooey</t>
  </si>
  <si>
    <t>Kelly Dreyer Wright</t>
  </si>
  <si>
    <t>Steve Peterson &amp; Tasha Evatt</t>
  </si>
  <si>
    <t>Derek Sandstrom &amp; Eileen Joyce</t>
  </si>
  <si>
    <t>Derek Sandstrom</t>
  </si>
  <si>
    <t>Women's</t>
  </si>
  <si>
    <t>Heather Cook &amp; Erinn Metcalf</t>
  </si>
  <si>
    <t>Heather Cook</t>
  </si>
  <si>
    <t>Raquel Madison &amp; Deon Rasmuson</t>
  </si>
  <si>
    <t>Chan Townsend &amp; Tina Kempf</t>
  </si>
  <si>
    <t>Chan Townsend</t>
  </si>
  <si>
    <t>Beth McDonald &amp; Mary Sanchez</t>
  </si>
  <si>
    <t>Tasha Evatt &amp; Debbie Don</t>
  </si>
  <si>
    <t>Romy Carlson &amp; Doris Saltkill</t>
  </si>
  <si>
    <t>Debbie Don</t>
  </si>
  <si>
    <t>Kathy Goggin &amp; Alicia Howe</t>
  </si>
  <si>
    <t>Kathy Goggin</t>
  </si>
  <si>
    <t>Alicia Howe</t>
  </si>
  <si>
    <t>Cynthia Gerdes &amp; Lauren Liguore</t>
  </si>
  <si>
    <t>Romy Carlson</t>
  </si>
  <si>
    <t>Doris Saltkill</t>
  </si>
  <si>
    <t>Thu Nguyen &amp; Alice Edwards</t>
  </si>
  <si>
    <t>Alice Edwards</t>
  </si>
  <si>
    <t>Christine Carle &amp; Jeanette Ross</t>
  </si>
  <si>
    <t>Mary Thornton &amp; Christie Meller</t>
  </si>
  <si>
    <t>Christine Carle</t>
  </si>
  <si>
    <t>Jeanette Ross</t>
  </si>
  <si>
    <t>Cynthia Gerdes</t>
  </si>
  <si>
    <t>Lauren Liguore</t>
  </si>
  <si>
    <t>Mary Thornton</t>
  </si>
  <si>
    <t>Christie Meller</t>
  </si>
  <si>
    <t>Carol Reyes &amp; Naomi Tjaden</t>
  </si>
  <si>
    <t>Carol Reyes</t>
  </si>
  <si>
    <t>Naomi Tjaden</t>
  </si>
  <si>
    <t>Maria Moore &amp; Loras Heck</t>
  </si>
  <si>
    <t>Tamara Hutcheson</t>
  </si>
  <si>
    <t>Barb Wood &amp; Kim Lee</t>
  </si>
  <si>
    <t>Kim Lee</t>
  </si>
  <si>
    <t>Loras Heck</t>
  </si>
  <si>
    <t>Shanna Loyd &amp; Agne Kozlovskaja-Gumbriene</t>
  </si>
  <si>
    <t>Shanna Loyd</t>
  </si>
  <si>
    <t>Agne Kozlovskaja-Gumbriene</t>
  </si>
  <si>
    <t>Brian Harris &amp; Dale Wooderson</t>
  </si>
  <si>
    <t>Brian Harris</t>
  </si>
  <si>
    <t>Troy Thomasson &amp; Bond Marrs</t>
  </si>
  <si>
    <t>Troy Thomasson</t>
  </si>
  <si>
    <t>Robert Madison &amp; Chip Walsh</t>
  </si>
  <si>
    <t>Steve Peterson &amp; Keith August</t>
  </si>
  <si>
    <t>Keith August</t>
  </si>
  <si>
    <t>Yash Ramoo &amp; Dennis Radio</t>
  </si>
  <si>
    <t>John Nestor &amp; Allen Meyer</t>
  </si>
  <si>
    <t>Andrew Abe &amp; Greg Romer</t>
  </si>
  <si>
    <t>John Nestor</t>
  </si>
  <si>
    <t>David Lapin &amp; Jay Sidie</t>
  </si>
  <si>
    <t>Matt Hood &amp; Greg Roith</t>
  </si>
  <si>
    <t>Ryan Kimbrell &amp; Danny Ng</t>
  </si>
  <si>
    <t>Andrew Abe</t>
  </si>
  <si>
    <t>Greg Romer</t>
  </si>
  <si>
    <t>Prashant Patel &amp; Dane Plummer</t>
  </si>
  <si>
    <t>Prashant Patel</t>
  </si>
  <si>
    <t>Ryan Kimbrell</t>
  </si>
  <si>
    <t>Brian Sullivan &amp; Andrew Wimmer</t>
  </si>
  <si>
    <t>Matt Wilson &amp; Mike Otto</t>
  </si>
  <si>
    <t>Andrew Wimmer</t>
  </si>
  <si>
    <t>Miguel Cartagena &amp; Matt Svoboda</t>
  </si>
  <si>
    <t>Chip Walsh</t>
  </si>
  <si>
    <t>Matt Wilson</t>
  </si>
  <si>
    <t>Mike Otto</t>
  </si>
  <si>
    <t>Yash Ramoo &amp; Tina Kempf</t>
  </si>
  <si>
    <t>David Lapin &amp; Katy Gondring</t>
  </si>
  <si>
    <t>Danny Ng &amp; Carol Reyes</t>
  </si>
  <si>
    <t>Katy Gondring</t>
  </si>
  <si>
    <t>Allen Meyer &amp; Imelda Tooey</t>
  </si>
  <si>
    <t>Tom Spenceri &amp; Jenny Carpenter</t>
  </si>
  <si>
    <t>Matt Svoboda &amp; Shanna Loyd</t>
  </si>
  <si>
    <t>Dale Wooderson &amp; Brook Vitt</t>
  </si>
  <si>
    <t>Miguel Cartagena &amp; Loras Heck</t>
  </si>
  <si>
    <t>Brook Vitt</t>
  </si>
  <si>
    <t>Brian Sullivan &amp; Julie Fuller</t>
  </si>
  <si>
    <t>Julie Fuller</t>
  </si>
  <si>
    <t>Matt Wilson &amp; Jacqui O'Connor</t>
  </si>
  <si>
    <t>Greg Roith &amp; Erinn Metcalf</t>
  </si>
  <si>
    <t>John Evatt &amp; Tasha Evatt</t>
  </si>
  <si>
    <t>Matt Svoboda &amp; Shanna Lloyd</t>
  </si>
  <si>
    <t>Robert Madison &amp; Raquel Madison</t>
  </si>
  <si>
    <t>Ryan Kimbrell &amp; Christie Meller</t>
  </si>
  <si>
    <t>Liz Decker</t>
  </si>
  <si>
    <t>Chris Constant &amp; Lee Moore</t>
  </si>
  <si>
    <t>Bond Marrs &amp; Rod Muff</t>
  </si>
  <si>
    <t>Chris Constant</t>
  </si>
  <si>
    <t>Lee Moore</t>
  </si>
  <si>
    <t>Marlin Carlson &amp; Robert Madison</t>
  </si>
  <si>
    <t>John Stolte &amp; Roy True</t>
  </si>
  <si>
    <t>Scott Siemers &amp; Matt Svoboda</t>
  </si>
  <si>
    <t>Lindsay Shannon &amp; Doug Schwabauer</t>
  </si>
  <si>
    <t>Kevin O'Farrell &amp; Dave Lapin</t>
  </si>
  <si>
    <t>Lindsay Shannon</t>
  </si>
  <si>
    <t>Doug Schwabauer</t>
  </si>
  <si>
    <t>Michael Sullivan &amp; Jason Denney</t>
  </si>
  <si>
    <t>Danny Ng &amp; Miguel Cartagena</t>
  </si>
  <si>
    <t>Keith August &amp; Brad Bicknell</t>
  </si>
  <si>
    <t>Mike Klender &amp; Joe Zucht</t>
  </si>
  <si>
    <t>Mike Faulconer &amp; Dennis Radio</t>
  </si>
  <si>
    <t>Mike Faulconer</t>
  </si>
  <si>
    <t>Danny Ng &amp; Miguel Cartegena</t>
  </si>
  <si>
    <t>Justin Hoffman</t>
  </si>
  <si>
    <t>Mike Klender</t>
  </si>
  <si>
    <t>Yash Ramoo &amp; Dane Plummer</t>
  </si>
  <si>
    <t>Robert Reed &amp; John Nestor</t>
  </si>
  <si>
    <t>Roy True</t>
  </si>
  <si>
    <t>Randy Swearengin &amp; Allen Meyer</t>
  </si>
  <si>
    <t>Jenny Carpenter &amp; Maulik Nanavati</t>
  </si>
  <si>
    <t>Maulik Nanavati</t>
  </si>
  <si>
    <t>Liz Decker &amp; Keith August</t>
  </si>
  <si>
    <t>Kandy Terpstra &amp; John Craig</t>
  </si>
  <si>
    <t>Susan "Scotty" Savic &amp; Patrick Doolan</t>
  </si>
  <si>
    <t>Kandy Terpstra</t>
  </si>
  <si>
    <t>John Craig</t>
  </si>
  <si>
    <t>Denise Marshall &amp; Justin Hoffman</t>
  </si>
  <si>
    <t>Denise Marshall</t>
  </si>
  <si>
    <t>Kim Hunt &amp; Dane Plummer</t>
  </si>
  <si>
    <t>Loras Heck &amp; Miguel Cartagena</t>
  </si>
  <si>
    <t>Jennifer Shore &amp; Yash Ramoo</t>
  </si>
  <si>
    <t>Andrea Root &amp; Matt Svoboda</t>
  </si>
  <si>
    <t>Jennifer Shore</t>
  </si>
  <si>
    <t>Mary Thornton &amp; Billy Marshall</t>
  </si>
  <si>
    <t>Tasha Evatt &amp; Ishmael Alejo</t>
  </si>
  <si>
    <t>Billy Marshall</t>
  </si>
  <si>
    <t>Ishmael Alejo</t>
  </si>
  <si>
    <t>Lauren Liguore &amp; Avery Woodard</t>
  </si>
  <si>
    <t>Avery Woodard</t>
  </si>
  <si>
    <t>Andrea Root</t>
  </si>
  <si>
    <t>Jacqui O'Connor &amp; Danny Ng</t>
  </si>
  <si>
    <t>Erinn Metcalf &amp; David Lapin</t>
  </si>
  <si>
    <t>Merritt Harrison &amp; Allen Meyer</t>
  </si>
  <si>
    <t>Merritt Harrison</t>
  </si>
  <si>
    <t>Susan Scott Savic &amp; Patrick Doolan</t>
  </si>
  <si>
    <t>Susan Scott Savic</t>
  </si>
  <si>
    <t>Patrick Doolan</t>
  </si>
  <si>
    <t>Ann Cronkhite &amp; Joe Zucht</t>
  </si>
  <si>
    <t>Katy Gondring &amp; Rob Hurtado</t>
  </si>
  <si>
    <t>Ann Cronkhite</t>
  </si>
  <si>
    <t>Susan Mitts &amp; Jason Denney</t>
  </si>
  <si>
    <t>Susan Mitts</t>
  </si>
  <si>
    <t>Laura Schoenekase &amp; Dale Wooderson</t>
  </si>
  <si>
    <t>Brook Vitt &amp; Spencer Terpstra</t>
  </si>
  <si>
    <t>Laura Schoenekase</t>
  </si>
  <si>
    <t>Lynn Potter &amp; John Evatt</t>
  </si>
  <si>
    <t>Thu Nguyen &amp; Bill Roller</t>
  </si>
  <si>
    <t>Raquel Madison &amp; John Nestor</t>
  </si>
  <si>
    <t>Debbie Don &amp; Jeff Stockham</t>
  </si>
  <si>
    <t>Joan Liechty &amp; David Garrett</t>
  </si>
  <si>
    <t>Joan Liechty</t>
  </si>
  <si>
    <t>Kansas Dreps &amp; Michael Dreps</t>
  </si>
  <si>
    <t>Kansas Dreps</t>
  </si>
  <si>
    <t>Michael Dreps</t>
  </si>
  <si>
    <t>Bridget Throm &amp; Irwin Don</t>
  </si>
  <si>
    <t>Bridget Throm</t>
  </si>
  <si>
    <t>Jeff Stockham</t>
  </si>
  <si>
    <t>Christie Meller &amp; George Lopez</t>
  </si>
  <si>
    <t>JoAnn Figueroa &amp; Milind Phadnis</t>
  </si>
  <si>
    <t>George Lopez</t>
  </si>
  <si>
    <t>Spencer Terpstra</t>
  </si>
  <si>
    <t>Carrie Lapin &amp; Greg Romer</t>
  </si>
  <si>
    <t>JoAnn Figueroa</t>
  </si>
  <si>
    <t>Milind Phadnis</t>
  </si>
  <si>
    <t>Brook Vitt &amp; Raquel Madison</t>
  </si>
  <si>
    <t>Erinn Metcalf &amp; Thu Nguyen</t>
  </si>
  <si>
    <t>Tracy Boone &amp; Lindsey Kalivoda</t>
  </si>
  <si>
    <t>Tiffany Blackwell &amp; Ryann Redmond</t>
  </si>
  <si>
    <t>Tiffany Blackwell</t>
  </si>
  <si>
    <t>Ryann Redmond</t>
  </si>
  <si>
    <t>Lara Golike &amp; Jacqueline Jensen</t>
  </si>
  <si>
    <t>Katie Bolton &amp; Debbie Don</t>
  </si>
  <si>
    <t>Lara Golike</t>
  </si>
  <si>
    <t>Jacqui Jensen</t>
  </si>
  <si>
    <t>Katie Bolton</t>
  </si>
  <si>
    <t>Sia Carlile &amp; Christie Meller</t>
  </si>
  <si>
    <t>Debbie Davis &amp; Jamie Myers</t>
  </si>
  <si>
    <t>JoAnn Figueroa &amp; Susan Murphy</t>
  </si>
  <si>
    <t>Mary Thornton &amp; Susan Scott Savic</t>
  </si>
  <si>
    <t>Susan Murphy</t>
  </si>
  <si>
    <t>Debbie Davis</t>
  </si>
  <si>
    <t>Jamie Myers</t>
  </si>
  <si>
    <t>Angela Hagen &amp; Mindy McCalla</t>
  </si>
  <si>
    <t>Angela Hagen</t>
  </si>
  <si>
    <t>Mindy McCalla</t>
  </si>
  <si>
    <t>Jenny Carpenter &amp; Jacqui O'Connor</t>
  </si>
  <si>
    <t>Laura Schoenekase &amp; Anne Miller</t>
  </si>
  <si>
    <t>Tracy Boone</t>
  </si>
  <si>
    <t>Shanna Loyd &amp; Heather Hardy</t>
  </si>
  <si>
    <t>Brook Vitt &amp; Tiffany Raquel Madison</t>
  </si>
  <si>
    <t>Heather Hardy</t>
  </si>
  <si>
    <t>Anne Miller</t>
  </si>
  <si>
    <t>Pat Doolan &amp; Robert Madison</t>
  </si>
  <si>
    <t>Miguel Cartagena &amp; Kelcei Glasgow</t>
  </si>
  <si>
    <t>John Nestor &amp; Dennis Radio</t>
  </si>
  <si>
    <t>Joe Zucht &amp; David Lapin</t>
  </si>
  <si>
    <t>Kelcei Glasgow</t>
  </si>
  <si>
    <t>Bond Marrs &amp; Christopher Elmore</t>
  </si>
  <si>
    <t>Christopher Elmore</t>
  </si>
  <si>
    <t>Eric Schanker &amp; Keith August</t>
  </si>
  <si>
    <t>Eric Schanker</t>
  </si>
  <si>
    <t>Irwin Don &amp; Tim Norris</t>
  </si>
  <si>
    <t>Rob Hurtado &amp; Michael Schermoly</t>
  </si>
  <si>
    <t>Tim Norris</t>
  </si>
  <si>
    <t>Dave Coleman &amp; Fred Sherman</t>
  </si>
  <si>
    <t>Fred Sherman</t>
  </si>
  <si>
    <t>Matthew Wilson &amp; Dale Wooderson</t>
  </si>
  <si>
    <t>Scott Siemers &amp; Stuart Carrico</t>
  </si>
  <si>
    <t>Michael Schermoly</t>
  </si>
  <si>
    <t>Stuart Carrico</t>
  </si>
  <si>
    <t>Yash Ramoo &amp; Allen Meyer</t>
  </si>
  <si>
    <t>Ron Larson &amp; Dane Plummer</t>
  </si>
  <si>
    <t>Jeff Gibson &amp; Mark Murphy</t>
  </si>
  <si>
    <t>Jeff Gibson</t>
  </si>
  <si>
    <t>Mark Murphy</t>
  </si>
  <si>
    <t>John Stauffer</t>
  </si>
  <si>
    <t>Carrie Lapin &amp; John Evatt</t>
  </si>
  <si>
    <t>Shanna Loyd &amp; Dale Wooderson</t>
  </si>
  <si>
    <t>Jennifer Shore &amp; Dave Coleman</t>
  </si>
  <si>
    <t>Susan Murphy &amp; Miguel Cartagena</t>
  </si>
  <si>
    <t>Katy Gondring &amp; Keith August</t>
  </si>
  <si>
    <t>Joan Liechty &amp; Troy Thomasson</t>
  </si>
  <si>
    <t>Mary Thornton &amp; Mark Murphy</t>
  </si>
  <si>
    <t>Keely Schneider &amp; Ishmael Alejo</t>
  </si>
  <si>
    <t>Thu Nguyen &amp; Robert Madison</t>
  </si>
  <si>
    <t>Keely Schneider</t>
  </si>
  <si>
    <t>Loras Heck &amp; Pat Doolan</t>
  </si>
  <si>
    <t>Lauren Liguore &amp; Danny Ng</t>
  </si>
  <si>
    <t>Erinn Metcalf &amp; Dane Plummer</t>
  </si>
  <si>
    <t>Christie Meller &amp; John Nestor</t>
  </si>
  <si>
    <t>Chan To &amp; Andrew Gosnell</t>
  </si>
  <si>
    <t>John Stauffer &amp; Troy Thomasson</t>
  </si>
  <si>
    <t>Chan To</t>
  </si>
  <si>
    <t>Andrew Gosnell</t>
  </si>
  <si>
    <t>Keith August &amp; Steven Pauwels</t>
  </si>
  <si>
    <t>Mike McGillicuddy &amp; Keith Campbell</t>
  </si>
  <si>
    <t>Steven Pauwels</t>
  </si>
  <si>
    <t>Scott Siemers &amp; Christopher Elmore</t>
  </si>
  <si>
    <t>Avery Woodard &amp; Daniel Stroade</t>
  </si>
  <si>
    <t>Daniel Stroade</t>
  </si>
  <si>
    <t>Rob Hurtado &amp; Greg Roith</t>
  </si>
  <si>
    <t>Justin Hoffman &amp; Spencer Terpstra</t>
  </si>
  <si>
    <t>Curtis Stoneman &amp; Armando Reyes</t>
  </si>
  <si>
    <t>Bond Marrs &amp; John Nestor</t>
  </si>
  <si>
    <t>Dan Gassel &amp; John Evatt</t>
  </si>
  <si>
    <t>Dan Gassel</t>
  </si>
  <si>
    <t>Curtis Stoneman</t>
  </si>
  <si>
    <t>Tom Spenceri &amp; Danny Ng</t>
  </si>
  <si>
    <t>Jeff stockham &amp; Jack Zupan</t>
  </si>
  <si>
    <t>Keith Campbell</t>
  </si>
  <si>
    <t>Scott Siemers &amp; Christopher P. Elmore</t>
  </si>
  <si>
    <t>Jack Zupan</t>
  </si>
  <si>
    <t>Kelcei Glasgow &amp; Robert Madison</t>
  </si>
  <si>
    <t>Shanna Loyd &amp; Mark Murphy</t>
  </si>
  <si>
    <t>Eric Santon</t>
  </si>
  <si>
    <t>Christie Meller &amp; Miguel Cartagena</t>
  </si>
  <si>
    <t>Laura Schoenekase &amp; Dane Plummer</t>
  </si>
  <si>
    <t>Susan Murphy &amp; Kevin Phillips</t>
  </si>
  <si>
    <t>Mary Thornton &amp; Keith August</t>
  </si>
  <si>
    <t>Kevin Phillips</t>
  </si>
  <si>
    <t>Amy George &amp; Gary Mulsow</t>
  </si>
  <si>
    <t>Brook Vitt &amp; Greg Romer</t>
  </si>
  <si>
    <t>Amy George</t>
  </si>
  <si>
    <t>Nicolle Ratliff &amp; Matt Ward</t>
  </si>
  <si>
    <t>Nicolle Ratliff</t>
  </si>
  <si>
    <t>Matt Ward</t>
  </si>
  <si>
    <t>Loras Heck &amp; Avery Woodard</t>
  </si>
  <si>
    <t>Susan Mitts &amp; Michael Curley</t>
  </si>
  <si>
    <t>Michael Curley</t>
  </si>
  <si>
    <t>Angela Hagen &amp; Robert Madison</t>
  </si>
  <si>
    <t>Jennifer Shore &amp; Kelcei Glasgow</t>
  </si>
  <si>
    <t>Mindy McCalla &amp; Rob Hurtado</t>
  </si>
  <si>
    <t>Jacqui jensen &amp; Greg Roith</t>
  </si>
  <si>
    <t>Trevor Stone &amp; Allen Meyer</t>
  </si>
  <si>
    <t>Trevor Stone</t>
  </si>
  <si>
    <t>Joe Rishmany &amp; Michael Schermoly</t>
  </si>
  <si>
    <t>john stauffer &amp; Juergen Massey</t>
  </si>
  <si>
    <t>Joe Rishmany</t>
  </si>
  <si>
    <t>Nick Wright &amp; Fred Sherman</t>
  </si>
  <si>
    <t>Nick Wright</t>
  </si>
  <si>
    <t>Larry D'Amico &amp; John Stolte</t>
  </si>
  <si>
    <t>Curtis Stoneman &amp; David Duntz</t>
  </si>
  <si>
    <t>Larry D'Amico</t>
  </si>
  <si>
    <t>rodrigo carvajal &amp; Derek Newman</t>
  </si>
  <si>
    <t>rodrigo carvajal</t>
  </si>
  <si>
    <t>Derek Newman</t>
  </si>
  <si>
    <t>scott siemers &amp; Jack Zupan</t>
  </si>
  <si>
    <t>Eric Kwete &amp; Matt Ward</t>
  </si>
  <si>
    <t>David Duntz</t>
  </si>
  <si>
    <t>Rod Muff &amp; Jeff Nelson</t>
  </si>
  <si>
    <t>Jordan Haas &amp; Robert Humble</t>
  </si>
  <si>
    <t>Ricky Carvajal &amp; Dane Plummer</t>
  </si>
  <si>
    <t>Jordan Haas</t>
  </si>
  <si>
    <t>Robert Humble</t>
  </si>
  <si>
    <t>Vageesh Kumar &amp; Justin Hoffman</t>
  </si>
  <si>
    <t>Juergen Massey</t>
  </si>
  <si>
    <t>Vageesh Kumar</t>
  </si>
  <si>
    <t>Mark Murphy &amp; Tim Norris</t>
  </si>
  <si>
    <t>Avery Woodard &amp; Jeremy Burd</t>
  </si>
  <si>
    <t>Jeremy Burd</t>
  </si>
  <si>
    <t>Erinn Metcalf &amp; Keely Schneider</t>
  </si>
  <si>
    <t>Susan Mitts &amp; Shelly Olufson</t>
  </si>
  <si>
    <t>Shelly Olufson</t>
  </si>
  <si>
    <t>Kristin Heurtin &amp; Jamie Myers</t>
  </si>
  <si>
    <t>Blythe Roberts &amp; Susan Murphy</t>
  </si>
  <si>
    <t>Kristin Heurtin</t>
  </si>
  <si>
    <t>Maki True &amp; Thu Nguyen</t>
  </si>
  <si>
    <t>Maki True</t>
  </si>
  <si>
    <t>Shanna Loyd &amp; Joyce Widgren</t>
  </si>
  <si>
    <t>Paige Salveter &amp; stephanie patterson</t>
  </si>
  <si>
    <t>Joyce Widgren</t>
  </si>
  <si>
    <t>Amy George &amp; Lois McKinley</t>
  </si>
  <si>
    <t>Lois McKinley</t>
  </si>
  <si>
    <t>Nancy Wedel &amp; Alice Edwards</t>
  </si>
  <si>
    <t>JoAnn Figueroa &amp; stephanie brittain</t>
  </si>
  <si>
    <t>Nancy Wedel</t>
  </si>
  <si>
    <t>Paige Salveter</t>
  </si>
  <si>
    <t>Stephanie Patterson</t>
  </si>
  <si>
    <t>Amanda Miller &amp; Angel Krishna</t>
  </si>
  <si>
    <t>Cynthia Machael &amp; Candace Asbell</t>
  </si>
  <si>
    <t>Amanda Miller</t>
  </si>
  <si>
    <t>Angel Krishna</t>
  </si>
  <si>
    <t>Angela Hagen &amp; Cathy Hurst</t>
  </si>
  <si>
    <t>Cathy Hurst</t>
  </si>
  <si>
    <t>Stephanie Brittain</t>
  </si>
  <si>
    <t>Cynthia Machael</t>
  </si>
  <si>
    <t>Candace Asbell</t>
  </si>
  <si>
    <t>Angie Eason</t>
  </si>
  <si>
    <t>Stephanie Campbell</t>
  </si>
  <si>
    <t>Blythe Roberts</t>
  </si>
  <si>
    <t>Theresa Danforth-Costello &amp; Candace Chapman</t>
  </si>
  <si>
    <t>Theresa Danforth-Costello</t>
  </si>
  <si>
    <t>Candace Chapman</t>
  </si>
  <si>
    <t>Jacqui jensen &amp; Mary Sanchez</t>
  </si>
  <si>
    <t>Laura Schoenekase &amp; Avery Woodard</t>
  </si>
  <si>
    <t>Loras Heck &amp; Bond Marrs</t>
  </si>
  <si>
    <t>Julie Gibson &amp; Dane Plummer</t>
  </si>
  <si>
    <t>stephanie patterson &amp; Matt Ward</t>
  </si>
  <si>
    <t>Lindsey Kalivoda &amp; Eric Santon</t>
  </si>
  <si>
    <t>Angela Hagen &amp; Elliott Freirich</t>
  </si>
  <si>
    <t>Paige Salveter &amp; Gary Mulsow</t>
  </si>
  <si>
    <t>Elliott Freirich</t>
  </si>
  <si>
    <t>Amy George &amp; Michael Schermoly</t>
  </si>
  <si>
    <t>Erinn Metcalf &amp; Robert Madison</t>
  </si>
  <si>
    <t>Alice Edwards &amp; Steven Pauwels</t>
  </si>
  <si>
    <t>Samantha Aleman &amp; Jordan Haas</t>
  </si>
  <si>
    <t>Samantha Aleman</t>
  </si>
  <si>
    <t>Shanna Loyd &amp; Troy Thomasson</t>
  </si>
  <si>
    <t>Julie Gibson</t>
  </si>
  <si>
    <t>Jacqui jensen &amp; Danny Ng</t>
  </si>
  <si>
    <t>Tracy Lockton</t>
  </si>
  <si>
    <t>Susan Mitts &amp; andrew Murchie</t>
  </si>
  <si>
    <t>Andrew Murchie</t>
  </si>
  <si>
    <t>John Stolte &amp; Michael Schermoly</t>
  </si>
  <si>
    <t>Bond marrs &amp; David Weber</t>
  </si>
  <si>
    <t>Robert Madison &amp; Danny Ng</t>
  </si>
  <si>
    <t>Tom Spenceri &amp; Avery Woodard</t>
  </si>
  <si>
    <t>William Hyde &amp; Bill Roller</t>
  </si>
  <si>
    <t>Jack Zupan &amp; Steven Pauwels</t>
  </si>
  <si>
    <t>William Hyde</t>
  </si>
  <si>
    <t>Scott Siemers &amp; Marc Richard</t>
  </si>
  <si>
    <t>john stauffer &amp; Pat Doolan</t>
  </si>
  <si>
    <t>Connor Callahan &amp; Grant Isom</t>
  </si>
  <si>
    <t>Joe Lucas &amp; Tom Hunt</t>
  </si>
  <si>
    <t>Connor Callahan</t>
  </si>
  <si>
    <t>Grant Isom</t>
  </si>
  <si>
    <t>David Weber</t>
  </si>
  <si>
    <t>Travis Horn</t>
  </si>
  <si>
    <t>Mark Murphy &amp; Carson Sanford</t>
  </si>
  <si>
    <t>Andy Lockard &amp; Grif Sims</t>
  </si>
  <si>
    <t>Carson Sanford</t>
  </si>
  <si>
    <t>Andy Lockard</t>
  </si>
  <si>
    <t>Grif Sims</t>
  </si>
  <si>
    <t>Mike Klender &amp; Josh Draves-Kellerman</t>
  </si>
  <si>
    <t>Keith Campbell &amp; Jeff Stockham</t>
  </si>
  <si>
    <t>Josh Draves-Kellerman</t>
  </si>
  <si>
    <t>Justin Winner</t>
  </si>
  <si>
    <t>Joe Lucas</t>
  </si>
  <si>
    <t>Tom Hunt</t>
  </si>
  <si>
    <t>Veronica Marrs &amp; Stacie Scifres</t>
  </si>
  <si>
    <t>Veronica Marrs</t>
  </si>
  <si>
    <t>Stacie Scifres</t>
  </si>
  <si>
    <t>Jacqui Jensen &amp; Shanna Loyd</t>
  </si>
  <si>
    <t>Jennifer Hudson &amp; Anchi Zwede</t>
  </si>
  <si>
    <t>Carrie Cooper &amp; Keely Schneider</t>
  </si>
  <si>
    <t>Tina Kempf &amp; Tiffany Blackwell</t>
  </si>
  <si>
    <t>Carrie Cooper</t>
  </si>
  <si>
    <t>Paige Salveter &amp; Kristy Ecton</t>
  </si>
  <si>
    <t>Kristin Heurtin &amp; Stacie Temple</t>
  </si>
  <si>
    <t>Kristy Ecton</t>
  </si>
  <si>
    <t>Stephanie Campbell &amp; Alice Edwards</t>
  </si>
  <si>
    <t>Sarah Taber &amp; Stephanie Brittain</t>
  </si>
  <si>
    <t>Sarah Taber</t>
  </si>
  <si>
    <t>Susie Keefer &amp; Olivia Haney</t>
  </si>
  <si>
    <t>Mallory Plungkhen &amp; Kim Lee</t>
  </si>
  <si>
    <t>Susie Keefer</t>
  </si>
  <si>
    <t>Olivia Haney</t>
  </si>
  <si>
    <t>Amy George &amp; Susan Murphy</t>
  </si>
  <si>
    <t>Jennifer Hudson</t>
  </si>
  <si>
    <t>Anchi Zwede</t>
  </si>
  <si>
    <t>Phyllis Norman &amp; Thu Nguyen</t>
  </si>
  <si>
    <t>Phyllis Norman</t>
  </si>
  <si>
    <t>Raquel Madison &amp; Susan Mitts</t>
  </si>
  <si>
    <t>Stacie Temple</t>
  </si>
  <si>
    <t>Mallory Plungkhen</t>
  </si>
  <si>
    <t>Miguel Cartagena &amp; Stephanie Patterson</t>
  </si>
  <si>
    <t>John Stauffer &amp; Susan Mitts</t>
  </si>
  <si>
    <t>Troy Thomasson &amp; Keely Schneider</t>
  </si>
  <si>
    <t>Allen Meyer &amp; Maki True</t>
  </si>
  <si>
    <t>William Hyde &amp; Jacqui jensen</t>
  </si>
  <si>
    <t>Robert Madison &amp; Susie Keefer</t>
  </si>
  <si>
    <t>Vageesh Kumar &amp; Alice Edwards</t>
  </si>
  <si>
    <t>Gary Mulsow &amp; Callie Bennett</t>
  </si>
  <si>
    <t>Michael Schermoly &amp; Brook Vitt</t>
  </si>
  <si>
    <t>Steven Pauwels &amp; Tiffany Blackwell</t>
  </si>
  <si>
    <t>Callie Bennett</t>
  </si>
  <si>
    <t>Danny Ng &amp; Nicolle Ratliff</t>
  </si>
  <si>
    <t>Curtis Stoneman &amp; Lauren Liguore</t>
  </si>
  <si>
    <t>David Keefer &amp; Erinn Metcalf</t>
  </si>
  <si>
    <t>David Keefer</t>
  </si>
  <si>
    <t>David Weber &amp; Loras Heck</t>
  </si>
  <si>
    <t>Bond marrs &amp; Mary Pflanz</t>
  </si>
  <si>
    <t>Mary Pflanz</t>
  </si>
  <si>
    <t>Erin Hambrick &amp; Thu Nguyen</t>
  </si>
  <si>
    <t>Erin Hambrick</t>
  </si>
  <si>
    <t>Loras Heck &amp; Susan Murphy</t>
  </si>
  <si>
    <t>Erinn Metcalf &amp; Kristy Ecton</t>
  </si>
  <si>
    <t>Dina Mitchell &amp; Olivia Haney</t>
  </si>
  <si>
    <t>Raquel Madison &amp; Tasha Evatt</t>
  </si>
  <si>
    <t>Tiffany Blackwell &amp; Samantha Green</t>
  </si>
  <si>
    <t>Phoebe Davenport &amp; Sheila Goins</t>
  </si>
  <si>
    <t>Yasmine Humbert &amp; Maria Andrew</t>
  </si>
  <si>
    <t>Phoebe Davenport</t>
  </si>
  <si>
    <t>Sheila Goins</t>
  </si>
  <si>
    <t>Paige Salveter &amp; Alli Hiatt</t>
  </si>
  <si>
    <t>Alli Hiatt</t>
  </si>
  <si>
    <t>Tiffiny Humbert &amp; Eileen Joyce</t>
  </si>
  <si>
    <t>Dina Mitchell</t>
  </si>
  <si>
    <t>Brenna Gray &amp; Valerie Dubois</t>
  </si>
  <si>
    <t>Brenna Gray</t>
  </si>
  <si>
    <t>Valerie Dubois</t>
  </si>
  <si>
    <t>Brook Vitt &amp; Cynthia Caldwell</t>
  </si>
  <si>
    <t>Yasmine Humbert</t>
  </si>
  <si>
    <t>Maria Andrew</t>
  </si>
  <si>
    <t>Patty Kimberling &amp; Jamie Myers</t>
  </si>
  <si>
    <t>Patty Kimberling</t>
  </si>
  <si>
    <t>Tiffiny Humbert</t>
  </si>
  <si>
    <t>Mary Pflanz &amp; Molly Hunt</t>
  </si>
  <si>
    <t>Molly Hunt</t>
  </si>
  <si>
    <t>Paige Johnson</t>
  </si>
  <si>
    <t>Samantha Green</t>
  </si>
  <si>
    <t>Cynthia Caldwell</t>
  </si>
  <si>
    <t>Bond Marrs &amp; Bobby Cupp</t>
  </si>
  <si>
    <t>Justin Winner &amp; Grif Sims</t>
  </si>
  <si>
    <t>Bobby Cupp</t>
  </si>
  <si>
    <t>Tom Hunt &amp; Richard Lawrence</t>
  </si>
  <si>
    <t>Connor Callahan &amp; Justin Metcalf</t>
  </si>
  <si>
    <t>Richard Lawrence</t>
  </si>
  <si>
    <t>Grant Isom &amp; Michael Schermoly</t>
  </si>
  <si>
    <t>Justin Hoffman &amp; Ishmael Alejo</t>
  </si>
  <si>
    <t>John Stauffer &amp; Patrick Blackwell</t>
  </si>
  <si>
    <t>Blair Hinkle &amp; Jason Steliga</t>
  </si>
  <si>
    <t>Patrick Blackwell</t>
  </si>
  <si>
    <t>Jack Zupan &amp; Derrick Cupp</t>
  </si>
  <si>
    <t>Andy Lockard &amp; Stephen Limpic</t>
  </si>
  <si>
    <t>Derrick Cupp</t>
  </si>
  <si>
    <t>Blair Hinkle</t>
  </si>
  <si>
    <t>Jason Steliga</t>
  </si>
  <si>
    <t>Justin Metcalf</t>
  </si>
  <si>
    <t>Sam Gay &amp; Jeff Nelson</t>
  </si>
  <si>
    <t>Sam Gay</t>
  </si>
  <si>
    <t>Jacob Beck &amp; Clay Wagenhals</t>
  </si>
  <si>
    <t>Jacob Beck</t>
  </si>
  <si>
    <t>Clay Wagenhals</t>
  </si>
  <si>
    <t>Stephen Limpic</t>
  </si>
  <si>
    <t>Mike McGillicuddy &amp; Matt Hood</t>
  </si>
  <si>
    <t>Jeff Stockham &amp; Chris Long</t>
  </si>
  <si>
    <t>Chris Long</t>
  </si>
  <si>
    <t>Jeremie Wilson</t>
  </si>
  <si>
    <t>Karen Luchinsky &amp; Troy Thomasson</t>
  </si>
  <si>
    <t>Samantha Green &amp; David Weber</t>
  </si>
  <si>
    <t>Karen Luchinsky</t>
  </si>
  <si>
    <t>Tiffany Blackwell &amp; Michael Schermoly</t>
  </si>
  <si>
    <t>Genece Brannan &amp; Steven Pauwels</t>
  </si>
  <si>
    <t>Mary Pflanz &amp; Richard Lawrence</t>
  </si>
  <si>
    <t>Genece Brannan</t>
  </si>
  <si>
    <t>Susan Mitts &amp; David Keefer</t>
  </si>
  <si>
    <t>Mary Thornton &amp; Robert Madison</t>
  </si>
  <si>
    <t>Kristy Ecton &amp; Eric Santon</t>
  </si>
  <si>
    <t>Maria Bello &amp; Jeremie Wilson</t>
  </si>
  <si>
    <t>Maria Andrew &amp; Curtis Stoneman</t>
  </si>
  <si>
    <t>Brook Vitt &amp; Bobby Cupp</t>
  </si>
  <si>
    <t>Josh Weber</t>
  </si>
  <si>
    <t>Susie Keefer &amp; Dylan Lockwood</t>
  </si>
  <si>
    <t>Susie Keeefer &amp; Dylan Lockwood</t>
  </si>
  <si>
    <t>Dylan Lockwood</t>
  </si>
  <si>
    <t>Maria Bello</t>
  </si>
  <si>
    <t>Alice Edwards &amp; Stephen Limpic</t>
  </si>
  <si>
    <t>Amanda Miller &amp; Patrick Blackwell</t>
  </si>
  <si>
    <t>William Hyde &amp; Tom Fangman</t>
  </si>
  <si>
    <t>Tom Fangman</t>
  </si>
  <si>
    <t>Mike Klender &amp; Mike Daniel</t>
  </si>
  <si>
    <t>Andy Brez &amp; Justin Metcalf</t>
  </si>
  <si>
    <t>Mike Daniel</t>
  </si>
  <si>
    <t>Doug Schwabauer &amp; Michael Schermoly</t>
  </si>
  <si>
    <t>Eric Bubb</t>
  </si>
  <si>
    <t>Carson Sanford &amp; Jeff Stockham</t>
  </si>
  <si>
    <t>Justin Hoffman &amp; Jason Steliga</t>
  </si>
  <si>
    <t>Scott Heffner &amp; Matt Hood</t>
  </si>
  <si>
    <t>Andy Lockard &amp; Patrick Blackwell</t>
  </si>
  <si>
    <t>John Nestor &amp; Robert Madison</t>
  </si>
  <si>
    <t>Josh Freeman &amp; Chris Lyon</t>
  </si>
  <si>
    <t>Danny Ng &amp; Ian Boat</t>
  </si>
  <si>
    <t>Jack Zupan &amp; Dylan Lockwood</t>
  </si>
  <si>
    <t>Josh Weber &amp; Stephen Limpic</t>
  </si>
  <si>
    <t>Andy Peck &amp; Mike Magel</t>
  </si>
  <si>
    <t>Andy Peck</t>
  </si>
  <si>
    <t>Mike Magel</t>
  </si>
  <si>
    <t>Josh Freeman</t>
  </si>
  <si>
    <t>Chris Lyon</t>
  </si>
  <si>
    <t>Ian Boat</t>
  </si>
  <si>
    <t>Brook Vitt &amp; Jennifer Barbier</t>
  </si>
  <si>
    <t>Jennifer Barbier</t>
  </si>
  <si>
    <t>Jennifer Eckert &amp; Marcella Prock</t>
  </si>
  <si>
    <t>Laurie Fox &amp; Lindsey Klusman</t>
  </si>
  <si>
    <t>Jennifer Eckert</t>
  </si>
  <si>
    <t>Marcella Prock</t>
  </si>
  <si>
    <t>Susan Mitts &amp; Katie Zoldak</t>
  </si>
  <si>
    <t>Bree Ginden</t>
  </si>
  <si>
    <t>Samantha Green &amp; Elizabeth Hagedorn</t>
  </si>
  <si>
    <t>Betsy Norberg &amp; Thu Nguyen</t>
  </si>
  <si>
    <t>Elizabeth Hagedorn</t>
  </si>
  <si>
    <t>Kari Lemons &amp; Audra Dericotte</t>
  </si>
  <si>
    <t>Kari Lemons</t>
  </si>
  <si>
    <t>Audra Dericotte</t>
  </si>
  <si>
    <t>Valerie Dubois &amp; Shannon Lyon</t>
  </si>
  <si>
    <t>Betsy Norberg</t>
  </si>
  <si>
    <t>Mary Pflanz &amp; Julianna Norgren</t>
  </si>
  <si>
    <t>Laurie Fox</t>
  </si>
  <si>
    <t>Lindsey Klusman</t>
  </si>
  <si>
    <t>Mallory Daniels</t>
  </si>
  <si>
    <t>Tiffany Blackwell &amp; Jamie Myers</t>
  </si>
  <si>
    <t>Julianna Norgren</t>
  </si>
  <si>
    <t>Mary Sandefur &amp; Maria Andrew</t>
  </si>
  <si>
    <t>Mary Sandefur</t>
  </si>
  <si>
    <t>Stephanie Campbell &amp; Kristy Ecton</t>
  </si>
  <si>
    <t>Katie Zoldak</t>
  </si>
  <si>
    <t>Stephanie Patterson &amp; Ola Vaughn</t>
  </si>
  <si>
    <t>Ola Vaughn</t>
  </si>
  <si>
    <t>Shannon Lyon</t>
  </si>
  <si>
    <t>Sara Maguire &amp; Lisa Shaffer</t>
  </si>
  <si>
    <t>Sara Maguire</t>
  </si>
  <si>
    <t>Lisa Shaffer</t>
  </si>
  <si>
    <t>Dylan Lockwood &amp; Samantha Green</t>
  </si>
  <si>
    <t>Eric Santon &amp; Valerie Dubois</t>
  </si>
  <si>
    <t>Amy George &amp; Patrick Blackwell</t>
  </si>
  <si>
    <t>Susan Mitts &amp; Allen Meyer</t>
  </si>
  <si>
    <t>Erinn Metcalf &amp; Gary Mulsow</t>
  </si>
  <si>
    <t>Scott Hull &amp; Mindy Anderson</t>
  </si>
  <si>
    <t>Mary Pflanz &amp; Michael Schermoly</t>
  </si>
  <si>
    <t>Tiffany Blackwell &amp; Chris Lyon</t>
  </si>
  <si>
    <t>Jeremie Wilson &amp; Tess Edwards</t>
  </si>
  <si>
    <t>Danny Ng &amp; Betsy Norberg</t>
  </si>
  <si>
    <t>Tess Edwards</t>
  </si>
  <si>
    <t>Theresa Nelson</t>
  </si>
  <si>
    <t>Brook Vitt &amp; Richard Lawrence</t>
  </si>
  <si>
    <t>Mark McDonald &amp; Shannon Lyon</t>
  </si>
  <si>
    <t>Sarah Ross &amp; Robert Madison</t>
  </si>
  <si>
    <t>Mark McDonald</t>
  </si>
  <si>
    <t>Josh Weber &amp; Marcella Prock</t>
  </si>
  <si>
    <t>Viliamu Vaofanua</t>
  </si>
  <si>
    <t>Sarah Ross</t>
  </si>
  <si>
    <t>Scott Hull</t>
  </si>
  <si>
    <t>Mindy Anderson</t>
  </si>
  <si>
    <t>William Hyde &amp; Patrick Blackwell</t>
  </si>
  <si>
    <t>Will Polese &amp; Steve Limpic</t>
  </si>
  <si>
    <t>Doug Schwabauer &amp; Cory Hogan</t>
  </si>
  <si>
    <t>Will Polese</t>
  </si>
  <si>
    <t>Jeremie Wilson &amp; Rick Nash</t>
  </si>
  <si>
    <t>Rick Nash</t>
  </si>
  <si>
    <t>Grant Isom &amp; Bobby Cupp</t>
  </si>
  <si>
    <t>Justin Hoffman &amp; Randy Burgess</t>
  </si>
  <si>
    <t>Nathan Gray &amp; Richard Lawrence</t>
  </si>
  <si>
    <t>Scott Williamson &amp; Jason Steliga</t>
  </si>
  <si>
    <t>Nathan Gray</t>
  </si>
  <si>
    <t>Joe Zucht &amp; David Andrew</t>
  </si>
  <si>
    <t>David Andrew</t>
  </si>
  <si>
    <t>Dylan Lockwood &amp; John Schlueter</t>
  </si>
  <si>
    <t>John Schlueter</t>
  </si>
  <si>
    <t>Josh Weber &amp; Mike Magel</t>
  </si>
  <si>
    <t>Curtis Stoneman &amp; Noah Blank</t>
  </si>
  <si>
    <t>David Weber &amp; Robert Madison</t>
  </si>
  <si>
    <t>JD Asbell</t>
  </si>
  <si>
    <t>Scott Williamson</t>
  </si>
  <si>
    <t>Justin Winner &amp; Mark Schneeberger</t>
  </si>
  <si>
    <t>Mark Schneeberger</t>
  </si>
  <si>
    <t>Cory Hogan</t>
  </si>
  <si>
    <t>Randy Burgess</t>
  </si>
  <si>
    <t>Noah Blank</t>
  </si>
  <si>
    <t>Brook Vitt &amp; Brooke Corcoran</t>
  </si>
  <si>
    <t>Raquel Madison &amp; Cory Blue</t>
  </si>
  <si>
    <t>Brooke Corcoran</t>
  </si>
  <si>
    <t>Shannon Lyon &amp; Olivia Haney</t>
  </si>
  <si>
    <t>Betsy Norberg &amp; Loras Heck</t>
  </si>
  <si>
    <t>Jennifer Eckert &amp; Kristy Ecton</t>
  </si>
  <si>
    <t>Thu Nguyen &amp; Susan Murphy</t>
  </si>
  <si>
    <t>Stephanie Campbell &amp; Mallory Daniels</t>
  </si>
  <si>
    <t>Cory Blue</t>
  </si>
  <si>
    <t>Valerie Dubois &amp; Annie Brown</t>
  </si>
  <si>
    <t>Annie Brown</t>
  </si>
  <si>
    <t>Sara Maguire &amp; Cassandra Schneeberger</t>
  </si>
  <si>
    <t>Kerri Brocker &amp; Samantha Green</t>
  </si>
  <si>
    <t>Cassandra Schneeberger</t>
  </si>
  <si>
    <t>Erinn Metcalf &amp; Bridget Pereira</t>
  </si>
  <si>
    <t>Susan Mitts &amp; Maria Andrew</t>
  </si>
  <si>
    <t>Bridget Pereira</t>
  </si>
  <si>
    <t>Kerri Brocker</t>
  </si>
  <si>
    <t>Mary Pflanz &amp; Ronni Rosewicz</t>
  </si>
  <si>
    <t>Jennifer Schreiber &amp; Rudi Karnchanasorn</t>
  </si>
  <si>
    <t>Jennifer Schreiber</t>
  </si>
  <si>
    <t>Rudi Karnchanasorn</t>
  </si>
  <si>
    <t>Ronni Rosewicz</t>
  </si>
  <si>
    <t>Mary Pflanz &amp; Stephen Limpic</t>
  </si>
  <si>
    <t>Maryn Petty &amp; Will Polese</t>
  </si>
  <si>
    <t>Alli Hiatt &amp; Mark McDonald</t>
  </si>
  <si>
    <t>Maryn Petty</t>
  </si>
  <si>
    <t>Samantha Green &amp; Jason Bonet</t>
  </si>
  <si>
    <t>Sophia Black &amp; Hunter Vincent</t>
  </si>
  <si>
    <t>Sophia Black</t>
  </si>
  <si>
    <t>Hunter Vincent</t>
  </si>
  <si>
    <t>Maria Andrew &amp; Eric Santon</t>
  </si>
  <si>
    <t>Jason Bonet</t>
  </si>
  <si>
    <t>stephanie patterson &amp; Michael Schermoly</t>
  </si>
  <si>
    <t>Susan Mitts &amp; Richard Lawrence</t>
  </si>
  <si>
    <t>Raquel Madison &amp; Jeremie Wilson</t>
  </si>
  <si>
    <t>Erinn Metcalf &amp; Dylan Lockwood</t>
  </si>
  <si>
    <t>William Gross</t>
  </si>
  <si>
    <t>Nicole Alfaro &amp; Chris Lyon</t>
  </si>
  <si>
    <t>Jacqui Jensen &amp; Randy Burgess</t>
  </si>
  <si>
    <t>Susan Murphy &amp; Alex True</t>
  </si>
  <si>
    <t>Shannon Lyon &amp; Robert Madison</t>
  </si>
  <si>
    <t>Alex True</t>
  </si>
  <si>
    <t>Nicole Alfaro</t>
  </si>
  <si>
    <t>Amir Mohammed &amp; Justin Hoffman</t>
  </si>
  <si>
    <t>Amir Mohammed</t>
  </si>
  <si>
    <t>Patrick Blackwell &amp; Joe Rishmany</t>
  </si>
  <si>
    <t>Jacob Beck &amp; Allen Meyer</t>
  </si>
  <si>
    <t>Mark McDonald &amp; Tom Spenceri</t>
  </si>
  <si>
    <t>Grant Isom &amp; Chris Lyon</t>
  </si>
  <si>
    <t>Grif Sims &amp; Stephen Limpic</t>
  </si>
  <si>
    <t>Joe Thomas &amp; Dylan Lockwood</t>
  </si>
  <si>
    <t>Joe Thomas</t>
  </si>
  <si>
    <t>Anthony Williams &amp; Thomas Rosewicz</t>
  </si>
  <si>
    <t>Anthony Williams</t>
  </si>
  <si>
    <t>Thomas Rosewicz</t>
  </si>
  <si>
    <t>Alex True &amp; Loren Ginden</t>
  </si>
  <si>
    <t>Loren Ginden</t>
  </si>
  <si>
    <t>Jason Steliga &amp; Jeremie Wilson</t>
  </si>
  <si>
    <t>HyukJin Yun &amp; Jordan Watts</t>
  </si>
  <si>
    <t>HyukJin Yun</t>
  </si>
  <si>
    <t>Jordan Watts</t>
  </si>
  <si>
    <t>JD Asbell &amp; Will Polese</t>
  </si>
  <si>
    <t>Mark Schneeberger &amp; Nathan Gray</t>
  </si>
  <si>
    <t>Roy True &amp; Dan Gassel</t>
  </si>
  <si>
    <t>Erinn Metcalf &amp; Shannon Maize</t>
  </si>
  <si>
    <t>Shannon Maize</t>
  </si>
  <si>
    <t>Susan Murphy &amp; Kristy Ecton</t>
  </si>
  <si>
    <t>Julie Cecil &amp; Michelle Coffey</t>
  </si>
  <si>
    <t>Julie Cecil</t>
  </si>
  <si>
    <t>Michelle Coffey</t>
  </si>
  <si>
    <t>Stephanie Campbell &amp; Emma Lockard</t>
  </si>
  <si>
    <t>Emma Lockard</t>
  </si>
  <si>
    <t>Shannon Lyon &amp; Mallory Daniels</t>
  </si>
  <si>
    <t>Bree Ginden &amp; Stephanie Theut</t>
  </si>
  <si>
    <t>Stephanie Theut</t>
  </si>
  <si>
    <t>Cara Lonergan &amp; Anne Lamberti</t>
  </si>
  <si>
    <t>Cara Lonergan</t>
  </si>
  <si>
    <t>Anne Lamberti</t>
  </si>
  <si>
    <t>Kerri Brocker &amp; Julianna Norgren</t>
  </si>
  <si>
    <t>Kristen Doherty</t>
  </si>
  <si>
    <t>Dina Mitchell &amp; Juli McGuire</t>
  </si>
  <si>
    <t>Juli McGuire</t>
  </si>
  <si>
    <t>Betsy Norberg &amp; Bridget Pereira</t>
  </si>
  <si>
    <t>Cori Cunningham &amp; Rudi Karnchanasorn</t>
  </si>
  <si>
    <t>Cori Cunningham</t>
  </si>
  <si>
    <t>Amy Ellzey &amp; Cassandra Schneeberger</t>
  </si>
  <si>
    <t>Amy Ellzey</t>
  </si>
  <si>
    <t>Maria Andrew &amp; Gina Cappuzzo</t>
  </si>
  <si>
    <t>Gina Cappuzzo</t>
  </si>
  <si>
    <t>Ola Vaughn &amp; Thu Nguyen</t>
  </si>
  <si>
    <t>Kerri Brocker &amp; Joe Rishmany</t>
  </si>
  <si>
    <t>Tiffany Blackwell &amp; Mike Magel</t>
  </si>
  <si>
    <t>Amelia Birchfield &amp; Sam Madison</t>
  </si>
  <si>
    <t>Amelia Birchfield</t>
  </si>
  <si>
    <t>Carrie Davidson &amp; Patrick Blackwell</t>
  </si>
  <si>
    <t>Betsy Norberg &amp; Stephen Limpic</t>
  </si>
  <si>
    <t>Carrie Davidson</t>
  </si>
  <si>
    <t>Susan Mitts &amp; Jordan Watts</t>
  </si>
  <si>
    <t>Shannon Lyon &amp; Andy Lockard</t>
  </si>
  <si>
    <t>Elizabeth Hagedorn &amp; Eric Santon</t>
  </si>
  <si>
    <t>Emma Lockard &amp; Will Polese</t>
  </si>
  <si>
    <t>Valerie Dubois &amp; Loren Ginden</t>
  </si>
  <si>
    <t>Susanne Jantsch &amp; Justin Hoffman</t>
  </si>
  <si>
    <t>Susanne Jantsch</t>
  </si>
  <si>
    <t>Alyson Bollinger &amp; Mike Klender</t>
  </si>
  <si>
    <t>Alyson Bollinger</t>
  </si>
  <si>
    <t>Annie Brown &amp; Ben Hemmen</t>
  </si>
  <si>
    <t>Ben Hemmen</t>
  </si>
  <si>
    <t>Stephanie Patterson &amp; Chris Lyon</t>
  </si>
  <si>
    <t>BOD's Played</t>
  </si>
  <si>
    <t>Best Result</t>
  </si>
  <si>
    <t>AVG Finish</t>
  </si>
  <si>
    <t>Games Played</t>
  </si>
  <si>
    <t>Games Won</t>
  </si>
  <si>
    <t>Winning %</t>
  </si>
  <si>
    <t>Drawing Sequence</t>
  </si>
  <si>
    <t>Pairing</t>
  </si>
  <si>
    <t>Tournaments</t>
  </si>
  <si>
    <t>Ind Champs</t>
  </si>
  <si>
    <t>Div Champs</t>
  </si>
  <si>
    <t>Champs</t>
  </si>
  <si>
    <t>H-L</t>
  </si>
  <si>
    <t>M-M</t>
  </si>
  <si>
    <t>RR Win%</t>
  </si>
  <si>
    <t>R16 Matchup</t>
  </si>
  <si>
    <t>Teams (Bracket)</t>
  </si>
  <si>
    <t>Win %</t>
  </si>
  <si>
    <t>Home</t>
  </si>
  <si>
    <t>Total</t>
  </si>
  <si>
    <t>Average</t>
  </si>
  <si>
    <t>AVG</t>
  </si>
  <si>
    <t>R16 Match ID</t>
  </si>
  <si>
    <r>
      <rPr>
        <sz val="11"/>
        <color rgb="FFFF0000"/>
        <rFont val="Calibri"/>
      </rPr>
      <t>Jacob Beck</t>
    </r>
    <r>
      <rPr>
        <sz val="11"/>
        <color rgb="FF000000"/>
        <rFont val="Calibri"/>
      </rPr>
      <t xml:space="preserve"> &amp; Allen Meyer</t>
    </r>
  </si>
  <si>
    <t>R16-01</t>
  </si>
  <si>
    <t>R16-02</t>
  </si>
  <si>
    <t>R16-03</t>
  </si>
  <si>
    <t>R16-04</t>
  </si>
  <si>
    <t>R16-05</t>
  </si>
  <si>
    <t>R16-06</t>
  </si>
  <si>
    <t>R16-07</t>
  </si>
  <si>
    <t>R16-08</t>
  </si>
  <si>
    <t>R16-09</t>
  </si>
  <si>
    <t>R16-10</t>
  </si>
  <si>
    <t>R16-11</t>
  </si>
  <si>
    <t>R16-12</t>
  </si>
  <si>
    <t>R16-13</t>
  </si>
  <si>
    <t>R16-14</t>
  </si>
  <si>
    <t>R16-15</t>
  </si>
  <si>
    <t>R16-16</t>
  </si>
  <si>
    <t>Robert Madison &amp; Susan Keefer</t>
  </si>
  <si>
    <t>Erin Hambrick &amp; Thu Nyguen</t>
  </si>
  <si>
    <t>Div Seed</t>
  </si>
  <si>
    <t>Div Rank</t>
  </si>
  <si>
    <t>QF Matchup</t>
  </si>
  <si>
    <t>D-Rank</t>
  </si>
  <si>
    <t>D1</t>
  </si>
  <si>
    <t>D2</t>
  </si>
  <si>
    <t>D3</t>
  </si>
  <si>
    <t>Amanda Miller &amp; Angel  Krishna</t>
  </si>
  <si>
    <t>D4</t>
  </si>
  <si>
    <t>Christie Meller  &amp; Miguel Cartagena</t>
  </si>
  <si>
    <t>Mindy McCalla  &amp; Rob Hurtado</t>
  </si>
  <si>
    <t>Shanna Leann Loyd &amp; Heather Hardy</t>
  </si>
  <si>
    <t>Lauren Ligoure &amp; Avery Woodard</t>
  </si>
  <si>
    <t>D5</t>
  </si>
  <si>
    <t>D6</t>
  </si>
  <si>
    <t>Thu Nguygen &amp; Bill Roller</t>
  </si>
  <si>
    <t>Bridgette Throm &amp; Irwin Don</t>
  </si>
  <si>
    <t>D7</t>
  </si>
  <si>
    <t>D8</t>
  </si>
  <si>
    <t>Mike Sullivan &amp; Jason Denney</t>
  </si>
  <si>
    <t>Randy Swearnegin &amp; Allen Meyer</t>
  </si>
  <si>
    <t>Barb Wood &amp; Kim Chappelow-Lee</t>
  </si>
  <si>
    <t>Team</t>
  </si>
  <si>
    <t>Brody  Carlson &amp; Derek Hoffman</t>
  </si>
  <si>
    <t>Field</t>
  </si>
  <si>
    <t>Column</t>
  </si>
  <si>
    <t>A</t>
  </si>
  <si>
    <t>O</t>
  </si>
  <si>
    <t>I</t>
  </si>
  <si>
    <t>E</t>
  </si>
  <si>
    <t>B</t>
  </si>
  <si>
    <t>C</t>
  </si>
  <si>
    <t>D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</si>
  <si>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</si>
  <si>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</si>
  <si>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</si>
  <si>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</si>
  <si>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</si>
  <si>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</si>
  <si>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</si>
  <si>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</si>
  <si>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</si>
  <si>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</si>
  <si>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</si>
  <si>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</si>
  <si>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</si>
  <si>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</si>
  <si>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</si>
  <si>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</si>
  <si>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</si>
  <si>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</si>
  <si>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</si>
  <si>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</si>
  <si>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</si>
  <si>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</si>
  <si>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</si>
  <si>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</si>
  <si>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</si>
  <si>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</si>
  <si>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</si>
  <si>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</si>
  <si>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Type of Field</t>
  </si>
  <si>
    <t>Date (YYYY-MM-DD)</t>
  </si>
  <si>
    <t>Men's, Women's, Mixed</t>
  </si>
  <si>
    <t>1A,1B,1C,1D through 4A,4B,4C,4D</t>
  </si>
  <si>
    <t>Player #1 and Player #2</t>
  </si>
  <si>
    <t>formula (results in Column L ranked 1 through 16)</t>
  </si>
  <si>
    <t>1 vs 16, 2 vs 15, 3 vs 14, 4 vs 13, etc.</t>
  </si>
  <si>
    <t>Bracket</t>
  </si>
  <si>
    <t>Round Robin</t>
  </si>
  <si>
    <t>Summary</t>
  </si>
  <si>
    <t>#1 seeded team vs #16 seeded team, etc.</t>
  </si>
  <si>
    <t>Sum of Games Won (Round Robin)</t>
  </si>
  <si>
    <t>Sum of Games Played (Round Robin)</t>
  </si>
  <si>
    <r>
      <t xml:space="preserve">Sum of Games Won </t>
    </r>
    <r>
      <rPr>
        <sz val="10"/>
        <color rgb="FF000000"/>
        <rFont val="Aptos Narrow"/>
        <family val="2"/>
      </rPr>
      <t>÷</t>
    </r>
    <r>
      <rPr>
        <sz val="10"/>
        <color rgb="FF000000"/>
        <rFont val="Arial"/>
        <family val="2"/>
      </rPr>
      <t xml:space="preserve"> Sum of Games Played</t>
    </r>
    <r>
      <rPr>
        <sz val="10"/>
        <color rgb="FF000000"/>
        <rFont val="Arial"/>
        <family val="2"/>
        <scheme val="minor"/>
      </rPr>
      <t xml:space="preserve"> (Round Robin)</t>
    </r>
  </si>
  <si>
    <t>formula [[ =IF(J2&gt;0,K2-(33-H2),) ]] (Round Robin)</t>
  </si>
  <si>
    <t>Round of 16 Games Won</t>
  </si>
  <si>
    <t>Round of 16 Games Lost</t>
  </si>
  <si>
    <t>Quarterfinals Games Won</t>
  </si>
  <si>
    <t>Quarterfinals Games Lost</t>
  </si>
  <si>
    <t>Semifinals Games Won</t>
  </si>
  <si>
    <t>Semifinals Games Lost</t>
  </si>
  <si>
    <t>Games Won (Bracket)</t>
  </si>
  <si>
    <t>Games Lost (Bracket)</t>
  </si>
  <si>
    <t>Games Played (Bracket)</t>
  </si>
  <si>
    <t>Total Games Won</t>
  </si>
  <si>
    <t>Total Games Lost</t>
  </si>
  <si>
    <t>Total Games Played</t>
  </si>
  <si>
    <r>
      <t xml:space="preserve">Total Games Won </t>
    </r>
    <r>
      <rPr>
        <sz val="10"/>
        <color rgb="FF000000"/>
        <rFont val="Aptos Narrow"/>
        <family val="2"/>
      </rPr>
      <t>÷</t>
    </r>
    <r>
      <rPr>
        <sz val="10"/>
        <color rgb="FF000000"/>
        <rFont val="Arial"/>
        <family val="2"/>
      </rPr>
      <t xml:space="preserve"> Total Games Played</t>
    </r>
  </si>
  <si>
    <t>formula (changed starting 2019-09-07)</t>
  </si>
  <si>
    <t>Formula (ranking column AH)</t>
  </si>
  <si>
    <t>Section/Function</t>
  </si>
  <si>
    <t>Sum of Games Lost (Round Robin) formula changed 2012-06-16 [matchups are color-coded, like vs 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</si>
</sst>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#,##0.000"/>
    <numFmt numFmtId="166" formatCode="yyyy&quot;-&quot;mm&quot;-&quot;dd"/>
    <numFmt numFmtId="167" formatCode="0.000"/>
    <numFmt numFmtId="168" formatCode="0.0"/>
  </numFmts>
  <fonts count="4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Aptos Display&quot;"/>
    </font>
    <font>
      <sz val="10"/>
      <color rgb="FF000000"/>
      <name val="Arial"/>
    </font>
    <font>
      <b/>
      <sz val="10"/>
      <color rgb="FF000000"/>
      <name val="&quot;Aptos Display&quot;"/>
    </font>
    <font>
      <sz val="10"/>
      <color rgb="FF000000"/>
      <name val="&quot;Aptos Narrow&quot;"/>
    </font>
    <font>
      <sz val="10"/>
      <color rgb="FFC00000"/>
      <name val="&quot;Aptos Narrow&quot;"/>
    </font>
    <font>
      <sz val="10"/>
      <color theme="1"/>
      <name val="Arial"/>
    </font>
    <font>
      <sz val="10"/>
      <color theme="1"/>
      <name val="&quot;Aptos Display&quot;"/>
    </font>
    <font>
      <sz val="10"/>
      <color rgb="FF000000"/>
      <name val="&quot;Ȫptos Narrow\&quot;&quot;"/>
    </font>
    <font>
      <sz val="11"/>
      <color rgb="FF000000"/>
      <name val="Calibri"/>
    </font>
    <font>
      <sz val="10"/>
      <color rgb="FF9C0006"/>
      <name val="&quot;Aptos Narrow&quot;"/>
    </font>
    <font>
      <sz val="10"/>
      <color rgb="FFC00000"/>
      <name val="&quot;Aptos Display&quot;"/>
    </font>
    <font>
      <sz val="10"/>
      <color rgb="FFC00000"/>
      <name val="Arial"/>
      <scheme val="minor"/>
    </font>
    <font>
      <sz val="11"/>
      <color theme="1"/>
      <name val="Calibri"/>
    </font>
    <font>
      <b/>
      <sz val="11"/>
      <color rgb="FFFF0000"/>
      <name val="Calibri"/>
    </font>
    <font>
      <u/>
      <sz val="11"/>
      <color rgb="FF0000FF"/>
      <name val="Calibri"/>
    </font>
    <font>
      <sz val="11"/>
      <color rgb="FFFF0000"/>
      <name val="Calibri"/>
    </font>
    <font>
      <u/>
      <sz val="11"/>
      <color rgb="FF0000FF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sz val="10"/>
      <name val="Arial"/>
    </font>
    <font>
      <u/>
      <sz val="11"/>
      <color theme="1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u/>
      <sz val="10"/>
      <color theme="10"/>
      <name val="Arial"/>
    </font>
    <font>
      <u/>
      <sz val="10"/>
      <color rgb="FF0000FF"/>
      <name val="Arial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BE2D5"/>
        <bgColor rgb="FFFBE2D5"/>
      </patternFill>
    </fill>
    <fill>
      <patternFill patternType="solid">
        <fgColor rgb="FFDAE9F8"/>
        <bgColor rgb="FFDAE9F8"/>
      </patternFill>
    </fill>
    <fill>
      <patternFill patternType="solid">
        <fgColor rgb="FFB5E6A2"/>
        <bgColor rgb="FFB5E6A2"/>
      </patternFill>
    </fill>
    <fill>
      <patternFill patternType="solid">
        <fgColor rgb="FFF7C7AC"/>
        <bgColor rgb="FFF7C7AC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8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0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6" fontId="1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16" fillId="10" borderId="0" xfId="0" applyNumberFormat="1" applyFont="1" applyFill="1" applyAlignment="1">
      <alignment horizontal="center" vertical="center"/>
    </xf>
    <xf numFmtId="167" fontId="16" fillId="10" borderId="0" xfId="0" applyNumberFormat="1" applyFont="1" applyFill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4" fontId="18" fillId="0" borderId="14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0" fontId="16" fillId="10" borderId="1" xfId="0" applyNumberFormat="1" applyFont="1" applyFill="1" applyBorder="1" applyAlignment="1">
      <alignment horizontal="center" vertical="center"/>
    </xf>
    <xf numFmtId="167" fontId="16" fillId="10" borderId="1" xfId="0" applyNumberFormat="1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20" fillId="8" borderId="1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/>
    </xf>
    <xf numFmtId="0" fontId="20" fillId="10" borderId="18" xfId="0" applyFont="1" applyFill="1" applyBorder="1" applyAlignment="1">
      <alignment horizontal="center" vertical="center"/>
    </xf>
    <xf numFmtId="0" fontId="20" fillId="10" borderId="17" xfId="0" applyFont="1" applyFill="1" applyBorder="1" applyAlignment="1">
      <alignment horizontal="center" vertical="center"/>
    </xf>
    <xf numFmtId="0" fontId="20" fillId="8" borderId="18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1" fillId="11" borderId="0" xfId="0" applyFont="1" applyFill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10" fontId="22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/>
    </xf>
    <xf numFmtId="0" fontId="20" fillId="8" borderId="22" xfId="0" applyFont="1" applyFill="1" applyBorder="1" applyAlignment="1">
      <alignment horizontal="center" vertical="center"/>
    </xf>
    <xf numFmtId="164" fontId="18" fillId="0" borderId="23" xfId="0" applyNumberFormat="1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20" fillId="10" borderId="25" xfId="0" applyFont="1" applyFill="1" applyBorder="1" applyAlignment="1">
      <alignment horizontal="center" vertical="center"/>
    </xf>
    <xf numFmtId="0" fontId="20" fillId="8" borderId="25" xfId="0" applyFont="1" applyFill="1" applyBorder="1" applyAlignment="1">
      <alignment horizontal="center" vertical="center"/>
    </xf>
    <xf numFmtId="10" fontId="22" fillId="0" borderId="24" xfId="0" applyNumberFormat="1" applyFont="1" applyBorder="1" applyAlignment="1">
      <alignment horizontal="center" vertical="center"/>
    </xf>
    <xf numFmtId="4" fontId="22" fillId="0" borderId="24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10" fontId="16" fillId="10" borderId="24" xfId="0" applyNumberFormat="1" applyFont="1" applyFill="1" applyBorder="1" applyAlignment="1">
      <alignment horizontal="center" vertical="center"/>
    </xf>
    <xf numFmtId="167" fontId="16" fillId="10" borderId="24" xfId="0" applyNumberFormat="1" applyFont="1" applyFill="1" applyBorder="1" applyAlignment="1">
      <alignment horizontal="center" vertical="center"/>
    </xf>
    <xf numFmtId="0" fontId="15" fillId="10" borderId="27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20" fillId="8" borderId="2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0" fontId="22" fillId="0" borderId="1" xfId="0" applyNumberFormat="1" applyFont="1" applyBorder="1" applyAlignment="1">
      <alignment horizontal="center" vertical="center" wrapText="1"/>
    </xf>
    <xf numFmtId="4" fontId="22" fillId="0" borderId="1" xfId="0" applyNumberFormat="1" applyFont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20" fillId="10" borderId="29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8" borderId="30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 wrapText="1"/>
    </xf>
    <xf numFmtId="10" fontId="22" fillId="0" borderId="24" xfId="0" applyNumberFormat="1" applyFont="1" applyBorder="1" applyAlignment="1">
      <alignment horizontal="center" vertical="center" wrapText="1"/>
    </xf>
    <xf numFmtId="4" fontId="22" fillId="0" borderId="24" xfId="0" applyNumberFormat="1" applyFont="1" applyBorder="1" applyAlignment="1">
      <alignment horizontal="center" vertical="center" wrapText="1"/>
    </xf>
    <xf numFmtId="0" fontId="12" fillId="12" borderId="23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/>
    </xf>
    <xf numFmtId="0" fontId="20" fillId="8" borderId="31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1" fontId="2" fillId="13" borderId="0" xfId="0" applyNumberFormat="1" applyFont="1" applyFill="1" applyAlignment="1">
      <alignment horizontal="center" vertical="center" wrapText="1"/>
    </xf>
    <xf numFmtId="167" fontId="2" fillId="13" borderId="0" xfId="0" applyNumberFormat="1" applyFont="1" applyFill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/>
    </xf>
    <xf numFmtId="0" fontId="24" fillId="2" borderId="33" xfId="0" applyFont="1" applyFill="1" applyBorder="1" applyAlignment="1">
      <alignment horizontal="center" vertical="center" wrapText="1"/>
    </xf>
    <xf numFmtId="0" fontId="24" fillId="14" borderId="33" xfId="0" applyFont="1" applyFill="1" applyBorder="1" applyAlignment="1">
      <alignment horizontal="center" vertical="center" wrapText="1"/>
    </xf>
    <xf numFmtId="165" fontId="25" fillId="12" borderId="33" xfId="0" applyNumberFormat="1" applyFont="1" applyFill="1" applyBorder="1" applyAlignment="1">
      <alignment horizontal="center" vertical="center" wrapText="1"/>
    </xf>
    <xf numFmtId="0" fontId="25" fillId="12" borderId="34" xfId="0" applyFont="1" applyFill="1" applyBorder="1" applyAlignment="1">
      <alignment horizontal="center" vertical="center" wrapText="1"/>
    </xf>
    <xf numFmtId="0" fontId="24" fillId="10" borderId="33" xfId="0" applyFont="1" applyFill="1" applyBorder="1" applyAlignment="1">
      <alignment horizontal="center" vertical="center" wrapText="1"/>
    </xf>
    <xf numFmtId="0" fontId="24" fillId="10" borderId="35" xfId="0" applyFont="1" applyFill="1" applyBorder="1" applyAlignment="1">
      <alignment horizontal="center" vertical="center" wrapText="1"/>
    </xf>
    <xf numFmtId="0" fontId="24" fillId="13" borderId="33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14" borderId="34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164" fontId="24" fillId="10" borderId="4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2" borderId="15" xfId="0" applyFont="1" applyFill="1" applyBorder="1" applyAlignment="1">
      <alignment horizontal="center" vertical="center"/>
    </xf>
    <xf numFmtId="10" fontId="24" fillId="14" borderId="15" xfId="0" applyNumberFormat="1" applyFont="1" applyFill="1" applyBorder="1" applyAlignment="1">
      <alignment horizontal="center" vertical="center" wrapText="1"/>
    </xf>
    <xf numFmtId="165" fontId="27" fillId="12" borderId="15" xfId="0" applyNumberFormat="1" applyFont="1" applyFill="1" applyBorder="1" applyAlignment="1">
      <alignment horizontal="center" vertical="center" wrapText="1"/>
    </xf>
    <xf numFmtId="0" fontId="25" fillId="12" borderId="41" xfId="0" applyFont="1" applyFill="1" applyBorder="1" applyAlignment="1">
      <alignment horizontal="center" vertical="center" wrapText="1"/>
    </xf>
    <xf numFmtId="0" fontId="24" fillId="10" borderId="15" xfId="0" applyFont="1" applyFill="1" applyBorder="1" applyAlignment="1">
      <alignment horizontal="center" vertical="center" wrapText="1"/>
    </xf>
    <xf numFmtId="0" fontId="24" fillId="10" borderId="42" xfId="0" applyFont="1" applyFill="1" applyBorder="1" applyAlignment="1">
      <alignment horizontal="center" vertical="center" wrapText="1"/>
    </xf>
    <xf numFmtId="0" fontId="24" fillId="10" borderId="16" xfId="0" applyFont="1" applyFill="1" applyBorder="1" applyAlignment="1">
      <alignment horizontal="center" vertical="center" wrapText="1"/>
    </xf>
    <xf numFmtId="0" fontId="24" fillId="13" borderId="15" xfId="0" applyFont="1" applyFill="1" applyBorder="1" applyAlignment="1">
      <alignment horizontal="center" vertical="center" wrapText="1"/>
    </xf>
    <xf numFmtId="0" fontId="24" fillId="13" borderId="16" xfId="0" applyFont="1" applyFill="1" applyBorder="1" applyAlignment="1">
      <alignment horizontal="center" vertical="center" wrapText="1"/>
    </xf>
    <xf numFmtId="0" fontId="24" fillId="13" borderId="43" xfId="0" applyFont="1" applyFill="1" applyBorder="1" applyAlignment="1">
      <alignment horizontal="center" vertical="center" wrapText="1"/>
    </xf>
    <xf numFmtId="0" fontId="24" fillId="14" borderId="5" xfId="0" applyFont="1" applyFill="1" applyBorder="1" applyAlignment="1">
      <alignment horizontal="center" vertical="center" wrapText="1"/>
    </xf>
    <xf numFmtId="0" fontId="24" fillId="14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 wrapText="1"/>
    </xf>
    <xf numFmtId="10" fontId="20" fillId="10" borderId="5" xfId="0" applyNumberFormat="1" applyFont="1" applyFill="1" applyBorder="1" applyAlignment="1">
      <alignment horizontal="center" vertical="center" wrapText="1"/>
    </xf>
    <xf numFmtId="4" fontId="20" fillId="10" borderId="5" xfId="0" applyNumberFormat="1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4" fontId="24" fillId="10" borderId="46" xfId="0" applyNumberFormat="1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/>
    </xf>
    <xf numFmtId="10" fontId="24" fillId="14" borderId="17" xfId="0" applyNumberFormat="1" applyFont="1" applyFill="1" applyBorder="1" applyAlignment="1">
      <alignment horizontal="center" vertical="center" wrapText="1"/>
    </xf>
    <xf numFmtId="165" fontId="27" fillId="12" borderId="17" xfId="0" applyNumberFormat="1" applyFont="1" applyFill="1" applyBorder="1" applyAlignment="1">
      <alignment horizontal="center" vertical="center" wrapText="1"/>
    </xf>
    <xf numFmtId="0" fontId="25" fillId="12" borderId="47" xfId="0" applyFont="1" applyFill="1" applyBorder="1" applyAlignment="1">
      <alignment horizontal="center" vertical="center" wrapText="1"/>
    </xf>
    <xf numFmtId="0" fontId="24" fillId="10" borderId="19" xfId="0" applyFont="1" applyFill="1" applyBorder="1" applyAlignment="1">
      <alignment horizontal="center" vertical="center" wrapText="1"/>
    </xf>
    <xf numFmtId="0" fontId="24" fillId="10" borderId="48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24" fillId="13" borderId="17" xfId="0" applyFont="1" applyFill="1" applyBorder="1" applyAlignment="1">
      <alignment horizontal="center" vertical="center" wrapText="1"/>
    </xf>
    <xf numFmtId="0" fontId="24" fillId="13" borderId="18" xfId="0" applyFont="1" applyFill="1" applyBorder="1" applyAlignment="1">
      <alignment horizontal="center" vertical="center" wrapText="1"/>
    </xf>
    <xf numFmtId="0" fontId="24" fillId="10" borderId="17" xfId="0" applyFont="1" applyFill="1" applyBorder="1" applyAlignment="1">
      <alignment horizontal="center" vertical="center" wrapText="1"/>
    </xf>
    <xf numFmtId="0" fontId="24" fillId="10" borderId="18" xfId="0" applyFont="1" applyFill="1" applyBorder="1" applyAlignment="1">
      <alignment horizontal="center" vertical="center" wrapText="1"/>
    </xf>
    <xf numFmtId="0" fontId="24" fillId="13" borderId="49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164" fontId="24" fillId="10" borderId="50" xfId="0" applyNumberFormat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" borderId="19" xfId="0" applyFont="1" applyFill="1" applyBorder="1" applyAlignment="1">
      <alignment horizontal="center" vertical="center"/>
    </xf>
    <xf numFmtId="10" fontId="24" fillId="14" borderId="19" xfId="0" applyNumberFormat="1" applyFont="1" applyFill="1" applyBorder="1" applyAlignment="1">
      <alignment horizontal="center" vertical="center" wrapText="1"/>
    </xf>
    <xf numFmtId="165" fontId="27" fillId="12" borderId="19" xfId="0" applyNumberFormat="1" applyFont="1" applyFill="1" applyBorder="1" applyAlignment="1">
      <alignment horizontal="center" vertical="center" wrapText="1"/>
    </xf>
    <xf numFmtId="0" fontId="25" fillId="12" borderId="51" xfId="0" applyFont="1" applyFill="1" applyBorder="1" applyAlignment="1">
      <alignment horizontal="center" vertical="center" wrapText="1"/>
    </xf>
    <xf numFmtId="0" fontId="24" fillId="13" borderId="19" xfId="0" applyFont="1" applyFill="1" applyBorder="1" applyAlignment="1">
      <alignment horizontal="center" vertical="center" wrapText="1"/>
    </xf>
    <xf numFmtId="0" fontId="24" fillId="13" borderId="20" xfId="0" applyFont="1" applyFill="1" applyBorder="1" applyAlignment="1">
      <alignment horizontal="center" vertical="center" wrapText="1"/>
    </xf>
    <xf numFmtId="165" fontId="27" fillId="12" borderId="28" xfId="0" applyNumberFormat="1" applyFont="1" applyFill="1" applyBorder="1" applyAlignment="1">
      <alignment horizontal="center" vertical="center" wrapText="1"/>
    </xf>
    <xf numFmtId="164" fontId="24" fillId="10" borderId="52" xfId="0" applyNumberFormat="1" applyFont="1" applyFill="1" applyBorder="1" applyAlignment="1">
      <alignment horizontal="center" vertical="center" wrapText="1"/>
    </xf>
    <xf numFmtId="0" fontId="20" fillId="0" borderId="53" xfId="0" applyFont="1" applyBorder="1" applyAlignment="1">
      <alignment horizontal="center"/>
    </xf>
    <xf numFmtId="0" fontId="20" fillId="0" borderId="54" xfId="0" applyFont="1" applyBorder="1" applyAlignment="1">
      <alignment horizontal="center"/>
    </xf>
    <xf numFmtId="0" fontId="20" fillId="10" borderId="55" xfId="0" applyFont="1" applyFill="1" applyBorder="1" applyAlignment="1">
      <alignment horizontal="center" vertical="center"/>
    </xf>
    <xf numFmtId="0" fontId="20" fillId="10" borderId="56" xfId="0" applyFont="1" applyFill="1" applyBorder="1" applyAlignment="1">
      <alignment horizontal="center" vertical="center"/>
    </xf>
    <xf numFmtId="0" fontId="20" fillId="8" borderId="56" xfId="0" applyFont="1" applyFill="1" applyBorder="1" applyAlignment="1">
      <alignment horizontal="center" vertical="center"/>
    </xf>
    <xf numFmtId="0" fontId="20" fillId="2" borderId="55" xfId="0" applyFont="1" applyFill="1" applyBorder="1" applyAlignment="1">
      <alignment horizontal="center" vertical="center"/>
    </xf>
    <xf numFmtId="10" fontId="24" fillId="14" borderId="55" xfId="0" applyNumberFormat="1" applyFont="1" applyFill="1" applyBorder="1" applyAlignment="1">
      <alignment horizontal="center" vertical="center" wrapText="1"/>
    </xf>
    <xf numFmtId="165" fontId="27" fillId="12" borderId="55" xfId="0" applyNumberFormat="1" applyFont="1" applyFill="1" applyBorder="1" applyAlignment="1">
      <alignment horizontal="center" vertical="center" wrapText="1"/>
    </xf>
    <xf numFmtId="0" fontId="25" fillId="12" borderId="57" xfId="0" applyFont="1" applyFill="1" applyBorder="1" applyAlignment="1">
      <alignment horizontal="center" vertical="center" wrapText="1"/>
    </xf>
    <xf numFmtId="0" fontId="24" fillId="10" borderId="55" xfId="0" applyFont="1" applyFill="1" applyBorder="1" applyAlignment="1">
      <alignment horizontal="center" vertical="center" wrapText="1"/>
    </xf>
    <xf numFmtId="0" fontId="24" fillId="10" borderId="58" xfId="0" applyFont="1" applyFill="1" applyBorder="1" applyAlignment="1">
      <alignment horizontal="center" vertical="center" wrapText="1"/>
    </xf>
    <xf numFmtId="0" fontId="24" fillId="10" borderId="56" xfId="0" applyFont="1" applyFill="1" applyBorder="1" applyAlignment="1">
      <alignment horizontal="center" vertical="center" wrapText="1"/>
    </xf>
    <xf numFmtId="0" fontId="24" fillId="13" borderId="55" xfId="0" applyFont="1" applyFill="1" applyBorder="1" applyAlignment="1">
      <alignment horizontal="center" vertical="center" wrapText="1"/>
    </xf>
    <xf numFmtId="0" fontId="24" fillId="13" borderId="56" xfId="0" applyFont="1" applyFill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4" fillId="13" borderId="60" xfId="0" applyFont="1" applyFill="1" applyBorder="1" applyAlignment="1">
      <alignment horizontal="center" vertical="center" wrapText="1"/>
    </xf>
    <xf numFmtId="0" fontId="24" fillId="14" borderId="61" xfId="0" applyFont="1" applyFill="1" applyBorder="1" applyAlignment="1">
      <alignment horizontal="center" vertical="center" wrapText="1"/>
    </xf>
    <xf numFmtId="0" fontId="24" fillId="14" borderId="62" xfId="0" applyFont="1" applyFill="1" applyBorder="1" applyAlignment="1">
      <alignment horizontal="center" vertical="center" wrapText="1"/>
    </xf>
    <xf numFmtId="0" fontId="20" fillId="10" borderId="63" xfId="0" applyFont="1" applyFill="1" applyBorder="1" applyAlignment="1">
      <alignment horizontal="center" vertical="center"/>
    </xf>
    <xf numFmtId="0" fontId="20" fillId="10" borderId="61" xfId="0" applyFont="1" applyFill="1" applyBorder="1" applyAlignment="1">
      <alignment horizontal="center" vertical="center"/>
    </xf>
    <xf numFmtId="0" fontId="20" fillId="10" borderId="61" xfId="0" applyFont="1" applyFill="1" applyBorder="1" applyAlignment="1">
      <alignment horizontal="center" vertical="center" wrapText="1"/>
    </xf>
    <xf numFmtId="10" fontId="20" fillId="10" borderId="61" xfId="0" applyNumberFormat="1" applyFont="1" applyFill="1" applyBorder="1" applyAlignment="1">
      <alignment horizontal="center" vertical="center" wrapText="1"/>
    </xf>
    <xf numFmtId="4" fontId="20" fillId="10" borderId="61" xfId="0" applyNumberFormat="1" applyFont="1" applyFill="1" applyBorder="1" applyAlignment="1">
      <alignment horizontal="center" vertical="center" wrapText="1"/>
    </xf>
    <xf numFmtId="0" fontId="20" fillId="10" borderId="64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10" borderId="0" xfId="0" applyFont="1" applyFill="1" applyAlignment="1">
      <alignment horizontal="center" vertical="center" wrapText="1"/>
    </xf>
    <xf numFmtId="0" fontId="24" fillId="12" borderId="65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2" fontId="20" fillId="0" borderId="3" xfId="0" applyNumberFormat="1" applyFont="1" applyBorder="1" applyAlignment="1">
      <alignment horizontal="center" vertical="center"/>
    </xf>
    <xf numFmtId="167" fontId="24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4" fillId="10" borderId="36" xfId="0" applyFont="1" applyFill="1" applyBorder="1" applyAlignment="1">
      <alignment horizontal="center" vertical="center" wrapText="1"/>
    </xf>
    <xf numFmtId="0" fontId="24" fillId="10" borderId="66" xfId="0" applyFont="1" applyFill="1" applyBorder="1" applyAlignment="1">
      <alignment horizontal="center" vertical="center" wrapText="1"/>
    </xf>
    <xf numFmtId="0" fontId="24" fillId="10" borderId="67" xfId="0" applyFont="1" applyFill="1" applyBorder="1" applyAlignment="1">
      <alignment horizontal="center" vertical="center" wrapText="1"/>
    </xf>
    <xf numFmtId="0" fontId="24" fillId="10" borderId="68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10" borderId="69" xfId="0" applyFont="1" applyFill="1" applyBorder="1" applyAlignment="1">
      <alignment horizontal="center" vertical="center" wrapText="1"/>
    </xf>
    <xf numFmtId="0" fontId="20" fillId="10" borderId="44" xfId="0" applyFont="1" applyFill="1" applyBorder="1" applyAlignment="1">
      <alignment horizontal="center" vertical="center" wrapText="1"/>
    </xf>
    <xf numFmtId="0" fontId="24" fillId="10" borderId="70" xfId="0" applyFont="1" applyFill="1" applyBorder="1" applyAlignment="1">
      <alignment horizontal="center" vertical="center" wrapText="1"/>
    </xf>
    <xf numFmtId="0" fontId="24" fillId="10" borderId="71" xfId="0" applyFont="1" applyFill="1" applyBorder="1" applyAlignment="1">
      <alignment horizontal="center" vertical="center" wrapText="1"/>
    </xf>
    <xf numFmtId="0" fontId="24" fillId="10" borderId="72" xfId="0" applyFont="1" applyFill="1" applyBorder="1" applyAlignment="1">
      <alignment horizontal="center" vertical="center" wrapText="1"/>
    </xf>
    <xf numFmtId="0" fontId="20" fillId="10" borderId="62" xfId="0" applyFont="1" applyFill="1" applyBorder="1" applyAlignment="1">
      <alignment horizontal="center" vertical="center" wrapText="1"/>
    </xf>
    <xf numFmtId="0" fontId="20" fillId="10" borderId="15" xfId="0" applyFont="1" applyFill="1" applyBorder="1" applyAlignment="1">
      <alignment horizontal="center" vertical="center"/>
    </xf>
    <xf numFmtId="0" fontId="29" fillId="8" borderId="28" xfId="0" applyFont="1" applyFill="1" applyBorder="1" applyAlignment="1">
      <alignment horizontal="center" vertical="center"/>
    </xf>
    <xf numFmtId="0" fontId="29" fillId="8" borderId="31" xfId="0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center" vertical="center"/>
    </xf>
    <xf numFmtId="0" fontId="29" fillId="10" borderId="18" xfId="0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horizontal="center" vertical="center"/>
    </xf>
    <xf numFmtId="0" fontId="29" fillId="10" borderId="19" xfId="0" applyFont="1" applyFill="1" applyBorder="1" applyAlignment="1">
      <alignment horizontal="center" vertical="center"/>
    </xf>
    <xf numFmtId="0" fontId="29" fillId="10" borderId="20" xfId="0" applyFont="1" applyFill="1" applyBorder="1" applyAlignment="1">
      <alignment horizontal="center" vertical="center"/>
    </xf>
    <xf numFmtId="0" fontId="29" fillId="8" borderId="20" xfId="0" applyFont="1" applyFill="1" applyBorder="1" applyAlignment="1">
      <alignment horizontal="center" vertical="center"/>
    </xf>
    <xf numFmtId="0" fontId="29" fillId="10" borderId="55" xfId="0" applyFont="1" applyFill="1" applyBorder="1" applyAlignment="1">
      <alignment horizontal="center" vertical="center"/>
    </xf>
    <xf numFmtId="0" fontId="29" fillId="10" borderId="56" xfId="0" applyFont="1" applyFill="1" applyBorder="1" applyAlignment="1">
      <alignment horizontal="center" vertical="center"/>
    </xf>
    <xf numFmtId="0" fontId="29" fillId="8" borderId="56" xfId="0" applyFont="1" applyFill="1" applyBorder="1" applyAlignment="1">
      <alignment horizontal="center" vertical="center"/>
    </xf>
    <xf numFmtId="0" fontId="24" fillId="8" borderId="65" xfId="0" applyFont="1" applyFill="1" applyBorder="1" applyAlignment="1">
      <alignment horizontal="center" vertical="center" wrapText="1"/>
    </xf>
    <xf numFmtId="0" fontId="25" fillId="15" borderId="47" xfId="0" applyFont="1" applyFill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" fontId="20" fillId="0" borderId="74" xfId="0" applyNumberFormat="1" applyFont="1" applyBorder="1" applyAlignment="1">
      <alignment horizontal="center" vertical="center" wrapText="1"/>
    </xf>
    <xf numFmtId="0" fontId="20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4" fontId="20" fillId="10" borderId="11" xfId="0" applyNumberFormat="1" applyFont="1" applyFill="1" applyBorder="1" applyAlignment="1">
      <alignment horizontal="center" vertical="center" wrapText="1"/>
    </xf>
    <xf numFmtId="0" fontId="20" fillId="10" borderId="77" xfId="0" applyFont="1" applyFill="1" applyBorder="1" applyAlignment="1">
      <alignment horizontal="center" vertical="center" wrapText="1"/>
    </xf>
    <xf numFmtId="0" fontId="20" fillId="10" borderId="0" xfId="0" applyFont="1" applyFill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4" fontId="20" fillId="0" borderId="13" xfId="0" applyNumberFormat="1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4" fontId="20" fillId="0" borderId="11" xfId="0" applyNumberFormat="1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4" fontId="20" fillId="0" borderId="80" xfId="0" applyNumberFormat="1" applyFont="1" applyBorder="1" applyAlignment="1">
      <alignment horizontal="center" vertical="center" wrapText="1"/>
    </xf>
    <xf numFmtId="0" fontId="20" fillId="0" borderId="81" xfId="0" applyFont="1" applyBorder="1" applyAlignment="1">
      <alignment horizontal="center" vertical="center" wrapText="1"/>
    </xf>
    <xf numFmtId="4" fontId="20" fillId="0" borderId="82" xfId="0" applyNumberFormat="1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" fontId="20" fillId="0" borderId="59" xfId="0" applyNumberFormat="1" applyFont="1" applyBorder="1" applyAlignment="1">
      <alignment horizontal="center" vertical="center" wrapText="1"/>
    </xf>
    <xf numFmtId="0" fontId="20" fillId="0" borderId="85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30" fillId="10" borderId="69" xfId="0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10" fontId="30" fillId="14" borderId="15" xfId="0" applyNumberFormat="1" applyFont="1" applyFill="1" applyBorder="1" applyAlignment="1">
      <alignment horizontal="center" vertical="center" wrapText="1"/>
    </xf>
    <xf numFmtId="0" fontId="31" fillId="12" borderId="41" xfId="0" applyFont="1" applyFill="1" applyBorder="1" applyAlignment="1">
      <alignment horizontal="center" vertical="center" wrapText="1"/>
    </xf>
    <xf numFmtId="0" fontId="30" fillId="10" borderId="66" xfId="0" applyFont="1" applyFill="1" applyBorder="1" applyAlignment="1">
      <alignment horizontal="center" vertical="center" wrapText="1"/>
    </xf>
    <xf numFmtId="0" fontId="30" fillId="10" borderId="15" xfId="0" applyFont="1" applyFill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10" fontId="30" fillId="14" borderId="17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30" fillId="10" borderId="70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/>
    </xf>
    <xf numFmtId="0" fontId="31" fillId="12" borderId="47" xfId="0" applyFont="1" applyFill="1" applyBorder="1" applyAlignment="1">
      <alignment horizontal="center" vertical="center" wrapText="1"/>
    </xf>
    <xf numFmtId="0" fontId="30" fillId="10" borderId="67" xfId="0" applyFont="1" applyFill="1" applyBorder="1" applyAlignment="1">
      <alignment horizontal="center" vertical="center" wrapText="1"/>
    </xf>
    <xf numFmtId="0" fontId="30" fillId="10" borderId="19" xfId="0" applyFont="1" applyFill="1" applyBorder="1" applyAlignment="1">
      <alignment horizontal="center" vertical="center" wrapText="1"/>
    </xf>
    <xf numFmtId="0" fontId="30" fillId="10" borderId="71" xfId="0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center" vertical="center"/>
    </xf>
    <xf numFmtId="10" fontId="30" fillId="14" borderId="19" xfId="0" applyNumberFormat="1" applyFont="1" applyFill="1" applyBorder="1" applyAlignment="1">
      <alignment horizontal="center" vertical="center" wrapText="1"/>
    </xf>
    <xf numFmtId="0" fontId="31" fillId="12" borderId="51" xfId="0" applyFont="1" applyFill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4" fontId="20" fillId="10" borderId="80" xfId="0" applyNumberFormat="1" applyFont="1" applyFill="1" applyBorder="1" applyAlignment="1">
      <alignment horizontal="center" vertical="center" wrapText="1"/>
    </xf>
    <xf numFmtId="0" fontId="30" fillId="10" borderId="72" xfId="0" applyFont="1" applyFill="1" applyBorder="1" applyAlignment="1">
      <alignment horizontal="center" vertical="center" wrapText="1"/>
    </xf>
    <xf numFmtId="0" fontId="29" fillId="2" borderId="55" xfId="0" applyFont="1" applyFill="1" applyBorder="1" applyAlignment="1">
      <alignment horizontal="center" vertical="center"/>
    </xf>
    <xf numFmtId="10" fontId="30" fillId="14" borderId="55" xfId="0" applyNumberFormat="1" applyFont="1" applyFill="1" applyBorder="1" applyAlignment="1">
      <alignment horizontal="center" vertical="center" wrapText="1"/>
    </xf>
    <xf numFmtId="0" fontId="31" fillId="12" borderId="57" xfId="0" applyFont="1" applyFill="1" applyBorder="1" applyAlignment="1">
      <alignment horizontal="center" vertical="center" wrapText="1"/>
    </xf>
    <xf numFmtId="0" fontId="30" fillId="10" borderId="68" xfId="0" applyFont="1" applyFill="1" applyBorder="1" applyAlignment="1">
      <alignment horizontal="center" vertical="center" wrapText="1"/>
    </xf>
    <xf numFmtId="0" fontId="30" fillId="10" borderId="55" xfId="0" applyFont="1" applyFill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4" fontId="20" fillId="10" borderId="59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29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165" fontId="30" fillId="0" borderId="0" xfId="0" applyNumberFormat="1" applyFont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2" fontId="29" fillId="0" borderId="3" xfId="0" applyNumberFormat="1" applyFont="1" applyBorder="1" applyAlignment="1">
      <alignment horizontal="center" vertical="center"/>
    </xf>
    <xf numFmtId="0" fontId="30" fillId="8" borderId="5" xfId="0" applyFont="1" applyFill="1" applyBorder="1" applyAlignment="1">
      <alignment horizontal="center" vertical="center" wrapText="1"/>
    </xf>
    <xf numFmtId="167" fontId="30" fillId="0" borderId="0" xfId="0" applyNumberFormat="1" applyFont="1" applyAlignment="1">
      <alignment horizontal="center" vertical="center" wrapText="1"/>
    </xf>
    <xf numFmtId="2" fontId="2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4" fontId="20" fillId="10" borderId="13" xfId="0" applyNumberFormat="1" applyFont="1" applyFill="1" applyBorder="1" applyAlignment="1">
      <alignment horizontal="center" vertical="center" wrapText="1"/>
    </xf>
    <xf numFmtId="4" fontId="20" fillId="10" borderId="74" xfId="0" applyNumberFormat="1" applyFont="1" applyFill="1" applyBorder="1" applyAlignment="1">
      <alignment horizontal="center" vertical="center" wrapText="1"/>
    </xf>
    <xf numFmtId="4" fontId="20" fillId="10" borderId="82" xfId="0" applyNumberFormat="1" applyFont="1" applyFill="1" applyBorder="1" applyAlignment="1">
      <alignment horizontal="center" vertical="center" wrapText="1"/>
    </xf>
    <xf numFmtId="0" fontId="20" fillId="10" borderId="83" xfId="0" applyFont="1" applyFill="1" applyBorder="1" applyAlignment="1">
      <alignment horizontal="center" vertical="center" wrapText="1"/>
    </xf>
    <xf numFmtId="0" fontId="20" fillId="10" borderId="85" xfId="0" applyFont="1" applyFill="1" applyBorder="1" applyAlignment="1">
      <alignment horizontal="center" vertical="center" wrapText="1"/>
    </xf>
    <xf numFmtId="0" fontId="20" fillId="10" borderId="81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 wrapText="1"/>
    </xf>
    <xf numFmtId="0" fontId="25" fillId="12" borderId="5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4" fillId="10" borderId="5" xfId="0" applyFont="1" applyFill="1" applyBorder="1" applyAlignment="1">
      <alignment horizontal="center" vertical="center" wrapText="1"/>
    </xf>
    <xf numFmtId="0" fontId="24" fillId="16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10" borderId="28" xfId="0" applyFont="1" applyFill="1" applyBorder="1" applyAlignment="1">
      <alignment horizontal="center" vertical="center" wrapText="1"/>
    </xf>
    <xf numFmtId="0" fontId="20" fillId="10" borderId="28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10" fontId="24" fillId="14" borderId="28" xfId="0" applyNumberFormat="1" applyFont="1" applyFill="1" applyBorder="1" applyAlignment="1">
      <alignment horizontal="center" vertical="center" wrapText="1"/>
    </xf>
    <xf numFmtId="0" fontId="25" fillId="12" borderId="2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24" fillId="10" borderId="8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4" fillId="16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12" borderId="17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4" fillId="16" borderId="19" xfId="0" applyFont="1" applyFill="1" applyBorder="1" applyAlignment="1">
      <alignment horizontal="center" vertical="center" wrapText="1"/>
    </xf>
    <xf numFmtId="0" fontId="24" fillId="16" borderId="20" xfId="0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 wrapText="1"/>
    </xf>
    <xf numFmtId="0" fontId="25" fillId="12" borderId="19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wrapText="1"/>
    </xf>
    <xf numFmtId="0" fontId="20" fillId="10" borderId="13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15" borderId="17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4" fillId="10" borderId="43" xfId="0" applyFont="1" applyFill="1" applyBorder="1" applyAlignment="1">
      <alignment horizontal="center" vertical="center" wrapText="1"/>
    </xf>
    <xf numFmtId="0" fontId="24" fillId="10" borderId="86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13" borderId="86" xfId="0" applyFont="1" applyFill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35" fillId="0" borderId="0" xfId="0" applyFont="1" applyAlignment="1">
      <alignment horizontal="center" wrapText="1"/>
    </xf>
    <xf numFmtId="0" fontId="24" fillId="8" borderId="88" xfId="0" applyFont="1" applyFill="1" applyBorder="1" applyAlignment="1">
      <alignment horizontal="center" vertical="center" wrapText="1"/>
    </xf>
    <xf numFmtId="0" fontId="25" fillId="12" borderId="15" xfId="0" applyFont="1" applyFill="1" applyBorder="1" applyAlignment="1">
      <alignment horizontal="center" vertical="center" wrapText="1"/>
    </xf>
    <xf numFmtId="0" fontId="20" fillId="10" borderId="18" xfId="0" applyFont="1" applyFill="1" applyBorder="1" applyAlignment="1">
      <alignment horizontal="center" vertical="center" wrapText="1"/>
    </xf>
    <xf numFmtId="0" fontId="36" fillId="10" borderId="17" xfId="0" applyFont="1" applyFill="1" applyBorder="1" applyAlignment="1">
      <alignment horizontal="center" vertical="center"/>
    </xf>
    <xf numFmtId="0" fontId="20" fillId="15" borderId="16" xfId="0" applyFont="1" applyFill="1" applyBorder="1" applyAlignment="1">
      <alignment horizontal="center" vertical="center" wrapText="1"/>
    </xf>
    <xf numFmtId="0" fontId="20" fillId="15" borderId="11" xfId="0" applyFont="1" applyFill="1" applyBorder="1" applyAlignment="1">
      <alignment horizontal="center" vertical="center" wrapText="1"/>
    </xf>
    <xf numFmtId="0" fontId="37" fillId="10" borderId="43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4" fillId="14" borderId="17" xfId="0" applyFont="1" applyFill="1" applyBorder="1" applyAlignment="1">
      <alignment horizontal="center" vertical="center" wrapText="1"/>
    </xf>
    <xf numFmtId="0" fontId="24" fillId="14" borderId="19" xfId="0" applyFont="1" applyFill="1" applyBorder="1" applyAlignment="1">
      <alignment horizontal="center" vertical="center" wrapText="1"/>
    </xf>
    <xf numFmtId="0" fontId="24" fillId="14" borderId="15" xfId="0" applyFont="1" applyFill="1" applyBorder="1" applyAlignment="1">
      <alignment horizontal="center" vertical="center" wrapText="1"/>
    </xf>
    <xf numFmtId="0" fontId="24" fillId="13" borderId="10" xfId="0" applyFont="1" applyFill="1" applyBorder="1" applyAlignment="1">
      <alignment horizontal="center" vertical="center" wrapText="1"/>
    </xf>
    <xf numFmtId="0" fontId="24" fillId="13" borderId="12" xfId="0" applyFont="1" applyFill="1" applyBorder="1" applyAlignment="1">
      <alignment horizontal="center" vertical="center" wrapText="1"/>
    </xf>
    <xf numFmtId="10" fontId="24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10" borderId="10" xfId="0" applyFont="1" applyFill="1" applyBorder="1" applyAlignment="1">
      <alignment horizontal="center" vertical="center" wrapText="1"/>
    </xf>
    <xf numFmtId="0" fontId="24" fillId="10" borderId="12" xfId="0" applyFont="1" applyFill="1" applyBorder="1" applyAlignment="1">
      <alignment horizontal="center" vertical="center" wrapText="1"/>
    </xf>
    <xf numFmtId="0" fontId="31" fillId="12" borderId="15" xfId="0" applyFont="1" applyFill="1" applyBorder="1" applyAlignment="1">
      <alignment horizontal="center" vertical="center" wrapText="1"/>
    </xf>
    <xf numFmtId="0" fontId="30" fillId="13" borderId="15" xfId="0" applyFont="1" applyFill="1" applyBorder="1" applyAlignment="1">
      <alignment horizontal="center" vertical="center" wrapText="1"/>
    </xf>
    <xf numFmtId="0" fontId="30" fillId="13" borderId="16" xfId="0" applyFont="1" applyFill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30" fillId="14" borderId="17" xfId="0" applyFont="1" applyFill="1" applyBorder="1" applyAlignment="1">
      <alignment horizontal="center" vertical="center" wrapText="1"/>
    </xf>
    <xf numFmtId="0" fontId="30" fillId="10" borderId="17" xfId="0" applyFont="1" applyFill="1" applyBorder="1" applyAlignment="1">
      <alignment horizontal="center" vertical="center" wrapText="1"/>
    </xf>
    <xf numFmtId="0" fontId="31" fillId="12" borderId="17" xfId="0" applyFont="1" applyFill="1" applyBorder="1" applyAlignment="1">
      <alignment horizontal="center" vertical="center" wrapText="1"/>
    </xf>
    <xf numFmtId="0" fontId="30" fillId="13" borderId="17" xfId="0" applyFont="1" applyFill="1" applyBorder="1" applyAlignment="1">
      <alignment horizontal="center" vertical="center" wrapText="1"/>
    </xf>
    <xf numFmtId="0" fontId="30" fillId="13" borderId="18" xfId="0" applyFont="1" applyFill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/>
    </xf>
    <xf numFmtId="0" fontId="31" fillId="12" borderId="19" xfId="0" applyFont="1" applyFill="1" applyBorder="1" applyAlignment="1">
      <alignment horizontal="center" vertical="center" wrapText="1"/>
    </xf>
    <xf numFmtId="0" fontId="30" fillId="13" borderId="19" xfId="0" applyFont="1" applyFill="1" applyBorder="1" applyAlignment="1">
      <alignment horizontal="center" vertical="center" wrapText="1"/>
    </xf>
    <xf numFmtId="0" fontId="30" fillId="13" borderId="20" xfId="0" applyFont="1" applyFill="1" applyBorder="1" applyAlignment="1">
      <alignment horizontal="center" vertical="center" wrapText="1"/>
    </xf>
    <xf numFmtId="0" fontId="30" fillId="10" borderId="20" xfId="0" applyFont="1" applyFill="1" applyBorder="1" applyAlignment="1">
      <alignment horizontal="center" vertical="center" wrapText="1"/>
    </xf>
    <xf numFmtId="0" fontId="30" fillId="14" borderId="19" xfId="0" applyFont="1" applyFill="1" applyBorder="1" applyAlignment="1">
      <alignment horizontal="center" vertical="center" wrapText="1"/>
    </xf>
    <xf numFmtId="0" fontId="30" fillId="14" borderId="15" xfId="0" applyFont="1" applyFill="1" applyBorder="1" applyAlignment="1">
      <alignment horizontal="center" vertical="center" wrapText="1"/>
    </xf>
    <xf numFmtId="0" fontId="31" fillId="15" borderId="17" xfId="0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9" borderId="15" xfId="0" applyFont="1" applyFill="1" applyBorder="1" applyAlignment="1">
      <alignment horizontal="center" vertical="center" wrapText="1"/>
    </xf>
    <xf numFmtId="0" fontId="30" fillId="9" borderId="17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30" fillId="0" borderId="87" xfId="0" applyFont="1" applyBorder="1" applyAlignment="1">
      <alignment vertical="center" wrapText="1"/>
    </xf>
    <xf numFmtId="0" fontId="38" fillId="0" borderId="0" xfId="0" applyFont="1" applyAlignment="1">
      <alignment horizontal="center" wrapText="1"/>
    </xf>
    <xf numFmtId="0" fontId="39" fillId="0" borderId="5" xfId="0" applyFont="1" applyBorder="1" applyAlignment="1">
      <alignment horizontal="center" vertical="center" wrapText="1"/>
    </xf>
    <xf numFmtId="0" fontId="30" fillId="9" borderId="5" xfId="0" applyFont="1" applyFill="1" applyBorder="1" applyAlignment="1">
      <alignment horizontal="center" vertical="center" wrapText="1"/>
    </xf>
    <xf numFmtId="0" fontId="30" fillId="13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14" borderId="5" xfId="0" applyFont="1" applyFill="1" applyBorder="1" applyAlignment="1">
      <alignment horizontal="center" vertical="center" wrapText="1"/>
    </xf>
    <xf numFmtId="0" fontId="30" fillId="9" borderId="16" xfId="0" applyFont="1" applyFill="1" applyBorder="1" applyAlignment="1">
      <alignment horizontal="center" vertical="center" wrapText="1"/>
    </xf>
    <xf numFmtId="0" fontId="30" fillId="9" borderId="18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4" fillId="10" borderId="8" xfId="0" applyFont="1" applyFill="1" applyBorder="1" applyAlignment="1">
      <alignment horizontal="center" vertical="center" wrapText="1"/>
    </xf>
    <xf numFmtId="0" fontId="34" fillId="0" borderId="12" xfId="0" applyFont="1" applyBorder="1" applyAlignment="1">
      <alignment wrapText="1"/>
    </xf>
    <xf numFmtId="0" fontId="30" fillId="10" borderId="8" xfId="0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3" fillId="0" borderId="88" xfId="0" applyFont="1" applyFill="1" applyBorder="1" applyAlignment="1">
      <alignment horizontal="center" vertical="center" wrapText="1"/>
    </xf>
    <xf numFmtId="0" fontId="12" fillId="0" borderId="8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8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88" xfId="0" applyFont="1" applyFill="1" applyBorder="1" applyAlignment="1">
      <alignment vertical="center" wrapText="1"/>
    </xf>
    <xf numFmtId="0" fontId="0" fillId="0" borderId="88" xfId="0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88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 wrapText="1"/>
    </xf>
    <xf numFmtId="0" fontId="42" fillId="0" borderId="88" xfId="0" applyFont="1" applyFill="1" applyBorder="1" applyAlignment="1">
      <alignment vertical="center" wrapText="1"/>
    </xf>
    <xf numFmtId="0" fontId="20" fillId="0" borderId="0" xfId="0" applyFont="1" applyFill="1" applyAlignment="1">
      <alignment horizontal="center" vertical="center"/>
    </xf>
    <xf numFmtId="0" fontId="20" fillId="0" borderId="88" xfId="0" applyFont="1" applyFill="1" applyBorder="1" applyAlignment="1">
      <alignment horizontal="center" vertical="center"/>
    </xf>
  </cellXfs>
  <cellStyles count="1">
    <cellStyle name="Normal" xfId="0" builtinId="0"/>
  </cellStyles>
  <dxfs count="181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otos.app.goo.gl/RwYFjn4eFonPPwtG6" TargetMode="External"/><Relationship Id="rId18" Type="http://schemas.openxmlformats.org/officeDocument/2006/relationships/hyperlink" Target="https://photos.app.goo.gl/6H7pULdaYUk3T9cx2" TargetMode="External"/><Relationship Id="rId26" Type="http://schemas.openxmlformats.org/officeDocument/2006/relationships/hyperlink" Target="https://photos.app.goo.gl/vcaAhXuPQVLHKzAe6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photos.app.goo.gl/urXbLjRGBpXfipz29" TargetMode="External"/><Relationship Id="rId34" Type="http://schemas.openxmlformats.org/officeDocument/2006/relationships/hyperlink" Target="https://photos.app.goo.gl/LfsXFp2AzcdPabwGA" TargetMode="External"/><Relationship Id="rId7" Type="http://schemas.openxmlformats.org/officeDocument/2006/relationships/hyperlink" Target="https://photos.app.goo.gl/MXt88WuWJVWMJAsM6" TargetMode="External"/><Relationship Id="rId12" Type="http://schemas.openxmlformats.org/officeDocument/2006/relationships/hyperlink" Target="https://photos.app.goo.gl/3wbmGDSv9WPYusAE8" TargetMode="External"/><Relationship Id="rId17" Type="http://schemas.openxmlformats.org/officeDocument/2006/relationships/hyperlink" Target="https://photos.app.goo.gl/YjZPlBqPMvZSOgqx2" TargetMode="External"/><Relationship Id="rId25" Type="http://schemas.openxmlformats.org/officeDocument/2006/relationships/hyperlink" Target="https://photos.app.goo.gl/nWC9jyyFc4fvUu7x9" TargetMode="External"/><Relationship Id="rId33" Type="http://schemas.openxmlformats.org/officeDocument/2006/relationships/hyperlink" Target="https://photos.app.goo.gl/uFZiqmDouBdkEXUC7" TargetMode="External"/><Relationship Id="rId38" Type="http://schemas.openxmlformats.org/officeDocument/2006/relationships/hyperlink" Target="https://photos.app.goo.gl/s1sptZfwGvCnUn6f6" TargetMode="External"/><Relationship Id="rId2" Type="http://schemas.openxmlformats.org/officeDocument/2006/relationships/hyperlink" Target="https://photos.app.goo.gl/oversU1bLaYQ9kHLA" TargetMode="External"/><Relationship Id="rId16" Type="http://schemas.openxmlformats.org/officeDocument/2006/relationships/hyperlink" Target="https://photos.app.goo.gl/FbAEyE2P89nnvz662" TargetMode="External"/><Relationship Id="rId20" Type="http://schemas.openxmlformats.org/officeDocument/2006/relationships/hyperlink" Target="https://photos.app.goo.gl/B1sVAErWDztuZAmGA" TargetMode="External"/><Relationship Id="rId29" Type="http://schemas.openxmlformats.org/officeDocument/2006/relationships/hyperlink" Target="https://photos.app.goo.gl/P1ZsXbs1CwWL3szs7" TargetMode="External"/><Relationship Id="rId1" Type="http://schemas.openxmlformats.org/officeDocument/2006/relationships/hyperlink" Target="https://photos.app.goo.gl/eMwQAHA1vkfPqE6B6" TargetMode="External"/><Relationship Id="rId6" Type="http://schemas.openxmlformats.org/officeDocument/2006/relationships/hyperlink" Target="https://photos.app.goo.gl/QNXjaLeKG7Km72hp9" TargetMode="External"/><Relationship Id="rId11" Type="http://schemas.openxmlformats.org/officeDocument/2006/relationships/hyperlink" Target="https://photos.app.goo.gl/19MjpzCkGxkUHqcZ6" TargetMode="External"/><Relationship Id="rId24" Type="http://schemas.openxmlformats.org/officeDocument/2006/relationships/hyperlink" Target="https://photos.app.goo.gl/hAB89A1qvRK9eKRu5" TargetMode="External"/><Relationship Id="rId32" Type="http://schemas.openxmlformats.org/officeDocument/2006/relationships/hyperlink" Target="https://photos.app.goo.gl/NoAJk1nPwswjiz2E9" TargetMode="External"/><Relationship Id="rId37" Type="http://schemas.openxmlformats.org/officeDocument/2006/relationships/hyperlink" Target="https://photos.app.goo.gl/o94nN15kATLUigmQ8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photos.app.goo.gl/1ziZyFzb9eJR5YiDA" TargetMode="External"/><Relationship Id="rId15" Type="http://schemas.openxmlformats.org/officeDocument/2006/relationships/hyperlink" Target="https://photos.app.goo.gl/iRG3bb1hjaR2DaeM9" TargetMode="External"/><Relationship Id="rId23" Type="http://schemas.openxmlformats.org/officeDocument/2006/relationships/hyperlink" Target="https://photos.app.goo.gl/BxcN9MHSiuDn2Xr28" TargetMode="External"/><Relationship Id="rId28" Type="http://schemas.openxmlformats.org/officeDocument/2006/relationships/hyperlink" Target="https://photos.app.goo.gl/RmoS41kNdbXxB33Z8" TargetMode="External"/><Relationship Id="rId36" Type="http://schemas.openxmlformats.org/officeDocument/2006/relationships/hyperlink" Target="https://photos.app.goo.gl/U2eSTx2FGrCGNXS59" TargetMode="External"/><Relationship Id="rId10" Type="http://schemas.openxmlformats.org/officeDocument/2006/relationships/hyperlink" Target="https://photos.app.goo.gl/GYmVZa6CFdQ4xoAE9" TargetMode="External"/><Relationship Id="rId19" Type="http://schemas.openxmlformats.org/officeDocument/2006/relationships/hyperlink" Target="https://photos.app.goo.gl/AXhbCwW9HCwFPnYt6" TargetMode="External"/><Relationship Id="rId31" Type="http://schemas.openxmlformats.org/officeDocument/2006/relationships/hyperlink" Target="https://photos.app.goo.gl/v4JXbxPXzbmLPygS9" TargetMode="External"/><Relationship Id="rId4" Type="http://schemas.openxmlformats.org/officeDocument/2006/relationships/hyperlink" Target="https://photos.app.goo.gl/YmoamD28cTmhuxfk8" TargetMode="External"/><Relationship Id="rId9" Type="http://schemas.openxmlformats.org/officeDocument/2006/relationships/hyperlink" Target="https://photos.app.goo.gl/eo6j18RqcK78Vxt98" TargetMode="External"/><Relationship Id="rId14" Type="http://schemas.openxmlformats.org/officeDocument/2006/relationships/hyperlink" Target="https://photos.app.goo.gl/LjqSpNg1rjZ1Rm6t5" TargetMode="External"/><Relationship Id="rId22" Type="http://schemas.openxmlformats.org/officeDocument/2006/relationships/hyperlink" Target="https://photos.app.goo.gl/1UHQkrwL5GAUzkiU9" TargetMode="External"/><Relationship Id="rId27" Type="http://schemas.openxmlformats.org/officeDocument/2006/relationships/hyperlink" Target="https://photos.app.goo.gl/uQNNc8Lus2wf72VD6" TargetMode="External"/><Relationship Id="rId30" Type="http://schemas.openxmlformats.org/officeDocument/2006/relationships/hyperlink" Target="https://photos.app.goo.gl/ReiZvryBUZEgsJNg7" TargetMode="External"/><Relationship Id="rId35" Type="http://schemas.openxmlformats.org/officeDocument/2006/relationships/hyperlink" Target="https://photos.app.goo.gl/z2SVCArSjidopiDP9" TargetMode="External"/><Relationship Id="rId8" Type="http://schemas.openxmlformats.org/officeDocument/2006/relationships/hyperlink" Target="https://photos.app.goo.gl/Le1Q1CEsBjmE7raA6" TargetMode="External"/><Relationship Id="rId3" Type="http://schemas.openxmlformats.org/officeDocument/2006/relationships/hyperlink" Target="https://photos.app.goo.gl/aDYdURuaXtED3R6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3"/>
  <sheetViews>
    <sheetView workbookViewId="0">
      <pane ySplit="4" topLeftCell="A5" activePane="bottomLeft" state="frozen"/>
      <selection pane="bottomLeft" activeCell="B6" sqref="B6"/>
    </sheetView>
  </sheetViews>
  <sheetFormatPr defaultColWidth="12.54296875" defaultRowHeight="15" customHeight="1"/>
  <cols>
    <col min="1" max="1" width="10.1796875" customWidth="1"/>
    <col min="2" max="2" width="7.453125" customWidth="1"/>
    <col min="3" max="3" width="14.453125" customWidth="1"/>
    <col min="4" max="4" width="34.7265625" customWidth="1"/>
    <col min="5" max="6" width="5.1796875" customWidth="1"/>
    <col min="7" max="7" width="8.81640625" customWidth="1"/>
    <col min="8" max="8" width="8.453125" customWidth="1"/>
    <col min="9" max="9" width="32.7265625" customWidth="1"/>
    <col min="10" max="11" width="5.1796875" customWidth="1"/>
    <col min="12" max="12" width="9" customWidth="1"/>
    <col min="13" max="13" width="9.54296875" customWidth="1"/>
    <col min="14" max="14" width="12.54296875" customWidth="1"/>
    <col min="15" max="15" width="9.453125" customWidth="1"/>
    <col min="16" max="16" width="10.453125" customWidth="1"/>
    <col min="17" max="17" width="9.453125" customWidth="1"/>
    <col min="18" max="18" width="9.7265625" customWidth="1"/>
    <col min="19" max="19" width="10.54296875" customWidth="1"/>
    <col min="20" max="20" width="6.26953125" customWidth="1"/>
    <col min="21" max="21" width="15.26953125" customWidth="1"/>
    <col min="22" max="22" width="17" customWidth="1"/>
    <col min="23" max="23" width="46.453125" customWidth="1"/>
    <col min="24" max="24" width="12.7265625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4</v>
      </c>
      <c r="K1" s="2" t="s">
        <v>5</v>
      </c>
      <c r="L1" s="2" t="s">
        <v>6</v>
      </c>
      <c r="M1" s="1" t="s">
        <v>9</v>
      </c>
      <c r="N1" s="3" t="s">
        <v>10</v>
      </c>
      <c r="O1" s="2" t="s">
        <v>11</v>
      </c>
      <c r="P1" s="4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2.75" customHeight="1">
      <c r="A2" s="5"/>
      <c r="B2" s="6"/>
      <c r="C2" s="6" t="str">
        <f>"Men's ("&amp; COUNTIF(C$5:C50,"Men's*")&amp;")"</f>
        <v>Men's (21)</v>
      </c>
      <c r="D2" s="5">
        <f>COUNTA(D7:D49)</f>
        <v>38</v>
      </c>
      <c r="E2" s="6"/>
      <c r="F2" s="5"/>
      <c r="G2" s="5" t="str">
        <f>SUM(G$7:G110)&amp;" Total"</f>
        <v>4167 Total</v>
      </c>
      <c r="H2" s="6"/>
      <c r="I2" s="6"/>
      <c r="J2" s="6"/>
      <c r="K2" s="5"/>
      <c r="L2" s="5" t="str">
        <f>SUM(L$7:L110)&amp;" Total"</f>
        <v>4274 Total</v>
      </c>
      <c r="M2" s="6"/>
      <c r="N2" s="7"/>
      <c r="O2" s="5">
        <f>SUM(O$7:O110)</f>
        <v>16628</v>
      </c>
      <c r="P2" s="8"/>
      <c r="Q2" s="5">
        <f>SUM(Q$7:Q110)</f>
        <v>23730</v>
      </c>
      <c r="R2" s="6"/>
      <c r="S2" s="5">
        <f>SUM(S$7:S110)</f>
        <v>118</v>
      </c>
      <c r="T2" s="6"/>
      <c r="U2" s="9" t="str">
        <f>COUNTIF(U5:U409,"*PTC*")&amp;" at PTC"</f>
        <v>36 at PTC</v>
      </c>
      <c r="V2" s="10"/>
      <c r="W2" s="11"/>
      <c r="X2" s="6"/>
    </row>
    <row r="3" spans="1:24" ht="12.75" customHeight="1">
      <c r="A3" s="5"/>
      <c r="B3" s="6"/>
      <c r="C3" s="6" t="str">
        <f>"Women's ("&amp; COUNTIF(C$5:C51,"Women's*")&amp;")"</f>
        <v>Women's (9)</v>
      </c>
      <c r="D3" s="5"/>
      <c r="E3" s="6"/>
      <c r="F3" s="5"/>
      <c r="G3" s="5" t="str">
        <f>ROUND(AVERAGE(G$7:G111),0)&amp;" AVG"</f>
        <v>110 AVG</v>
      </c>
      <c r="H3" s="6"/>
      <c r="I3" s="6"/>
      <c r="J3" s="6"/>
      <c r="K3" s="5"/>
      <c r="L3" s="5" t="str">
        <f>ROUND(AVERAGE(L$7:L111),0)&amp;" AVG"</f>
        <v>112 AVG</v>
      </c>
      <c r="M3" s="6"/>
      <c r="N3" s="7"/>
      <c r="O3" s="5" t="str">
        <f t="shared" ref="O3:R3" si="0">ROUND(AVERAGE(O$7:O111),0)&amp;" AVG"</f>
        <v>438 AVG</v>
      </c>
      <c r="P3" s="5" t="str">
        <f t="shared" si="0"/>
        <v>51 AVG</v>
      </c>
      <c r="Q3" s="5" t="str">
        <f t="shared" si="0"/>
        <v>624 AVG</v>
      </c>
      <c r="R3" s="5" t="str">
        <f t="shared" si="0"/>
        <v>73 AVG</v>
      </c>
      <c r="S3" s="5"/>
      <c r="T3" s="6"/>
      <c r="U3" s="6"/>
      <c r="V3" s="6"/>
      <c r="W3" s="11"/>
      <c r="X3" s="6"/>
    </row>
    <row r="4" spans="1:24" ht="13.5" customHeight="1">
      <c r="A4" s="6"/>
      <c r="B4" s="6"/>
      <c r="C4" s="6" t="str">
        <f>"Mixed ("&amp; COUNTIF(C$5:C52,"Mixed*")&amp;")"</f>
        <v>Mixed (13)</v>
      </c>
      <c r="D4" s="6"/>
      <c r="E4" s="5">
        <f t="shared" ref="E4:F4" si="1">MAX(E7:E392)</f>
        <v>79</v>
      </c>
      <c r="F4" s="5">
        <f t="shared" si="1"/>
        <v>57</v>
      </c>
      <c r="G4" s="5" t="str">
        <f>MAX(G7:G392)&amp;" Max"</f>
        <v>131 Max</v>
      </c>
      <c r="H4" s="6"/>
      <c r="I4" s="6"/>
      <c r="J4" s="5">
        <f t="shared" ref="J4:K4" si="2">MAX(J7:J392)</f>
        <v>76</v>
      </c>
      <c r="K4" s="5">
        <f t="shared" si="2"/>
        <v>66</v>
      </c>
      <c r="L4" s="5" t="str">
        <f>MAX(L7:L392)&amp;" Max"</f>
        <v>137 Max</v>
      </c>
      <c r="M4" s="6"/>
      <c r="N4" s="7"/>
      <c r="O4" s="5"/>
      <c r="P4" s="5" t="str">
        <f>MAX(P7:P392)&amp;" Max"</f>
        <v>53.63 Max</v>
      </c>
      <c r="Q4" s="5"/>
      <c r="R4" s="5">
        <f t="shared" ref="R4:S4" si="3">MAX(R7:R392)</f>
        <v>87</v>
      </c>
      <c r="S4" s="5">
        <f t="shared" si="3"/>
        <v>7</v>
      </c>
      <c r="T4" s="6"/>
      <c r="U4" s="6"/>
      <c r="V4" s="6"/>
      <c r="W4" s="6"/>
      <c r="X4" s="6"/>
    </row>
    <row r="5" spans="1:24" ht="13.5" customHeight="1">
      <c r="A5" s="12">
        <v>39564</v>
      </c>
      <c r="B5" s="5">
        <v>1</v>
      </c>
      <c r="C5" s="5" t="s">
        <v>21</v>
      </c>
      <c r="D5" s="6" t="s">
        <v>22</v>
      </c>
      <c r="E5" s="6">
        <v>36</v>
      </c>
      <c r="F5" s="5">
        <v>2</v>
      </c>
      <c r="G5" s="5">
        <f t="shared" ref="G5:G44" si="4">SUM(E5:F5)</f>
        <v>38</v>
      </c>
      <c r="H5" s="6"/>
      <c r="I5" s="6" t="s">
        <v>23</v>
      </c>
      <c r="J5" s="6">
        <v>39</v>
      </c>
      <c r="K5" s="6">
        <v>36</v>
      </c>
      <c r="L5" s="6">
        <f t="shared" ref="L5:L44" si="5">SUM(J5:K5)</f>
        <v>75</v>
      </c>
      <c r="M5" s="6"/>
      <c r="N5" s="7" t="s">
        <v>24</v>
      </c>
      <c r="O5" s="5"/>
      <c r="P5" s="8"/>
      <c r="Q5" s="5"/>
      <c r="R5" s="13"/>
      <c r="S5" s="5"/>
      <c r="T5" s="6" t="s">
        <v>25</v>
      </c>
      <c r="U5" s="6" t="s">
        <v>26</v>
      </c>
      <c r="V5" s="6" t="s">
        <v>27</v>
      </c>
      <c r="W5" s="6" t="s">
        <v>28</v>
      </c>
      <c r="X5" s="6"/>
    </row>
    <row r="6" spans="1:24" ht="13.5" customHeight="1">
      <c r="A6" s="14">
        <v>39922</v>
      </c>
      <c r="B6" s="15">
        <v>2</v>
      </c>
      <c r="C6" s="15" t="s">
        <v>21</v>
      </c>
      <c r="D6" s="16" t="s">
        <v>29</v>
      </c>
      <c r="E6" s="16">
        <v>32</v>
      </c>
      <c r="F6" s="15">
        <v>16</v>
      </c>
      <c r="G6" s="15">
        <f t="shared" si="4"/>
        <v>48</v>
      </c>
      <c r="H6" s="16"/>
      <c r="I6" s="16" t="s">
        <v>30</v>
      </c>
      <c r="J6" s="16">
        <v>49</v>
      </c>
      <c r="K6" s="16">
        <v>41</v>
      </c>
      <c r="L6" s="16">
        <f t="shared" si="5"/>
        <v>90</v>
      </c>
      <c r="M6" s="16"/>
      <c r="N6" s="17" t="s">
        <v>31</v>
      </c>
      <c r="O6" s="15"/>
      <c r="P6" s="18"/>
      <c r="Q6" s="15"/>
      <c r="R6" s="19"/>
      <c r="S6" s="15"/>
      <c r="T6" s="16" t="s">
        <v>25</v>
      </c>
      <c r="U6" s="16" t="s">
        <v>32</v>
      </c>
      <c r="V6" s="16" t="s">
        <v>27</v>
      </c>
      <c r="W6" s="16" t="s">
        <v>33</v>
      </c>
      <c r="X6" s="16"/>
    </row>
    <row r="7" spans="1:24" ht="13.5" customHeight="1">
      <c r="A7" s="20">
        <v>40104</v>
      </c>
      <c r="B7" s="5">
        <v>3</v>
      </c>
      <c r="C7" s="5" t="s">
        <v>34</v>
      </c>
      <c r="D7" s="6" t="s">
        <v>35</v>
      </c>
      <c r="E7" s="6">
        <v>58</v>
      </c>
      <c r="F7" s="5">
        <v>31</v>
      </c>
      <c r="G7" s="5">
        <f t="shared" si="4"/>
        <v>89</v>
      </c>
      <c r="H7" s="21">
        <f t="shared" ref="H7:H44" si="6">G7/147</f>
        <v>0.60544217687074831</v>
      </c>
      <c r="I7" s="6" t="s">
        <v>36</v>
      </c>
      <c r="J7" s="6">
        <v>50</v>
      </c>
      <c r="K7" s="6">
        <v>30</v>
      </c>
      <c r="L7" s="6">
        <f t="shared" si="5"/>
        <v>80</v>
      </c>
      <c r="M7" s="21">
        <f t="shared" ref="M7:M44" si="7">L7/147</f>
        <v>0.54421768707482998</v>
      </c>
      <c r="N7" s="7" t="s">
        <v>37</v>
      </c>
      <c r="O7" s="5">
        <v>412</v>
      </c>
      <c r="P7" s="8">
        <v>51.5</v>
      </c>
      <c r="Q7" s="5">
        <v>471</v>
      </c>
      <c r="R7" s="13">
        <v>58.875</v>
      </c>
      <c r="S7" s="5">
        <v>2</v>
      </c>
      <c r="T7" s="6">
        <v>16</v>
      </c>
      <c r="U7" s="6" t="s">
        <v>32</v>
      </c>
      <c r="V7" s="6" t="s">
        <v>38</v>
      </c>
      <c r="W7" s="6"/>
      <c r="X7" s="22" t="s">
        <v>39</v>
      </c>
    </row>
    <row r="8" spans="1:24" ht="13.5" customHeight="1">
      <c r="A8" s="20">
        <v>40313</v>
      </c>
      <c r="B8" s="5">
        <v>4</v>
      </c>
      <c r="C8" s="5" t="s">
        <v>34</v>
      </c>
      <c r="D8" s="6" t="s">
        <v>40</v>
      </c>
      <c r="E8" s="6">
        <v>64</v>
      </c>
      <c r="F8" s="5">
        <v>40</v>
      </c>
      <c r="G8" s="5">
        <f t="shared" si="4"/>
        <v>104</v>
      </c>
      <c r="H8" s="21">
        <f t="shared" si="6"/>
        <v>0.70748299319727892</v>
      </c>
      <c r="I8" s="6" t="s">
        <v>41</v>
      </c>
      <c r="J8" s="6">
        <v>58</v>
      </c>
      <c r="K8" s="6">
        <v>45</v>
      </c>
      <c r="L8" s="6">
        <f t="shared" si="5"/>
        <v>103</v>
      </c>
      <c r="M8" s="21">
        <f t="shared" si="7"/>
        <v>0.70068027210884354</v>
      </c>
      <c r="N8" s="7" t="s">
        <v>42</v>
      </c>
      <c r="O8" s="5">
        <v>388</v>
      </c>
      <c r="P8" s="8">
        <v>48.5</v>
      </c>
      <c r="Q8" s="5">
        <v>466</v>
      </c>
      <c r="R8" s="13">
        <v>58.25</v>
      </c>
      <c r="S8" s="5">
        <v>1</v>
      </c>
      <c r="T8" s="6">
        <v>16</v>
      </c>
      <c r="U8" s="6" t="s">
        <v>32</v>
      </c>
      <c r="V8" s="6" t="s">
        <v>38</v>
      </c>
      <c r="W8" s="6"/>
      <c r="X8" s="22" t="s">
        <v>39</v>
      </c>
    </row>
    <row r="9" spans="1:24" ht="13.5" customHeight="1">
      <c r="A9" s="20">
        <v>40454</v>
      </c>
      <c r="B9" s="5">
        <v>5</v>
      </c>
      <c r="C9" s="5" t="s">
        <v>34</v>
      </c>
      <c r="D9" s="6" t="s">
        <v>43</v>
      </c>
      <c r="E9" s="6">
        <v>58</v>
      </c>
      <c r="F9" s="5">
        <v>33</v>
      </c>
      <c r="G9" s="5">
        <f t="shared" si="4"/>
        <v>91</v>
      </c>
      <c r="H9" s="21">
        <f t="shared" si="6"/>
        <v>0.61904761904761907</v>
      </c>
      <c r="I9" s="6" t="s">
        <v>44</v>
      </c>
      <c r="J9" s="6">
        <v>60</v>
      </c>
      <c r="K9" s="6">
        <v>36</v>
      </c>
      <c r="L9" s="6">
        <f t="shared" si="5"/>
        <v>96</v>
      </c>
      <c r="M9" s="21">
        <f t="shared" si="7"/>
        <v>0.65306122448979587</v>
      </c>
      <c r="N9" s="7" t="s">
        <v>45</v>
      </c>
      <c r="O9" s="5">
        <v>413</v>
      </c>
      <c r="P9" s="8">
        <v>51.625</v>
      </c>
      <c r="Q9" s="5">
        <v>480</v>
      </c>
      <c r="R9" s="13">
        <v>60</v>
      </c>
      <c r="S9" s="5">
        <v>1</v>
      </c>
      <c r="T9" s="6">
        <v>16</v>
      </c>
      <c r="U9" s="6" t="s">
        <v>32</v>
      </c>
      <c r="V9" s="6" t="s">
        <v>38</v>
      </c>
      <c r="X9" s="22" t="s">
        <v>39</v>
      </c>
    </row>
    <row r="10" spans="1:24" ht="13.5" customHeight="1">
      <c r="A10" s="23">
        <v>40698</v>
      </c>
      <c r="B10" s="15">
        <v>6</v>
      </c>
      <c r="C10" s="15" t="s">
        <v>34</v>
      </c>
      <c r="D10" s="16" t="s">
        <v>46</v>
      </c>
      <c r="E10" s="16">
        <v>67</v>
      </c>
      <c r="F10" s="15">
        <v>47</v>
      </c>
      <c r="G10" s="15">
        <f t="shared" si="4"/>
        <v>114</v>
      </c>
      <c r="H10" s="24">
        <f t="shared" si="6"/>
        <v>0.77551020408163263</v>
      </c>
      <c r="I10" s="16" t="s">
        <v>47</v>
      </c>
      <c r="J10" s="16">
        <v>68</v>
      </c>
      <c r="K10" s="16">
        <v>43</v>
      </c>
      <c r="L10" s="16">
        <f t="shared" si="5"/>
        <v>111</v>
      </c>
      <c r="M10" s="24">
        <f t="shared" si="7"/>
        <v>0.75510204081632648</v>
      </c>
      <c r="N10" s="17" t="s">
        <v>48</v>
      </c>
      <c r="O10" s="15">
        <v>381</v>
      </c>
      <c r="P10" s="18">
        <v>47.625</v>
      </c>
      <c r="Q10" s="15">
        <v>469</v>
      </c>
      <c r="R10" s="19">
        <v>58.625</v>
      </c>
      <c r="S10" s="15">
        <v>1</v>
      </c>
      <c r="T10" s="16">
        <v>16</v>
      </c>
      <c r="U10" s="25" t="s">
        <v>49</v>
      </c>
      <c r="V10" s="16" t="s">
        <v>38</v>
      </c>
      <c r="W10" s="16" t="s">
        <v>50</v>
      </c>
      <c r="X10" s="26" t="s">
        <v>39</v>
      </c>
    </row>
    <row r="11" spans="1:24" ht="13.5" customHeight="1">
      <c r="A11" s="20">
        <v>41076</v>
      </c>
      <c r="B11" s="5">
        <v>7</v>
      </c>
      <c r="C11" s="5" t="s">
        <v>34</v>
      </c>
      <c r="D11" s="6" t="s">
        <v>51</v>
      </c>
      <c r="E11" s="6">
        <v>68</v>
      </c>
      <c r="F11" s="5">
        <v>37</v>
      </c>
      <c r="G11" s="5">
        <f t="shared" si="4"/>
        <v>105</v>
      </c>
      <c r="H11" s="21">
        <f t="shared" si="6"/>
        <v>0.7142857142857143</v>
      </c>
      <c r="I11" s="6" t="s">
        <v>52</v>
      </c>
      <c r="J11" s="6">
        <v>65</v>
      </c>
      <c r="K11" s="6">
        <v>45</v>
      </c>
      <c r="L11" s="6">
        <f t="shared" si="5"/>
        <v>110</v>
      </c>
      <c r="M11" s="21">
        <f t="shared" si="7"/>
        <v>0.74829931972789121</v>
      </c>
      <c r="N11" s="7" t="s">
        <v>53</v>
      </c>
      <c r="O11" s="5">
        <v>402</v>
      </c>
      <c r="P11" s="8">
        <v>50.25</v>
      </c>
      <c r="Q11" s="5">
        <v>536</v>
      </c>
      <c r="R11" s="13">
        <v>67</v>
      </c>
      <c r="S11" s="5">
        <v>0</v>
      </c>
      <c r="T11" s="6">
        <v>16</v>
      </c>
      <c r="U11" s="6" t="s">
        <v>54</v>
      </c>
      <c r="V11" s="6" t="s">
        <v>55</v>
      </c>
      <c r="W11" s="6"/>
      <c r="X11" s="22" t="s">
        <v>39</v>
      </c>
    </row>
    <row r="12" spans="1:24" ht="13.5" customHeight="1">
      <c r="A12" s="20">
        <v>41196</v>
      </c>
      <c r="B12" s="5">
        <v>8</v>
      </c>
      <c r="C12" s="5" t="s">
        <v>34</v>
      </c>
      <c r="D12" s="6" t="s">
        <v>56</v>
      </c>
      <c r="E12" s="6">
        <v>67</v>
      </c>
      <c r="F12" s="5">
        <v>36</v>
      </c>
      <c r="G12" s="5">
        <f t="shared" si="4"/>
        <v>103</v>
      </c>
      <c r="H12" s="21">
        <f t="shared" si="6"/>
        <v>0.70068027210884354</v>
      </c>
      <c r="I12" s="6" t="s">
        <v>57</v>
      </c>
      <c r="J12" s="6">
        <v>61</v>
      </c>
      <c r="K12" s="6">
        <v>43</v>
      </c>
      <c r="L12" s="6">
        <f t="shared" si="5"/>
        <v>104</v>
      </c>
      <c r="M12" s="21">
        <f t="shared" si="7"/>
        <v>0.70748299319727892</v>
      </c>
      <c r="N12" s="7" t="s">
        <v>58</v>
      </c>
      <c r="O12" s="5">
        <v>410</v>
      </c>
      <c r="P12" s="8">
        <v>51.25</v>
      </c>
      <c r="Q12" s="5">
        <v>525</v>
      </c>
      <c r="R12" s="13">
        <v>65.625</v>
      </c>
      <c r="S12" s="5">
        <v>2</v>
      </c>
      <c r="T12" s="6">
        <v>16</v>
      </c>
      <c r="U12" s="6" t="s">
        <v>54</v>
      </c>
      <c r="V12" s="6" t="s">
        <v>55</v>
      </c>
      <c r="W12" s="6"/>
      <c r="X12" s="22" t="s">
        <v>39</v>
      </c>
    </row>
    <row r="13" spans="1:24" ht="13.5" customHeight="1">
      <c r="A13" s="20">
        <v>41440</v>
      </c>
      <c r="B13" s="5">
        <v>9</v>
      </c>
      <c r="C13" s="5" t="s">
        <v>34</v>
      </c>
      <c r="D13" s="6" t="s">
        <v>59</v>
      </c>
      <c r="E13" s="6">
        <v>67</v>
      </c>
      <c r="F13" s="5">
        <v>21</v>
      </c>
      <c r="G13" s="5">
        <f t="shared" si="4"/>
        <v>88</v>
      </c>
      <c r="H13" s="21">
        <f t="shared" si="6"/>
        <v>0.59863945578231292</v>
      </c>
      <c r="I13" s="6" t="s">
        <v>60</v>
      </c>
      <c r="J13" s="6">
        <v>60</v>
      </c>
      <c r="K13" s="6">
        <v>36</v>
      </c>
      <c r="L13" s="6">
        <f t="shared" si="5"/>
        <v>96</v>
      </c>
      <c r="M13" s="21">
        <f t="shared" si="7"/>
        <v>0.65306122448979587</v>
      </c>
      <c r="N13" s="7" t="s">
        <v>61</v>
      </c>
      <c r="O13" s="5">
        <v>383</v>
      </c>
      <c r="P13" s="8">
        <v>47.875</v>
      </c>
      <c r="Q13" s="5">
        <v>497</v>
      </c>
      <c r="R13" s="13">
        <v>62.125</v>
      </c>
      <c r="S13" s="5">
        <v>1</v>
      </c>
      <c r="T13" s="6">
        <v>16</v>
      </c>
      <c r="U13" s="6" t="s">
        <v>54</v>
      </c>
      <c r="V13" s="6" t="s">
        <v>55</v>
      </c>
      <c r="W13" s="6"/>
      <c r="X13" s="22" t="s">
        <v>39</v>
      </c>
    </row>
    <row r="14" spans="1:24" ht="13.5" customHeight="1">
      <c r="A14" s="20">
        <v>41560</v>
      </c>
      <c r="B14" s="5">
        <v>10</v>
      </c>
      <c r="C14" s="5" t="s">
        <v>62</v>
      </c>
      <c r="D14" s="6" t="s">
        <v>63</v>
      </c>
      <c r="E14" s="6">
        <v>78</v>
      </c>
      <c r="F14" s="5">
        <v>38</v>
      </c>
      <c r="G14" s="5">
        <f t="shared" si="4"/>
        <v>116</v>
      </c>
      <c r="H14" s="21">
        <f t="shared" si="6"/>
        <v>0.78911564625850339</v>
      </c>
      <c r="I14" s="6" t="s">
        <v>64</v>
      </c>
      <c r="J14" s="6">
        <v>66</v>
      </c>
      <c r="K14" s="6">
        <v>63</v>
      </c>
      <c r="L14" s="6">
        <f t="shared" si="5"/>
        <v>129</v>
      </c>
      <c r="M14" s="21">
        <f t="shared" si="7"/>
        <v>0.87755102040816324</v>
      </c>
      <c r="N14" s="7" t="s">
        <v>65</v>
      </c>
      <c r="O14" s="5">
        <v>840</v>
      </c>
      <c r="P14" s="8">
        <v>52.5</v>
      </c>
      <c r="Q14" s="5">
        <v>1113</v>
      </c>
      <c r="R14" s="13">
        <v>69.563000000000002</v>
      </c>
      <c r="S14" s="5">
        <v>7</v>
      </c>
      <c r="T14" s="27">
        <v>32</v>
      </c>
      <c r="U14" s="28" t="s">
        <v>66</v>
      </c>
      <c r="V14" s="6" t="s">
        <v>55</v>
      </c>
      <c r="W14" s="6" t="s">
        <v>67</v>
      </c>
      <c r="X14" s="22" t="s">
        <v>39</v>
      </c>
    </row>
    <row r="15" spans="1:24" ht="13.5" customHeight="1">
      <c r="A15" s="20">
        <v>41790</v>
      </c>
      <c r="B15" s="5">
        <v>11</v>
      </c>
      <c r="C15" s="5" t="s">
        <v>34</v>
      </c>
      <c r="D15" s="6" t="s">
        <v>68</v>
      </c>
      <c r="E15" s="6">
        <v>65</v>
      </c>
      <c r="F15" s="5">
        <v>43</v>
      </c>
      <c r="G15" s="5">
        <f t="shared" si="4"/>
        <v>108</v>
      </c>
      <c r="H15" s="21">
        <f t="shared" si="6"/>
        <v>0.73469387755102045</v>
      </c>
      <c r="I15" s="6" t="s">
        <v>69</v>
      </c>
      <c r="J15" s="6">
        <v>63</v>
      </c>
      <c r="K15" s="6">
        <v>46</v>
      </c>
      <c r="L15" s="6">
        <f t="shared" si="5"/>
        <v>109</v>
      </c>
      <c r="M15" s="21">
        <f t="shared" si="7"/>
        <v>0.74149659863945583</v>
      </c>
      <c r="N15" s="7" t="s">
        <v>70</v>
      </c>
      <c r="O15" s="5">
        <v>428</v>
      </c>
      <c r="P15" s="8">
        <v>53.5</v>
      </c>
      <c r="Q15" s="5">
        <v>544</v>
      </c>
      <c r="R15" s="13">
        <v>68</v>
      </c>
      <c r="S15" s="5">
        <v>2</v>
      </c>
      <c r="T15" s="6">
        <v>16</v>
      </c>
      <c r="U15" s="6" t="s">
        <v>54</v>
      </c>
      <c r="V15" s="6" t="s">
        <v>55</v>
      </c>
      <c r="W15" s="6" t="s">
        <v>71</v>
      </c>
      <c r="X15" s="22" t="s">
        <v>39</v>
      </c>
    </row>
    <row r="16" spans="1:24" ht="13.5" customHeight="1">
      <c r="A16" s="20">
        <v>41910</v>
      </c>
      <c r="B16" s="5">
        <v>12</v>
      </c>
      <c r="C16" s="5" t="s">
        <v>62</v>
      </c>
      <c r="D16" s="6" t="s">
        <v>72</v>
      </c>
      <c r="E16" s="6">
        <v>77</v>
      </c>
      <c r="F16" s="5">
        <v>42</v>
      </c>
      <c r="G16" s="5">
        <f t="shared" si="4"/>
        <v>119</v>
      </c>
      <c r="H16" s="21">
        <f t="shared" si="6"/>
        <v>0.80952380952380953</v>
      </c>
      <c r="I16" s="6" t="s">
        <v>73</v>
      </c>
      <c r="J16" s="6">
        <v>73</v>
      </c>
      <c r="K16" s="6">
        <v>53</v>
      </c>
      <c r="L16" s="6">
        <f t="shared" si="5"/>
        <v>126</v>
      </c>
      <c r="M16" s="21">
        <f t="shared" si="7"/>
        <v>0.8571428571428571</v>
      </c>
      <c r="N16" s="7" t="s">
        <v>74</v>
      </c>
      <c r="O16" s="5">
        <v>788</v>
      </c>
      <c r="P16" s="8">
        <v>49.3125</v>
      </c>
      <c r="Q16" s="5">
        <v>1053</v>
      </c>
      <c r="R16" s="13">
        <v>65.811999999999998</v>
      </c>
      <c r="S16" s="5">
        <v>6</v>
      </c>
      <c r="T16" s="27">
        <v>32</v>
      </c>
      <c r="U16" s="6" t="s">
        <v>75</v>
      </c>
      <c r="V16" s="6" t="s">
        <v>55</v>
      </c>
      <c r="W16" s="6" t="s">
        <v>76</v>
      </c>
      <c r="X16" s="22" t="s">
        <v>39</v>
      </c>
    </row>
    <row r="17" spans="1:24" ht="13.5" customHeight="1">
      <c r="A17" s="20">
        <v>41923</v>
      </c>
      <c r="B17" s="5">
        <v>13</v>
      </c>
      <c r="C17" s="5" t="s">
        <v>77</v>
      </c>
      <c r="D17" s="6" t="s">
        <v>78</v>
      </c>
      <c r="E17" s="6">
        <v>67</v>
      </c>
      <c r="F17" s="5">
        <v>33</v>
      </c>
      <c r="G17" s="5">
        <f t="shared" si="4"/>
        <v>100</v>
      </c>
      <c r="H17" s="21">
        <f t="shared" si="6"/>
        <v>0.68027210884353739</v>
      </c>
      <c r="I17" s="6" t="s">
        <v>79</v>
      </c>
      <c r="J17" s="6">
        <v>61</v>
      </c>
      <c r="K17" s="6">
        <v>57</v>
      </c>
      <c r="L17" s="6">
        <f t="shared" si="5"/>
        <v>118</v>
      </c>
      <c r="M17" s="21">
        <f t="shared" si="7"/>
        <v>0.80272108843537415</v>
      </c>
      <c r="N17" s="7" t="s">
        <v>70</v>
      </c>
      <c r="O17" s="5">
        <v>390</v>
      </c>
      <c r="P17" s="8">
        <v>48.75</v>
      </c>
      <c r="Q17" s="5">
        <v>526</v>
      </c>
      <c r="R17" s="13">
        <v>65.75</v>
      </c>
      <c r="S17" s="5">
        <v>4</v>
      </c>
      <c r="T17" s="6">
        <v>16</v>
      </c>
      <c r="U17" s="6" t="s">
        <v>54</v>
      </c>
      <c r="V17" s="6" t="s">
        <v>55</v>
      </c>
      <c r="W17" s="6"/>
      <c r="X17" s="22" t="s">
        <v>39</v>
      </c>
    </row>
    <row r="18" spans="1:24" ht="13.5" customHeight="1">
      <c r="A18" s="20">
        <v>42155</v>
      </c>
      <c r="B18" s="5">
        <v>14</v>
      </c>
      <c r="C18" s="5" t="s">
        <v>34</v>
      </c>
      <c r="D18" s="6" t="s">
        <v>80</v>
      </c>
      <c r="E18" s="6">
        <v>68</v>
      </c>
      <c r="F18" s="5">
        <v>40</v>
      </c>
      <c r="G18" s="5">
        <f t="shared" si="4"/>
        <v>108</v>
      </c>
      <c r="H18" s="21">
        <f t="shared" si="6"/>
        <v>0.73469387755102045</v>
      </c>
      <c r="I18" s="6" t="s">
        <v>81</v>
      </c>
      <c r="J18" s="6">
        <v>57</v>
      </c>
      <c r="K18" s="6">
        <v>51</v>
      </c>
      <c r="L18" s="6">
        <f t="shared" si="5"/>
        <v>108</v>
      </c>
      <c r="M18" s="21">
        <f t="shared" si="7"/>
        <v>0.73469387755102045</v>
      </c>
      <c r="N18" s="7" t="s">
        <v>82</v>
      </c>
      <c r="O18" s="5">
        <v>411</v>
      </c>
      <c r="P18" s="8">
        <v>51.375</v>
      </c>
      <c r="Q18" s="5">
        <v>543</v>
      </c>
      <c r="R18" s="13">
        <v>67.875</v>
      </c>
      <c r="S18" s="5">
        <v>5</v>
      </c>
      <c r="T18" s="6">
        <v>16</v>
      </c>
      <c r="U18" s="6" t="s">
        <v>54</v>
      </c>
      <c r="V18" s="6" t="s">
        <v>55</v>
      </c>
      <c r="W18" s="6"/>
      <c r="X18" s="22" t="s">
        <v>39</v>
      </c>
    </row>
    <row r="19" spans="1:24" ht="13.5" customHeight="1">
      <c r="A19" s="20">
        <v>42287</v>
      </c>
      <c r="B19" s="5">
        <v>15</v>
      </c>
      <c r="C19" s="5" t="s">
        <v>62</v>
      </c>
      <c r="D19" s="6" t="s">
        <v>83</v>
      </c>
      <c r="E19" s="6">
        <v>71</v>
      </c>
      <c r="F19" s="5">
        <v>35</v>
      </c>
      <c r="G19" s="5">
        <f t="shared" si="4"/>
        <v>106</v>
      </c>
      <c r="H19" s="21">
        <f t="shared" si="6"/>
        <v>0.72108843537414968</v>
      </c>
      <c r="I19" s="6" t="s">
        <v>84</v>
      </c>
      <c r="J19" s="6">
        <v>65</v>
      </c>
      <c r="K19" s="6">
        <v>29</v>
      </c>
      <c r="L19" s="6">
        <f t="shared" si="5"/>
        <v>94</v>
      </c>
      <c r="M19" s="21">
        <f t="shared" si="7"/>
        <v>0.63945578231292521</v>
      </c>
      <c r="N19" s="7" t="s">
        <v>85</v>
      </c>
      <c r="O19" s="5">
        <v>403</v>
      </c>
      <c r="P19" s="8">
        <v>50.375</v>
      </c>
      <c r="Q19" s="5">
        <v>524</v>
      </c>
      <c r="R19" s="13">
        <v>65.5</v>
      </c>
      <c r="S19" s="5">
        <v>2</v>
      </c>
      <c r="T19" s="6">
        <v>16</v>
      </c>
      <c r="U19" s="6" t="s">
        <v>54</v>
      </c>
      <c r="V19" s="6" t="s">
        <v>55</v>
      </c>
      <c r="W19" s="6"/>
      <c r="X19" s="22" t="s">
        <v>39</v>
      </c>
    </row>
    <row r="20" spans="1:24" ht="13.5" customHeight="1">
      <c r="A20" s="20">
        <v>42553</v>
      </c>
      <c r="B20" s="5">
        <v>16</v>
      </c>
      <c r="C20" s="5" t="s">
        <v>34</v>
      </c>
      <c r="D20" s="6" t="s">
        <v>86</v>
      </c>
      <c r="E20" s="6">
        <v>66</v>
      </c>
      <c r="F20" s="5">
        <v>34</v>
      </c>
      <c r="G20" s="5">
        <f t="shared" si="4"/>
        <v>100</v>
      </c>
      <c r="H20" s="21">
        <f t="shared" si="6"/>
        <v>0.68027210884353739</v>
      </c>
      <c r="I20" s="6" t="s">
        <v>87</v>
      </c>
      <c r="J20" s="6">
        <v>57</v>
      </c>
      <c r="K20" s="6">
        <v>48</v>
      </c>
      <c r="L20" s="6">
        <f t="shared" si="5"/>
        <v>105</v>
      </c>
      <c r="M20" s="21">
        <f t="shared" si="7"/>
        <v>0.7142857142857143</v>
      </c>
      <c r="N20" s="7" t="s">
        <v>88</v>
      </c>
      <c r="O20" s="5">
        <v>409</v>
      </c>
      <c r="P20" s="8">
        <v>51.125</v>
      </c>
      <c r="Q20" s="5">
        <v>540</v>
      </c>
      <c r="R20" s="13">
        <v>67.5</v>
      </c>
      <c r="S20" s="5">
        <v>3</v>
      </c>
      <c r="T20" s="6">
        <v>16</v>
      </c>
      <c r="U20" s="6" t="s">
        <v>89</v>
      </c>
      <c r="V20" s="6" t="s">
        <v>55</v>
      </c>
      <c r="W20" s="6" t="s">
        <v>90</v>
      </c>
      <c r="X20" s="22" t="s">
        <v>39</v>
      </c>
    </row>
    <row r="21" spans="1:24" ht="13.5" customHeight="1">
      <c r="A21" s="20">
        <v>42659</v>
      </c>
      <c r="B21" s="5">
        <v>17</v>
      </c>
      <c r="C21" s="5" t="s">
        <v>62</v>
      </c>
      <c r="D21" s="6" t="s">
        <v>91</v>
      </c>
      <c r="E21" s="6">
        <v>79</v>
      </c>
      <c r="F21" s="5">
        <v>34</v>
      </c>
      <c r="G21" s="5">
        <f t="shared" si="4"/>
        <v>113</v>
      </c>
      <c r="H21" s="21">
        <f t="shared" si="6"/>
        <v>0.76870748299319724</v>
      </c>
      <c r="I21" s="6" t="s">
        <v>92</v>
      </c>
      <c r="J21" s="6">
        <v>72</v>
      </c>
      <c r="K21" s="6">
        <v>57</v>
      </c>
      <c r="L21" s="6">
        <f t="shared" si="5"/>
        <v>129</v>
      </c>
      <c r="M21" s="21">
        <f t="shared" si="7"/>
        <v>0.87755102040816324</v>
      </c>
      <c r="N21" s="7" t="s">
        <v>93</v>
      </c>
      <c r="O21" s="5">
        <v>840</v>
      </c>
      <c r="P21" s="8">
        <v>52.5</v>
      </c>
      <c r="Q21" s="5">
        <v>1106</v>
      </c>
      <c r="R21" s="13">
        <v>69.125</v>
      </c>
      <c r="S21" s="5">
        <v>7</v>
      </c>
      <c r="T21" s="27">
        <v>32</v>
      </c>
      <c r="U21" s="28" t="s">
        <v>94</v>
      </c>
      <c r="V21" s="6" t="s">
        <v>55</v>
      </c>
      <c r="W21" s="6" t="s">
        <v>76</v>
      </c>
      <c r="X21" s="22" t="s">
        <v>39</v>
      </c>
    </row>
    <row r="22" spans="1:24" ht="13.5" customHeight="1">
      <c r="A22" s="20">
        <v>43001</v>
      </c>
      <c r="B22" s="5">
        <v>18</v>
      </c>
      <c r="C22" s="5" t="s">
        <v>77</v>
      </c>
      <c r="D22" s="6" t="s">
        <v>95</v>
      </c>
      <c r="E22" s="6">
        <v>73</v>
      </c>
      <c r="F22" s="5">
        <v>38</v>
      </c>
      <c r="G22" s="5">
        <f t="shared" si="4"/>
        <v>111</v>
      </c>
      <c r="H22" s="21">
        <f t="shared" si="6"/>
        <v>0.75510204081632648</v>
      </c>
      <c r="I22" s="6" t="s">
        <v>96</v>
      </c>
      <c r="J22" s="6">
        <v>67</v>
      </c>
      <c r="K22" s="6">
        <v>62</v>
      </c>
      <c r="L22" s="6">
        <f t="shared" si="5"/>
        <v>129</v>
      </c>
      <c r="M22" s="21">
        <f t="shared" si="7"/>
        <v>0.87755102040816324</v>
      </c>
      <c r="N22" s="7" t="s">
        <v>97</v>
      </c>
      <c r="O22" s="6">
        <v>416</v>
      </c>
      <c r="P22" s="29">
        <v>52</v>
      </c>
      <c r="Q22" s="6">
        <v>557</v>
      </c>
      <c r="R22" s="13">
        <v>69.625</v>
      </c>
      <c r="S22" s="5">
        <v>2</v>
      </c>
      <c r="T22" s="6">
        <v>16</v>
      </c>
      <c r="U22" s="6" t="s">
        <v>54</v>
      </c>
      <c r="V22" s="6" t="s">
        <v>55</v>
      </c>
      <c r="W22" s="6" t="s">
        <v>98</v>
      </c>
      <c r="X22" s="22" t="s">
        <v>39</v>
      </c>
    </row>
    <row r="23" spans="1:24" ht="13.5" customHeight="1">
      <c r="A23" s="20">
        <v>43002</v>
      </c>
      <c r="B23" s="5">
        <v>19</v>
      </c>
      <c r="C23" s="5" t="s">
        <v>34</v>
      </c>
      <c r="D23" s="6" t="s">
        <v>99</v>
      </c>
      <c r="E23" s="6">
        <v>69</v>
      </c>
      <c r="F23" s="5">
        <v>41</v>
      </c>
      <c r="G23" s="5">
        <f t="shared" si="4"/>
        <v>110</v>
      </c>
      <c r="H23" s="21">
        <f t="shared" si="6"/>
        <v>0.74829931972789121</v>
      </c>
      <c r="I23" s="6" t="s">
        <v>100</v>
      </c>
      <c r="J23" s="6">
        <v>67</v>
      </c>
      <c r="K23" s="6">
        <v>46</v>
      </c>
      <c r="L23" s="6">
        <f t="shared" si="5"/>
        <v>113</v>
      </c>
      <c r="M23" s="21">
        <f t="shared" si="7"/>
        <v>0.76870748299319724</v>
      </c>
      <c r="N23" s="7" t="s">
        <v>101</v>
      </c>
      <c r="O23" s="6">
        <v>391</v>
      </c>
      <c r="P23" s="6">
        <v>48.88</v>
      </c>
      <c r="Q23" s="6">
        <v>526</v>
      </c>
      <c r="R23" s="13">
        <v>65.75</v>
      </c>
      <c r="S23" s="5">
        <v>1</v>
      </c>
      <c r="T23" s="6">
        <v>16</v>
      </c>
      <c r="U23" s="6" t="s">
        <v>54</v>
      </c>
      <c r="V23" s="6" t="s">
        <v>55</v>
      </c>
      <c r="W23" s="6" t="s">
        <v>98</v>
      </c>
      <c r="X23" s="22" t="s">
        <v>39</v>
      </c>
    </row>
    <row r="24" spans="1:24" ht="13.5" customHeight="1">
      <c r="A24" s="20">
        <v>43023</v>
      </c>
      <c r="B24" s="5">
        <v>20</v>
      </c>
      <c r="C24" s="5" t="s">
        <v>62</v>
      </c>
      <c r="D24" s="6" t="s">
        <v>102</v>
      </c>
      <c r="E24" s="6">
        <v>73</v>
      </c>
      <c r="F24" s="5">
        <v>40</v>
      </c>
      <c r="G24" s="5">
        <f t="shared" si="4"/>
        <v>113</v>
      </c>
      <c r="H24" s="21">
        <f t="shared" si="6"/>
        <v>0.76870748299319724</v>
      </c>
      <c r="I24" s="6" t="s">
        <v>103</v>
      </c>
      <c r="J24" s="6">
        <v>67</v>
      </c>
      <c r="K24" s="6">
        <v>39</v>
      </c>
      <c r="L24" s="6">
        <f t="shared" si="5"/>
        <v>106</v>
      </c>
      <c r="M24" s="21">
        <f t="shared" si="7"/>
        <v>0.72108843537414968</v>
      </c>
      <c r="N24" s="7" t="s">
        <v>104</v>
      </c>
      <c r="O24" s="6">
        <v>412</v>
      </c>
      <c r="P24" s="29">
        <v>51.5</v>
      </c>
      <c r="Q24" s="6">
        <v>544</v>
      </c>
      <c r="R24" s="13">
        <v>68</v>
      </c>
      <c r="S24" s="5">
        <v>3</v>
      </c>
      <c r="T24" s="6">
        <v>16</v>
      </c>
      <c r="U24" s="6" t="s">
        <v>54</v>
      </c>
      <c r="V24" s="6" t="s">
        <v>55</v>
      </c>
      <c r="W24" s="6"/>
      <c r="X24" s="22" t="s">
        <v>39</v>
      </c>
    </row>
    <row r="25" spans="1:24" ht="13.5" customHeight="1">
      <c r="A25" s="20">
        <v>43337</v>
      </c>
      <c r="B25" s="5">
        <v>21</v>
      </c>
      <c r="C25" s="5" t="s">
        <v>34</v>
      </c>
      <c r="D25" s="6" t="s">
        <v>105</v>
      </c>
      <c r="E25" s="6">
        <v>66</v>
      </c>
      <c r="F25" s="5">
        <v>31</v>
      </c>
      <c r="G25" s="5">
        <f t="shared" si="4"/>
        <v>97</v>
      </c>
      <c r="H25" s="21">
        <f t="shared" si="6"/>
        <v>0.65986394557823125</v>
      </c>
      <c r="I25" s="6" t="s">
        <v>106</v>
      </c>
      <c r="J25" s="6">
        <v>58</v>
      </c>
      <c r="K25" s="6">
        <v>47</v>
      </c>
      <c r="L25" s="6">
        <f t="shared" si="5"/>
        <v>105</v>
      </c>
      <c r="M25" s="21">
        <f t="shared" si="7"/>
        <v>0.7142857142857143</v>
      </c>
      <c r="N25" s="7" t="s">
        <v>107</v>
      </c>
      <c r="O25" s="6">
        <v>401</v>
      </c>
      <c r="P25" s="6">
        <v>50.13</v>
      </c>
      <c r="Q25" s="6">
        <v>528</v>
      </c>
      <c r="R25" s="13">
        <v>66</v>
      </c>
      <c r="S25" s="5">
        <v>3</v>
      </c>
      <c r="T25" s="6">
        <v>16</v>
      </c>
      <c r="U25" s="6" t="s">
        <v>54</v>
      </c>
      <c r="V25" s="6" t="s">
        <v>55</v>
      </c>
      <c r="W25" s="6" t="s">
        <v>108</v>
      </c>
      <c r="X25" s="22" t="s">
        <v>39</v>
      </c>
    </row>
    <row r="26" spans="1:24" ht="13.5" customHeight="1">
      <c r="A26" s="20">
        <v>43365</v>
      </c>
      <c r="B26" s="5">
        <v>22</v>
      </c>
      <c r="C26" s="5" t="s">
        <v>62</v>
      </c>
      <c r="D26" s="6" t="s">
        <v>109</v>
      </c>
      <c r="E26" s="6">
        <v>62</v>
      </c>
      <c r="F26" s="5">
        <v>44</v>
      </c>
      <c r="G26" s="5">
        <f t="shared" si="4"/>
        <v>106</v>
      </c>
      <c r="H26" s="21">
        <f t="shared" si="6"/>
        <v>0.72108843537414968</v>
      </c>
      <c r="I26" s="6" t="s">
        <v>110</v>
      </c>
      <c r="J26" s="6">
        <v>63</v>
      </c>
      <c r="K26" s="6">
        <v>43</v>
      </c>
      <c r="L26" s="6">
        <f t="shared" si="5"/>
        <v>106</v>
      </c>
      <c r="M26" s="21">
        <f t="shared" si="7"/>
        <v>0.72108843537414968</v>
      </c>
      <c r="N26" s="7" t="s">
        <v>111</v>
      </c>
      <c r="O26" s="6">
        <v>407</v>
      </c>
      <c r="P26" s="6">
        <v>50.88</v>
      </c>
      <c r="Q26" s="6">
        <v>529</v>
      </c>
      <c r="R26" s="13">
        <v>66.125</v>
      </c>
      <c r="S26" s="5">
        <v>3</v>
      </c>
      <c r="T26" s="6">
        <v>16</v>
      </c>
      <c r="U26" s="28" t="s">
        <v>112</v>
      </c>
      <c r="V26" s="6" t="s">
        <v>55</v>
      </c>
      <c r="W26" s="6"/>
      <c r="X26" s="22" t="s">
        <v>39</v>
      </c>
    </row>
    <row r="27" spans="1:24" ht="13.5" customHeight="1">
      <c r="A27" s="20">
        <v>43652</v>
      </c>
      <c r="B27" s="5">
        <v>23</v>
      </c>
      <c r="C27" s="5" t="s">
        <v>34</v>
      </c>
      <c r="D27" s="6" t="s">
        <v>113</v>
      </c>
      <c r="E27" s="6">
        <v>71</v>
      </c>
      <c r="F27" s="5">
        <v>39</v>
      </c>
      <c r="G27" s="5">
        <f t="shared" si="4"/>
        <v>110</v>
      </c>
      <c r="H27" s="21">
        <f t="shared" si="6"/>
        <v>0.74829931972789121</v>
      </c>
      <c r="I27" s="6" t="s">
        <v>114</v>
      </c>
      <c r="J27" s="6">
        <v>69</v>
      </c>
      <c r="K27" s="6">
        <v>48</v>
      </c>
      <c r="L27" s="6">
        <f t="shared" si="5"/>
        <v>117</v>
      </c>
      <c r="M27" s="21">
        <f t="shared" si="7"/>
        <v>0.79591836734693877</v>
      </c>
      <c r="N27" s="7" t="s">
        <v>115</v>
      </c>
      <c r="O27" s="6">
        <v>384</v>
      </c>
      <c r="P27" s="29">
        <v>48</v>
      </c>
      <c r="Q27" s="6">
        <v>519</v>
      </c>
      <c r="R27" s="13">
        <v>64.875</v>
      </c>
      <c r="S27" s="6">
        <v>1</v>
      </c>
      <c r="T27" s="6">
        <v>16</v>
      </c>
      <c r="U27" s="6" t="s">
        <v>54</v>
      </c>
      <c r="V27" s="6" t="s">
        <v>55</v>
      </c>
      <c r="W27" s="6"/>
      <c r="X27" s="22" t="s">
        <v>39</v>
      </c>
    </row>
    <row r="28" spans="1:24" ht="13.5" customHeight="1">
      <c r="A28" s="23">
        <v>43701</v>
      </c>
      <c r="B28" s="15">
        <v>24</v>
      </c>
      <c r="C28" s="15" t="s">
        <v>77</v>
      </c>
      <c r="D28" s="16" t="s">
        <v>116</v>
      </c>
      <c r="E28" s="16">
        <v>67</v>
      </c>
      <c r="F28" s="15">
        <v>17</v>
      </c>
      <c r="G28" s="15">
        <f t="shared" si="4"/>
        <v>84</v>
      </c>
      <c r="H28" s="24">
        <f t="shared" si="6"/>
        <v>0.5714285714285714</v>
      </c>
      <c r="I28" s="16" t="s">
        <v>117</v>
      </c>
      <c r="J28" s="16">
        <v>60</v>
      </c>
      <c r="K28" s="16">
        <v>36</v>
      </c>
      <c r="L28" s="16">
        <f t="shared" si="5"/>
        <v>96</v>
      </c>
      <c r="M28" s="24">
        <f t="shared" si="7"/>
        <v>0.65306122448979587</v>
      </c>
      <c r="N28" s="17" t="s">
        <v>118</v>
      </c>
      <c r="O28" s="15">
        <v>400</v>
      </c>
      <c r="P28" s="18">
        <v>50</v>
      </c>
      <c r="Q28" s="15">
        <v>511</v>
      </c>
      <c r="R28" s="19">
        <v>63.875</v>
      </c>
      <c r="S28" s="15">
        <v>4</v>
      </c>
      <c r="T28" s="16">
        <v>16</v>
      </c>
      <c r="U28" s="16" t="s">
        <v>54</v>
      </c>
      <c r="V28" s="16" t="s">
        <v>55</v>
      </c>
      <c r="W28" s="16" t="s">
        <v>119</v>
      </c>
      <c r="X28" s="26" t="s">
        <v>39</v>
      </c>
    </row>
    <row r="29" spans="1:24" ht="13.5" customHeight="1">
      <c r="A29" s="20">
        <v>43715</v>
      </c>
      <c r="B29" s="6">
        <v>25</v>
      </c>
      <c r="C29" s="5" t="s">
        <v>62</v>
      </c>
      <c r="D29" s="6" t="s">
        <v>120</v>
      </c>
      <c r="E29" s="6">
        <v>77</v>
      </c>
      <c r="F29" s="5">
        <v>36</v>
      </c>
      <c r="G29" s="5">
        <f t="shared" si="4"/>
        <v>113</v>
      </c>
      <c r="H29" s="21">
        <f t="shared" si="6"/>
        <v>0.76870748299319724</v>
      </c>
      <c r="I29" s="6" t="s">
        <v>121</v>
      </c>
      <c r="J29" s="6">
        <v>74</v>
      </c>
      <c r="K29" s="6">
        <v>48</v>
      </c>
      <c r="L29" s="6">
        <f t="shared" si="5"/>
        <v>122</v>
      </c>
      <c r="M29" s="21">
        <f t="shared" si="7"/>
        <v>0.82993197278911568</v>
      </c>
      <c r="N29" s="7" t="s">
        <v>88</v>
      </c>
      <c r="O29" s="6">
        <v>397</v>
      </c>
      <c r="P29" s="6">
        <v>49.63</v>
      </c>
      <c r="Q29" s="6">
        <v>649</v>
      </c>
      <c r="R29" s="13">
        <v>81.125</v>
      </c>
      <c r="S29" s="6">
        <v>1</v>
      </c>
      <c r="T29" s="6">
        <v>16</v>
      </c>
      <c r="U29" s="6" t="s">
        <v>54</v>
      </c>
      <c r="V29" s="6" t="s">
        <v>122</v>
      </c>
      <c r="W29" s="6" t="s">
        <v>123</v>
      </c>
      <c r="X29" s="22" t="s">
        <v>39</v>
      </c>
    </row>
    <row r="30" spans="1:24" ht="13.5" customHeight="1">
      <c r="A30" s="30">
        <v>44065</v>
      </c>
      <c r="B30" s="6">
        <v>26</v>
      </c>
      <c r="C30" s="5" t="s">
        <v>34</v>
      </c>
      <c r="D30" s="6" t="s">
        <v>124</v>
      </c>
      <c r="E30" s="6">
        <v>77</v>
      </c>
      <c r="F30" s="5">
        <v>40</v>
      </c>
      <c r="G30" s="5">
        <f t="shared" si="4"/>
        <v>117</v>
      </c>
      <c r="H30" s="21">
        <f t="shared" si="6"/>
        <v>0.79591836734693877</v>
      </c>
      <c r="I30" s="6" t="s">
        <v>125</v>
      </c>
      <c r="J30" s="6">
        <v>63</v>
      </c>
      <c r="K30" s="6">
        <v>54</v>
      </c>
      <c r="L30" s="6">
        <f t="shared" si="5"/>
        <v>117</v>
      </c>
      <c r="M30" s="21">
        <f t="shared" si="7"/>
        <v>0.79591836734693877</v>
      </c>
      <c r="N30" s="7" t="s">
        <v>126</v>
      </c>
      <c r="O30" s="6">
        <v>418</v>
      </c>
      <c r="P30" s="6">
        <v>52.25</v>
      </c>
      <c r="Q30" s="6">
        <v>676</v>
      </c>
      <c r="R30" s="13">
        <v>84.5</v>
      </c>
      <c r="S30" s="6">
        <v>4</v>
      </c>
      <c r="T30" s="6">
        <v>16</v>
      </c>
      <c r="U30" s="6" t="s">
        <v>54</v>
      </c>
      <c r="V30" s="6" t="s">
        <v>122</v>
      </c>
      <c r="W30" s="6"/>
      <c r="X30" s="22" t="s">
        <v>39</v>
      </c>
    </row>
    <row r="31" spans="1:24" ht="13.5" customHeight="1">
      <c r="A31" s="30">
        <v>44100</v>
      </c>
      <c r="B31" s="5">
        <v>27</v>
      </c>
      <c r="C31" s="5" t="s">
        <v>77</v>
      </c>
      <c r="D31" s="6" t="s">
        <v>127</v>
      </c>
      <c r="E31" s="6">
        <v>77</v>
      </c>
      <c r="F31" s="5">
        <v>52</v>
      </c>
      <c r="G31" s="5">
        <f t="shared" si="4"/>
        <v>129</v>
      </c>
      <c r="H31" s="21">
        <f t="shared" si="6"/>
        <v>0.87755102040816324</v>
      </c>
      <c r="I31" s="6" t="s">
        <v>128</v>
      </c>
      <c r="J31" s="6">
        <v>75</v>
      </c>
      <c r="K31" s="6">
        <v>39</v>
      </c>
      <c r="L31" s="6">
        <f t="shared" si="5"/>
        <v>114</v>
      </c>
      <c r="M31" s="21">
        <f t="shared" si="7"/>
        <v>0.77551020408163263</v>
      </c>
      <c r="N31" s="7" t="s">
        <v>129</v>
      </c>
      <c r="O31" s="5">
        <v>417</v>
      </c>
      <c r="P31" s="8">
        <v>52.13</v>
      </c>
      <c r="Q31" s="5">
        <v>696</v>
      </c>
      <c r="R31" s="13">
        <v>87</v>
      </c>
      <c r="S31" s="5">
        <v>7</v>
      </c>
      <c r="T31" s="6">
        <v>16</v>
      </c>
      <c r="U31" s="28" t="s">
        <v>130</v>
      </c>
      <c r="V31" s="6" t="s">
        <v>122</v>
      </c>
      <c r="W31" s="6" t="s">
        <v>131</v>
      </c>
      <c r="X31" s="22" t="s">
        <v>39</v>
      </c>
    </row>
    <row r="32" spans="1:24" ht="13.5" customHeight="1">
      <c r="A32" s="30">
        <v>44121</v>
      </c>
      <c r="B32" s="6">
        <v>28</v>
      </c>
      <c r="C32" s="5" t="s">
        <v>62</v>
      </c>
      <c r="D32" s="6" t="s">
        <v>132</v>
      </c>
      <c r="E32" s="6">
        <v>77</v>
      </c>
      <c r="F32" s="5">
        <v>38</v>
      </c>
      <c r="G32" s="5">
        <f t="shared" si="4"/>
        <v>115</v>
      </c>
      <c r="H32" s="21">
        <f t="shared" si="6"/>
        <v>0.78231292517006801</v>
      </c>
      <c r="I32" s="6" t="s">
        <v>133</v>
      </c>
      <c r="J32" s="6">
        <v>75</v>
      </c>
      <c r="K32" s="6">
        <v>49</v>
      </c>
      <c r="L32" s="6">
        <f t="shared" si="5"/>
        <v>124</v>
      </c>
      <c r="M32" s="21">
        <f t="shared" si="7"/>
        <v>0.84353741496598644</v>
      </c>
      <c r="N32" s="7" t="s">
        <v>129</v>
      </c>
      <c r="O32" s="6">
        <v>420</v>
      </c>
      <c r="P32" s="29">
        <v>52.5</v>
      </c>
      <c r="Q32" s="6">
        <v>673</v>
      </c>
      <c r="R32" s="13">
        <v>84.125</v>
      </c>
      <c r="S32" s="6">
        <v>5</v>
      </c>
      <c r="T32" s="6">
        <v>16</v>
      </c>
      <c r="U32" s="6" t="s">
        <v>54</v>
      </c>
      <c r="V32" s="6" t="s">
        <v>122</v>
      </c>
      <c r="W32" s="6"/>
      <c r="X32" s="22" t="s">
        <v>39</v>
      </c>
    </row>
    <row r="33" spans="1:24" ht="13.5" customHeight="1">
      <c r="A33" s="30">
        <v>44352</v>
      </c>
      <c r="B33" s="5">
        <v>29</v>
      </c>
      <c r="C33" s="5" t="s">
        <v>77</v>
      </c>
      <c r="D33" s="6" t="s">
        <v>134</v>
      </c>
      <c r="E33" s="6">
        <v>73</v>
      </c>
      <c r="F33" s="5">
        <v>30</v>
      </c>
      <c r="G33" s="5">
        <f t="shared" si="4"/>
        <v>103</v>
      </c>
      <c r="H33" s="21">
        <f t="shared" si="6"/>
        <v>0.70068027210884354</v>
      </c>
      <c r="I33" s="6" t="s">
        <v>135</v>
      </c>
      <c r="J33" s="6">
        <v>71</v>
      </c>
      <c r="K33" s="6">
        <v>42</v>
      </c>
      <c r="L33" s="6">
        <f t="shared" si="5"/>
        <v>113</v>
      </c>
      <c r="M33" s="21">
        <f t="shared" si="7"/>
        <v>0.76870748299319724</v>
      </c>
      <c r="N33" s="7" t="s">
        <v>136</v>
      </c>
      <c r="O33" s="6">
        <v>416</v>
      </c>
      <c r="P33" s="29">
        <v>52</v>
      </c>
      <c r="Q33" s="6">
        <v>662</v>
      </c>
      <c r="R33" s="13">
        <v>82.75</v>
      </c>
      <c r="S33" s="6">
        <v>5</v>
      </c>
      <c r="T33" s="6">
        <v>16</v>
      </c>
      <c r="U33" s="6" t="s">
        <v>54</v>
      </c>
      <c r="V33" s="6" t="s">
        <v>122</v>
      </c>
      <c r="W33" s="6"/>
      <c r="X33" s="22" t="s">
        <v>39</v>
      </c>
    </row>
    <row r="34" spans="1:24" ht="13.5" customHeight="1">
      <c r="A34" s="30">
        <v>44436</v>
      </c>
      <c r="B34" s="6">
        <v>30</v>
      </c>
      <c r="C34" s="5" t="s">
        <v>34</v>
      </c>
      <c r="D34" s="6" t="s">
        <v>137</v>
      </c>
      <c r="E34" s="6">
        <v>74</v>
      </c>
      <c r="F34" s="5">
        <v>57</v>
      </c>
      <c r="G34" s="31">
        <f t="shared" si="4"/>
        <v>131</v>
      </c>
      <c r="H34" s="21">
        <f t="shared" si="6"/>
        <v>0.891156462585034</v>
      </c>
      <c r="I34" s="6" t="s">
        <v>138</v>
      </c>
      <c r="J34" s="6">
        <v>73</v>
      </c>
      <c r="K34" s="6">
        <v>55</v>
      </c>
      <c r="L34" s="6">
        <f t="shared" si="5"/>
        <v>128</v>
      </c>
      <c r="M34" s="21">
        <f t="shared" si="7"/>
        <v>0.87074829931972786</v>
      </c>
      <c r="N34" s="7" t="s">
        <v>74</v>
      </c>
      <c r="O34" s="6">
        <v>419</v>
      </c>
      <c r="P34" s="6">
        <v>52.38</v>
      </c>
      <c r="Q34" s="6">
        <v>682</v>
      </c>
      <c r="R34" s="13">
        <v>82.25</v>
      </c>
      <c r="S34" s="6">
        <v>2</v>
      </c>
      <c r="T34" s="6">
        <v>16</v>
      </c>
      <c r="U34" s="6" t="s">
        <v>54</v>
      </c>
      <c r="V34" s="6" t="s">
        <v>122</v>
      </c>
      <c r="W34" s="6"/>
      <c r="X34" s="22" t="s">
        <v>39</v>
      </c>
    </row>
    <row r="35" spans="1:24" ht="13.5" customHeight="1">
      <c r="A35" s="30">
        <v>44485</v>
      </c>
      <c r="B35" s="5">
        <v>31</v>
      </c>
      <c r="C35" s="5" t="s">
        <v>62</v>
      </c>
      <c r="D35" s="6" t="s">
        <v>139</v>
      </c>
      <c r="E35" s="6">
        <v>77</v>
      </c>
      <c r="F35" s="5">
        <v>45</v>
      </c>
      <c r="G35" s="5">
        <f t="shared" si="4"/>
        <v>122</v>
      </c>
      <c r="H35" s="21">
        <f t="shared" si="6"/>
        <v>0.82993197278911568</v>
      </c>
      <c r="I35" s="6" t="s">
        <v>140</v>
      </c>
      <c r="J35" s="6">
        <v>69</v>
      </c>
      <c r="K35" s="6">
        <v>57</v>
      </c>
      <c r="L35" s="6">
        <f t="shared" si="5"/>
        <v>126</v>
      </c>
      <c r="M35" s="21">
        <f t="shared" si="7"/>
        <v>0.8571428571428571</v>
      </c>
      <c r="N35" s="7" t="s">
        <v>129</v>
      </c>
      <c r="O35" s="6">
        <v>429</v>
      </c>
      <c r="P35" s="6">
        <v>53.63</v>
      </c>
      <c r="Q35" s="6">
        <v>690</v>
      </c>
      <c r="R35" s="13">
        <v>86.25</v>
      </c>
      <c r="S35" s="6">
        <v>6</v>
      </c>
      <c r="T35" s="6">
        <v>16</v>
      </c>
      <c r="U35" s="6" t="s">
        <v>54</v>
      </c>
      <c r="V35" s="6" t="s">
        <v>122</v>
      </c>
      <c r="W35" s="6"/>
      <c r="X35" s="22" t="s">
        <v>39</v>
      </c>
    </row>
    <row r="36" spans="1:24" ht="13.5" customHeight="1">
      <c r="A36" s="30">
        <v>44800</v>
      </c>
      <c r="B36" s="6">
        <v>32</v>
      </c>
      <c r="C36" s="5" t="s">
        <v>34</v>
      </c>
      <c r="D36" s="6" t="s">
        <v>141</v>
      </c>
      <c r="E36" s="6">
        <v>77</v>
      </c>
      <c r="F36" s="5">
        <v>28</v>
      </c>
      <c r="G36" s="5">
        <f t="shared" si="4"/>
        <v>105</v>
      </c>
      <c r="H36" s="21">
        <f t="shared" si="6"/>
        <v>0.7142857142857143</v>
      </c>
      <c r="I36" s="6" t="s">
        <v>142</v>
      </c>
      <c r="J36" s="6">
        <v>74</v>
      </c>
      <c r="K36" s="6">
        <v>32</v>
      </c>
      <c r="L36" s="6">
        <f t="shared" si="5"/>
        <v>106</v>
      </c>
      <c r="M36" s="21">
        <f t="shared" si="7"/>
        <v>0.72108843537414968</v>
      </c>
      <c r="N36" s="7" t="s">
        <v>88</v>
      </c>
      <c r="O36" s="6">
        <v>389</v>
      </c>
      <c r="P36" s="6">
        <v>48.63</v>
      </c>
      <c r="Q36" s="6">
        <v>625</v>
      </c>
      <c r="R36" s="13">
        <v>78.125</v>
      </c>
      <c r="S36" s="6">
        <v>2</v>
      </c>
      <c r="T36" s="6">
        <v>16</v>
      </c>
      <c r="U36" s="28" t="s">
        <v>143</v>
      </c>
      <c r="V36" s="6" t="s">
        <v>122</v>
      </c>
      <c r="W36" s="6"/>
      <c r="X36" s="22" t="s">
        <v>39</v>
      </c>
    </row>
    <row r="37" spans="1:24" ht="13.5" customHeight="1">
      <c r="A37" s="30">
        <v>44821</v>
      </c>
      <c r="B37" s="5">
        <v>33</v>
      </c>
      <c r="C37" s="5" t="s">
        <v>77</v>
      </c>
      <c r="D37" s="6" t="s">
        <v>144</v>
      </c>
      <c r="E37" s="6">
        <v>77</v>
      </c>
      <c r="F37" s="5">
        <v>47</v>
      </c>
      <c r="G37" s="5">
        <f t="shared" si="4"/>
        <v>124</v>
      </c>
      <c r="H37" s="21">
        <f t="shared" si="6"/>
        <v>0.84353741496598644</v>
      </c>
      <c r="I37" s="6" t="s">
        <v>145</v>
      </c>
      <c r="J37" s="6">
        <v>74</v>
      </c>
      <c r="K37" s="6">
        <v>34</v>
      </c>
      <c r="L37" s="6">
        <f t="shared" si="5"/>
        <v>108</v>
      </c>
      <c r="M37" s="21">
        <f t="shared" si="7"/>
        <v>0.73469387755102045</v>
      </c>
      <c r="N37" s="7" t="s">
        <v>88</v>
      </c>
      <c r="O37" s="6">
        <v>418</v>
      </c>
      <c r="P37" s="6">
        <v>52.25</v>
      </c>
      <c r="Q37" s="6">
        <v>678</v>
      </c>
      <c r="R37" s="13">
        <v>84.75</v>
      </c>
      <c r="S37" s="6">
        <v>3</v>
      </c>
      <c r="T37" s="6">
        <v>16</v>
      </c>
      <c r="U37" s="6" t="s">
        <v>54</v>
      </c>
      <c r="V37" s="6" t="s">
        <v>122</v>
      </c>
      <c r="W37" s="6"/>
      <c r="X37" s="22" t="s">
        <v>39</v>
      </c>
    </row>
    <row r="38" spans="1:24" ht="13.5" customHeight="1">
      <c r="A38" s="30">
        <v>44849</v>
      </c>
      <c r="B38" s="6">
        <v>34</v>
      </c>
      <c r="C38" s="5" t="s">
        <v>62</v>
      </c>
      <c r="D38" s="6" t="s">
        <v>146</v>
      </c>
      <c r="E38" s="6">
        <v>72</v>
      </c>
      <c r="F38" s="5">
        <v>46</v>
      </c>
      <c r="G38" s="5">
        <f t="shared" si="4"/>
        <v>118</v>
      </c>
      <c r="H38" s="21">
        <f t="shared" si="6"/>
        <v>0.80272108843537415</v>
      </c>
      <c r="I38" s="6" t="s">
        <v>147</v>
      </c>
      <c r="J38" s="6">
        <v>71</v>
      </c>
      <c r="K38" s="6">
        <v>66</v>
      </c>
      <c r="L38" s="32">
        <f t="shared" si="5"/>
        <v>137</v>
      </c>
      <c r="M38" s="21">
        <f t="shared" si="7"/>
        <v>0.93197278911564629</v>
      </c>
      <c r="N38" s="7" t="s">
        <v>129</v>
      </c>
      <c r="O38" s="6">
        <v>393</v>
      </c>
      <c r="P38" s="6">
        <v>49.13</v>
      </c>
      <c r="Q38" s="6">
        <v>658</v>
      </c>
      <c r="R38" s="13">
        <v>82.25</v>
      </c>
      <c r="S38" s="6">
        <v>4</v>
      </c>
      <c r="T38" s="6">
        <v>16</v>
      </c>
      <c r="U38" s="6" t="s">
        <v>54</v>
      </c>
      <c r="V38" s="6" t="s">
        <v>122</v>
      </c>
      <c r="W38" s="6" t="s">
        <v>148</v>
      </c>
      <c r="X38" s="22" t="s">
        <v>39</v>
      </c>
    </row>
    <row r="39" spans="1:24" ht="13.5" customHeight="1">
      <c r="A39" s="30">
        <v>45150</v>
      </c>
      <c r="B39" s="5">
        <v>35</v>
      </c>
      <c r="C39" s="5" t="s">
        <v>34</v>
      </c>
      <c r="D39" s="6" t="s">
        <v>149</v>
      </c>
      <c r="E39" s="6">
        <v>76</v>
      </c>
      <c r="F39" s="5">
        <v>47</v>
      </c>
      <c r="G39" s="5">
        <f t="shared" si="4"/>
        <v>123</v>
      </c>
      <c r="H39" s="21">
        <f t="shared" si="6"/>
        <v>0.83673469387755106</v>
      </c>
      <c r="I39" s="6" t="s">
        <v>150</v>
      </c>
      <c r="J39" s="6">
        <v>71</v>
      </c>
      <c r="K39" s="6">
        <v>46</v>
      </c>
      <c r="L39" s="6">
        <f t="shared" si="5"/>
        <v>117</v>
      </c>
      <c r="M39" s="21">
        <f t="shared" si="7"/>
        <v>0.79591836734693877</v>
      </c>
      <c r="N39" s="7" t="s">
        <v>151</v>
      </c>
      <c r="O39" s="6">
        <v>386</v>
      </c>
      <c r="P39" s="6">
        <v>48.25</v>
      </c>
      <c r="Q39" s="6">
        <v>642</v>
      </c>
      <c r="R39" s="13">
        <v>80.25</v>
      </c>
      <c r="S39" s="6">
        <v>4</v>
      </c>
      <c r="T39" s="6">
        <v>16</v>
      </c>
      <c r="U39" s="6" t="s">
        <v>54</v>
      </c>
      <c r="V39" s="6" t="s">
        <v>122</v>
      </c>
      <c r="W39" s="6"/>
      <c r="X39" s="22" t="s">
        <v>39</v>
      </c>
    </row>
    <row r="40" spans="1:24" ht="13.5" customHeight="1">
      <c r="A40" s="33">
        <v>45185</v>
      </c>
      <c r="B40" s="34">
        <v>36</v>
      </c>
      <c r="C40" s="35" t="s">
        <v>77</v>
      </c>
      <c r="D40" s="34" t="s">
        <v>152</v>
      </c>
      <c r="E40" s="34">
        <v>77</v>
      </c>
      <c r="F40" s="35">
        <v>36</v>
      </c>
      <c r="G40" s="35">
        <f t="shared" si="4"/>
        <v>113</v>
      </c>
      <c r="H40" s="36">
        <f t="shared" si="6"/>
        <v>0.76870748299319724</v>
      </c>
      <c r="I40" s="34" t="s">
        <v>153</v>
      </c>
      <c r="J40" s="34">
        <v>65</v>
      </c>
      <c r="K40" s="34">
        <v>48</v>
      </c>
      <c r="L40" s="34">
        <f t="shared" si="5"/>
        <v>113</v>
      </c>
      <c r="M40" s="36">
        <f t="shared" si="7"/>
        <v>0.76870748299319724</v>
      </c>
      <c r="N40" s="37" t="s">
        <v>154</v>
      </c>
      <c r="O40" s="34">
        <v>420</v>
      </c>
      <c r="P40" s="34">
        <v>52.5</v>
      </c>
      <c r="Q40" s="34">
        <v>659</v>
      </c>
      <c r="R40" s="34">
        <v>82.375</v>
      </c>
      <c r="S40" s="34">
        <v>3</v>
      </c>
      <c r="T40" s="34">
        <v>16</v>
      </c>
      <c r="U40" s="34" t="s">
        <v>54</v>
      </c>
      <c r="V40" s="34" t="s">
        <v>122</v>
      </c>
      <c r="W40" s="34" t="s">
        <v>155</v>
      </c>
      <c r="X40" s="38" t="s">
        <v>39</v>
      </c>
    </row>
    <row r="41" spans="1:24" ht="13.5" customHeight="1">
      <c r="A41" s="30">
        <v>45206</v>
      </c>
      <c r="B41" s="5">
        <v>37</v>
      </c>
      <c r="C41" s="5" t="s">
        <v>62</v>
      </c>
      <c r="D41" s="6" t="s">
        <v>156</v>
      </c>
      <c r="E41" s="6">
        <v>77</v>
      </c>
      <c r="F41" s="5">
        <v>28</v>
      </c>
      <c r="G41" s="5">
        <f t="shared" si="4"/>
        <v>105</v>
      </c>
      <c r="H41" s="21">
        <f t="shared" si="6"/>
        <v>0.7142857142857143</v>
      </c>
      <c r="I41" s="6" t="s">
        <v>157</v>
      </c>
      <c r="J41" s="6">
        <v>76</v>
      </c>
      <c r="K41" s="6">
        <v>29</v>
      </c>
      <c r="L41" s="6">
        <f t="shared" si="5"/>
        <v>105</v>
      </c>
      <c r="M41" s="21">
        <f t="shared" si="7"/>
        <v>0.7142857142857143</v>
      </c>
      <c r="N41" s="7" t="s">
        <v>158</v>
      </c>
      <c r="O41" s="6">
        <v>395</v>
      </c>
      <c r="P41" s="6">
        <v>49.38</v>
      </c>
      <c r="Q41" s="6">
        <v>639</v>
      </c>
      <c r="R41" s="6">
        <v>79.875</v>
      </c>
      <c r="S41" s="6">
        <v>4</v>
      </c>
      <c r="T41" s="6">
        <v>16</v>
      </c>
      <c r="U41" s="28" t="s">
        <v>159</v>
      </c>
      <c r="V41" s="6" t="s">
        <v>122</v>
      </c>
      <c r="W41" s="9" t="s">
        <v>160</v>
      </c>
      <c r="X41" s="22" t="s">
        <v>39</v>
      </c>
    </row>
    <row r="42" spans="1:24" ht="12.75" customHeight="1">
      <c r="A42" s="30">
        <v>45493</v>
      </c>
      <c r="B42" s="6">
        <v>38</v>
      </c>
      <c r="C42" s="5" t="s">
        <v>34</v>
      </c>
      <c r="D42" s="6" t="s">
        <v>161</v>
      </c>
      <c r="E42" s="6">
        <v>77</v>
      </c>
      <c r="F42" s="5">
        <v>50</v>
      </c>
      <c r="G42" s="5">
        <f t="shared" si="4"/>
        <v>127</v>
      </c>
      <c r="H42" s="21">
        <f t="shared" si="6"/>
        <v>0.86394557823129248</v>
      </c>
      <c r="I42" s="6" t="s">
        <v>162</v>
      </c>
      <c r="J42" s="6">
        <v>75</v>
      </c>
      <c r="K42" s="6">
        <v>34</v>
      </c>
      <c r="L42" s="6">
        <f t="shared" si="5"/>
        <v>109</v>
      </c>
      <c r="M42" s="21">
        <f t="shared" si="7"/>
        <v>0.74149659863945583</v>
      </c>
      <c r="N42" s="7" t="s">
        <v>129</v>
      </c>
      <c r="O42" s="6">
        <v>407</v>
      </c>
      <c r="P42" s="6">
        <v>50.88</v>
      </c>
      <c r="Q42" s="6">
        <v>663</v>
      </c>
      <c r="R42" s="6">
        <v>82.875</v>
      </c>
      <c r="S42" s="6">
        <v>3</v>
      </c>
      <c r="T42" s="6">
        <v>16</v>
      </c>
      <c r="U42" s="6" t="s">
        <v>54</v>
      </c>
      <c r="V42" s="6" t="s">
        <v>122</v>
      </c>
      <c r="W42" s="6" t="s">
        <v>163</v>
      </c>
      <c r="X42" s="22" t="s">
        <v>39</v>
      </c>
    </row>
    <row r="43" spans="1:24" ht="12.75" customHeight="1">
      <c r="A43" s="30">
        <v>45514</v>
      </c>
      <c r="B43" s="5">
        <v>39</v>
      </c>
      <c r="C43" s="5" t="s">
        <v>77</v>
      </c>
      <c r="D43" s="6" t="s">
        <v>164</v>
      </c>
      <c r="E43" s="6">
        <v>77</v>
      </c>
      <c r="F43" s="5">
        <v>37</v>
      </c>
      <c r="G43" s="5">
        <f t="shared" si="4"/>
        <v>114</v>
      </c>
      <c r="H43" s="21">
        <f t="shared" si="6"/>
        <v>0.77551020408163263</v>
      </c>
      <c r="I43" s="6" t="s">
        <v>165</v>
      </c>
      <c r="J43" s="6">
        <v>72</v>
      </c>
      <c r="K43" s="6">
        <v>52</v>
      </c>
      <c r="L43" s="6">
        <f t="shared" si="5"/>
        <v>124</v>
      </c>
      <c r="M43" s="21">
        <f t="shared" si="7"/>
        <v>0.84353741496598644</v>
      </c>
      <c r="N43" s="7" t="s">
        <v>74</v>
      </c>
      <c r="O43" s="6">
        <v>395</v>
      </c>
      <c r="P43" s="6">
        <v>49.38</v>
      </c>
      <c r="Q43" s="6">
        <v>670</v>
      </c>
      <c r="R43" s="6">
        <v>83.75</v>
      </c>
      <c r="S43" s="6">
        <v>4</v>
      </c>
      <c r="T43" s="6">
        <v>16</v>
      </c>
      <c r="U43" s="6" t="s">
        <v>54</v>
      </c>
      <c r="V43" s="6" t="s">
        <v>122</v>
      </c>
      <c r="W43" s="6" t="s">
        <v>166</v>
      </c>
      <c r="X43" s="22" t="s">
        <v>39</v>
      </c>
    </row>
    <row r="44" spans="1:24" ht="12.75" customHeight="1">
      <c r="A44" s="30">
        <v>45535</v>
      </c>
      <c r="B44" s="6">
        <v>40</v>
      </c>
      <c r="C44" s="5" t="s">
        <v>62</v>
      </c>
      <c r="D44" s="6" t="s">
        <v>167</v>
      </c>
      <c r="E44" s="6">
        <v>77</v>
      </c>
      <c r="F44" s="5">
        <v>36</v>
      </c>
      <c r="G44" s="5">
        <f t="shared" si="4"/>
        <v>113</v>
      </c>
      <c r="H44" s="21">
        <f t="shared" si="6"/>
        <v>0.76870748299319724</v>
      </c>
      <c r="I44" s="6" t="s">
        <v>168</v>
      </c>
      <c r="J44" s="6">
        <v>73</v>
      </c>
      <c r="K44" s="6">
        <v>48</v>
      </c>
      <c r="L44" s="6">
        <f t="shared" si="5"/>
        <v>121</v>
      </c>
      <c r="M44" s="21">
        <f t="shared" si="7"/>
        <v>0.8231292517006803</v>
      </c>
      <c r="N44" s="7" t="s">
        <v>74</v>
      </c>
      <c r="O44" s="6">
        <v>400</v>
      </c>
      <c r="P44" s="6">
        <v>50</v>
      </c>
      <c r="Q44" s="6">
        <v>661</v>
      </c>
      <c r="R44" s="6">
        <v>82.625</v>
      </c>
      <c r="S44" s="6">
        <v>0</v>
      </c>
      <c r="T44" s="6">
        <v>16</v>
      </c>
      <c r="U44" s="6" t="s">
        <v>54</v>
      </c>
      <c r="V44" s="6" t="s">
        <v>122</v>
      </c>
      <c r="W44" s="6"/>
      <c r="X44" s="22" t="s">
        <v>39</v>
      </c>
    </row>
    <row r="45" spans="1:24" ht="12.75" customHeight="1">
      <c r="A45" s="39">
        <v>45850</v>
      </c>
      <c r="B45" s="6">
        <v>41</v>
      </c>
      <c r="C45" s="5" t="s">
        <v>34</v>
      </c>
      <c r="D45" s="6"/>
      <c r="E45" s="6"/>
      <c r="F45" s="5"/>
      <c r="G45" s="5"/>
      <c r="H45" s="6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>
        <v>16</v>
      </c>
      <c r="U45" s="6" t="s">
        <v>54</v>
      </c>
      <c r="V45" s="6" t="s">
        <v>122</v>
      </c>
      <c r="W45" s="6"/>
      <c r="X45" s="6"/>
    </row>
    <row r="46" spans="1:24" ht="12.75" customHeight="1">
      <c r="A46" s="39">
        <v>45871</v>
      </c>
      <c r="B46" s="6">
        <v>42</v>
      </c>
      <c r="C46" s="5" t="s">
        <v>77</v>
      </c>
      <c r="D46" s="6"/>
      <c r="E46" s="6"/>
      <c r="F46" s="5"/>
      <c r="G46" s="5"/>
      <c r="H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>
        <v>16</v>
      </c>
      <c r="U46" s="28" t="s">
        <v>169</v>
      </c>
      <c r="V46" s="6" t="s">
        <v>122</v>
      </c>
      <c r="W46" s="6" t="s">
        <v>170</v>
      </c>
      <c r="X46" s="6"/>
    </row>
    <row r="47" spans="1:24" ht="12.75" customHeight="1">
      <c r="A47" s="39">
        <v>45899</v>
      </c>
      <c r="B47" s="6">
        <v>43</v>
      </c>
      <c r="C47" s="5" t="s">
        <v>62</v>
      </c>
      <c r="D47" s="6"/>
      <c r="E47" s="6"/>
      <c r="F47" s="5"/>
      <c r="G47" s="5"/>
      <c r="H47" s="6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>
        <v>16</v>
      </c>
      <c r="U47" s="6" t="s">
        <v>54</v>
      </c>
      <c r="V47" s="6" t="s">
        <v>122</v>
      </c>
      <c r="W47" s="6"/>
      <c r="X47" s="6"/>
    </row>
    <row r="48" spans="1:24" ht="12.75" customHeight="1">
      <c r="A48" s="39"/>
      <c r="B48" s="6"/>
      <c r="C48" s="6"/>
      <c r="D48" s="6"/>
      <c r="E48" s="6"/>
      <c r="F48" s="5"/>
      <c r="G48" s="5"/>
      <c r="H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>
      <c r="A49" s="39"/>
      <c r="B49" s="6"/>
      <c r="C49" s="6"/>
      <c r="D49" s="6"/>
      <c r="E49" s="6"/>
      <c r="F49" s="5"/>
      <c r="G49" s="5"/>
      <c r="H49" s="6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>
      <c r="A50" s="39"/>
      <c r="B50" s="6"/>
      <c r="C50" s="6"/>
      <c r="D50" s="6"/>
      <c r="E50" s="6"/>
      <c r="F50" s="5"/>
      <c r="G50" s="5"/>
      <c r="H50" s="6"/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>
      <c r="A51" s="39"/>
      <c r="B51" s="6"/>
      <c r="C51" s="6"/>
      <c r="D51" s="6"/>
      <c r="E51" s="6"/>
      <c r="F51" s="5"/>
      <c r="G51" s="5"/>
      <c r="H51" s="6"/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>
      <c r="A52" s="39"/>
      <c r="B52" s="6"/>
      <c r="C52" s="6"/>
      <c r="D52" s="6"/>
      <c r="E52" s="6"/>
      <c r="F52" s="5"/>
      <c r="G52" s="5"/>
      <c r="H52" s="6"/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>
      <c r="A53" s="39"/>
      <c r="B53" s="6"/>
      <c r="C53" s="6"/>
      <c r="D53" s="6"/>
      <c r="E53" s="6"/>
      <c r="F53" s="5"/>
      <c r="G53" s="5"/>
      <c r="H53" s="6"/>
      <c r="I53" s="6"/>
      <c r="J53" s="6"/>
      <c r="K53" s="6"/>
      <c r="L53" s="6"/>
      <c r="M53" s="6"/>
      <c r="N53" s="7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>
      <c r="A54" s="39"/>
      <c r="B54" s="6"/>
      <c r="C54" s="6"/>
      <c r="D54" s="6"/>
      <c r="E54" s="6"/>
      <c r="F54" s="5"/>
      <c r="G54" s="5"/>
      <c r="H54" s="6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>
      <c r="A55" s="39"/>
      <c r="B55" s="6"/>
      <c r="C55" s="6"/>
      <c r="D55" s="6"/>
      <c r="E55" s="6"/>
      <c r="F55" s="5"/>
      <c r="G55" s="5"/>
      <c r="H55" s="6"/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>
      <c r="A56" s="39"/>
      <c r="B56" s="6"/>
      <c r="C56" s="6"/>
      <c r="D56" s="6"/>
      <c r="E56" s="6"/>
      <c r="F56" s="5"/>
      <c r="G56" s="5"/>
      <c r="H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>
      <c r="A57" s="39"/>
      <c r="B57" s="6"/>
      <c r="C57" s="6"/>
      <c r="D57" s="6"/>
      <c r="E57" s="6"/>
      <c r="F57" s="5"/>
      <c r="G57" s="5"/>
      <c r="H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>
      <c r="A58" s="39"/>
      <c r="B58" s="6"/>
      <c r="C58" s="6"/>
      <c r="D58" s="6"/>
      <c r="E58" s="6"/>
      <c r="F58" s="5"/>
      <c r="G58" s="5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>
      <c r="A59" s="39"/>
      <c r="B59" s="6"/>
      <c r="C59" s="6"/>
      <c r="D59" s="6"/>
      <c r="E59" s="6"/>
      <c r="F59" s="5"/>
      <c r="G59" s="5"/>
      <c r="H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>
      <c r="A60" s="39"/>
      <c r="B60" s="6"/>
      <c r="C60" s="6"/>
      <c r="D60" s="6"/>
      <c r="E60" s="6"/>
      <c r="F60" s="5"/>
      <c r="G60" s="5"/>
      <c r="H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>
      <c r="A61" s="39"/>
      <c r="B61" s="6"/>
      <c r="C61" s="6"/>
      <c r="D61" s="6"/>
      <c r="E61" s="6"/>
      <c r="F61" s="5"/>
      <c r="G61" s="5"/>
      <c r="H61" s="6"/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>
      <c r="A62" s="39"/>
      <c r="B62" s="6"/>
      <c r="C62" s="6"/>
      <c r="D62" s="6"/>
      <c r="E62" s="6"/>
      <c r="F62" s="5"/>
      <c r="G62" s="5"/>
      <c r="H62" s="6"/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>
      <c r="A63" s="39"/>
      <c r="B63" s="6"/>
      <c r="C63" s="6"/>
      <c r="D63" s="6"/>
      <c r="E63" s="6"/>
      <c r="F63" s="5"/>
      <c r="G63" s="5"/>
      <c r="H63" s="6"/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>
      <c r="A64" s="39"/>
      <c r="B64" s="6"/>
      <c r="C64" s="6"/>
      <c r="D64" s="6"/>
      <c r="E64" s="6"/>
      <c r="F64" s="5"/>
      <c r="G64" s="5"/>
      <c r="H64" s="6"/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>
      <c r="A65" s="39"/>
      <c r="B65" s="6"/>
      <c r="C65" s="6"/>
      <c r="D65" s="6"/>
      <c r="E65" s="6"/>
      <c r="F65" s="5"/>
      <c r="G65" s="5"/>
      <c r="H65" s="6"/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>
      <c r="A66" s="39"/>
      <c r="B66" s="6"/>
      <c r="C66" s="6"/>
      <c r="D66" s="6"/>
      <c r="E66" s="6"/>
      <c r="F66" s="5"/>
      <c r="G66" s="5"/>
      <c r="H66" s="6"/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>
      <c r="A67" s="39"/>
      <c r="B67" s="6"/>
      <c r="C67" s="6"/>
      <c r="D67" s="6"/>
      <c r="E67" s="6"/>
      <c r="F67" s="5"/>
      <c r="G67" s="5"/>
      <c r="H67" s="6"/>
      <c r="I67" s="6"/>
      <c r="J67" s="6"/>
      <c r="K67" s="6"/>
      <c r="L67" s="6"/>
      <c r="M67" s="6"/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>
      <c r="A68" s="39"/>
      <c r="B68" s="6"/>
      <c r="C68" s="6"/>
      <c r="D68" s="6"/>
      <c r="E68" s="6"/>
      <c r="F68" s="5"/>
      <c r="G68" s="5"/>
      <c r="H68" s="6"/>
      <c r="I68" s="6"/>
      <c r="J68" s="6"/>
      <c r="K68" s="6"/>
      <c r="L68" s="6"/>
      <c r="M68" s="6"/>
      <c r="N68" s="7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>
      <c r="A69" s="39"/>
      <c r="B69" s="6"/>
      <c r="C69" s="6"/>
      <c r="D69" s="6"/>
      <c r="E69" s="6"/>
      <c r="F69" s="5"/>
      <c r="G69" s="5"/>
      <c r="H69" s="6"/>
      <c r="I69" s="6"/>
      <c r="J69" s="6"/>
      <c r="K69" s="6"/>
      <c r="L69" s="6"/>
      <c r="M69" s="6"/>
      <c r="N69" s="7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>
      <c r="A70" s="39"/>
      <c r="B70" s="6"/>
      <c r="C70" s="6"/>
      <c r="D70" s="6"/>
      <c r="E70" s="6"/>
      <c r="F70" s="5"/>
      <c r="G70" s="5"/>
      <c r="H70" s="6"/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>
      <c r="A71" s="39"/>
      <c r="B71" s="6"/>
      <c r="C71" s="6"/>
      <c r="D71" s="6"/>
      <c r="E71" s="6"/>
      <c r="F71" s="5"/>
      <c r="G71" s="5"/>
      <c r="H71" s="6"/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>
      <c r="A72" s="39"/>
      <c r="B72" s="6"/>
      <c r="C72" s="6"/>
      <c r="D72" s="6"/>
      <c r="E72" s="6"/>
      <c r="F72" s="5"/>
      <c r="G72" s="5"/>
      <c r="H72" s="6"/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>
      <c r="A73" s="39"/>
      <c r="B73" s="6"/>
      <c r="C73" s="6"/>
      <c r="D73" s="6"/>
      <c r="E73" s="6"/>
      <c r="F73" s="5"/>
      <c r="G73" s="5"/>
      <c r="H73" s="6"/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>
      <c r="A74" s="39"/>
      <c r="B74" s="6"/>
      <c r="C74" s="6"/>
      <c r="D74" s="6"/>
      <c r="E74" s="6"/>
      <c r="F74" s="5"/>
      <c r="G74" s="5"/>
      <c r="H74" s="6"/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>
      <c r="A75" s="39"/>
      <c r="B75" s="6"/>
      <c r="C75" s="6"/>
      <c r="D75" s="6"/>
      <c r="E75" s="6"/>
      <c r="F75" s="5"/>
      <c r="G75" s="5"/>
      <c r="H75" s="6"/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>
      <c r="A76" s="39"/>
      <c r="B76" s="6"/>
      <c r="C76" s="6"/>
      <c r="D76" s="6"/>
      <c r="E76" s="6"/>
      <c r="F76" s="5"/>
      <c r="G76" s="5"/>
      <c r="H76" s="6"/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>
      <c r="A77" s="39"/>
      <c r="B77" s="6"/>
      <c r="C77" s="6"/>
      <c r="D77" s="6"/>
      <c r="E77" s="6"/>
      <c r="F77" s="5"/>
      <c r="G77" s="5"/>
      <c r="H77" s="6"/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>
      <c r="A78" s="39"/>
      <c r="B78" s="6"/>
      <c r="C78" s="6"/>
      <c r="D78" s="6"/>
      <c r="E78" s="6"/>
      <c r="F78" s="5"/>
      <c r="G78" s="5"/>
      <c r="H78" s="6"/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>
      <c r="A79" s="39"/>
      <c r="B79" s="6"/>
      <c r="C79" s="6"/>
      <c r="D79" s="6"/>
      <c r="E79" s="6"/>
      <c r="F79" s="5"/>
      <c r="G79" s="5"/>
      <c r="H79" s="6"/>
      <c r="I79" s="6"/>
      <c r="J79" s="6"/>
      <c r="K79" s="6"/>
      <c r="L79" s="6"/>
      <c r="M79" s="6"/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>
      <c r="A80" s="39"/>
      <c r="B80" s="6"/>
      <c r="C80" s="6"/>
      <c r="D80" s="6"/>
      <c r="E80" s="6"/>
      <c r="F80" s="5"/>
      <c r="G80" s="5"/>
      <c r="H80" s="6"/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>
      <c r="A81" s="39"/>
      <c r="B81" s="6"/>
      <c r="C81" s="6"/>
      <c r="D81" s="6"/>
      <c r="E81" s="6"/>
      <c r="F81" s="5"/>
      <c r="G81" s="5"/>
      <c r="H81" s="6"/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>
      <c r="A82" s="39"/>
      <c r="B82" s="6"/>
      <c r="C82" s="6"/>
      <c r="D82" s="6"/>
      <c r="E82" s="6"/>
      <c r="F82" s="5"/>
      <c r="G82" s="5"/>
      <c r="H82" s="6"/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>
      <c r="A83" s="39"/>
      <c r="B83" s="6"/>
      <c r="C83" s="6"/>
      <c r="D83" s="6"/>
      <c r="E83" s="6"/>
      <c r="F83" s="5"/>
      <c r="G83" s="5"/>
      <c r="H83" s="6"/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>
      <c r="A84" s="39"/>
      <c r="B84" s="6"/>
      <c r="C84" s="6"/>
      <c r="D84" s="6"/>
      <c r="E84" s="6"/>
      <c r="F84" s="5"/>
      <c r="G84" s="5"/>
      <c r="H84" s="6"/>
      <c r="I84" s="6"/>
      <c r="J84" s="6"/>
      <c r="K84" s="6"/>
      <c r="L84" s="6"/>
      <c r="M84" s="6"/>
      <c r="N84" s="7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>
      <c r="A85" s="39"/>
      <c r="B85" s="6"/>
      <c r="C85" s="6"/>
      <c r="D85" s="6"/>
      <c r="E85" s="6"/>
      <c r="F85" s="5"/>
      <c r="G85" s="5"/>
      <c r="H85" s="6"/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>
      <c r="A86" s="39"/>
      <c r="B86" s="6"/>
      <c r="C86" s="6"/>
      <c r="D86" s="6"/>
      <c r="E86" s="6"/>
      <c r="F86" s="5"/>
      <c r="G86" s="5"/>
      <c r="H86" s="6"/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>
      <c r="A87" s="39"/>
      <c r="B87" s="6"/>
      <c r="C87" s="6"/>
      <c r="D87" s="6"/>
      <c r="E87" s="6"/>
      <c r="F87" s="5"/>
      <c r="G87" s="5"/>
      <c r="H87" s="6"/>
      <c r="I87" s="6"/>
      <c r="J87" s="6"/>
      <c r="K87" s="6"/>
      <c r="L87" s="6"/>
      <c r="M87" s="6"/>
      <c r="N87" s="7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>
      <c r="A88" s="39"/>
      <c r="B88" s="6"/>
      <c r="C88" s="6"/>
      <c r="D88" s="6"/>
      <c r="E88" s="6"/>
      <c r="F88" s="5"/>
      <c r="G88" s="5"/>
      <c r="H88" s="6"/>
      <c r="I88" s="6"/>
      <c r="J88" s="6"/>
      <c r="K88" s="6"/>
      <c r="L88" s="6"/>
      <c r="M88" s="6"/>
      <c r="N88" s="7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>
      <c r="A89" s="39"/>
      <c r="B89" s="6"/>
      <c r="C89" s="6"/>
      <c r="D89" s="6"/>
      <c r="E89" s="6"/>
      <c r="F89" s="5"/>
      <c r="G89" s="5"/>
      <c r="H89" s="6"/>
      <c r="I89" s="6"/>
      <c r="J89" s="6"/>
      <c r="K89" s="6"/>
      <c r="L89" s="6"/>
      <c r="M89" s="6"/>
      <c r="N89" s="7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>
      <c r="A90" s="39"/>
      <c r="B90" s="6"/>
      <c r="C90" s="6"/>
      <c r="D90" s="6"/>
      <c r="E90" s="6"/>
      <c r="F90" s="5"/>
      <c r="G90" s="5"/>
      <c r="H90" s="6"/>
      <c r="I90" s="6"/>
      <c r="J90" s="6"/>
      <c r="K90" s="6"/>
      <c r="L90" s="6"/>
      <c r="M90" s="6"/>
      <c r="N90" s="7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>
      <c r="A91" s="39"/>
      <c r="B91" s="6"/>
      <c r="C91" s="6"/>
      <c r="D91" s="6"/>
      <c r="E91" s="6"/>
      <c r="F91" s="5"/>
      <c r="G91" s="5"/>
      <c r="H91" s="6"/>
      <c r="I91" s="6"/>
      <c r="J91" s="6"/>
      <c r="K91" s="6"/>
      <c r="L91" s="6"/>
      <c r="M91" s="6"/>
      <c r="N91" s="7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>
      <c r="A92" s="39"/>
      <c r="B92" s="6"/>
      <c r="C92" s="6"/>
      <c r="D92" s="6"/>
      <c r="E92" s="6"/>
      <c r="F92" s="5"/>
      <c r="G92" s="5"/>
      <c r="H92" s="6"/>
      <c r="I92" s="6"/>
      <c r="J92" s="6"/>
      <c r="K92" s="6"/>
      <c r="L92" s="6"/>
      <c r="M92" s="6"/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>
      <c r="A93" s="39"/>
      <c r="B93" s="6"/>
      <c r="C93" s="6"/>
      <c r="D93" s="6"/>
      <c r="E93" s="6"/>
      <c r="F93" s="5"/>
      <c r="G93" s="5"/>
      <c r="H93" s="6"/>
      <c r="I93" s="6"/>
      <c r="J93" s="6"/>
      <c r="K93" s="6"/>
      <c r="L93" s="6"/>
      <c r="M93" s="6"/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>
      <c r="A94" s="39"/>
      <c r="B94" s="6"/>
      <c r="C94" s="6"/>
      <c r="D94" s="6"/>
      <c r="E94" s="6"/>
      <c r="F94" s="5"/>
      <c r="G94" s="5"/>
      <c r="H94" s="6"/>
      <c r="I94" s="6"/>
      <c r="J94" s="6"/>
      <c r="K94" s="6"/>
      <c r="L94" s="6"/>
      <c r="M94" s="6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>
      <c r="A95" s="39"/>
      <c r="B95" s="6"/>
      <c r="C95" s="6"/>
      <c r="D95" s="6"/>
      <c r="E95" s="6"/>
      <c r="F95" s="5"/>
      <c r="G95" s="5"/>
      <c r="H95" s="6"/>
      <c r="I95" s="6"/>
      <c r="J95" s="6"/>
      <c r="K95" s="6"/>
      <c r="L95" s="6"/>
      <c r="M95" s="6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>
      <c r="A96" s="39"/>
      <c r="B96" s="6"/>
      <c r="C96" s="6"/>
      <c r="D96" s="6"/>
      <c r="E96" s="6"/>
      <c r="F96" s="5"/>
      <c r="G96" s="5"/>
      <c r="H96" s="6"/>
      <c r="I96" s="6"/>
      <c r="J96" s="6"/>
      <c r="K96" s="6"/>
      <c r="L96" s="6"/>
      <c r="M96" s="6"/>
      <c r="N96" s="7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>
      <c r="A97" s="39"/>
      <c r="B97" s="6"/>
      <c r="C97" s="6"/>
      <c r="D97" s="6"/>
      <c r="E97" s="6"/>
      <c r="F97" s="5"/>
      <c r="G97" s="5"/>
      <c r="H97" s="6"/>
      <c r="I97" s="6"/>
      <c r="J97" s="6"/>
      <c r="K97" s="6"/>
      <c r="L97" s="6"/>
      <c r="M97" s="6"/>
      <c r="N97" s="7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>
      <c r="A98" s="39"/>
      <c r="B98" s="6"/>
      <c r="C98" s="6"/>
      <c r="D98" s="6"/>
      <c r="E98" s="6"/>
      <c r="F98" s="5"/>
      <c r="G98" s="5"/>
      <c r="H98" s="6"/>
      <c r="I98" s="6"/>
      <c r="J98" s="6"/>
      <c r="K98" s="6"/>
      <c r="L98" s="6"/>
      <c r="M98" s="6"/>
      <c r="N98" s="7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>
      <c r="A99" s="39"/>
      <c r="B99" s="6"/>
      <c r="C99" s="6"/>
      <c r="D99" s="6"/>
      <c r="E99" s="6"/>
      <c r="F99" s="5"/>
      <c r="G99" s="5"/>
      <c r="H99" s="6"/>
      <c r="I99" s="6"/>
      <c r="J99" s="6"/>
      <c r="K99" s="6"/>
      <c r="L99" s="6"/>
      <c r="M99" s="6"/>
      <c r="N99" s="7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>
      <c r="A100" s="39"/>
      <c r="B100" s="6"/>
      <c r="C100" s="6"/>
      <c r="D100" s="6"/>
      <c r="E100" s="6"/>
      <c r="F100" s="5"/>
      <c r="G100" s="5"/>
      <c r="H100" s="6"/>
      <c r="I100" s="6"/>
      <c r="J100" s="6"/>
      <c r="K100" s="6"/>
      <c r="L100" s="6"/>
      <c r="M100" s="6"/>
      <c r="N100" s="7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>
      <c r="A101" s="39"/>
      <c r="B101" s="6"/>
      <c r="C101" s="6"/>
      <c r="D101" s="6"/>
      <c r="E101" s="6"/>
      <c r="F101" s="5"/>
      <c r="G101" s="5"/>
      <c r="H101" s="6"/>
      <c r="I101" s="6"/>
      <c r="J101" s="6"/>
      <c r="K101" s="6"/>
      <c r="L101" s="6"/>
      <c r="M101" s="6"/>
      <c r="N101" s="7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>
      <c r="A102" s="39"/>
      <c r="B102" s="6"/>
      <c r="C102" s="6"/>
      <c r="D102" s="6"/>
      <c r="E102" s="6"/>
      <c r="F102" s="5"/>
      <c r="G102" s="5"/>
      <c r="H102" s="6"/>
      <c r="I102" s="6"/>
      <c r="J102" s="6"/>
      <c r="K102" s="6"/>
      <c r="L102" s="6"/>
      <c r="M102" s="6"/>
      <c r="N102" s="7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>
      <c r="A103" s="39"/>
      <c r="B103" s="6"/>
      <c r="C103" s="6"/>
      <c r="D103" s="6"/>
      <c r="E103" s="6"/>
      <c r="F103" s="5"/>
      <c r="G103" s="5"/>
      <c r="H103" s="6"/>
      <c r="I103" s="6"/>
      <c r="J103" s="6"/>
      <c r="K103" s="6"/>
      <c r="L103" s="6"/>
      <c r="M103" s="6"/>
      <c r="N103" s="7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>
      <c r="A104" s="39"/>
      <c r="B104" s="6"/>
      <c r="C104" s="6"/>
      <c r="D104" s="6"/>
      <c r="E104" s="6"/>
      <c r="F104" s="5"/>
      <c r="G104" s="5"/>
      <c r="H104" s="6"/>
      <c r="I104" s="6"/>
      <c r="J104" s="6"/>
      <c r="K104" s="6"/>
      <c r="L104" s="6"/>
      <c r="M104" s="6"/>
      <c r="N104" s="7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>
      <c r="A105" s="39"/>
      <c r="B105" s="6"/>
      <c r="C105" s="6"/>
      <c r="D105" s="6"/>
      <c r="E105" s="6"/>
      <c r="F105" s="5"/>
      <c r="G105" s="5"/>
      <c r="H105" s="6"/>
      <c r="I105" s="6"/>
      <c r="J105" s="6"/>
      <c r="K105" s="6"/>
      <c r="L105" s="6"/>
      <c r="M105" s="6"/>
      <c r="N105" s="7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>
      <c r="A106" s="39"/>
      <c r="B106" s="6"/>
      <c r="C106" s="6"/>
      <c r="D106" s="6"/>
      <c r="E106" s="6"/>
      <c r="F106" s="5"/>
      <c r="G106" s="5"/>
      <c r="H106" s="6"/>
      <c r="I106" s="6"/>
      <c r="J106" s="6"/>
      <c r="K106" s="6"/>
      <c r="L106" s="6"/>
      <c r="M106" s="6"/>
      <c r="N106" s="7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>
      <c r="A107" s="39"/>
      <c r="B107" s="6"/>
      <c r="C107" s="6"/>
      <c r="D107" s="6"/>
      <c r="E107" s="6"/>
      <c r="F107" s="5"/>
      <c r="G107" s="5"/>
      <c r="H107" s="6"/>
      <c r="I107" s="6"/>
      <c r="J107" s="6"/>
      <c r="K107" s="6"/>
      <c r="L107" s="6"/>
      <c r="M107" s="6"/>
      <c r="N107" s="7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>
      <c r="A108" s="39"/>
      <c r="B108" s="6"/>
      <c r="C108" s="6"/>
      <c r="D108" s="6"/>
      <c r="E108" s="6"/>
      <c r="F108" s="5"/>
      <c r="G108" s="5"/>
      <c r="H108" s="6"/>
      <c r="I108" s="6"/>
      <c r="J108" s="6"/>
      <c r="K108" s="6"/>
      <c r="L108" s="6"/>
      <c r="M108" s="6"/>
      <c r="N108" s="7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</sheetData>
  <conditionalFormatting sqref="E1:E3 E5:E1003">
    <cfRule type="cellIs" dxfId="180" priority="3" operator="greaterThanOrEqual">
      <formula>77</formula>
    </cfRule>
  </conditionalFormatting>
  <conditionalFormatting sqref="E31">
    <cfRule type="notContainsBlanks" dxfId="179" priority="4">
      <formula>LEN(TRIM(E31))&gt;0</formula>
    </cfRule>
  </conditionalFormatting>
  <conditionalFormatting sqref="G5:G363">
    <cfRule type="cellIs" dxfId="178" priority="1" operator="greaterThanOrEqual">
      <formula>118</formula>
    </cfRule>
  </conditionalFormatting>
  <conditionalFormatting sqref="K5:L363">
    <cfRule type="cellIs" dxfId="177" priority="2" operator="greaterThanOrEqual">
      <formula>118</formula>
    </cfRule>
  </conditionalFormatting>
  <hyperlinks>
    <hyperlink ref="A7" location="'2009-10-18 Men'!A1" display="2009-10-18" xr:uid="{00000000-0004-0000-0000-000000000000}"/>
    <hyperlink ref="X7" r:id="rId1" xr:uid="{00000000-0004-0000-0000-000001000000}"/>
    <hyperlink ref="A8" location="'2010-05-15 Men'!A1" display="2010-05-15" xr:uid="{00000000-0004-0000-0000-000002000000}"/>
    <hyperlink ref="X8" r:id="rId2" xr:uid="{00000000-0004-0000-0000-000003000000}"/>
    <hyperlink ref="A9" location="'2010-10-03 Men'!A1" display="2010-10-03" xr:uid="{00000000-0004-0000-0000-000004000000}"/>
    <hyperlink ref="X9" r:id="rId3" xr:uid="{00000000-0004-0000-0000-000005000000}"/>
    <hyperlink ref="A10" location="'2011-06-04 Men'!A1" display="2011-06-04" xr:uid="{00000000-0004-0000-0000-000006000000}"/>
    <hyperlink ref="X10" r:id="rId4" xr:uid="{00000000-0004-0000-0000-000007000000}"/>
    <hyperlink ref="A11" location="'2012-06-16 Men'!A1" display="2012-06-16" xr:uid="{00000000-0004-0000-0000-000008000000}"/>
    <hyperlink ref="X11" r:id="rId5" xr:uid="{00000000-0004-0000-0000-000009000000}"/>
    <hyperlink ref="A12" location="'2012-10-14 Men'!A1" display="2012-10-14" xr:uid="{00000000-0004-0000-0000-00000A000000}"/>
    <hyperlink ref="X12" r:id="rId6" xr:uid="{00000000-0004-0000-0000-00000B000000}"/>
    <hyperlink ref="A13" location="'2013-06-15 Men'!A1" display="2013-06-15" xr:uid="{00000000-0004-0000-0000-00000C000000}"/>
    <hyperlink ref="X13" r:id="rId7" xr:uid="{00000000-0004-0000-0000-00000D000000}"/>
    <hyperlink ref="A14" location="'2013-10-13 Mixed'!A1" display="2013-10-13" xr:uid="{00000000-0004-0000-0000-00000E000000}"/>
    <hyperlink ref="X14" r:id="rId8" xr:uid="{00000000-0004-0000-0000-00000F000000}"/>
    <hyperlink ref="A15" location="'2014-05-31 Men'!A1" display="2014-05-31" xr:uid="{00000000-0004-0000-0000-000010000000}"/>
    <hyperlink ref="X15" r:id="rId9" xr:uid="{00000000-0004-0000-0000-000011000000}"/>
    <hyperlink ref="A16" location="'2014-09-28 Mixed'!A1" display="2014-09-28" xr:uid="{00000000-0004-0000-0000-000012000000}"/>
    <hyperlink ref="X16" r:id="rId10" xr:uid="{00000000-0004-0000-0000-000013000000}"/>
    <hyperlink ref="A17" location="'2014-10-11 Women'!A1" display="2014-10-11" xr:uid="{00000000-0004-0000-0000-000014000000}"/>
    <hyperlink ref="X17" r:id="rId11" xr:uid="{00000000-0004-0000-0000-000015000000}"/>
    <hyperlink ref="A18" location="'2015-05-31 Men'!A1" display="2015-05-31" xr:uid="{00000000-0004-0000-0000-000016000000}"/>
    <hyperlink ref="X18" r:id="rId12" xr:uid="{00000000-0004-0000-0000-000017000000}"/>
    <hyperlink ref="A19" location="'2015-10-10 Mixed'!A1" display="2015-10-10" xr:uid="{00000000-0004-0000-0000-000018000000}"/>
    <hyperlink ref="X19" r:id="rId13" xr:uid="{00000000-0004-0000-0000-000019000000}"/>
    <hyperlink ref="A20" location="'2016-07-02 Men'!A1" display="2016-07-02" xr:uid="{00000000-0004-0000-0000-00001A000000}"/>
    <hyperlink ref="X20" r:id="rId14" xr:uid="{00000000-0004-0000-0000-00001B000000}"/>
    <hyperlink ref="A21" location="'2016-10-16 Mixed'!A1" display="2016-10-16" xr:uid="{00000000-0004-0000-0000-00001C000000}"/>
    <hyperlink ref="X21" r:id="rId15" xr:uid="{00000000-0004-0000-0000-00001D000000}"/>
    <hyperlink ref="A22" location="'2017-09-23 Women'!A1" display="2017-09-23" xr:uid="{00000000-0004-0000-0000-00001E000000}"/>
    <hyperlink ref="X22" r:id="rId16" xr:uid="{00000000-0004-0000-0000-00001F000000}"/>
    <hyperlink ref="A23" location="'2017-09-24 Men'!A1" display="2017-09-24" xr:uid="{00000000-0004-0000-0000-000020000000}"/>
    <hyperlink ref="X23" r:id="rId17" xr:uid="{00000000-0004-0000-0000-000021000000}"/>
    <hyperlink ref="A24" location="'2017-10-15 Mixed'!A1" display="2017-10-15" xr:uid="{00000000-0004-0000-0000-000022000000}"/>
    <hyperlink ref="X24" r:id="rId18" xr:uid="{00000000-0004-0000-0000-000023000000}"/>
    <hyperlink ref="A25" location="'2018-08-25 Men'!A1" display="2018-08-25" xr:uid="{00000000-0004-0000-0000-000024000000}"/>
    <hyperlink ref="X25" r:id="rId19" xr:uid="{00000000-0004-0000-0000-000025000000}"/>
    <hyperlink ref="A26" location="'2018-09-22 Mixed'!A1" display="2018-09-22" xr:uid="{00000000-0004-0000-0000-000026000000}"/>
    <hyperlink ref="X26" r:id="rId20" xr:uid="{00000000-0004-0000-0000-000027000000}"/>
    <hyperlink ref="A27" location="'2019-07-06 Men'!A1" display="2019-07-06" xr:uid="{00000000-0004-0000-0000-000028000000}"/>
    <hyperlink ref="X27" r:id="rId21" xr:uid="{00000000-0004-0000-0000-000029000000}"/>
    <hyperlink ref="A28" location="'2019-08-24 Women'!A1" display="2019-08-24" xr:uid="{00000000-0004-0000-0000-00002A000000}"/>
    <hyperlink ref="X28" r:id="rId22" xr:uid="{00000000-0004-0000-0000-00002B000000}"/>
    <hyperlink ref="A29" location="'2019-09-07 Mixed'!A1" display="2019-09-07" xr:uid="{00000000-0004-0000-0000-00002C000000}"/>
    <hyperlink ref="X29" r:id="rId23" xr:uid="{00000000-0004-0000-0000-00002D000000}"/>
    <hyperlink ref="A30" location="'2020-08-22 Men'!A1" display="2020-08-22" xr:uid="{00000000-0004-0000-0000-00002E000000}"/>
    <hyperlink ref="X30" r:id="rId24" xr:uid="{00000000-0004-0000-0000-00002F000000}"/>
    <hyperlink ref="A31" location="'2020-09-26 Women'!A1" display="2020-09-26" xr:uid="{00000000-0004-0000-0000-000030000000}"/>
    <hyperlink ref="X31" r:id="rId25" xr:uid="{00000000-0004-0000-0000-000031000000}"/>
    <hyperlink ref="A32" location="'2020-10-17 Mixed'!A1" display="2020-10-17" xr:uid="{00000000-0004-0000-0000-000032000000}"/>
    <hyperlink ref="X32" r:id="rId26" xr:uid="{00000000-0004-0000-0000-000033000000}"/>
    <hyperlink ref="A33" location="'2021-06-05 Women'!A1" display="2021-06-05" xr:uid="{00000000-0004-0000-0000-000034000000}"/>
    <hyperlink ref="X33" r:id="rId27" xr:uid="{00000000-0004-0000-0000-000035000000}"/>
    <hyperlink ref="A34" location="'2021-08-28 Men'!A1" display="2021-08-28" xr:uid="{00000000-0004-0000-0000-000036000000}"/>
    <hyperlink ref="X34" r:id="rId28" xr:uid="{00000000-0004-0000-0000-000037000000}"/>
    <hyperlink ref="A35" location="'2021-10-16 Mixed'!A1" display="2021-10-16" xr:uid="{00000000-0004-0000-0000-000038000000}"/>
    <hyperlink ref="X35" r:id="rId29" xr:uid="{00000000-0004-0000-0000-000039000000}"/>
    <hyperlink ref="A36" location="'2022-08-27 Men'!A1" display="2022-08-27" xr:uid="{00000000-0004-0000-0000-00003A000000}"/>
    <hyperlink ref="X36" r:id="rId30" xr:uid="{00000000-0004-0000-0000-00003B000000}"/>
    <hyperlink ref="A37" location="'2022-09-17 Women'!A1" display="2022-09-17" xr:uid="{00000000-0004-0000-0000-00003C000000}"/>
    <hyperlink ref="X37" r:id="rId31" xr:uid="{00000000-0004-0000-0000-00003D000000}"/>
    <hyperlink ref="A38" location="'2022-10-15 Mixed'!A1" display="2022-10-15" xr:uid="{00000000-0004-0000-0000-00003E000000}"/>
    <hyperlink ref="X38" r:id="rId32" xr:uid="{00000000-0004-0000-0000-00003F000000}"/>
    <hyperlink ref="A39" location="'2023-08-12 M'!A1" display="2023-08-12" xr:uid="{00000000-0004-0000-0000-000040000000}"/>
    <hyperlink ref="X39" r:id="rId33" xr:uid="{00000000-0004-0000-0000-000041000000}"/>
    <hyperlink ref="A40" location="'2023-09-16 W'!A1" display="2023-09-16" xr:uid="{00000000-0004-0000-0000-000042000000}"/>
    <hyperlink ref="X40" r:id="rId34" xr:uid="{00000000-0004-0000-0000-000043000000}"/>
    <hyperlink ref="A41" location="'2023-10-07 Mixed'!A1" display="2023-10-07" xr:uid="{00000000-0004-0000-0000-000044000000}"/>
    <hyperlink ref="X41" r:id="rId35" xr:uid="{00000000-0004-0000-0000-000045000000}"/>
    <hyperlink ref="A42" location="'2024-07-20 M'!A1" display="2024-07-20" xr:uid="{00000000-0004-0000-0000-000046000000}"/>
    <hyperlink ref="X42" r:id="rId36" xr:uid="{00000000-0004-0000-0000-000047000000}"/>
    <hyperlink ref="A43" location="'2024-08-10 W'!A1" display="2024-08-10" xr:uid="{00000000-0004-0000-0000-000048000000}"/>
    <hyperlink ref="X43" r:id="rId37" xr:uid="{00000000-0004-0000-0000-000049000000}"/>
    <hyperlink ref="A44" location="'2024-08-31 Mixed'!A1" display="2024-08-31" xr:uid="{00000000-0004-0000-0000-00004A000000}"/>
    <hyperlink ref="X44" r:id="rId38" xr:uid="{00000000-0004-0000-0000-00004B000000}"/>
  </hyperlinks>
  <pageMargins left="0.7" right="0.7" top="0.75" bottom="0.75" header="0" footer="0"/>
  <pageSetup orientation="landscape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170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54296875" defaultRowHeight="12.5"/>
  <cols>
    <col min="1" max="1" width="10.453125" style="514" customWidth="1"/>
    <col min="2" max="2" width="10" style="514" customWidth="1"/>
    <col min="3" max="3" width="6.81640625" style="514" customWidth="1"/>
    <col min="4" max="4" width="39.90625" style="514" bestFit="1" customWidth="1"/>
    <col min="5" max="7" width="7.453125" style="514" customWidth="1"/>
    <col min="8" max="8" width="7.26953125" style="514" customWidth="1"/>
    <col min="9" max="9" width="7" style="514" customWidth="1"/>
    <col min="10" max="10" width="8" style="514" customWidth="1"/>
    <col min="11" max="11" width="8.54296875" style="514" customWidth="1"/>
    <col min="12" max="12" width="7.7265625" style="514" customWidth="1"/>
    <col min="13" max="13" width="5.6328125" style="514" customWidth="1"/>
    <col min="14" max="14" width="8.54296875" style="514" customWidth="1"/>
    <col min="15" max="15" width="34.81640625" style="514" bestFit="1" customWidth="1"/>
    <col min="16" max="26" width="7" style="514" customWidth="1"/>
    <col min="27" max="27" width="7.453125" style="514" customWidth="1"/>
    <col min="28" max="28" width="39.90625" style="514" bestFit="1" customWidth="1"/>
    <col min="29" max="29" width="5.453125" style="514" customWidth="1"/>
    <col min="30" max="30" width="8.453125" style="514" customWidth="1"/>
    <col min="31" max="31" width="8.1796875" style="514" customWidth="1"/>
    <col min="32" max="32" width="10.1796875" style="514" customWidth="1"/>
    <col min="33" max="33" width="7.26953125" style="514" customWidth="1"/>
    <col min="34" max="34" width="9" style="514" customWidth="1"/>
    <col min="35" max="35" width="9.453125" style="514" customWidth="1"/>
    <col min="36" max="36" width="22.08984375" style="514" bestFit="1" customWidth="1"/>
    <col min="37" max="37" width="24.453125" style="514" bestFit="1" customWidth="1"/>
    <col min="38" max="38" width="8.1796875" style="514" customWidth="1"/>
    <col min="39" max="39" width="8.1796875" style="513" customWidth="1"/>
    <col min="40" max="40" width="8.1796875" style="511" customWidth="1"/>
    <col min="41" max="41" width="18.453125" style="511" bestFit="1" customWidth="1"/>
    <col min="42" max="42" width="85.7265625" style="511" bestFit="1" customWidth="1"/>
    <col min="43" max="43" width="15.90625" style="513" customWidth="1"/>
    <col min="44" max="16384" width="12.54296875" style="514"/>
  </cols>
  <sheetData>
    <row r="1" spans="1:43" ht="26">
      <c r="A1" s="40" t="s">
        <v>0</v>
      </c>
      <c r="B1" s="41" t="s">
        <v>2</v>
      </c>
      <c r="C1" s="41" t="s">
        <v>171</v>
      </c>
      <c r="D1" s="42" t="s">
        <v>172</v>
      </c>
      <c r="E1" s="42" t="s">
        <v>173</v>
      </c>
      <c r="F1" s="42" t="s">
        <v>174</v>
      </c>
      <c r="G1" s="42" t="s">
        <v>175</v>
      </c>
      <c r="H1" s="41" t="s">
        <v>176</v>
      </c>
      <c r="I1" s="41" t="s">
        <v>177</v>
      </c>
      <c r="J1" s="41" t="s">
        <v>178</v>
      </c>
      <c r="K1" s="41" t="s">
        <v>179</v>
      </c>
      <c r="L1" s="41" t="s">
        <v>180</v>
      </c>
      <c r="M1" s="43" t="s">
        <v>181</v>
      </c>
      <c r="N1" s="44" t="s">
        <v>182</v>
      </c>
      <c r="O1" s="45" t="s">
        <v>183</v>
      </c>
      <c r="P1" s="46" t="s">
        <v>184</v>
      </c>
      <c r="Q1" s="47" t="s">
        <v>185</v>
      </c>
      <c r="R1" s="46" t="s">
        <v>186</v>
      </c>
      <c r="S1" s="47" t="s">
        <v>187</v>
      </c>
      <c r="T1" s="46" t="s">
        <v>188</v>
      </c>
      <c r="U1" s="47" t="s">
        <v>189</v>
      </c>
      <c r="V1" s="46" t="s">
        <v>190</v>
      </c>
      <c r="W1" s="47" t="s">
        <v>191</v>
      </c>
      <c r="X1" s="47" t="s">
        <v>192</v>
      </c>
      <c r="Y1" s="47" t="s">
        <v>193</v>
      </c>
      <c r="Z1" s="48" t="s">
        <v>194</v>
      </c>
      <c r="AA1" s="49" t="s">
        <v>171</v>
      </c>
      <c r="AB1" s="50" t="s">
        <v>195</v>
      </c>
      <c r="AC1" s="50" t="s">
        <v>181</v>
      </c>
      <c r="AD1" s="51" t="s">
        <v>196</v>
      </c>
      <c r="AE1" s="52" t="s">
        <v>197</v>
      </c>
      <c r="AF1" s="52" t="s">
        <v>198</v>
      </c>
      <c r="AG1" s="53" t="s">
        <v>199</v>
      </c>
      <c r="AH1" s="53" t="s">
        <v>200</v>
      </c>
      <c r="AI1" s="54" t="s">
        <v>201</v>
      </c>
      <c r="AJ1" s="55" t="s">
        <v>202</v>
      </c>
      <c r="AK1" s="56" t="s">
        <v>203</v>
      </c>
      <c r="AL1" s="512"/>
      <c r="AM1" s="503"/>
      <c r="AN1" s="504" t="s">
        <v>1388</v>
      </c>
      <c r="AO1" s="504" t="s">
        <v>1387</v>
      </c>
      <c r="AP1" s="511" t="s">
        <v>1424</v>
      </c>
      <c r="AQ1" s="516" t="s">
        <v>1454</v>
      </c>
    </row>
    <row r="2" spans="1:43">
      <c r="A2" s="58">
        <v>40104</v>
      </c>
      <c r="B2" s="59" t="s">
        <v>204</v>
      </c>
      <c r="C2" s="60" t="s">
        <v>205</v>
      </c>
      <c r="D2" s="60" t="s">
        <v>206</v>
      </c>
      <c r="E2" s="61">
        <v>2</v>
      </c>
      <c r="F2" s="62">
        <v>10</v>
      </c>
      <c r="G2" s="63">
        <v>11</v>
      </c>
      <c r="H2" s="60">
        <v>23</v>
      </c>
      <c r="I2" s="60">
        <v>24</v>
      </c>
      <c r="J2" s="60">
        <v>47</v>
      </c>
      <c r="K2" s="60">
        <v>0.4894</v>
      </c>
      <c r="L2" s="60">
        <f t="shared" ref="L2:L256" si="0">IF(J2&gt;0,K2-(33-H2),)</f>
        <v>-9.5106000000000002</v>
      </c>
      <c r="M2" s="64">
        <f t="shared" ref="M2:M17" si="1">IF(A2&lt;&gt;"", 1+SUMPRODUCT((A$2:A$1000=A2)*(L$2:L$1000&gt;L2)) + COUNTIF(L$2:L2, L2) - 1, "")</f>
        <v>12</v>
      </c>
      <c r="N2" s="65" t="s">
        <v>207</v>
      </c>
      <c r="O2" s="60" t="s">
        <v>36</v>
      </c>
      <c r="P2" s="66"/>
      <c r="Q2" s="66"/>
      <c r="R2" s="66"/>
      <c r="S2" s="66"/>
      <c r="T2" s="67">
        <v>12</v>
      </c>
      <c r="U2" s="67">
        <v>6</v>
      </c>
      <c r="V2" s="67">
        <v>5</v>
      </c>
      <c r="W2" s="67">
        <v>12</v>
      </c>
      <c r="X2" s="67">
        <f t="shared" ref="X2:Y2" si="2">(P2+R2+T2+V2)</f>
        <v>17</v>
      </c>
      <c r="Y2" s="67">
        <f t="shared" si="2"/>
        <v>18</v>
      </c>
      <c r="Z2" s="68">
        <f t="shared" ref="Z2:Z256" si="3">X2+Y2</f>
        <v>35</v>
      </c>
      <c r="AA2" s="69" t="str">
        <f t="shared" ref="AA2:AA256" si="4">INDEX(A:D, MATCH(AB2,D:D,0),3)</f>
        <v>1A</v>
      </c>
      <c r="AB2" s="70" t="s">
        <v>206</v>
      </c>
      <c r="AC2" s="70" t="s">
        <v>208</v>
      </c>
      <c r="AD2" s="71">
        <f t="shared" ref="AD2:AE2" si="5">H2</f>
        <v>23</v>
      </c>
      <c r="AE2" s="70">
        <f t="shared" si="5"/>
        <v>24</v>
      </c>
      <c r="AF2" s="70">
        <f>AD2+AE2</f>
        <v>47</v>
      </c>
      <c r="AG2" s="72">
        <f t="shared" ref="AG2:AG256" si="6">AD2/AF2</f>
        <v>0.48936170212765956</v>
      </c>
      <c r="AH2" s="73">
        <f t="shared" ref="AH2:AH256" si="7">AG2-(100-AD2)</f>
        <v>-76.510638297872347</v>
      </c>
      <c r="AI2" s="74">
        <v>12</v>
      </c>
      <c r="AJ2" s="75" t="s">
        <v>209</v>
      </c>
      <c r="AK2" s="76" t="s">
        <v>210</v>
      </c>
      <c r="AL2" s="67"/>
      <c r="AM2" s="503"/>
      <c r="AN2" s="505" t="s">
        <v>1389</v>
      </c>
      <c r="AO2" s="515" t="s">
        <v>0</v>
      </c>
      <c r="AP2" s="511" t="s">
        <v>1425</v>
      </c>
      <c r="AQ2" s="516"/>
    </row>
    <row r="3" spans="1:43">
      <c r="A3" s="58">
        <v>40104</v>
      </c>
      <c r="B3" s="59" t="s">
        <v>204</v>
      </c>
      <c r="C3" s="60" t="s">
        <v>211</v>
      </c>
      <c r="D3" s="60" t="s">
        <v>212</v>
      </c>
      <c r="E3" s="77">
        <v>3</v>
      </c>
      <c r="F3" s="76">
        <v>2</v>
      </c>
      <c r="G3" s="76">
        <v>2</v>
      </c>
      <c r="H3" s="60">
        <v>7</v>
      </c>
      <c r="I3" s="60">
        <v>33</v>
      </c>
      <c r="J3" s="60">
        <v>40</v>
      </c>
      <c r="K3" s="60">
        <v>0.17499999999999999</v>
      </c>
      <c r="L3" s="60">
        <f t="shared" si="0"/>
        <v>-25.824999999999999</v>
      </c>
      <c r="M3" s="64">
        <f t="shared" si="1"/>
        <v>16</v>
      </c>
      <c r="N3" s="65"/>
      <c r="O3" s="60"/>
      <c r="P3" s="66"/>
      <c r="Q3" s="66"/>
      <c r="R3" s="66"/>
      <c r="S3" s="66"/>
      <c r="T3" s="67"/>
      <c r="U3" s="67"/>
      <c r="V3" s="67"/>
      <c r="W3" s="67"/>
      <c r="X3" s="67">
        <f t="shared" ref="X3:Y3" si="8">(P3+R3+T3+V3)</f>
        <v>0</v>
      </c>
      <c r="Y3" s="67">
        <f t="shared" si="8"/>
        <v>0</v>
      </c>
      <c r="Z3" s="68">
        <f t="shared" si="3"/>
        <v>0</v>
      </c>
      <c r="AA3" s="69" t="str">
        <f t="shared" si="4"/>
        <v>1B</v>
      </c>
      <c r="AB3" s="70" t="s">
        <v>212</v>
      </c>
      <c r="AC3" s="70" t="s">
        <v>213</v>
      </c>
      <c r="AD3" s="70">
        <v>7</v>
      </c>
      <c r="AE3" s="70">
        <v>33</v>
      </c>
      <c r="AF3" s="70">
        <v>40</v>
      </c>
      <c r="AG3" s="72">
        <f t="shared" si="6"/>
        <v>0.17499999999999999</v>
      </c>
      <c r="AH3" s="73">
        <f t="shared" si="7"/>
        <v>-92.825000000000003</v>
      </c>
      <c r="AI3" s="74">
        <v>16</v>
      </c>
      <c r="AJ3" s="75" t="s">
        <v>214</v>
      </c>
      <c r="AK3" s="76" t="s">
        <v>215</v>
      </c>
      <c r="AL3" s="67"/>
      <c r="AM3" s="503"/>
      <c r="AN3" s="505" t="s">
        <v>1393</v>
      </c>
      <c r="AO3" s="515" t="s">
        <v>2</v>
      </c>
      <c r="AP3" s="511" t="s">
        <v>1426</v>
      </c>
    </row>
    <row r="4" spans="1:43">
      <c r="A4" s="58">
        <v>40104</v>
      </c>
      <c r="B4" s="59" t="s">
        <v>204</v>
      </c>
      <c r="C4" s="60" t="s">
        <v>216</v>
      </c>
      <c r="D4" s="60" t="s">
        <v>217</v>
      </c>
      <c r="E4" s="77">
        <v>11</v>
      </c>
      <c r="F4" s="78">
        <v>11</v>
      </c>
      <c r="G4" s="78">
        <v>8</v>
      </c>
      <c r="H4" s="60">
        <v>30</v>
      </c>
      <c r="I4" s="60">
        <v>24</v>
      </c>
      <c r="J4" s="60">
        <v>54</v>
      </c>
      <c r="K4" s="60">
        <v>0.55559999999999998</v>
      </c>
      <c r="L4" s="60">
        <f t="shared" si="0"/>
        <v>-2.4443999999999999</v>
      </c>
      <c r="M4" s="64">
        <f t="shared" si="1"/>
        <v>5</v>
      </c>
      <c r="N4" s="65"/>
      <c r="O4" s="60">
        <v>0</v>
      </c>
      <c r="P4" s="66"/>
      <c r="Q4" s="66"/>
      <c r="R4" s="66"/>
      <c r="S4" s="66"/>
      <c r="T4" s="67"/>
      <c r="U4" s="67"/>
      <c r="V4" s="67"/>
      <c r="W4" s="67"/>
      <c r="X4" s="67">
        <f t="shared" ref="X4:Y4" si="9">(P4+R4+T4+V4)</f>
        <v>0</v>
      </c>
      <c r="Y4" s="67">
        <f t="shared" si="9"/>
        <v>0</v>
      </c>
      <c r="Z4" s="68">
        <f t="shared" si="3"/>
        <v>0</v>
      </c>
      <c r="AA4" s="69" t="str">
        <f t="shared" si="4"/>
        <v>1C</v>
      </c>
      <c r="AB4" s="70" t="s">
        <v>217</v>
      </c>
      <c r="AC4" s="70" t="s">
        <v>218</v>
      </c>
      <c r="AD4" s="70">
        <v>30</v>
      </c>
      <c r="AE4" s="70">
        <v>24</v>
      </c>
      <c r="AF4" s="70">
        <v>54</v>
      </c>
      <c r="AG4" s="72">
        <f t="shared" si="6"/>
        <v>0.55555555555555558</v>
      </c>
      <c r="AH4" s="73">
        <f t="shared" si="7"/>
        <v>-69.444444444444443</v>
      </c>
      <c r="AI4" s="74">
        <v>5</v>
      </c>
      <c r="AJ4" s="79" t="s">
        <v>219</v>
      </c>
      <c r="AK4" s="76" t="s">
        <v>220</v>
      </c>
      <c r="AL4" s="67"/>
      <c r="AM4" s="503"/>
      <c r="AN4" s="505" t="s">
        <v>1394</v>
      </c>
      <c r="AO4" s="515" t="s">
        <v>171</v>
      </c>
      <c r="AP4" s="511" t="s">
        <v>1427</v>
      </c>
    </row>
    <row r="5" spans="1:43">
      <c r="A5" s="58">
        <v>40104</v>
      </c>
      <c r="B5" s="59" t="s">
        <v>204</v>
      </c>
      <c r="C5" s="60" t="s">
        <v>221</v>
      </c>
      <c r="D5" s="60" t="s">
        <v>36</v>
      </c>
      <c r="E5" s="80">
        <v>11</v>
      </c>
      <c r="F5" s="81">
        <v>11</v>
      </c>
      <c r="G5" s="82">
        <v>11</v>
      </c>
      <c r="H5" s="60">
        <v>33</v>
      </c>
      <c r="I5" s="60">
        <v>12</v>
      </c>
      <c r="J5" s="60">
        <v>45</v>
      </c>
      <c r="K5" s="60">
        <v>0.73329999999999995</v>
      </c>
      <c r="L5" s="60">
        <f t="shared" si="0"/>
        <v>0.73329999999999995</v>
      </c>
      <c r="M5" s="64">
        <f t="shared" si="1"/>
        <v>1</v>
      </c>
      <c r="N5" s="65"/>
      <c r="O5" s="60"/>
      <c r="P5" s="66"/>
      <c r="Q5" s="66"/>
      <c r="R5" s="66"/>
      <c r="S5" s="66"/>
      <c r="T5" s="67"/>
      <c r="U5" s="67"/>
      <c r="V5" s="67"/>
      <c r="W5" s="67"/>
      <c r="X5" s="67">
        <f t="shared" ref="X5:Y5" si="10">(P5+R5+T5+V5)</f>
        <v>0</v>
      </c>
      <c r="Y5" s="67">
        <f t="shared" si="10"/>
        <v>0</v>
      </c>
      <c r="Z5" s="68">
        <f t="shared" si="3"/>
        <v>0</v>
      </c>
      <c r="AA5" s="69" t="str">
        <f t="shared" si="4"/>
        <v>1D</v>
      </c>
      <c r="AB5" s="70" t="s">
        <v>36</v>
      </c>
      <c r="AC5" s="70" t="s">
        <v>207</v>
      </c>
      <c r="AD5" s="71">
        <v>50</v>
      </c>
      <c r="AE5" s="70">
        <v>30</v>
      </c>
      <c r="AF5" s="70">
        <v>80</v>
      </c>
      <c r="AG5" s="72">
        <f t="shared" si="6"/>
        <v>0.625</v>
      </c>
      <c r="AH5" s="73">
        <f t="shared" si="7"/>
        <v>-49.375</v>
      </c>
      <c r="AI5" s="74">
        <v>2</v>
      </c>
      <c r="AJ5" s="79" t="s">
        <v>222</v>
      </c>
      <c r="AK5" s="76" t="s">
        <v>223</v>
      </c>
      <c r="AL5" s="67"/>
      <c r="AM5" s="503"/>
      <c r="AN5" s="505" t="s">
        <v>1395</v>
      </c>
      <c r="AO5" s="515" t="s">
        <v>172</v>
      </c>
      <c r="AP5" s="511" t="s">
        <v>1428</v>
      </c>
    </row>
    <row r="6" spans="1:43">
      <c r="A6" s="58">
        <v>40104</v>
      </c>
      <c r="B6" s="59" t="s">
        <v>204</v>
      </c>
      <c r="C6" s="60" t="s">
        <v>224</v>
      </c>
      <c r="D6" s="60" t="s">
        <v>35</v>
      </c>
      <c r="E6" s="64">
        <v>11</v>
      </c>
      <c r="F6" s="68">
        <v>11</v>
      </c>
      <c r="G6" s="78">
        <v>11</v>
      </c>
      <c r="H6" s="60">
        <v>33</v>
      </c>
      <c r="I6" s="60">
        <v>15</v>
      </c>
      <c r="J6" s="60">
        <v>48</v>
      </c>
      <c r="K6" s="60">
        <v>0.6875</v>
      </c>
      <c r="L6" s="60">
        <f t="shared" si="0"/>
        <v>0.6875</v>
      </c>
      <c r="M6" s="64">
        <f t="shared" si="1"/>
        <v>2</v>
      </c>
      <c r="N6" s="65" t="s">
        <v>225</v>
      </c>
      <c r="O6" s="60" t="s">
        <v>35</v>
      </c>
      <c r="P6" s="66"/>
      <c r="Q6" s="66"/>
      <c r="R6" s="66"/>
      <c r="S6" s="66"/>
      <c r="T6" s="67">
        <v>13</v>
      </c>
      <c r="U6" s="67">
        <v>11</v>
      </c>
      <c r="V6" s="67">
        <v>12</v>
      </c>
      <c r="W6" s="67">
        <v>5</v>
      </c>
      <c r="X6" s="67">
        <f t="shared" ref="X6:Y6" si="11">(P6+R6+T6+V6)</f>
        <v>25</v>
      </c>
      <c r="Y6" s="67">
        <f t="shared" si="11"/>
        <v>16</v>
      </c>
      <c r="Z6" s="68">
        <f t="shared" si="3"/>
        <v>41</v>
      </c>
      <c r="AA6" s="69" t="str">
        <f t="shared" si="4"/>
        <v>2A</v>
      </c>
      <c r="AB6" s="70" t="s">
        <v>35</v>
      </c>
      <c r="AC6" s="70" t="s">
        <v>225</v>
      </c>
      <c r="AD6" s="70">
        <v>58</v>
      </c>
      <c r="AE6" s="70">
        <v>31</v>
      </c>
      <c r="AF6" s="70">
        <v>89</v>
      </c>
      <c r="AG6" s="72">
        <f t="shared" si="6"/>
        <v>0.651685393258427</v>
      </c>
      <c r="AH6" s="73">
        <f t="shared" si="7"/>
        <v>-41.348314606741575</v>
      </c>
      <c r="AI6" s="74">
        <v>1</v>
      </c>
      <c r="AJ6" s="79" t="s">
        <v>226</v>
      </c>
      <c r="AK6" s="76" t="s">
        <v>227</v>
      </c>
      <c r="AL6" s="67"/>
      <c r="AM6" s="503"/>
      <c r="AN6" s="505" t="s">
        <v>1392</v>
      </c>
      <c r="AO6" s="515" t="s">
        <v>173</v>
      </c>
      <c r="AP6" s="511" t="s">
        <v>1325</v>
      </c>
      <c r="AQ6" s="516" t="s">
        <v>1432</v>
      </c>
    </row>
    <row r="7" spans="1:43">
      <c r="A7" s="58">
        <v>40104</v>
      </c>
      <c r="B7" s="59" t="s">
        <v>204</v>
      </c>
      <c r="C7" s="60" t="s">
        <v>228</v>
      </c>
      <c r="D7" s="60" t="s">
        <v>229</v>
      </c>
      <c r="E7" s="64">
        <v>8</v>
      </c>
      <c r="F7" s="78">
        <v>11</v>
      </c>
      <c r="G7" s="68">
        <v>11</v>
      </c>
      <c r="H7" s="60">
        <v>30</v>
      </c>
      <c r="I7" s="60">
        <v>27</v>
      </c>
      <c r="J7" s="60">
        <v>57</v>
      </c>
      <c r="K7" s="60">
        <v>0.52629999999999999</v>
      </c>
      <c r="L7" s="60">
        <f t="shared" si="0"/>
        <v>-2.4737</v>
      </c>
      <c r="M7" s="64">
        <f t="shared" si="1"/>
        <v>6</v>
      </c>
      <c r="N7" s="65"/>
      <c r="O7" s="60"/>
      <c r="P7" s="66"/>
      <c r="Q7" s="66"/>
      <c r="R7" s="66"/>
      <c r="S7" s="66"/>
      <c r="T7" s="67"/>
      <c r="U7" s="67"/>
      <c r="V7" s="67"/>
      <c r="W7" s="67"/>
      <c r="X7" s="67">
        <f t="shared" ref="X7:Y7" si="12">(P7+R7+T7+V7)</f>
        <v>0</v>
      </c>
      <c r="Y7" s="67">
        <f t="shared" si="12"/>
        <v>0</v>
      </c>
      <c r="Z7" s="68">
        <f t="shared" si="3"/>
        <v>0</v>
      </c>
      <c r="AA7" s="69" t="str">
        <f t="shared" si="4"/>
        <v>2B</v>
      </c>
      <c r="AB7" s="70" t="s">
        <v>229</v>
      </c>
      <c r="AC7" s="70" t="s">
        <v>230</v>
      </c>
      <c r="AD7" s="70">
        <v>30</v>
      </c>
      <c r="AE7" s="70">
        <v>27</v>
      </c>
      <c r="AF7" s="70">
        <v>57</v>
      </c>
      <c r="AG7" s="72">
        <f t="shared" si="6"/>
        <v>0.52631578947368418</v>
      </c>
      <c r="AH7" s="73">
        <f t="shared" si="7"/>
        <v>-69.473684210526315</v>
      </c>
      <c r="AI7" s="74">
        <v>6</v>
      </c>
      <c r="AJ7" s="79" t="s">
        <v>231</v>
      </c>
      <c r="AK7" s="76" t="s">
        <v>23</v>
      </c>
      <c r="AL7" s="67"/>
      <c r="AM7" s="503"/>
      <c r="AN7" s="505" t="s">
        <v>1396</v>
      </c>
      <c r="AO7" s="515" t="s">
        <v>174</v>
      </c>
      <c r="AP7" s="511" t="s">
        <v>1325</v>
      </c>
      <c r="AQ7" s="516" t="s">
        <v>1432</v>
      </c>
    </row>
    <row r="8" spans="1:43">
      <c r="A8" s="58">
        <v>40104</v>
      </c>
      <c r="B8" s="59" t="s">
        <v>204</v>
      </c>
      <c r="C8" s="60" t="s">
        <v>232</v>
      </c>
      <c r="D8" s="60" t="s">
        <v>233</v>
      </c>
      <c r="E8" s="77">
        <v>11</v>
      </c>
      <c r="F8" s="78">
        <v>7</v>
      </c>
      <c r="G8" s="78">
        <v>1</v>
      </c>
      <c r="H8" s="60">
        <v>19</v>
      </c>
      <c r="I8" s="60">
        <v>31</v>
      </c>
      <c r="J8" s="60">
        <v>50</v>
      </c>
      <c r="K8" s="60">
        <v>0.38</v>
      </c>
      <c r="L8" s="60">
        <f t="shared" si="0"/>
        <v>-13.62</v>
      </c>
      <c r="M8" s="64">
        <f t="shared" si="1"/>
        <v>15</v>
      </c>
      <c r="N8" s="65"/>
      <c r="O8" s="60">
        <v>0</v>
      </c>
      <c r="P8" s="66"/>
      <c r="Q8" s="66"/>
      <c r="R8" s="66"/>
      <c r="S8" s="66"/>
      <c r="T8" s="67"/>
      <c r="U8" s="67"/>
      <c r="V8" s="67"/>
      <c r="W8" s="67"/>
      <c r="X8" s="67">
        <f t="shared" ref="X8:Y8" si="13">(P8+R8+T8+V8)</f>
        <v>0</v>
      </c>
      <c r="Y8" s="67">
        <f t="shared" si="13"/>
        <v>0</v>
      </c>
      <c r="Z8" s="68">
        <f t="shared" si="3"/>
        <v>0</v>
      </c>
      <c r="AA8" s="69" t="str">
        <f t="shared" si="4"/>
        <v>2C</v>
      </c>
      <c r="AB8" s="70" t="s">
        <v>233</v>
      </c>
      <c r="AC8" s="70" t="s">
        <v>234</v>
      </c>
      <c r="AD8" s="70">
        <v>19</v>
      </c>
      <c r="AE8" s="70">
        <v>31</v>
      </c>
      <c r="AF8" s="70">
        <v>50</v>
      </c>
      <c r="AG8" s="72">
        <f t="shared" si="6"/>
        <v>0.38</v>
      </c>
      <c r="AH8" s="73">
        <f t="shared" si="7"/>
        <v>-80.62</v>
      </c>
      <c r="AI8" s="74">
        <v>15</v>
      </c>
      <c r="AJ8" s="79" t="s">
        <v>235</v>
      </c>
      <c r="AK8" s="76" t="s">
        <v>236</v>
      </c>
      <c r="AL8" s="67"/>
      <c r="AM8" s="503"/>
      <c r="AN8" s="505" t="s">
        <v>1397</v>
      </c>
      <c r="AO8" s="515" t="s">
        <v>175</v>
      </c>
      <c r="AP8" s="511" t="s">
        <v>1325</v>
      </c>
      <c r="AQ8" s="516" t="s">
        <v>1432</v>
      </c>
    </row>
    <row r="9" spans="1:43">
      <c r="A9" s="58">
        <v>40104</v>
      </c>
      <c r="B9" s="59" t="s">
        <v>204</v>
      </c>
      <c r="C9" s="60" t="s">
        <v>237</v>
      </c>
      <c r="D9" s="60" t="s">
        <v>238</v>
      </c>
      <c r="E9" s="83">
        <v>9</v>
      </c>
      <c r="F9" s="84">
        <v>6</v>
      </c>
      <c r="G9" s="84">
        <v>9</v>
      </c>
      <c r="H9" s="60">
        <v>24</v>
      </c>
      <c r="I9" s="60">
        <v>33</v>
      </c>
      <c r="J9" s="60">
        <v>57</v>
      </c>
      <c r="K9" s="60">
        <v>0.42109999999999997</v>
      </c>
      <c r="L9" s="60">
        <f t="shared" si="0"/>
        <v>-8.5789000000000009</v>
      </c>
      <c r="M9" s="64">
        <f t="shared" si="1"/>
        <v>11</v>
      </c>
      <c r="N9" s="65"/>
      <c r="O9" s="60"/>
      <c r="P9" s="66"/>
      <c r="Q9" s="66"/>
      <c r="R9" s="66"/>
      <c r="S9" s="66"/>
      <c r="T9" s="67"/>
      <c r="U9" s="67"/>
      <c r="V9" s="67"/>
      <c r="W9" s="67"/>
      <c r="X9" s="67">
        <f t="shared" ref="X9:Y9" si="14">(P9+R9+T9+V9)</f>
        <v>0</v>
      </c>
      <c r="Y9" s="67">
        <f t="shared" si="14"/>
        <v>0</v>
      </c>
      <c r="Z9" s="68">
        <f t="shared" si="3"/>
        <v>0</v>
      </c>
      <c r="AA9" s="69" t="str">
        <f t="shared" si="4"/>
        <v>2D</v>
      </c>
      <c r="AB9" s="70" t="s">
        <v>238</v>
      </c>
      <c r="AC9" s="70" t="s">
        <v>239</v>
      </c>
      <c r="AD9" s="70">
        <v>24</v>
      </c>
      <c r="AE9" s="70">
        <v>33</v>
      </c>
      <c r="AF9" s="70">
        <v>57</v>
      </c>
      <c r="AG9" s="72">
        <f t="shared" si="6"/>
        <v>0.42105263157894735</v>
      </c>
      <c r="AH9" s="73">
        <f t="shared" si="7"/>
        <v>-75.578947368421055</v>
      </c>
      <c r="AI9" s="74">
        <v>11</v>
      </c>
      <c r="AJ9" s="79" t="s">
        <v>240</v>
      </c>
      <c r="AK9" s="76" t="s">
        <v>29</v>
      </c>
      <c r="AL9" s="67"/>
      <c r="AM9" s="503"/>
      <c r="AN9" s="505" t="s">
        <v>1398</v>
      </c>
      <c r="AO9" s="515" t="s">
        <v>176</v>
      </c>
      <c r="AP9" s="517" t="s">
        <v>1435</v>
      </c>
      <c r="AQ9" s="516" t="s">
        <v>1432</v>
      </c>
    </row>
    <row r="10" spans="1:43">
      <c r="A10" s="58">
        <v>40104</v>
      </c>
      <c r="B10" s="59" t="s">
        <v>204</v>
      </c>
      <c r="C10" s="60" t="s">
        <v>241</v>
      </c>
      <c r="D10" s="60" t="s">
        <v>242</v>
      </c>
      <c r="E10" s="77">
        <v>11</v>
      </c>
      <c r="F10" s="68">
        <v>11</v>
      </c>
      <c r="G10" s="68">
        <v>11</v>
      </c>
      <c r="H10" s="60">
        <v>33</v>
      </c>
      <c r="I10" s="60">
        <v>19</v>
      </c>
      <c r="J10" s="60">
        <v>52</v>
      </c>
      <c r="K10" s="60">
        <v>0.63460000000000005</v>
      </c>
      <c r="L10" s="60">
        <f t="shared" si="0"/>
        <v>0.63460000000000005</v>
      </c>
      <c r="M10" s="64">
        <f t="shared" si="1"/>
        <v>4</v>
      </c>
      <c r="N10" s="65" t="s">
        <v>243</v>
      </c>
      <c r="O10" s="60" t="s">
        <v>242</v>
      </c>
      <c r="P10" s="66"/>
      <c r="Q10" s="66"/>
      <c r="R10" s="66"/>
      <c r="S10" s="66"/>
      <c r="T10" s="67">
        <v>11</v>
      </c>
      <c r="U10" s="67">
        <v>13</v>
      </c>
      <c r="V10" s="67"/>
      <c r="W10" s="67"/>
      <c r="X10" s="67">
        <f t="shared" ref="X10:Y10" si="15">(P10+R10+T10+V10)</f>
        <v>11</v>
      </c>
      <c r="Y10" s="67">
        <f t="shared" si="15"/>
        <v>13</v>
      </c>
      <c r="Z10" s="68">
        <f t="shared" si="3"/>
        <v>24</v>
      </c>
      <c r="AA10" s="69" t="str">
        <f t="shared" si="4"/>
        <v>3A</v>
      </c>
      <c r="AB10" s="70" t="s">
        <v>242</v>
      </c>
      <c r="AC10" s="70" t="s">
        <v>243</v>
      </c>
      <c r="AD10" s="70">
        <v>44</v>
      </c>
      <c r="AE10" s="70">
        <v>32</v>
      </c>
      <c r="AF10" s="70">
        <v>76</v>
      </c>
      <c r="AG10" s="72">
        <f t="shared" si="6"/>
        <v>0.57894736842105265</v>
      </c>
      <c r="AH10" s="73">
        <f t="shared" si="7"/>
        <v>-55.421052631578945</v>
      </c>
      <c r="AI10" s="74">
        <v>3</v>
      </c>
      <c r="AJ10" s="75" t="s">
        <v>244</v>
      </c>
      <c r="AK10" s="85" t="s">
        <v>245</v>
      </c>
      <c r="AL10" s="67"/>
      <c r="AM10" s="503"/>
      <c r="AN10" s="505" t="s">
        <v>1391</v>
      </c>
      <c r="AO10" s="515" t="s">
        <v>177</v>
      </c>
      <c r="AP10" s="517" t="s">
        <v>1455</v>
      </c>
      <c r="AQ10" s="516" t="s">
        <v>1432</v>
      </c>
    </row>
    <row r="11" spans="1:43">
      <c r="A11" s="58">
        <v>40104</v>
      </c>
      <c r="B11" s="59" t="s">
        <v>204</v>
      </c>
      <c r="C11" s="60" t="s">
        <v>246</v>
      </c>
      <c r="D11" s="60" t="s">
        <v>247</v>
      </c>
      <c r="E11" s="64">
        <v>10</v>
      </c>
      <c r="F11" s="68">
        <v>8</v>
      </c>
      <c r="G11" s="78">
        <v>9</v>
      </c>
      <c r="H11" s="60">
        <v>27</v>
      </c>
      <c r="I11" s="60">
        <v>33</v>
      </c>
      <c r="J11" s="60">
        <v>60</v>
      </c>
      <c r="K11" s="60">
        <v>0.45</v>
      </c>
      <c r="L11" s="60">
        <f t="shared" si="0"/>
        <v>-5.55</v>
      </c>
      <c r="M11" s="64">
        <f t="shared" si="1"/>
        <v>8</v>
      </c>
      <c r="N11" s="65"/>
      <c r="O11" s="60"/>
      <c r="P11" s="66"/>
      <c r="Q11" s="66"/>
      <c r="R11" s="66"/>
      <c r="S11" s="66"/>
      <c r="T11" s="67"/>
      <c r="U11" s="67"/>
      <c r="V11" s="67"/>
      <c r="W11" s="67"/>
      <c r="X11" s="67">
        <f t="shared" ref="X11:Y11" si="16">(P11+R11+T11+V11)</f>
        <v>0</v>
      </c>
      <c r="Y11" s="67">
        <f t="shared" si="16"/>
        <v>0</v>
      </c>
      <c r="Z11" s="68">
        <f t="shared" si="3"/>
        <v>0</v>
      </c>
      <c r="AA11" s="69" t="str">
        <f t="shared" si="4"/>
        <v>3B</v>
      </c>
      <c r="AB11" s="70" t="s">
        <v>247</v>
      </c>
      <c r="AC11" s="70" t="s">
        <v>248</v>
      </c>
      <c r="AD11" s="70">
        <v>27</v>
      </c>
      <c r="AE11" s="70">
        <v>33</v>
      </c>
      <c r="AF11" s="70">
        <v>60</v>
      </c>
      <c r="AG11" s="72">
        <f t="shared" si="6"/>
        <v>0.45</v>
      </c>
      <c r="AH11" s="73">
        <f t="shared" si="7"/>
        <v>-72.55</v>
      </c>
      <c r="AI11" s="74">
        <v>8</v>
      </c>
      <c r="AJ11" s="75" t="s">
        <v>249</v>
      </c>
      <c r="AK11" s="85" t="s">
        <v>250</v>
      </c>
      <c r="AL11" s="67"/>
      <c r="AM11" s="503"/>
      <c r="AN11" s="505" t="s">
        <v>1399</v>
      </c>
      <c r="AO11" s="515" t="s">
        <v>178</v>
      </c>
      <c r="AP11" s="517" t="s">
        <v>1436</v>
      </c>
      <c r="AQ11" s="516" t="s">
        <v>1432</v>
      </c>
    </row>
    <row r="12" spans="1:43" ht="13">
      <c r="A12" s="58">
        <v>40104</v>
      </c>
      <c r="B12" s="59" t="s">
        <v>204</v>
      </c>
      <c r="C12" s="60" t="s">
        <v>251</v>
      </c>
      <c r="D12" s="60" t="s">
        <v>252</v>
      </c>
      <c r="E12" s="77">
        <v>6</v>
      </c>
      <c r="F12" s="78">
        <v>11</v>
      </c>
      <c r="G12" s="78">
        <v>11</v>
      </c>
      <c r="H12" s="60">
        <v>28</v>
      </c>
      <c r="I12" s="60">
        <v>29</v>
      </c>
      <c r="J12" s="60">
        <v>57</v>
      </c>
      <c r="K12" s="60">
        <v>0.49120000000000003</v>
      </c>
      <c r="L12" s="60">
        <f t="shared" si="0"/>
        <v>-4.5087999999999999</v>
      </c>
      <c r="M12" s="64">
        <f t="shared" si="1"/>
        <v>7</v>
      </c>
      <c r="N12" s="65"/>
      <c r="O12" s="60">
        <v>0</v>
      </c>
      <c r="P12" s="66"/>
      <c r="Q12" s="66"/>
      <c r="R12" s="66"/>
      <c r="S12" s="66"/>
      <c r="T12" s="67"/>
      <c r="U12" s="67"/>
      <c r="V12" s="67"/>
      <c r="W12" s="67"/>
      <c r="X12" s="67">
        <f t="shared" ref="X12:Y12" si="17">(P12+R12+T12+V12)</f>
        <v>0</v>
      </c>
      <c r="Y12" s="67">
        <f t="shared" si="17"/>
        <v>0</v>
      </c>
      <c r="Z12" s="68">
        <f t="shared" si="3"/>
        <v>0</v>
      </c>
      <c r="AA12" s="69" t="str">
        <f t="shared" si="4"/>
        <v>3C</v>
      </c>
      <c r="AB12" s="70" t="s">
        <v>252</v>
      </c>
      <c r="AC12" s="70" t="s">
        <v>253</v>
      </c>
      <c r="AD12" s="70">
        <v>28</v>
      </c>
      <c r="AE12" s="70">
        <v>29</v>
      </c>
      <c r="AF12" s="70">
        <v>57</v>
      </c>
      <c r="AG12" s="72">
        <f t="shared" si="6"/>
        <v>0.49122807017543857</v>
      </c>
      <c r="AH12" s="73">
        <f t="shared" si="7"/>
        <v>-71.508771929824562</v>
      </c>
      <c r="AI12" s="74">
        <v>7</v>
      </c>
      <c r="AJ12" s="79" t="s">
        <v>254</v>
      </c>
      <c r="AK12" s="76" t="s">
        <v>255</v>
      </c>
      <c r="AL12" s="67"/>
      <c r="AM12" s="503"/>
      <c r="AN12" s="505" t="s">
        <v>1400</v>
      </c>
      <c r="AO12" s="515" t="s">
        <v>179</v>
      </c>
      <c r="AP12" s="517" t="s">
        <v>1437</v>
      </c>
      <c r="AQ12" s="516" t="s">
        <v>1432</v>
      </c>
    </row>
    <row r="13" spans="1:43">
      <c r="A13" s="58">
        <v>40104</v>
      </c>
      <c r="B13" s="59" t="s">
        <v>204</v>
      </c>
      <c r="C13" s="60" t="s">
        <v>256</v>
      </c>
      <c r="D13" s="60" t="s">
        <v>257</v>
      </c>
      <c r="E13" s="86">
        <v>11</v>
      </c>
      <c r="F13" s="82">
        <v>9</v>
      </c>
      <c r="G13" s="84">
        <v>5</v>
      </c>
      <c r="H13" s="60">
        <v>25</v>
      </c>
      <c r="I13" s="60">
        <v>32</v>
      </c>
      <c r="J13" s="60">
        <v>57</v>
      </c>
      <c r="K13" s="60">
        <v>0.43859999999999999</v>
      </c>
      <c r="L13" s="60">
        <f t="shared" si="0"/>
        <v>-7.5613999999999999</v>
      </c>
      <c r="M13" s="64">
        <f t="shared" si="1"/>
        <v>10</v>
      </c>
      <c r="N13" s="65"/>
      <c r="O13" s="60"/>
      <c r="P13" s="66"/>
      <c r="Q13" s="66"/>
      <c r="R13" s="66"/>
      <c r="S13" s="66"/>
      <c r="T13" s="67"/>
      <c r="U13" s="67"/>
      <c r="V13" s="67"/>
      <c r="W13" s="67"/>
      <c r="X13" s="67">
        <f t="shared" ref="X13:Y13" si="18">(P13+R13+T13+V13)</f>
        <v>0</v>
      </c>
      <c r="Y13" s="67">
        <f t="shared" si="18"/>
        <v>0</v>
      </c>
      <c r="Z13" s="68">
        <f t="shared" si="3"/>
        <v>0</v>
      </c>
      <c r="AA13" s="69" t="str">
        <f t="shared" si="4"/>
        <v>3D</v>
      </c>
      <c r="AB13" s="70" t="s">
        <v>257</v>
      </c>
      <c r="AC13" s="70" t="s">
        <v>258</v>
      </c>
      <c r="AD13" s="70">
        <v>25</v>
      </c>
      <c r="AE13" s="70">
        <v>32</v>
      </c>
      <c r="AF13" s="70">
        <v>57</v>
      </c>
      <c r="AG13" s="72">
        <f t="shared" si="6"/>
        <v>0.43859649122807015</v>
      </c>
      <c r="AH13" s="73">
        <f t="shared" si="7"/>
        <v>-74.561403508771932</v>
      </c>
      <c r="AI13" s="74">
        <v>10</v>
      </c>
      <c r="AJ13" s="79" t="s">
        <v>259</v>
      </c>
      <c r="AK13" s="76" t="s">
        <v>260</v>
      </c>
      <c r="AL13" s="67"/>
      <c r="AM13" s="503"/>
      <c r="AN13" s="505" t="s">
        <v>5</v>
      </c>
      <c r="AO13" s="515" t="s">
        <v>180</v>
      </c>
      <c r="AP13" s="517" t="s">
        <v>1438</v>
      </c>
      <c r="AQ13" s="516" t="s">
        <v>1432</v>
      </c>
    </row>
    <row r="14" spans="1:43">
      <c r="A14" s="58">
        <v>40104</v>
      </c>
      <c r="B14" s="59" t="s">
        <v>204</v>
      </c>
      <c r="C14" s="60" t="s">
        <v>261</v>
      </c>
      <c r="D14" s="60" t="s">
        <v>262</v>
      </c>
      <c r="E14" s="61">
        <v>11</v>
      </c>
      <c r="F14" s="62">
        <v>11</v>
      </c>
      <c r="G14" s="63">
        <v>4</v>
      </c>
      <c r="H14" s="60">
        <v>26</v>
      </c>
      <c r="I14" s="60">
        <v>20</v>
      </c>
      <c r="J14" s="60">
        <v>46</v>
      </c>
      <c r="K14" s="60">
        <v>0.56520000000000004</v>
      </c>
      <c r="L14" s="60">
        <f t="shared" si="0"/>
        <v>-6.4348000000000001</v>
      </c>
      <c r="M14" s="64">
        <f t="shared" si="1"/>
        <v>9</v>
      </c>
      <c r="N14" s="65" t="s">
        <v>263</v>
      </c>
      <c r="O14" s="60" t="s">
        <v>264</v>
      </c>
      <c r="P14" s="66"/>
      <c r="Q14" s="66"/>
      <c r="R14" s="66"/>
      <c r="S14" s="66"/>
      <c r="T14" s="67">
        <v>6</v>
      </c>
      <c r="U14" s="67">
        <v>12</v>
      </c>
      <c r="V14" s="67"/>
      <c r="W14" s="67"/>
      <c r="X14" s="67">
        <f t="shared" ref="X14:Y14" si="19">(P14+R14+T14+V14)</f>
        <v>6</v>
      </c>
      <c r="Y14" s="67">
        <f t="shared" si="19"/>
        <v>12</v>
      </c>
      <c r="Z14" s="68">
        <f t="shared" si="3"/>
        <v>18</v>
      </c>
      <c r="AA14" s="69" t="str">
        <f t="shared" si="4"/>
        <v>4A</v>
      </c>
      <c r="AB14" s="70" t="s">
        <v>262</v>
      </c>
      <c r="AC14" s="70" t="s">
        <v>265</v>
      </c>
      <c r="AD14" s="70">
        <v>26</v>
      </c>
      <c r="AE14" s="70">
        <v>20</v>
      </c>
      <c r="AF14" s="70">
        <v>46</v>
      </c>
      <c r="AG14" s="72">
        <f t="shared" si="6"/>
        <v>0.56521739130434778</v>
      </c>
      <c r="AH14" s="73">
        <f t="shared" si="7"/>
        <v>-73.434782608695656</v>
      </c>
      <c r="AI14" s="74">
        <v>9</v>
      </c>
      <c r="AJ14" s="79" t="s">
        <v>266</v>
      </c>
      <c r="AK14" s="76" t="s">
        <v>267</v>
      </c>
      <c r="AL14" s="67"/>
      <c r="AM14" s="503"/>
      <c r="AN14" s="505" t="s">
        <v>1401</v>
      </c>
      <c r="AO14" s="515" t="s">
        <v>181</v>
      </c>
      <c r="AP14" s="517" t="s">
        <v>1429</v>
      </c>
      <c r="AQ14" s="516" t="s">
        <v>1432</v>
      </c>
    </row>
    <row r="15" spans="1:43">
      <c r="A15" s="58">
        <v>40104</v>
      </c>
      <c r="B15" s="59" t="s">
        <v>204</v>
      </c>
      <c r="C15" s="60" t="s">
        <v>268</v>
      </c>
      <c r="D15" s="60" t="s">
        <v>264</v>
      </c>
      <c r="E15" s="77">
        <v>11</v>
      </c>
      <c r="F15" s="76">
        <v>11</v>
      </c>
      <c r="G15" s="76">
        <v>11</v>
      </c>
      <c r="H15" s="60">
        <v>33</v>
      </c>
      <c r="I15" s="60">
        <v>16</v>
      </c>
      <c r="J15" s="60">
        <v>49</v>
      </c>
      <c r="K15" s="60">
        <v>0.67349999999999999</v>
      </c>
      <c r="L15" s="60">
        <f t="shared" si="0"/>
        <v>0.67349999999999999</v>
      </c>
      <c r="M15" s="64">
        <f t="shared" si="1"/>
        <v>3</v>
      </c>
      <c r="N15" s="65"/>
      <c r="O15" s="60"/>
      <c r="P15" s="66"/>
      <c r="Q15" s="66"/>
      <c r="R15" s="66"/>
      <c r="S15" s="66"/>
      <c r="T15" s="67"/>
      <c r="U15" s="67"/>
      <c r="V15" s="67"/>
      <c r="W15" s="67"/>
      <c r="X15" s="67">
        <f t="shared" ref="X15:Y15" si="20">(P15+R15+T15+V15)</f>
        <v>0</v>
      </c>
      <c r="Y15" s="67">
        <f t="shared" si="20"/>
        <v>0</v>
      </c>
      <c r="Z15" s="68">
        <f t="shared" si="3"/>
        <v>0</v>
      </c>
      <c r="AA15" s="69" t="str">
        <f t="shared" si="4"/>
        <v>4B</v>
      </c>
      <c r="AB15" s="70" t="s">
        <v>264</v>
      </c>
      <c r="AC15" s="70" t="s">
        <v>263</v>
      </c>
      <c r="AD15" s="70">
        <v>39</v>
      </c>
      <c r="AE15" s="70">
        <v>28</v>
      </c>
      <c r="AF15" s="70">
        <v>67</v>
      </c>
      <c r="AG15" s="72">
        <f t="shared" si="6"/>
        <v>0.58208955223880599</v>
      </c>
      <c r="AH15" s="73">
        <f t="shared" si="7"/>
        <v>-60.417910447761194</v>
      </c>
      <c r="AI15" s="74">
        <v>4</v>
      </c>
      <c r="AJ15" s="79" t="s">
        <v>269</v>
      </c>
      <c r="AK15" s="76" t="s">
        <v>270</v>
      </c>
      <c r="AL15" s="67"/>
      <c r="AM15" s="503"/>
      <c r="AN15" s="505" t="s">
        <v>1402</v>
      </c>
      <c r="AO15" s="515" t="s">
        <v>182</v>
      </c>
      <c r="AP15" s="517" t="s">
        <v>1430</v>
      </c>
      <c r="AQ15" s="516" t="s">
        <v>1431</v>
      </c>
    </row>
    <row r="16" spans="1:43">
      <c r="A16" s="58">
        <v>40104</v>
      </c>
      <c r="B16" s="59" t="s">
        <v>204</v>
      </c>
      <c r="C16" s="60" t="s">
        <v>271</v>
      </c>
      <c r="D16" s="60" t="s">
        <v>272</v>
      </c>
      <c r="E16" s="77">
        <v>4</v>
      </c>
      <c r="F16" s="78">
        <v>5</v>
      </c>
      <c r="G16" s="78">
        <v>11</v>
      </c>
      <c r="H16" s="60">
        <v>20</v>
      </c>
      <c r="I16" s="60">
        <v>31</v>
      </c>
      <c r="J16" s="60">
        <v>51</v>
      </c>
      <c r="K16" s="60">
        <v>0.39219999999999999</v>
      </c>
      <c r="L16" s="60">
        <f t="shared" si="0"/>
        <v>-12.607799999999999</v>
      </c>
      <c r="M16" s="64">
        <f t="shared" si="1"/>
        <v>14</v>
      </c>
      <c r="N16" s="65"/>
      <c r="O16" s="60">
        <v>0</v>
      </c>
      <c r="P16" s="66"/>
      <c r="Q16" s="66"/>
      <c r="R16" s="66"/>
      <c r="S16" s="66"/>
      <c r="T16" s="67"/>
      <c r="U16" s="67"/>
      <c r="V16" s="67"/>
      <c r="W16" s="67"/>
      <c r="X16" s="67">
        <f t="shared" ref="X16:Y16" si="21">(P16+R16+T16+V16)</f>
        <v>0</v>
      </c>
      <c r="Y16" s="67">
        <f t="shared" si="21"/>
        <v>0</v>
      </c>
      <c r="Z16" s="68">
        <f t="shared" si="3"/>
        <v>0</v>
      </c>
      <c r="AA16" s="69" t="str">
        <f t="shared" si="4"/>
        <v>4C</v>
      </c>
      <c r="AB16" s="70" t="s">
        <v>272</v>
      </c>
      <c r="AC16" s="70" t="s">
        <v>273</v>
      </c>
      <c r="AD16" s="70">
        <v>20</v>
      </c>
      <c r="AE16" s="70">
        <v>31</v>
      </c>
      <c r="AF16" s="70">
        <v>51</v>
      </c>
      <c r="AG16" s="72">
        <f t="shared" si="6"/>
        <v>0.39215686274509803</v>
      </c>
      <c r="AH16" s="73">
        <f t="shared" si="7"/>
        <v>-79.607843137254903</v>
      </c>
      <c r="AI16" s="74">
        <v>14</v>
      </c>
      <c r="AJ16" s="79" t="s">
        <v>274</v>
      </c>
      <c r="AK16" s="76" t="s">
        <v>275</v>
      </c>
      <c r="AL16" s="67"/>
      <c r="AM16" s="503"/>
      <c r="AN16" s="505" t="s">
        <v>1390</v>
      </c>
      <c r="AO16" s="515" t="s">
        <v>183</v>
      </c>
      <c r="AP16" s="517" t="s">
        <v>1434</v>
      </c>
      <c r="AQ16" s="516" t="s">
        <v>1431</v>
      </c>
    </row>
    <row r="17" spans="1:43">
      <c r="A17" s="87">
        <v>40104</v>
      </c>
      <c r="B17" s="88" t="s">
        <v>204</v>
      </c>
      <c r="C17" s="89" t="s">
        <v>276</v>
      </c>
      <c r="D17" s="89" t="s">
        <v>277</v>
      </c>
      <c r="E17" s="80">
        <v>4</v>
      </c>
      <c r="F17" s="81">
        <v>8</v>
      </c>
      <c r="G17" s="82">
        <v>9</v>
      </c>
      <c r="H17" s="89">
        <v>21</v>
      </c>
      <c r="I17" s="89">
        <v>33</v>
      </c>
      <c r="J17" s="89">
        <v>54</v>
      </c>
      <c r="K17" s="89">
        <v>0.38890000000000002</v>
      </c>
      <c r="L17" s="89">
        <f t="shared" si="0"/>
        <v>-11.6111</v>
      </c>
      <c r="M17" s="86">
        <f t="shared" si="1"/>
        <v>13</v>
      </c>
      <c r="N17" s="90"/>
      <c r="O17" s="89"/>
      <c r="P17" s="91"/>
      <c r="Q17" s="91"/>
      <c r="R17" s="91"/>
      <c r="S17" s="91"/>
      <c r="T17" s="92"/>
      <c r="U17" s="92"/>
      <c r="V17" s="92"/>
      <c r="W17" s="92"/>
      <c r="X17" s="92">
        <f t="shared" ref="X17:Y17" si="22">(P17+R17+T17+V17)</f>
        <v>0</v>
      </c>
      <c r="Y17" s="92">
        <f t="shared" si="22"/>
        <v>0</v>
      </c>
      <c r="Z17" s="84">
        <f t="shared" si="3"/>
        <v>0</v>
      </c>
      <c r="AA17" s="93" t="str">
        <f t="shared" si="4"/>
        <v>4D</v>
      </c>
      <c r="AB17" s="94" t="s">
        <v>277</v>
      </c>
      <c r="AC17" s="94" t="s">
        <v>278</v>
      </c>
      <c r="AD17" s="94">
        <v>21</v>
      </c>
      <c r="AE17" s="94">
        <v>33</v>
      </c>
      <c r="AF17" s="94">
        <v>54</v>
      </c>
      <c r="AG17" s="95">
        <f t="shared" si="6"/>
        <v>0.3888888888888889</v>
      </c>
      <c r="AH17" s="96">
        <f t="shared" si="7"/>
        <v>-78.611111111111114</v>
      </c>
      <c r="AI17" s="97">
        <v>13</v>
      </c>
      <c r="AJ17" s="98" t="s">
        <v>279</v>
      </c>
      <c r="AK17" s="81" t="s">
        <v>280</v>
      </c>
      <c r="AL17" s="67"/>
      <c r="AM17" s="503"/>
      <c r="AN17" s="505" t="s">
        <v>1403</v>
      </c>
      <c r="AO17" s="515" t="s">
        <v>184</v>
      </c>
      <c r="AP17" s="517" t="s">
        <v>1439</v>
      </c>
      <c r="AQ17" s="516" t="s">
        <v>1431</v>
      </c>
    </row>
    <row r="18" spans="1:43">
      <c r="A18" s="58">
        <v>40313</v>
      </c>
      <c r="B18" s="59" t="s">
        <v>204</v>
      </c>
      <c r="C18" s="60" t="s">
        <v>205</v>
      </c>
      <c r="D18" s="60" t="s">
        <v>41</v>
      </c>
      <c r="E18" s="61">
        <v>11</v>
      </c>
      <c r="F18" s="62">
        <v>11</v>
      </c>
      <c r="G18" s="63">
        <v>11</v>
      </c>
      <c r="H18" s="60">
        <v>33</v>
      </c>
      <c r="I18" s="60">
        <v>23</v>
      </c>
      <c r="J18" s="60">
        <v>56</v>
      </c>
      <c r="K18" s="60">
        <v>0.58930000000000005</v>
      </c>
      <c r="L18" s="60">
        <f t="shared" si="0"/>
        <v>0.58930000000000005</v>
      </c>
      <c r="M18" s="64">
        <f t="shared" ref="M18:M272" si="23">IF(A18&lt;&gt;"", 1+SUMPRODUCT((A$2:A$1000=A18)*(L$2:L$1000&gt;L18)), "")</f>
        <v>3</v>
      </c>
      <c r="N18" s="65" t="s">
        <v>207</v>
      </c>
      <c r="O18" s="60" t="s">
        <v>41</v>
      </c>
      <c r="P18" s="66"/>
      <c r="Q18" s="66"/>
      <c r="R18" s="66"/>
      <c r="S18" s="66"/>
      <c r="T18" s="67">
        <v>13</v>
      </c>
      <c r="U18" s="67">
        <v>9</v>
      </c>
      <c r="V18" s="67">
        <v>12</v>
      </c>
      <c r="W18" s="67">
        <v>13</v>
      </c>
      <c r="X18" s="67">
        <f t="shared" ref="X18:Y18" si="24">(P18+R18+T18+V18)</f>
        <v>25</v>
      </c>
      <c r="Y18" s="67">
        <f t="shared" si="24"/>
        <v>22</v>
      </c>
      <c r="Z18" s="68">
        <f t="shared" si="3"/>
        <v>47</v>
      </c>
      <c r="AA18" s="69" t="str">
        <f t="shared" si="4"/>
        <v>1A</v>
      </c>
      <c r="AB18" s="70" t="s">
        <v>41</v>
      </c>
      <c r="AC18" s="70" t="s">
        <v>207</v>
      </c>
      <c r="AD18" s="70">
        <v>58</v>
      </c>
      <c r="AE18" s="70">
        <v>45</v>
      </c>
      <c r="AF18" s="70">
        <v>103</v>
      </c>
      <c r="AG18" s="72">
        <f t="shared" si="6"/>
        <v>0.56310679611650483</v>
      </c>
      <c r="AH18" s="73">
        <f t="shared" si="7"/>
        <v>-41.436893203883493</v>
      </c>
      <c r="AI18" s="74">
        <v>2</v>
      </c>
      <c r="AJ18" s="79" t="s">
        <v>281</v>
      </c>
      <c r="AK18" s="76" t="s">
        <v>282</v>
      </c>
      <c r="AL18" s="67"/>
      <c r="AM18" s="503"/>
      <c r="AN18" s="505" t="s">
        <v>1404</v>
      </c>
      <c r="AO18" s="515" t="s">
        <v>185</v>
      </c>
      <c r="AP18" s="517" t="s">
        <v>1440</v>
      </c>
      <c r="AQ18" s="516" t="s">
        <v>1431</v>
      </c>
    </row>
    <row r="19" spans="1:43">
      <c r="A19" s="58">
        <v>40313</v>
      </c>
      <c r="B19" s="59" t="s">
        <v>204</v>
      </c>
      <c r="C19" s="60" t="s">
        <v>211</v>
      </c>
      <c r="D19" s="60" t="s">
        <v>283</v>
      </c>
      <c r="E19" s="77">
        <v>9</v>
      </c>
      <c r="F19" s="76">
        <v>11</v>
      </c>
      <c r="G19" s="76">
        <v>7</v>
      </c>
      <c r="H19" s="60">
        <v>27</v>
      </c>
      <c r="I19" s="60">
        <v>29</v>
      </c>
      <c r="J19" s="60">
        <v>56</v>
      </c>
      <c r="K19" s="60">
        <v>0.48209999999999997</v>
      </c>
      <c r="L19" s="60">
        <f t="shared" si="0"/>
        <v>-5.5179</v>
      </c>
      <c r="M19" s="64">
        <f t="shared" si="23"/>
        <v>10</v>
      </c>
      <c r="N19" s="65"/>
      <c r="O19" s="60"/>
      <c r="P19" s="66"/>
      <c r="Q19" s="66"/>
      <c r="R19" s="66"/>
      <c r="S19" s="66"/>
      <c r="T19" s="67"/>
      <c r="U19" s="67"/>
      <c r="V19" s="67"/>
      <c r="W19" s="67"/>
      <c r="X19" s="67">
        <f t="shared" ref="X19:Y19" si="25">(P19+R19+T19+V19)</f>
        <v>0</v>
      </c>
      <c r="Y19" s="67">
        <f t="shared" si="25"/>
        <v>0</v>
      </c>
      <c r="Z19" s="68">
        <f t="shared" si="3"/>
        <v>0</v>
      </c>
      <c r="AA19" s="69" t="str">
        <f t="shared" si="4"/>
        <v>1B</v>
      </c>
      <c r="AB19" s="70" t="s">
        <v>283</v>
      </c>
      <c r="AC19" s="70" t="s">
        <v>208</v>
      </c>
      <c r="AD19" s="70">
        <v>27</v>
      </c>
      <c r="AE19" s="70">
        <v>29</v>
      </c>
      <c r="AF19" s="70">
        <v>56</v>
      </c>
      <c r="AG19" s="72">
        <f t="shared" si="6"/>
        <v>0.48214285714285715</v>
      </c>
      <c r="AH19" s="73">
        <f t="shared" si="7"/>
        <v>-72.517857142857139</v>
      </c>
      <c r="AI19" s="74">
        <v>10</v>
      </c>
      <c r="AJ19" s="79" t="s">
        <v>30</v>
      </c>
      <c r="AK19" s="76" t="s">
        <v>275</v>
      </c>
      <c r="AL19" s="67"/>
      <c r="AM19" s="503"/>
      <c r="AN19" s="505" t="s">
        <v>1405</v>
      </c>
      <c r="AO19" s="515" t="s">
        <v>186</v>
      </c>
      <c r="AP19" s="517" t="s">
        <v>1441</v>
      </c>
      <c r="AQ19" s="516" t="s">
        <v>1431</v>
      </c>
    </row>
    <row r="20" spans="1:43">
      <c r="A20" s="58">
        <v>40313</v>
      </c>
      <c r="B20" s="59" t="s">
        <v>204</v>
      </c>
      <c r="C20" s="60" t="s">
        <v>216</v>
      </c>
      <c r="D20" s="60" t="s">
        <v>284</v>
      </c>
      <c r="E20" s="77">
        <v>11</v>
      </c>
      <c r="F20" s="78">
        <v>7</v>
      </c>
      <c r="G20" s="78">
        <v>10</v>
      </c>
      <c r="H20" s="60">
        <v>28</v>
      </c>
      <c r="I20" s="60">
        <v>31</v>
      </c>
      <c r="J20" s="60">
        <v>59</v>
      </c>
      <c r="K20" s="60">
        <v>0.47460000000000002</v>
      </c>
      <c r="L20" s="60">
        <f t="shared" si="0"/>
        <v>-4.5254000000000003</v>
      </c>
      <c r="M20" s="64">
        <f t="shared" si="23"/>
        <v>8</v>
      </c>
      <c r="N20" s="65"/>
      <c r="O20" s="60">
        <v>0</v>
      </c>
      <c r="P20" s="66"/>
      <c r="Q20" s="66"/>
      <c r="R20" s="66"/>
      <c r="S20" s="66"/>
      <c r="T20" s="67"/>
      <c r="U20" s="67"/>
      <c r="V20" s="67"/>
      <c r="W20" s="67"/>
      <c r="X20" s="67">
        <f t="shared" ref="X20:Y20" si="26">(P20+R20+T20+V20)</f>
        <v>0</v>
      </c>
      <c r="Y20" s="67">
        <f t="shared" si="26"/>
        <v>0</v>
      </c>
      <c r="Z20" s="68">
        <f t="shared" si="3"/>
        <v>0</v>
      </c>
      <c r="AA20" s="69" t="str">
        <f t="shared" si="4"/>
        <v>1C</v>
      </c>
      <c r="AB20" s="70" t="s">
        <v>284</v>
      </c>
      <c r="AC20" s="70" t="s">
        <v>218</v>
      </c>
      <c r="AD20" s="70">
        <v>28</v>
      </c>
      <c r="AE20" s="70">
        <v>31</v>
      </c>
      <c r="AF20" s="70">
        <v>59</v>
      </c>
      <c r="AG20" s="72">
        <f t="shared" si="6"/>
        <v>0.47457627118644069</v>
      </c>
      <c r="AH20" s="73">
        <f t="shared" si="7"/>
        <v>-71.525423728813564</v>
      </c>
      <c r="AI20" s="74">
        <v>8</v>
      </c>
      <c r="AJ20" s="79" t="s">
        <v>285</v>
      </c>
      <c r="AK20" s="76" t="s">
        <v>23</v>
      </c>
      <c r="AL20" s="67"/>
      <c r="AM20" s="503"/>
      <c r="AN20" s="505" t="s">
        <v>1406</v>
      </c>
      <c r="AO20" s="515" t="s">
        <v>187</v>
      </c>
      <c r="AP20" s="517" t="s">
        <v>1442</v>
      </c>
      <c r="AQ20" s="516" t="s">
        <v>1431</v>
      </c>
    </row>
    <row r="21" spans="1:43">
      <c r="A21" s="58">
        <v>40313</v>
      </c>
      <c r="B21" s="59" t="s">
        <v>204</v>
      </c>
      <c r="C21" s="60" t="s">
        <v>221</v>
      </c>
      <c r="D21" s="60" t="s">
        <v>286</v>
      </c>
      <c r="E21" s="80">
        <v>9</v>
      </c>
      <c r="F21" s="81">
        <v>7</v>
      </c>
      <c r="G21" s="82">
        <v>11</v>
      </c>
      <c r="H21" s="60">
        <v>27</v>
      </c>
      <c r="I21" s="60">
        <v>32</v>
      </c>
      <c r="J21" s="60">
        <v>59</v>
      </c>
      <c r="K21" s="60">
        <v>0.45760000000000001</v>
      </c>
      <c r="L21" s="60">
        <f t="shared" si="0"/>
        <v>-5.5423999999999998</v>
      </c>
      <c r="M21" s="64">
        <f t="shared" si="23"/>
        <v>11</v>
      </c>
      <c r="N21" s="65"/>
      <c r="O21" s="60"/>
      <c r="P21" s="66"/>
      <c r="Q21" s="66"/>
      <c r="R21" s="66"/>
      <c r="S21" s="66"/>
      <c r="T21" s="67"/>
      <c r="U21" s="67"/>
      <c r="V21" s="67"/>
      <c r="W21" s="67"/>
      <c r="X21" s="67">
        <f t="shared" ref="X21:Y21" si="27">(P21+R21+T21+V21)</f>
        <v>0</v>
      </c>
      <c r="Y21" s="67">
        <f t="shared" si="27"/>
        <v>0</v>
      </c>
      <c r="Z21" s="68">
        <f t="shared" si="3"/>
        <v>0</v>
      </c>
      <c r="AA21" s="69" t="str">
        <f t="shared" si="4"/>
        <v>1D</v>
      </c>
      <c r="AB21" s="70" t="s">
        <v>286</v>
      </c>
      <c r="AC21" s="70" t="s">
        <v>208</v>
      </c>
      <c r="AD21" s="70">
        <v>27</v>
      </c>
      <c r="AE21" s="70">
        <v>32</v>
      </c>
      <c r="AF21" s="70">
        <v>59</v>
      </c>
      <c r="AG21" s="72">
        <f t="shared" si="6"/>
        <v>0.4576271186440678</v>
      </c>
      <c r="AH21" s="73">
        <f t="shared" si="7"/>
        <v>-72.542372881355931</v>
      </c>
      <c r="AI21" s="74">
        <v>11</v>
      </c>
      <c r="AJ21" s="79" t="s">
        <v>270</v>
      </c>
      <c r="AK21" s="76" t="s">
        <v>287</v>
      </c>
      <c r="AL21" s="67"/>
      <c r="AM21" s="503"/>
      <c r="AN21" s="505" t="s">
        <v>1407</v>
      </c>
      <c r="AO21" s="515" t="s">
        <v>188</v>
      </c>
      <c r="AP21" s="517" t="s">
        <v>1443</v>
      </c>
      <c r="AQ21" s="516" t="s">
        <v>1431</v>
      </c>
    </row>
    <row r="22" spans="1:43">
      <c r="A22" s="58">
        <v>40313</v>
      </c>
      <c r="B22" s="59" t="s">
        <v>204</v>
      </c>
      <c r="C22" s="60" t="s">
        <v>224</v>
      </c>
      <c r="D22" s="60" t="s">
        <v>288</v>
      </c>
      <c r="E22" s="64">
        <v>11</v>
      </c>
      <c r="F22" s="68">
        <v>11</v>
      </c>
      <c r="G22" s="78">
        <v>11</v>
      </c>
      <c r="H22" s="60">
        <v>33</v>
      </c>
      <c r="I22" s="60">
        <v>15</v>
      </c>
      <c r="J22" s="60">
        <v>48</v>
      </c>
      <c r="K22" s="60">
        <v>0.6875</v>
      </c>
      <c r="L22" s="60">
        <f t="shared" si="0"/>
        <v>0.6875</v>
      </c>
      <c r="M22" s="64">
        <f t="shared" si="23"/>
        <v>1</v>
      </c>
      <c r="N22" s="65" t="s">
        <v>225</v>
      </c>
      <c r="O22" s="60" t="s">
        <v>288</v>
      </c>
      <c r="P22" s="66"/>
      <c r="Q22" s="66"/>
      <c r="R22" s="66"/>
      <c r="S22" s="66"/>
      <c r="T22" s="67">
        <v>13</v>
      </c>
      <c r="U22" s="67">
        <v>18</v>
      </c>
      <c r="V22" s="67"/>
      <c r="W22" s="67"/>
      <c r="X22" s="67">
        <f t="shared" ref="X22:Y22" si="28">(P22+R22+T22+V22)</f>
        <v>13</v>
      </c>
      <c r="Y22" s="67">
        <f t="shared" si="28"/>
        <v>18</v>
      </c>
      <c r="Z22" s="68">
        <f t="shared" si="3"/>
        <v>31</v>
      </c>
      <c r="AA22" s="69" t="str">
        <f t="shared" si="4"/>
        <v>2A</v>
      </c>
      <c r="AB22" s="70" t="s">
        <v>288</v>
      </c>
      <c r="AC22" s="70" t="s">
        <v>225</v>
      </c>
      <c r="AD22" s="70">
        <v>46</v>
      </c>
      <c r="AE22" s="70">
        <v>33</v>
      </c>
      <c r="AF22" s="70">
        <v>79</v>
      </c>
      <c r="AG22" s="72">
        <f t="shared" si="6"/>
        <v>0.58227848101265822</v>
      </c>
      <c r="AH22" s="73">
        <f t="shared" si="7"/>
        <v>-53.417721518987342</v>
      </c>
      <c r="AI22" s="74">
        <v>3</v>
      </c>
      <c r="AJ22" s="79" t="s">
        <v>226</v>
      </c>
      <c r="AK22" s="76" t="s">
        <v>289</v>
      </c>
      <c r="AL22" s="67"/>
      <c r="AM22" s="503"/>
      <c r="AN22" s="505" t="s">
        <v>1408</v>
      </c>
      <c r="AO22" s="515" t="s">
        <v>189</v>
      </c>
      <c r="AP22" s="517" t="s">
        <v>1444</v>
      </c>
      <c r="AQ22" s="516" t="s">
        <v>1431</v>
      </c>
    </row>
    <row r="23" spans="1:43">
      <c r="A23" s="58">
        <v>40313</v>
      </c>
      <c r="B23" s="59" t="s">
        <v>204</v>
      </c>
      <c r="C23" s="60" t="s">
        <v>228</v>
      </c>
      <c r="D23" s="60" t="s">
        <v>290</v>
      </c>
      <c r="E23" s="64">
        <v>0</v>
      </c>
      <c r="F23" s="78">
        <v>0</v>
      </c>
      <c r="G23" s="68">
        <v>0</v>
      </c>
      <c r="H23" s="60">
        <v>0</v>
      </c>
      <c r="I23" s="60">
        <v>33</v>
      </c>
      <c r="J23" s="60">
        <v>33</v>
      </c>
      <c r="K23" s="60">
        <v>0</v>
      </c>
      <c r="L23" s="60">
        <f t="shared" si="0"/>
        <v>-33</v>
      </c>
      <c r="M23" s="64">
        <f t="shared" si="23"/>
        <v>16</v>
      </c>
      <c r="N23" s="65"/>
      <c r="O23" s="60"/>
      <c r="P23" s="66"/>
      <c r="Q23" s="66"/>
      <c r="R23" s="66"/>
      <c r="S23" s="66"/>
      <c r="T23" s="67"/>
      <c r="U23" s="67"/>
      <c r="V23" s="67"/>
      <c r="W23" s="67"/>
      <c r="X23" s="67">
        <f t="shared" ref="X23:Y23" si="29">(P23+R23+T23+V23)</f>
        <v>0</v>
      </c>
      <c r="Y23" s="67">
        <f t="shared" si="29"/>
        <v>0</v>
      </c>
      <c r="Z23" s="68">
        <f t="shared" si="3"/>
        <v>0</v>
      </c>
      <c r="AA23" s="69" t="str">
        <f t="shared" si="4"/>
        <v>2B</v>
      </c>
      <c r="AB23" s="70" t="s">
        <v>290</v>
      </c>
      <c r="AC23" s="70" t="s">
        <v>234</v>
      </c>
      <c r="AD23" s="70">
        <v>0</v>
      </c>
      <c r="AE23" s="70">
        <v>33</v>
      </c>
      <c r="AF23" s="70">
        <v>33</v>
      </c>
      <c r="AG23" s="72">
        <f t="shared" si="6"/>
        <v>0</v>
      </c>
      <c r="AH23" s="73">
        <f t="shared" si="7"/>
        <v>-100</v>
      </c>
      <c r="AI23" s="74">
        <v>16</v>
      </c>
      <c r="AJ23" s="79" t="s">
        <v>291</v>
      </c>
      <c r="AK23" s="76" t="s">
        <v>274</v>
      </c>
      <c r="AL23" s="67"/>
      <c r="AM23" s="503"/>
      <c r="AN23" s="505" t="s">
        <v>1409</v>
      </c>
      <c r="AO23" s="515" t="s">
        <v>190</v>
      </c>
      <c r="AP23" s="517" t="s">
        <v>190</v>
      </c>
      <c r="AQ23" s="516" t="s">
        <v>1431</v>
      </c>
    </row>
    <row r="24" spans="1:43">
      <c r="A24" s="58">
        <v>40313</v>
      </c>
      <c r="B24" s="59" t="s">
        <v>204</v>
      </c>
      <c r="C24" s="60" t="s">
        <v>232</v>
      </c>
      <c r="D24" s="60" t="s">
        <v>292</v>
      </c>
      <c r="E24" s="77">
        <v>11</v>
      </c>
      <c r="F24" s="78">
        <v>11</v>
      </c>
      <c r="G24" s="78">
        <v>6</v>
      </c>
      <c r="H24" s="60">
        <v>28</v>
      </c>
      <c r="I24" s="60">
        <v>18</v>
      </c>
      <c r="J24" s="60">
        <v>46</v>
      </c>
      <c r="K24" s="60">
        <v>0.60870000000000002</v>
      </c>
      <c r="L24" s="60">
        <f t="shared" si="0"/>
        <v>-4.3913000000000002</v>
      </c>
      <c r="M24" s="64">
        <f t="shared" si="23"/>
        <v>7</v>
      </c>
      <c r="N24" s="65"/>
      <c r="O24" s="60">
        <v>0</v>
      </c>
      <c r="P24" s="66"/>
      <c r="Q24" s="66"/>
      <c r="R24" s="66"/>
      <c r="S24" s="66"/>
      <c r="T24" s="67"/>
      <c r="U24" s="67"/>
      <c r="V24" s="67"/>
      <c r="W24" s="67"/>
      <c r="X24" s="67">
        <f t="shared" ref="X24:Y24" si="30">(P24+R24+T24+V24)</f>
        <v>0</v>
      </c>
      <c r="Y24" s="67">
        <f t="shared" si="30"/>
        <v>0</v>
      </c>
      <c r="Z24" s="68">
        <f t="shared" si="3"/>
        <v>0</v>
      </c>
      <c r="AA24" s="69" t="str">
        <f t="shared" si="4"/>
        <v>2C</v>
      </c>
      <c r="AB24" s="70" t="s">
        <v>292</v>
      </c>
      <c r="AC24" s="70" t="s">
        <v>230</v>
      </c>
      <c r="AD24" s="70">
        <v>28</v>
      </c>
      <c r="AE24" s="70">
        <v>18</v>
      </c>
      <c r="AF24" s="70">
        <v>46</v>
      </c>
      <c r="AG24" s="72">
        <f t="shared" si="6"/>
        <v>0.60869565217391308</v>
      </c>
      <c r="AH24" s="73">
        <f t="shared" si="7"/>
        <v>-71.391304347826093</v>
      </c>
      <c r="AI24" s="74">
        <v>7</v>
      </c>
      <c r="AJ24" s="79" t="s">
        <v>240</v>
      </c>
      <c r="AK24" s="76" t="s">
        <v>293</v>
      </c>
      <c r="AL24" s="67"/>
      <c r="AM24" s="503"/>
      <c r="AN24" s="505" t="s">
        <v>4</v>
      </c>
      <c r="AO24" s="515" t="s">
        <v>191</v>
      </c>
      <c r="AP24" s="517" t="s">
        <v>191</v>
      </c>
      <c r="AQ24" s="516" t="s">
        <v>1431</v>
      </c>
    </row>
    <row r="25" spans="1:43">
      <c r="A25" s="58">
        <v>40313</v>
      </c>
      <c r="B25" s="59" t="s">
        <v>204</v>
      </c>
      <c r="C25" s="60" t="s">
        <v>237</v>
      </c>
      <c r="D25" s="60" t="s">
        <v>294</v>
      </c>
      <c r="E25" s="83">
        <v>7</v>
      </c>
      <c r="F25" s="84">
        <v>9</v>
      </c>
      <c r="G25" s="84">
        <v>11</v>
      </c>
      <c r="H25" s="60">
        <v>27</v>
      </c>
      <c r="I25" s="60">
        <v>22</v>
      </c>
      <c r="J25" s="60">
        <v>49</v>
      </c>
      <c r="K25" s="60">
        <v>0.55100000000000005</v>
      </c>
      <c r="L25" s="60">
        <f t="shared" si="0"/>
        <v>-5.4489999999999998</v>
      </c>
      <c r="M25" s="64">
        <f t="shared" si="23"/>
        <v>9</v>
      </c>
      <c r="N25" s="65"/>
      <c r="O25" s="60"/>
      <c r="P25" s="66"/>
      <c r="Q25" s="66"/>
      <c r="R25" s="66"/>
      <c r="S25" s="66"/>
      <c r="T25" s="67"/>
      <c r="U25" s="67"/>
      <c r="V25" s="67"/>
      <c r="W25" s="67"/>
      <c r="X25" s="67">
        <f t="shared" ref="X25:Y25" si="31">(P25+R25+T25+V25)</f>
        <v>0</v>
      </c>
      <c r="Y25" s="67">
        <f t="shared" si="31"/>
        <v>0</v>
      </c>
      <c r="Z25" s="68">
        <f t="shared" si="3"/>
        <v>0</v>
      </c>
      <c r="AA25" s="69" t="str">
        <f t="shared" si="4"/>
        <v>2D</v>
      </c>
      <c r="AB25" s="70" t="s">
        <v>294</v>
      </c>
      <c r="AC25" s="70" t="s">
        <v>239</v>
      </c>
      <c r="AD25" s="70">
        <v>27</v>
      </c>
      <c r="AE25" s="70">
        <v>22</v>
      </c>
      <c r="AF25" s="70">
        <v>49</v>
      </c>
      <c r="AG25" s="72">
        <f t="shared" si="6"/>
        <v>0.55102040816326525</v>
      </c>
      <c r="AH25" s="73">
        <f t="shared" si="7"/>
        <v>-72.448979591836732</v>
      </c>
      <c r="AI25" s="74">
        <v>9</v>
      </c>
      <c r="AJ25" s="79" t="s">
        <v>295</v>
      </c>
      <c r="AK25" s="76" t="s">
        <v>267</v>
      </c>
      <c r="AL25" s="67"/>
      <c r="AM25" s="503"/>
      <c r="AN25" s="505" t="s">
        <v>1410</v>
      </c>
      <c r="AO25" s="515" t="s">
        <v>192</v>
      </c>
      <c r="AP25" s="517" t="s">
        <v>1445</v>
      </c>
      <c r="AQ25" s="516" t="s">
        <v>1431</v>
      </c>
    </row>
    <row r="26" spans="1:43">
      <c r="A26" s="58">
        <v>40313</v>
      </c>
      <c r="B26" s="59" t="s">
        <v>204</v>
      </c>
      <c r="C26" s="60" t="s">
        <v>241</v>
      </c>
      <c r="D26" s="60" t="s">
        <v>296</v>
      </c>
      <c r="E26" s="77">
        <v>4</v>
      </c>
      <c r="F26" s="68">
        <v>11</v>
      </c>
      <c r="G26" s="68">
        <v>6</v>
      </c>
      <c r="H26" s="60">
        <v>21</v>
      </c>
      <c r="I26" s="60">
        <v>22</v>
      </c>
      <c r="J26" s="60">
        <v>43</v>
      </c>
      <c r="K26" s="60">
        <v>0.4884</v>
      </c>
      <c r="L26" s="60">
        <f t="shared" si="0"/>
        <v>-11.5116</v>
      </c>
      <c r="M26" s="64">
        <f t="shared" si="23"/>
        <v>13</v>
      </c>
      <c r="N26" s="65" t="s">
        <v>243</v>
      </c>
      <c r="O26" s="60" t="s">
        <v>297</v>
      </c>
      <c r="P26" s="66"/>
      <c r="Q26" s="66"/>
      <c r="R26" s="66"/>
      <c r="S26" s="66"/>
      <c r="T26" s="67">
        <v>18</v>
      </c>
      <c r="U26" s="67">
        <v>13</v>
      </c>
      <c r="V26" s="67">
        <v>13</v>
      </c>
      <c r="W26" s="67">
        <v>12</v>
      </c>
      <c r="X26" s="67">
        <f t="shared" ref="X26:Y26" si="32">(P26+R26+T26+V26)</f>
        <v>31</v>
      </c>
      <c r="Y26" s="67">
        <f t="shared" si="32"/>
        <v>25</v>
      </c>
      <c r="Z26" s="68">
        <f t="shared" si="3"/>
        <v>56</v>
      </c>
      <c r="AA26" s="69" t="str">
        <f t="shared" si="4"/>
        <v>3A</v>
      </c>
      <c r="AB26" s="70" t="s">
        <v>296</v>
      </c>
      <c r="AC26" s="70" t="s">
        <v>248</v>
      </c>
      <c r="AD26" s="70">
        <v>21</v>
      </c>
      <c r="AE26" s="70">
        <v>22</v>
      </c>
      <c r="AF26" s="70">
        <v>43</v>
      </c>
      <c r="AG26" s="72">
        <f t="shared" si="6"/>
        <v>0.48837209302325579</v>
      </c>
      <c r="AH26" s="73">
        <f t="shared" si="7"/>
        <v>-78.511627906976742</v>
      </c>
      <c r="AI26" s="74">
        <v>13</v>
      </c>
      <c r="AJ26" s="79" t="s">
        <v>298</v>
      </c>
      <c r="AK26" s="76" t="s">
        <v>299</v>
      </c>
      <c r="AL26" s="67"/>
      <c r="AM26" s="503"/>
      <c r="AN26" s="505" t="s">
        <v>1411</v>
      </c>
      <c r="AO26" s="515" t="s">
        <v>193</v>
      </c>
      <c r="AP26" s="517" t="s">
        <v>1446</v>
      </c>
      <c r="AQ26" s="516" t="s">
        <v>1431</v>
      </c>
    </row>
    <row r="27" spans="1:43">
      <c r="A27" s="58">
        <v>40313</v>
      </c>
      <c r="B27" s="59" t="s">
        <v>204</v>
      </c>
      <c r="C27" s="60" t="s">
        <v>246</v>
      </c>
      <c r="D27" s="60" t="s">
        <v>300</v>
      </c>
      <c r="E27" s="64">
        <v>1</v>
      </c>
      <c r="F27" s="68">
        <v>0</v>
      </c>
      <c r="G27" s="78">
        <v>0</v>
      </c>
      <c r="H27" s="60">
        <v>1</v>
      </c>
      <c r="I27" s="60">
        <v>33</v>
      </c>
      <c r="J27" s="60">
        <v>34</v>
      </c>
      <c r="K27" s="60">
        <v>2.9399999999999999E-2</v>
      </c>
      <c r="L27" s="60">
        <f t="shared" si="0"/>
        <v>-31.970600000000001</v>
      </c>
      <c r="M27" s="64">
        <f t="shared" si="23"/>
        <v>15</v>
      </c>
      <c r="N27" s="65"/>
      <c r="O27" s="60"/>
      <c r="P27" s="66"/>
      <c r="Q27" s="66"/>
      <c r="R27" s="66"/>
      <c r="S27" s="66"/>
      <c r="T27" s="67"/>
      <c r="U27" s="67"/>
      <c r="V27" s="67"/>
      <c r="W27" s="67"/>
      <c r="X27" s="67">
        <f t="shared" ref="X27:Y27" si="33">(P27+R27+T27+V27)</f>
        <v>0</v>
      </c>
      <c r="Y27" s="67">
        <f t="shared" si="33"/>
        <v>0</v>
      </c>
      <c r="Z27" s="68">
        <f t="shared" si="3"/>
        <v>0</v>
      </c>
      <c r="AA27" s="69" t="str">
        <f t="shared" si="4"/>
        <v>3B</v>
      </c>
      <c r="AB27" s="70" t="s">
        <v>300</v>
      </c>
      <c r="AC27" s="70" t="s">
        <v>258</v>
      </c>
      <c r="AD27" s="70">
        <v>1</v>
      </c>
      <c r="AE27" s="70">
        <v>33</v>
      </c>
      <c r="AF27" s="70">
        <v>34</v>
      </c>
      <c r="AG27" s="72">
        <f t="shared" si="6"/>
        <v>2.9411764705882353E-2</v>
      </c>
      <c r="AH27" s="73">
        <f t="shared" si="7"/>
        <v>-98.970588235294116</v>
      </c>
      <c r="AI27" s="74">
        <v>15</v>
      </c>
      <c r="AJ27" s="79" t="s">
        <v>227</v>
      </c>
      <c r="AK27" s="76" t="s">
        <v>220</v>
      </c>
      <c r="AL27" s="67"/>
      <c r="AM27" s="503"/>
      <c r="AN27" s="505" t="s">
        <v>1412</v>
      </c>
      <c r="AO27" s="515" t="s">
        <v>194</v>
      </c>
      <c r="AP27" s="517" t="s">
        <v>1447</v>
      </c>
      <c r="AQ27" s="516" t="s">
        <v>1431</v>
      </c>
    </row>
    <row r="28" spans="1:43">
      <c r="A28" s="58">
        <v>40313</v>
      </c>
      <c r="B28" s="59" t="s">
        <v>204</v>
      </c>
      <c r="C28" s="60" t="s">
        <v>251</v>
      </c>
      <c r="D28" s="60" t="s">
        <v>301</v>
      </c>
      <c r="E28" s="77">
        <v>11</v>
      </c>
      <c r="F28" s="78">
        <v>8</v>
      </c>
      <c r="G28" s="78">
        <v>11</v>
      </c>
      <c r="H28" s="60">
        <v>30</v>
      </c>
      <c r="I28" s="60">
        <v>15</v>
      </c>
      <c r="J28" s="60">
        <v>45</v>
      </c>
      <c r="K28" s="60">
        <v>0.66669999999999996</v>
      </c>
      <c r="L28" s="60">
        <f t="shared" si="0"/>
        <v>-2.3332999999999999</v>
      </c>
      <c r="M28" s="64">
        <f t="shared" si="23"/>
        <v>6</v>
      </c>
      <c r="N28" s="65"/>
      <c r="O28" s="60">
        <v>0</v>
      </c>
      <c r="P28" s="66"/>
      <c r="Q28" s="66"/>
      <c r="R28" s="66"/>
      <c r="S28" s="66"/>
      <c r="T28" s="67"/>
      <c r="U28" s="67"/>
      <c r="V28" s="67"/>
      <c r="W28" s="67"/>
      <c r="X28" s="67">
        <f t="shared" ref="X28:Y28" si="34">(P28+R28+T28+V28)</f>
        <v>0</v>
      </c>
      <c r="Y28" s="67">
        <f t="shared" si="34"/>
        <v>0</v>
      </c>
      <c r="Z28" s="68">
        <f t="shared" si="3"/>
        <v>0</v>
      </c>
      <c r="AA28" s="69" t="str">
        <f t="shared" si="4"/>
        <v>3C</v>
      </c>
      <c r="AB28" s="70" t="s">
        <v>301</v>
      </c>
      <c r="AC28" s="70" t="s">
        <v>253</v>
      </c>
      <c r="AD28" s="70">
        <v>30</v>
      </c>
      <c r="AE28" s="70">
        <v>15</v>
      </c>
      <c r="AF28" s="70">
        <v>45</v>
      </c>
      <c r="AG28" s="72">
        <f t="shared" si="6"/>
        <v>0.66666666666666663</v>
      </c>
      <c r="AH28" s="73">
        <f t="shared" si="7"/>
        <v>-69.333333333333329</v>
      </c>
      <c r="AI28" s="74">
        <v>6</v>
      </c>
      <c r="AJ28" s="79" t="s">
        <v>231</v>
      </c>
      <c r="AK28" s="76" t="s">
        <v>302</v>
      </c>
      <c r="AL28" s="67"/>
      <c r="AM28" s="503"/>
      <c r="AN28" s="505" t="s">
        <v>1413</v>
      </c>
      <c r="AO28" s="515" t="s">
        <v>171</v>
      </c>
      <c r="AQ28" s="516" t="s">
        <v>1433</v>
      </c>
    </row>
    <row r="29" spans="1:43">
      <c r="A29" s="58">
        <v>40313</v>
      </c>
      <c r="B29" s="59" t="s">
        <v>204</v>
      </c>
      <c r="C29" s="60" t="s">
        <v>256</v>
      </c>
      <c r="D29" s="60" t="s">
        <v>297</v>
      </c>
      <c r="E29" s="86">
        <v>11</v>
      </c>
      <c r="F29" s="82">
        <v>11</v>
      </c>
      <c r="G29" s="84">
        <v>11</v>
      </c>
      <c r="H29" s="60">
        <v>33</v>
      </c>
      <c r="I29" s="60">
        <v>15</v>
      </c>
      <c r="J29" s="60">
        <v>48</v>
      </c>
      <c r="K29" s="60">
        <v>0.6875</v>
      </c>
      <c r="L29" s="60">
        <f t="shared" si="0"/>
        <v>0.6875</v>
      </c>
      <c r="M29" s="64">
        <f t="shared" si="23"/>
        <v>1</v>
      </c>
      <c r="N29" s="65"/>
      <c r="O29" s="60"/>
      <c r="P29" s="66"/>
      <c r="Q29" s="66"/>
      <c r="R29" s="66"/>
      <c r="S29" s="66"/>
      <c r="T29" s="67"/>
      <c r="U29" s="67"/>
      <c r="V29" s="67"/>
      <c r="W29" s="67"/>
      <c r="X29" s="67">
        <f t="shared" ref="X29:Y29" si="35">(P29+R29+T29+V29)</f>
        <v>0</v>
      </c>
      <c r="Y29" s="67">
        <f t="shared" si="35"/>
        <v>0</v>
      </c>
      <c r="Z29" s="68">
        <f t="shared" si="3"/>
        <v>0</v>
      </c>
      <c r="AA29" s="69" t="str">
        <f t="shared" si="4"/>
        <v>3D</v>
      </c>
      <c r="AB29" s="70" t="s">
        <v>297</v>
      </c>
      <c r="AC29" s="70" t="s">
        <v>243</v>
      </c>
      <c r="AD29" s="70">
        <v>64</v>
      </c>
      <c r="AE29" s="70">
        <v>40</v>
      </c>
      <c r="AF29" s="70">
        <v>104</v>
      </c>
      <c r="AG29" s="72">
        <f t="shared" si="6"/>
        <v>0.61538461538461542</v>
      </c>
      <c r="AH29" s="73">
        <f t="shared" si="7"/>
        <v>-35.384615384615387</v>
      </c>
      <c r="AI29" s="74">
        <v>1</v>
      </c>
      <c r="AJ29" s="79" t="s">
        <v>303</v>
      </c>
      <c r="AK29" s="76" t="s">
        <v>304</v>
      </c>
      <c r="AL29" s="67"/>
      <c r="AM29" s="503"/>
      <c r="AN29" s="505" t="s">
        <v>1414</v>
      </c>
      <c r="AO29" s="515" t="s">
        <v>195</v>
      </c>
      <c r="AQ29" s="516" t="s">
        <v>1433</v>
      </c>
    </row>
    <row r="30" spans="1:43">
      <c r="A30" s="58">
        <v>40313</v>
      </c>
      <c r="B30" s="59" t="s">
        <v>204</v>
      </c>
      <c r="C30" s="60" t="s">
        <v>261</v>
      </c>
      <c r="D30" s="60" t="s">
        <v>305</v>
      </c>
      <c r="E30" s="61">
        <v>9</v>
      </c>
      <c r="F30" s="62">
        <v>11</v>
      </c>
      <c r="G30" s="63">
        <v>11</v>
      </c>
      <c r="H30" s="60">
        <v>31</v>
      </c>
      <c r="I30" s="60">
        <v>21</v>
      </c>
      <c r="J30" s="60">
        <v>52</v>
      </c>
      <c r="K30" s="60">
        <v>0.59619999999999995</v>
      </c>
      <c r="L30" s="60">
        <f t="shared" si="0"/>
        <v>-1.4037999999999999</v>
      </c>
      <c r="M30" s="64">
        <f t="shared" si="23"/>
        <v>5</v>
      </c>
      <c r="N30" s="65" t="s">
        <v>263</v>
      </c>
      <c r="O30" s="60" t="s">
        <v>306</v>
      </c>
      <c r="P30" s="66"/>
      <c r="Q30" s="66"/>
      <c r="R30" s="66"/>
      <c r="S30" s="66"/>
      <c r="T30" s="67">
        <v>9</v>
      </c>
      <c r="U30" s="67">
        <v>13</v>
      </c>
      <c r="V30" s="67"/>
      <c r="W30" s="67"/>
      <c r="X30" s="67">
        <f t="shared" ref="X30:Y30" si="36">(P30+R30+T30+V30)</f>
        <v>9</v>
      </c>
      <c r="Y30" s="67">
        <f t="shared" si="36"/>
        <v>13</v>
      </c>
      <c r="Z30" s="68">
        <f t="shared" si="3"/>
        <v>22</v>
      </c>
      <c r="AA30" s="69" t="str">
        <f t="shared" si="4"/>
        <v>4A</v>
      </c>
      <c r="AB30" s="70" t="s">
        <v>305</v>
      </c>
      <c r="AC30" s="70" t="s">
        <v>265</v>
      </c>
      <c r="AD30" s="70">
        <v>31</v>
      </c>
      <c r="AE30" s="70">
        <v>21</v>
      </c>
      <c r="AF30" s="70">
        <v>52</v>
      </c>
      <c r="AG30" s="72">
        <f t="shared" si="6"/>
        <v>0.59615384615384615</v>
      </c>
      <c r="AH30" s="73">
        <f t="shared" si="7"/>
        <v>-68.40384615384616</v>
      </c>
      <c r="AI30" s="74">
        <v>5</v>
      </c>
      <c r="AJ30" s="79" t="s">
        <v>307</v>
      </c>
      <c r="AK30" s="76" t="s">
        <v>223</v>
      </c>
      <c r="AL30" s="67"/>
      <c r="AM30" s="503"/>
      <c r="AN30" s="505" t="s">
        <v>1415</v>
      </c>
      <c r="AO30" s="515" t="s">
        <v>181</v>
      </c>
      <c r="AQ30" s="516" t="s">
        <v>1433</v>
      </c>
    </row>
    <row r="31" spans="1:43">
      <c r="A31" s="58">
        <v>40313</v>
      </c>
      <c r="B31" s="59" t="s">
        <v>204</v>
      </c>
      <c r="C31" s="60" t="s">
        <v>268</v>
      </c>
      <c r="D31" s="60" t="s">
        <v>308</v>
      </c>
      <c r="E31" s="77">
        <v>11</v>
      </c>
      <c r="F31" s="76">
        <v>8</v>
      </c>
      <c r="G31" s="76">
        <v>6</v>
      </c>
      <c r="H31" s="60">
        <v>25</v>
      </c>
      <c r="I31" s="60">
        <v>23</v>
      </c>
      <c r="J31" s="60">
        <v>48</v>
      </c>
      <c r="K31" s="60">
        <v>0.52080000000000004</v>
      </c>
      <c r="L31" s="60">
        <f t="shared" si="0"/>
        <v>-7.4791999999999996</v>
      </c>
      <c r="M31" s="64">
        <f t="shared" si="23"/>
        <v>12</v>
      </c>
      <c r="N31" s="65"/>
      <c r="O31" s="60"/>
      <c r="P31" s="66"/>
      <c r="Q31" s="66"/>
      <c r="R31" s="66"/>
      <c r="S31" s="66"/>
      <c r="T31" s="67"/>
      <c r="U31" s="67"/>
      <c r="V31" s="67"/>
      <c r="W31" s="67"/>
      <c r="X31" s="67">
        <f t="shared" ref="X31:Y31" si="37">(P31+R31+T31+V31)</f>
        <v>0</v>
      </c>
      <c r="Y31" s="67">
        <f t="shared" si="37"/>
        <v>0</v>
      </c>
      <c r="Z31" s="68">
        <f t="shared" si="3"/>
        <v>0</v>
      </c>
      <c r="AA31" s="69" t="str">
        <f t="shared" si="4"/>
        <v>4B</v>
      </c>
      <c r="AB31" s="70" t="s">
        <v>308</v>
      </c>
      <c r="AC31" s="70" t="s">
        <v>278</v>
      </c>
      <c r="AD31" s="70">
        <v>25</v>
      </c>
      <c r="AE31" s="70">
        <v>23</v>
      </c>
      <c r="AF31" s="70">
        <v>48</v>
      </c>
      <c r="AG31" s="72">
        <f t="shared" si="6"/>
        <v>0.52083333333333337</v>
      </c>
      <c r="AH31" s="73">
        <f t="shared" si="7"/>
        <v>-74.479166666666671</v>
      </c>
      <c r="AI31" s="74">
        <v>12</v>
      </c>
      <c r="AJ31" s="79" t="s">
        <v>279</v>
      </c>
      <c r="AK31" s="76" t="s">
        <v>235</v>
      </c>
      <c r="AL31" s="67"/>
      <c r="AM31" s="503"/>
      <c r="AN31" s="505" t="s">
        <v>1416</v>
      </c>
      <c r="AO31" s="515" t="s">
        <v>196</v>
      </c>
      <c r="AP31" s="517" t="s">
        <v>1448</v>
      </c>
      <c r="AQ31" s="516" t="s">
        <v>1433</v>
      </c>
    </row>
    <row r="32" spans="1:43">
      <c r="A32" s="58">
        <v>40313</v>
      </c>
      <c r="B32" s="59" t="s">
        <v>204</v>
      </c>
      <c r="C32" s="60" t="s">
        <v>271</v>
      </c>
      <c r="D32" s="60" t="s">
        <v>309</v>
      </c>
      <c r="E32" s="77">
        <v>1</v>
      </c>
      <c r="F32" s="78">
        <v>4</v>
      </c>
      <c r="G32" s="78">
        <v>6</v>
      </c>
      <c r="H32" s="60">
        <v>11</v>
      </c>
      <c r="I32" s="60">
        <v>33</v>
      </c>
      <c r="J32" s="60">
        <v>44</v>
      </c>
      <c r="K32" s="60">
        <v>0.25</v>
      </c>
      <c r="L32" s="60">
        <f t="shared" si="0"/>
        <v>-21.75</v>
      </c>
      <c r="M32" s="64">
        <f t="shared" si="23"/>
        <v>14</v>
      </c>
      <c r="N32" s="65"/>
      <c r="O32" s="60">
        <v>0</v>
      </c>
      <c r="P32" s="66"/>
      <c r="Q32" s="66"/>
      <c r="R32" s="66"/>
      <c r="S32" s="66"/>
      <c r="T32" s="67"/>
      <c r="U32" s="67"/>
      <c r="V32" s="67"/>
      <c r="W32" s="67"/>
      <c r="X32" s="67">
        <f t="shared" ref="X32:Y32" si="38">(P32+R32+T32+V32)</f>
        <v>0</v>
      </c>
      <c r="Y32" s="67">
        <f t="shared" si="38"/>
        <v>0</v>
      </c>
      <c r="Z32" s="68">
        <f t="shared" si="3"/>
        <v>0</v>
      </c>
      <c r="AA32" s="69" t="str">
        <f t="shared" si="4"/>
        <v>4C</v>
      </c>
      <c r="AB32" s="70" t="s">
        <v>309</v>
      </c>
      <c r="AC32" s="70" t="s">
        <v>273</v>
      </c>
      <c r="AD32" s="70">
        <v>11</v>
      </c>
      <c r="AE32" s="70">
        <v>33</v>
      </c>
      <c r="AF32" s="70">
        <v>44</v>
      </c>
      <c r="AG32" s="72">
        <f t="shared" si="6"/>
        <v>0.25</v>
      </c>
      <c r="AH32" s="73">
        <f t="shared" si="7"/>
        <v>-88.75</v>
      </c>
      <c r="AI32" s="74">
        <v>14</v>
      </c>
      <c r="AJ32" s="79" t="s">
        <v>259</v>
      </c>
      <c r="AK32" s="76" t="s">
        <v>215</v>
      </c>
      <c r="AL32" s="67"/>
      <c r="AM32" s="503"/>
      <c r="AN32" s="505" t="s">
        <v>1417</v>
      </c>
      <c r="AO32" s="515" t="s">
        <v>197</v>
      </c>
      <c r="AP32" s="517" t="s">
        <v>1449</v>
      </c>
      <c r="AQ32" s="516" t="s">
        <v>1433</v>
      </c>
    </row>
    <row r="33" spans="1:43">
      <c r="A33" s="87">
        <v>40313</v>
      </c>
      <c r="B33" s="88" t="s">
        <v>204</v>
      </c>
      <c r="C33" s="89" t="s">
        <v>276</v>
      </c>
      <c r="D33" s="89" t="s">
        <v>306</v>
      </c>
      <c r="E33" s="80">
        <v>11</v>
      </c>
      <c r="F33" s="81">
        <v>11</v>
      </c>
      <c r="G33" s="82">
        <v>11</v>
      </c>
      <c r="H33" s="89">
        <v>33</v>
      </c>
      <c r="I33" s="89">
        <v>23</v>
      </c>
      <c r="J33" s="89">
        <v>56</v>
      </c>
      <c r="K33" s="89">
        <v>0.58930000000000005</v>
      </c>
      <c r="L33" s="89">
        <f t="shared" si="0"/>
        <v>0.58930000000000005</v>
      </c>
      <c r="M33" s="86">
        <f t="shared" si="23"/>
        <v>3</v>
      </c>
      <c r="N33" s="90"/>
      <c r="O33" s="89"/>
      <c r="P33" s="91"/>
      <c r="Q33" s="91"/>
      <c r="R33" s="91"/>
      <c r="S33" s="91"/>
      <c r="T33" s="92"/>
      <c r="U33" s="92"/>
      <c r="V33" s="92"/>
      <c r="W33" s="92"/>
      <c r="X33" s="92">
        <f t="shared" ref="X33:Y33" si="39">(P33+R33+T33+V33)</f>
        <v>0</v>
      </c>
      <c r="Y33" s="92">
        <f t="shared" si="39"/>
        <v>0</v>
      </c>
      <c r="Z33" s="84">
        <f t="shared" si="3"/>
        <v>0</v>
      </c>
      <c r="AA33" s="93" t="str">
        <f t="shared" si="4"/>
        <v>4D</v>
      </c>
      <c r="AB33" s="94" t="s">
        <v>306</v>
      </c>
      <c r="AC33" s="94" t="s">
        <v>263</v>
      </c>
      <c r="AD33" s="94">
        <v>42</v>
      </c>
      <c r="AE33" s="94">
        <v>36</v>
      </c>
      <c r="AF33" s="94">
        <v>78</v>
      </c>
      <c r="AG33" s="95">
        <f t="shared" si="6"/>
        <v>0.53846153846153844</v>
      </c>
      <c r="AH33" s="96">
        <f t="shared" si="7"/>
        <v>-57.46153846153846</v>
      </c>
      <c r="AI33" s="97">
        <v>4</v>
      </c>
      <c r="AJ33" s="98" t="s">
        <v>310</v>
      </c>
      <c r="AK33" s="81" t="s">
        <v>269</v>
      </c>
      <c r="AL33" s="67"/>
      <c r="AM33" s="503"/>
      <c r="AN33" s="505" t="s">
        <v>1418</v>
      </c>
      <c r="AO33" s="515" t="s">
        <v>198</v>
      </c>
      <c r="AP33" s="517" t="s">
        <v>1450</v>
      </c>
      <c r="AQ33" s="516" t="s">
        <v>1433</v>
      </c>
    </row>
    <row r="34" spans="1:43" ht="13">
      <c r="A34" s="58">
        <v>40454</v>
      </c>
      <c r="B34" s="59" t="s">
        <v>204</v>
      </c>
      <c r="C34" s="60" t="s">
        <v>205</v>
      </c>
      <c r="D34" s="60" t="s">
        <v>311</v>
      </c>
      <c r="E34" s="61">
        <v>11</v>
      </c>
      <c r="F34" s="62">
        <v>11</v>
      </c>
      <c r="G34" s="63">
        <v>9</v>
      </c>
      <c r="H34" s="60">
        <v>31</v>
      </c>
      <c r="I34" s="60">
        <v>24</v>
      </c>
      <c r="J34" s="60">
        <v>55</v>
      </c>
      <c r="K34" s="60">
        <v>0.56359999999999999</v>
      </c>
      <c r="L34" s="60">
        <f t="shared" si="0"/>
        <v>-1.4363999999999999</v>
      </c>
      <c r="M34" s="64">
        <f t="shared" si="23"/>
        <v>4</v>
      </c>
      <c r="N34" s="65" t="s">
        <v>207</v>
      </c>
      <c r="O34" s="60" t="s">
        <v>311</v>
      </c>
      <c r="P34" s="66"/>
      <c r="Q34" s="66"/>
      <c r="R34" s="66"/>
      <c r="S34" s="66"/>
      <c r="T34" s="67">
        <v>5</v>
      </c>
      <c r="U34" s="67">
        <v>12</v>
      </c>
      <c r="V34" s="67"/>
      <c r="W34" s="67"/>
      <c r="X34" s="67">
        <f t="shared" ref="X34:Y34" si="40">(P34+R34+T34+V34)</f>
        <v>5</v>
      </c>
      <c r="Y34" s="67">
        <f t="shared" si="40"/>
        <v>12</v>
      </c>
      <c r="Z34" s="68">
        <f t="shared" si="3"/>
        <v>17</v>
      </c>
      <c r="AA34" s="69" t="str">
        <f t="shared" si="4"/>
        <v>1A</v>
      </c>
      <c r="AB34" s="70" t="s">
        <v>311</v>
      </c>
      <c r="AC34" s="70" t="s">
        <v>207</v>
      </c>
      <c r="AD34" s="70">
        <v>36</v>
      </c>
      <c r="AE34" s="70">
        <v>36</v>
      </c>
      <c r="AF34" s="70">
        <v>72</v>
      </c>
      <c r="AG34" s="72">
        <f t="shared" si="6"/>
        <v>0.5</v>
      </c>
      <c r="AH34" s="73">
        <f t="shared" si="7"/>
        <v>-63.5</v>
      </c>
      <c r="AI34" s="74">
        <v>4</v>
      </c>
      <c r="AJ34" s="79" t="s">
        <v>259</v>
      </c>
      <c r="AK34" s="76" t="s">
        <v>307</v>
      </c>
      <c r="AL34" s="67"/>
      <c r="AM34" s="503"/>
      <c r="AN34" s="505" t="s">
        <v>1419</v>
      </c>
      <c r="AO34" s="515" t="s">
        <v>199</v>
      </c>
      <c r="AP34" s="517" t="s">
        <v>1451</v>
      </c>
      <c r="AQ34" s="516" t="s">
        <v>1433</v>
      </c>
    </row>
    <row r="35" spans="1:43">
      <c r="A35" s="58">
        <v>40454</v>
      </c>
      <c r="B35" s="59" t="s">
        <v>204</v>
      </c>
      <c r="C35" s="60" t="s">
        <v>211</v>
      </c>
      <c r="D35" s="60" t="s">
        <v>312</v>
      </c>
      <c r="E35" s="77">
        <v>8</v>
      </c>
      <c r="F35" s="76">
        <v>4</v>
      </c>
      <c r="G35" s="76">
        <v>11</v>
      </c>
      <c r="H35" s="60">
        <v>23</v>
      </c>
      <c r="I35" s="60">
        <v>31</v>
      </c>
      <c r="J35" s="60">
        <v>54</v>
      </c>
      <c r="K35" s="60">
        <v>0.4259</v>
      </c>
      <c r="L35" s="60">
        <f t="shared" si="0"/>
        <v>-9.5740999999999996</v>
      </c>
      <c r="M35" s="64">
        <f t="shared" si="23"/>
        <v>12</v>
      </c>
      <c r="N35" s="65"/>
      <c r="O35" s="60"/>
      <c r="P35" s="66"/>
      <c r="Q35" s="66"/>
      <c r="R35" s="66"/>
      <c r="S35" s="66"/>
      <c r="T35" s="67"/>
      <c r="U35" s="67"/>
      <c r="V35" s="67"/>
      <c r="W35" s="67"/>
      <c r="X35" s="67">
        <f t="shared" ref="X35:Y35" si="41">(P35+R35+T35+V35)</f>
        <v>0</v>
      </c>
      <c r="Y35" s="67">
        <f t="shared" si="41"/>
        <v>0</v>
      </c>
      <c r="Z35" s="68">
        <f t="shared" si="3"/>
        <v>0</v>
      </c>
      <c r="AA35" s="69" t="str">
        <f t="shared" si="4"/>
        <v>1B</v>
      </c>
      <c r="AB35" s="70" t="s">
        <v>312</v>
      </c>
      <c r="AC35" s="70" t="s">
        <v>213</v>
      </c>
      <c r="AD35" s="70">
        <v>23</v>
      </c>
      <c r="AE35" s="70">
        <v>31</v>
      </c>
      <c r="AF35" s="70">
        <v>54</v>
      </c>
      <c r="AG35" s="72">
        <f t="shared" si="6"/>
        <v>0.42592592592592593</v>
      </c>
      <c r="AH35" s="73">
        <f t="shared" si="7"/>
        <v>-76.574074074074076</v>
      </c>
      <c r="AI35" s="74">
        <v>12</v>
      </c>
      <c r="AJ35" s="79" t="s">
        <v>269</v>
      </c>
      <c r="AK35" s="76" t="s">
        <v>287</v>
      </c>
      <c r="AL35" s="67"/>
      <c r="AM35" s="503"/>
      <c r="AN35" s="505" t="s">
        <v>1420</v>
      </c>
      <c r="AO35" s="515" t="s">
        <v>200</v>
      </c>
      <c r="AP35" s="517" t="s">
        <v>1452</v>
      </c>
      <c r="AQ35" s="516" t="s">
        <v>1433</v>
      </c>
    </row>
    <row r="36" spans="1:43">
      <c r="A36" s="58">
        <v>40454</v>
      </c>
      <c r="B36" s="59" t="s">
        <v>204</v>
      </c>
      <c r="C36" s="60" t="s">
        <v>216</v>
      </c>
      <c r="D36" s="60" t="s">
        <v>313</v>
      </c>
      <c r="E36" s="77">
        <v>11</v>
      </c>
      <c r="F36" s="78">
        <v>6</v>
      </c>
      <c r="G36" s="78">
        <v>11</v>
      </c>
      <c r="H36" s="60">
        <v>28</v>
      </c>
      <c r="I36" s="60">
        <v>26</v>
      </c>
      <c r="J36" s="60">
        <v>54</v>
      </c>
      <c r="K36" s="60">
        <v>0.51849999999999996</v>
      </c>
      <c r="L36" s="60">
        <f t="shared" si="0"/>
        <v>-4.4815000000000005</v>
      </c>
      <c r="M36" s="64">
        <f t="shared" si="23"/>
        <v>7</v>
      </c>
      <c r="N36" s="65"/>
      <c r="O36" s="60">
        <v>0</v>
      </c>
      <c r="P36" s="66"/>
      <c r="Q36" s="66"/>
      <c r="R36" s="66"/>
      <c r="S36" s="66"/>
      <c r="T36" s="67"/>
      <c r="U36" s="67"/>
      <c r="V36" s="67"/>
      <c r="W36" s="67"/>
      <c r="X36" s="67">
        <f t="shared" ref="X36:Y36" si="42">(P36+R36+T36+V36)</f>
        <v>0</v>
      </c>
      <c r="Y36" s="67">
        <f t="shared" si="42"/>
        <v>0</v>
      </c>
      <c r="Z36" s="68">
        <f t="shared" si="3"/>
        <v>0</v>
      </c>
      <c r="AA36" s="69" t="str">
        <f t="shared" si="4"/>
        <v>1C</v>
      </c>
      <c r="AB36" s="70" t="s">
        <v>313</v>
      </c>
      <c r="AC36" s="70" t="s">
        <v>218</v>
      </c>
      <c r="AD36" s="70">
        <v>28</v>
      </c>
      <c r="AE36" s="70">
        <v>26</v>
      </c>
      <c r="AF36" s="70">
        <v>54</v>
      </c>
      <c r="AG36" s="72">
        <f t="shared" si="6"/>
        <v>0.51851851851851849</v>
      </c>
      <c r="AH36" s="73">
        <f t="shared" si="7"/>
        <v>-71.481481481481481</v>
      </c>
      <c r="AI36" s="74">
        <v>7</v>
      </c>
      <c r="AJ36" s="79" t="s">
        <v>223</v>
      </c>
      <c r="AK36" s="76" t="s">
        <v>282</v>
      </c>
      <c r="AL36" s="67"/>
      <c r="AM36" s="506"/>
      <c r="AN36" s="505" t="s">
        <v>1421</v>
      </c>
      <c r="AO36" s="515" t="s">
        <v>201</v>
      </c>
      <c r="AP36" s="517" t="s">
        <v>1453</v>
      </c>
      <c r="AQ36" s="516" t="s">
        <v>1433</v>
      </c>
    </row>
    <row r="37" spans="1:43">
      <c r="A37" s="58">
        <v>40454</v>
      </c>
      <c r="B37" s="59" t="s">
        <v>204</v>
      </c>
      <c r="C37" s="60" t="s">
        <v>221</v>
      </c>
      <c r="D37" s="60" t="s">
        <v>314</v>
      </c>
      <c r="E37" s="80">
        <v>7</v>
      </c>
      <c r="F37" s="81">
        <v>11</v>
      </c>
      <c r="G37" s="82">
        <v>7</v>
      </c>
      <c r="H37" s="60">
        <v>25</v>
      </c>
      <c r="I37" s="60">
        <v>26</v>
      </c>
      <c r="J37" s="60">
        <v>51</v>
      </c>
      <c r="K37" s="60">
        <v>0.49020000000000002</v>
      </c>
      <c r="L37" s="60">
        <f t="shared" si="0"/>
        <v>-7.5098000000000003</v>
      </c>
      <c r="M37" s="64">
        <f t="shared" si="23"/>
        <v>11</v>
      </c>
      <c r="N37" s="65"/>
      <c r="O37" s="60"/>
      <c r="P37" s="66"/>
      <c r="Q37" s="66"/>
      <c r="R37" s="66"/>
      <c r="S37" s="66"/>
      <c r="T37" s="67"/>
      <c r="U37" s="67"/>
      <c r="V37" s="67"/>
      <c r="W37" s="67"/>
      <c r="X37" s="67">
        <f t="shared" ref="X37:Y37" si="43">(P37+R37+T37+V37)</f>
        <v>0</v>
      </c>
      <c r="Y37" s="67">
        <f t="shared" si="43"/>
        <v>0</v>
      </c>
      <c r="Z37" s="68">
        <f t="shared" si="3"/>
        <v>0</v>
      </c>
      <c r="AA37" s="69" t="str">
        <f t="shared" si="4"/>
        <v>1D</v>
      </c>
      <c r="AB37" s="70" t="s">
        <v>314</v>
      </c>
      <c r="AC37" s="70" t="s">
        <v>208</v>
      </c>
      <c r="AD37" s="70">
        <v>25</v>
      </c>
      <c r="AE37" s="70">
        <v>26</v>
      </c>
      <c r="AF37" s="70">
        <v>51</v>
      </c>
      <c r="AG37" s="72">
        <f t="shared" si="6"/>
        <v>0.49019607843137253</v>
      </c>
      <c r="AH37" s="73">
        <f t="shared" si="7"/>
        <v>-74.509803921568633</v>
      </c>
      <c r="AI37" s="74">
        <v>11</v>
      </c>
      <c r="AJ37" s="79" t="s">
        <v>315</v>
      </c>
      <c r="AK37" s="76" t="s">
        <v>235</v>
      </c>
      <c r="AL37" s="67"/>
      <c r="AM37" s="506"/>
      <c r="AN37" s="505" t="s">
        <v>1422</v>
      </c>
      <c r="AO37" s="515" t="s">
        <v>202</v>
      </c>
      <c r="AQ37" s="516" t="s">
        <v>1433</v>
      </c>
    </row>
    <row r="38" spans="1:43">
      <c r="A38" s="58">
        <v>40454</v>
      </c>
      <c r="B38" s="59" t="s">
        <v>204</v>
      </c>
      <c r="C38" s="60" t="s">
        <v>224</v>
      </c>
      <c r="D38" s="60" t="s">
        <v>316</v>
      </c>
      <c r="E38" s="64">
        <v>6</v>
      </c>
      <c r="F38" s="68">
        <v>9</v>
      </c>
      <c r="G38" s="78">
        <v>5</v>
      </c>
      <c r="H38" s="60">
        <v>20</v>
      </c>
      <c r="I38" s="60">
        <v>33</v>
      </c>
      <c r="J38" s="60">
        <v>53</v>
      </c>
      <c r="K38" s="60">
        <v>0.37740000000000001</v>
      </c>
      <c r="L38" s="60">
        <f t="shared" si="0"/>
        <v>-12.6226</v>
      </c>
      <c r="M38" s="64">
        <f t="shared" si="23"/>
        <v>14</v>
      </c>
      <c r="N38" s="65" t="s">
        <v>225</v>
      </c>
      <c r="O38" s="60" t="s">
        <v>317</v>
      </c>
      <c r="P38" s="66"/>
      <c r="Q38" s="66"/>
      <c r="R38" s="66"/>
      <c r="S38" s="66"/>
      <c r="T38" s="67">
        <v>9</v>
      </c>
      <c r="U38" s="67">
        <v>13</v>
      </c>
      <c r="V38" s="67"/>
      <c r="W38" s="67"/>
      <c r="X38" s="67">
        <f t="shared" ref="X38:Y38" si="44">(P38+R38+T38+V38)</f>
        <v>9</v>
      </c>
      <c r="Y38" s="67">
        <f t="shared" si="44"/>
        <v>13</v>
      </c>
      <c r="Z38" s="68">
        <f t="shared" si="3"/>
        <v>22</v>
      </c>
      <c r="AA38" s="69" t="str">
        <f t="shared" si="4"/>
        <v>2A</v>
      </c>
      <c r="AB38" s="70" t="s">
        <v>316</v>
      </c>
      <c r="AC38" s="70" t="s">
        <v>234</v>
      </c>
      <c r="AD38" s="70">
        <v>20</v>
      </c>
      <c r="AE38" s="70">
        <v>33</v>
      </c>
      <c r="AF38" s="70">
        <v>53</v>
      </c>
      <c r="AG38" s="72">
        <f t="shared" si="6"/>
        <v>0.37735849056603776</v>
      </c>
      <c r="AH38" s="73">
        <f t="shared" si="7"/>
        <v>-79.622641509433961</v>
      </c>
      <c r="AI38" s="74">
        <v>14</v>
      </c>
      <c r="AJ38" s="79" t="s">
        <v>293</v>
      </c>
      <c r="AK38" s="76" t="s">
        <v>318</v>
      </c>
      <c r="AL38" s="67"/>
      <c r="AM38" s="506"/>
      <c r="AN38" s="505" t="s">
        <v>1423</v>
      </c>
      <c r="AO38" s="515" t="s">
        <v>203</v>
      </c>
      <c r="AQ38" s="516" t="s">
        <v>1433</v>
      </c>
    </row>
    <row r="39" spans="1:43">
      <c r="A39" s="58">
        <v>40454</v>
      </c>
      <c r="B39" s="59" t="s">
        <v>204</v>
      </c>
      <c r="C39" s="60" t="s">
        <v>228</v>
      </c>
      <c r="D39" s="60" t="s">
        <v>317</v>
      </c>
      <c r="E39" s="64">
        <v>11</v>
      </c>
      <c r="F39" s="78">
        <v>11</v>
      </c>
      <c r="G39" s="68">
        <v>11</v>
      </c>
      <c r="H39" s="60">
        <v>33</v>
      </c>
      <c r="I39" s="60">
        <v>20</v>
      </c>
      <c r="J39" s="60">
        <v>53</v>
      </c>
      <c r="K39" s="60">
        <v>0.62260000000000004</v>
      </c>
      <c r="L39" s="60">
        <f t="shared" si="0"/>
        <v>0.62260000000000004</v>
      </c>
      <c r="M39" s="64">
        <f t="shared" si="23"/>
        <v>2</v>
      </c>
      <c r="N39" s="65"/>
      <c r="O39" s="60"/>
      <c r="P39" s="66"/>
      <c r="Q39" s="66"/>
      <c r="R39" s="66"/>
      <c r="S39" s="66"/>
      <c r="T39" s="67"/>
      <c r="U39" s="67"/>
      <c r="V39" s="67"/>
      <c r="W39" s="67"/>
      <c r="X39" s="67">
        <f t="shared" ref="X39:Y39" si="45">(P39+R39+T39+V39)</f>
        <v>0</v>
      </c>
      <c r="Y39" s="67">
        <f t="shared" si="45"/>
        <v>0</v>
      </c>
      <c r="Z39" s="68">
        <f t="shared" si="3"/>
        <v>0</v>
      </c>
      <c r="AA39" s="69" t="str">
        <f t="shared" si="4"/>
        <v>2B</v>
      </c>
      <c r="AB39" s="70" t="s">
        <v>317</v>
      </c>
      <c r="AC39" s="70" t="s">
        <v>225</v>
      </c>
      <c r="AD39" s="70">
        <v>42</v>
      </c>
      <c r="AE39" s="70">
        <v>33</v>
      </c>
      <c r="AF39" s="70">
        <v>75</v>
      </c>
      <c r="AG39" s="72">
        <f t="shared" si="6"/>
        <v>0.56000000000000005</v>
      </c>
      <c r="AH39" s="73">
        <f t="shared" si="7"/>
        <v>-57.44</v>
      </c>
      <c r="AI39" s="74">
        <v>3</v>
      </c>
      <c r="AJ39" s="79" t="s">
        <v>319</v>
      </c>
      <c r="AK39" s="76" t="s">
        <v>320</v>
      </c>
      <c r="AL39" s="67"/>
      <c r="AM39" s="506"/>
      <c r="AN39" s="505"/>
      <c r="AO39" s="515"/>
    </row>
    <row r="40" spans="1:43">
      <c r="A40" s="58">
        <v>40454</v>
      </c>
      <c r="B40" s="59" t="s">
        <v>204</v>
      </c>
      <c r="C40" s="60" t="s">
        <v>232</v>
      </c>
      <c r="D40" s="60" t="s">
        <v>47</v>
      </c>
      <c r="E40" s="77">
        <v>9</v>
      </c>
      <c r="F40" s="78">
        <v>9</v>
      </c>
      <c r="G40" s="78">
        <v>11</v>
      </c>
      <c r="H40" s="60">
        <v>29</v>
      </c>
      <c r="I40" s="60">
        <v>27</v>
      </c>
      <c r="J40" s="60">
        <v>56</v>
      </c>
      <c r="K40" s="60">
        <v>0.51790000000000003</v>
      </c>
      <c r="L40" s="60">
        <f t="shared" si="0"/>
        <v>-3.4821</v>
      </c>
      <c r="M40" s="64">
        <f t="shared" si="23"/>
        <v>6</v>
      </c>
      <c r="N40" s="65"/>
      <c r="O40" s="60">
        <v>0</v>
      </c>
      <c r="P40" s="66"/>
      <c r="Q40" s="66"/>
      <c r="R40" s="66"/>
      <c r="S40" s="66"/>
      <c r="T40" s="67"/>
      <c r="U40" s="67"/>
      <c r="V40" s="67"/>
      <c r="W40" s="67"/>
      <c r="X40" s="67">
        <f t="shared" ref="X40:Y40" si="46">(P40+R40+T40+V40)</f>
        <v>0</v>
      </c>
      <c r="Y40" s="67">
        <f t="shared" si="46"/>
        <v>0</v>
      </c>
      <c r="Z40" s="68">
        <f t="shared" si="3"/>
        <v>0</v>
      </c>
      <c r="AA40" s="69" t="str">
        <f t="shared" si="4"/>
        <v>2C</v>
      </c>
      <c r="AB40" s="70" t="s">
        <v>47</v>
      </c>
      <c r="AC40" s="70" t="s">
        <v>230</v>
      </c>
      <c r="AD40" s="70">
        <v>29</v>
      </c>
      <c r="AE40" s="70">
        <v>27</v>
      </c>
      <c r="AF40" s="70">
        <v>56</v>
      </c>
      <c r="AG40" s="72">
        <f t="shared" si="6"/>
        <v>0.5178571428571429</v>
      </c>
      <c r="AH40" s="73">
        <f t="shared" si="7"/>
        <v>-70.482142857142861</v>
      </c>
      <c r="AI40" s="74">
        <v>6</v>
      </c>
      <c r="AJ40" s="79" t="s">
        <v>321</v>
      </c>
      <c r="AK40" s="76" t="s">
        <v>236</v>
      </c>
      <c r="AL40" s="67"/>
      <c r="AM40" s="506"/>
      <c r="AN40" s="505"/>
      <c r="AO40" s="515"/>
    </row>
    <row r="41" spans="1:43">
      <c r="A41" s="58">
        <v>40454</v>
      </c>
      <c r="B41" s="59" t="s">
        <v>204</v>
      </c>
      <c r="C41" s="60" t="s">
        <v>237</v>
      </c>
      <c r="D41" s="60" t="s">
        <v>322</v>
      </c>
      <c r="E41" s="83">
        <v>11</v>
      </c>
      <c r="F41" s="84">
        <v>11</v>
      </c>
      <c r="G41" s="84">
        <v>5</v>
      </c>
      <c r="H41" s="60">
        <v>27</v>
      </c>
      <c r="I41" s="60">
        <v>29</v>
      </c>
      <c r="J41" s="60">
        <v>56</v>
      </c>
      <c r="K41" s="60">
        <v>0.48209999999999997</v>
      </c>
      <c r="L41" s="60">
        <f t="shared" si="0"/>
        <v>-5.5179</v>
      </c>
      <c r="M41" s="64">
        <f t="shared" si="23"/>
        <v>8</v>
      </c>
      <c r="N41" s="65"/>
      <c r="O41" s="60"/>
      <c r="P41" s="66"/>
      <c r="Q41" s="66"/>
      <c r="R41" s="66"/>
      <c r="S41" s="66"/>
      <c r="T41" s="67"/>
      <c r="U41" s="67"/>
      <c r="V41" s="67"/>
      <c r="W41" s="67"/>
      <c r="X41" s="67">
        <f t="shared" ref="X41:Y41" si="47">(P41+R41+T41+V41)</f>
        <v>0</v>
      </c>
      <c r="Y41" s="67">
        <f t="shared" si="47"/>
        <v>0</v>
      </c>
      <c r="Z41" s="68">
        <f t="shared" si="3"/>
        <v>0</v>
      </c>
      <c r="AA41" s="69" t="str">
        <f t="shared" si="4"/>
        <v>2D</v>
      </c>
      <c r="AB41" s="70" t="s">
        <v>322</v>
      </c>
      <c r="AC41" s="70" t="s">
        <v>239</v>
      </c>
      <c r="AD41" s="70">
        <v>27</v>
      </c>
      <c r="AE41" s="70">
        <v>29</v>
      </c>
      <c r="AF41" s="70">
        <v>56</v>
      </c>
      <c r="AG41" s="72">
        <f t="shared" si="6"/>
        <v>0.48214285714285715</v>
      </c>
      <c r="AH41" s="73">
        <f t="shared" si="7"/>
        <v>-72.517857142857139</v>
      </c>
      <c r="AI41" s="74">
        <v>8</v>
      </c>
      <c r="AJ41" s="79" t="s">
        <v>275</v>
      </c>
      <c r="AK41" s="76" t="s">
        <v>227</v>
      </c>
      <c r="AL41" s="67"/>
      <c r="AM41" s="506"/>
      <c r="AN41" s="505"/>
      <c r="AO41" s="515"/>
    </row>
    <row r="42" spans="1:43">
      <c r="A42" s="58">
        <v>40454</v>
      </c>
      <c r="B42" s="59" t="s">
        <v>204</v>
      </c>
      <c r="C42" s="60" t="s">
        <v>241</v>
      </c>
      <c r="D42" s="60" t="s">
        <v>323</v>
      </c>
      <c r="E42" s="77">
        <v>0</v>
      </c>
      <c r="F42" s="68">
        <v>3</v>
      </c>
      <c r="G42" s="68">
        <v>7</v>
      </c>
      <c r="H42" s="60">
        <v>10</v>
      </c>
      <c r="I42" s="60">
        <v>33</v>
      </c>
      <c r="J42" s="60">
        <v>43</v>
      </c>
      <c r="K42" s="60">
        <v>0.2326</v>
      </c>
      <c r="L42" s="60">
        <f t="shared" si="0"/>
        <v>-22.767399999999999</v>
      </c>
      <c r="M42" s="64">
        <f t="shared" si="23"/>
        <v>16</v>
      </c>
      <c r="N42" s="65" t="s">
        <v>243</v>
      </c>
      <c r="O42" s="60" t="s">
        <v>44</v>
      </c>
      <c r="P42" s="66"/>
      <c r="Q42" s="66"/>
      <c r="R42" s="66"/>
      <c r="S42" s="66"/>
      <c r="T42" s="67">
        <v>13</v>
      </c>
      <c r="U42" s="67">
        <v>9</v>
      </c>
      <c r="V42" s="67">
        <v>15</v>
      </c>
      <c r="W42" s="67">
        <v>13</v>
      </c>
      <c r="X42" s="67">
        <f t="shared" ref="X42:Y42" si="48">(P42+R42+T42+V42)</f>
        <v>28</v>
      </c>
      <c r="Y42" s="67">
        <f t="shared" si="48"/>
        <v>22</v>
      </c>
      <c r="Z42" s="68">
        <f t="shared" si="3"/>
        <v>50</v>
      </c>
      <c r="AA42" s="69" t="str">
        <f t="shared" si="4"/>
        <v>3A</v>
      </c>
      <c r="AB42" s="70" t="s">
        <v>323</v>
      </c>
      <c r="AC42" s="70" t="s">
        <v>258</v>
      </c>
      <c r="AD42" s="70">
        <v>10</v>
      </c>
      <c r="AE42" s="70">
        <v>33</v>
      </c>
      <c r="AF42" s="70">
        <v>43</v>
      </c>
      <c r="AG42" s="72">
        <f t="shared" si="6"/>
        <v>0.23255813953488372</v>
      </c>
      <c r="AH42" s="73">
        <f t="shared" si="7"/>
        <v>-89.767441860465112</v>
      </c>
      <c r="AI42" s="74">
        <v>16</v>
      </c>
      <c r="AJ42" s="79" t="s">
        <v>210</v>
      </c>
      <c r="AK42" s="76" t="s">
        <v>324</v>
      </c>
      <c r="AL42" s="67"/>
      <c r="AM42" s="506"/>
      <c r="AN42" s="505"/>
      <c r="AO42" s="515"/>
    </row>
    <row r="43" spans="1:43">
      <c r="A43" s="58">
        <v>40454</v>
      </c>
      <c r="B43" s="59" t="s">
        <v>204</v>
      </c>
      <c r="C43" s="60" t="s">
        <v>246</v>
      </c>
      <c r="D43" s="60" t="s">
        <v>325</v>
      </c>
      <c r="E43" s="64">
        <v>7</v>
      </c>
      <c r="F43" s="68">
        <v>11</v>
      </c>
      <c r="G43" s="78">
        <v>11</v>
      </c>
      <c r="H43" s="60">
        <v>29</v>
      </c>
      <c r="I43" s="60">
        <v>24</v>
      </c>
      <c r="J43" s="60">
        <v>53</v>
      </c>
      <c r="K43" s="60">
        <v>0.54720000000000002</v>
      </c>
      <c r="L43" s="60">
        <f t="shared" si="0"/>
        <v>-3.4527999999999999</v>
      </c>
      <c r="M43" s="64">
        <f t="shared" si="23"/>
        <v>5</v>
      </c>
      <c r="N43" s="65"/>
      <c r="O43" s="60"/>
      <c r="P43" s="66"/>
      <c r="Q43" s="66"/>
      <c r="R43" s="66"/>
      <c r="S43" s="66"/>
      <c r="T43" s="67"/>
      <c r="U43" s="67"/>
      <c r="V43" s="67"/>
      <c r="W43" s="67"/>
      <c r="X43" s="67">
        <f t="shared" ref="X43:Y43" si="49">(P43+R43+T43+V43)</f>
        <v>0</v>
      </c>
      <c r="Y43" s="67">
        <f t="shared" si="49"/>
        <v>0</v>
      </c>
      <c r="Z43" s="68">
        <f t="shared" si="3"/>
        <v>0</v>
      </c>
      <c r="AA43" s="69" t="str">
        <f t="shared" si="4"/>
        <v>3B</v>
      </c>
      <c r="AB43" s="70" t="s">
        <v>325</v>
      </c>
      <c r="AC43" s="70" t="s">
        <v>253</v>
      </c>
      <c r="AD43" s="70">
        <v>29</v>
      </c>
      <c r="AE43" s="70">
        <v>24</v>
      </c>
      <c r="AF43" s="70">
        <v>53</v>
      </c>
      <c r="AG43" s="72">
        <f t="shared" si="6"/>
        <v>0.54716981132075471</v>
      </c>
      <c r="AH43" s="73">
        <f t="shared" si="7"/>
        <v>-70.452830188679243</v>
      </c>
      <c r="AI43" s="74">
        <v>5</v>
      </c>
      <c r="AJ43" s="79" t="s">
        <v>285</v>
      </c>
      <c r="AK43" s="76" t="s">
        <v>326</v>
      </c>
      <c r="AL43" s="67"/>
      <c r="AM43" s="506"/>
      <c r="AN43" s="505"/>
      <c r="AO43" s="515"/>
    </row>
    <row r="44" spans="1:43">
      <c r="A44" s="58">
        <v>40454</v>
      </c>
      <c r="B44" s="59" t="s">
        <v>204</v>
      </c>
      <c r="C44" s="60" t="s">
        <v>251</v>
      </c>
      <c r="D44" s="60" t="s">
        <v>44</v>
      </c>
      <c r="E44" s="77">
        <v>11</v>
      </c>
      <c r="F44" s="78">
        <v>11</v>
      </c>
      <c r="G44" s="78">
        <v>10</v>
      </c>
      <c r="H44" s="60">
        <v>32</v>
      </c>
      <c r="I44" s="60">
        <v>14</v>
      </c>
      <c r="J44" s="60">
        <v>46</v>
      </c>
      <c r="K44" s="60">
        <v>0.69569999999999999</v>
      </c>
      <c r="L44" s="60">
        <f t="shared" si="0"/>
        <v>-0.30430000000000001</v>
      </c>
      <c r="M44" s="64">
        <f t="shared" si="23"/>
        <v>3</v>
      </c>
      <c r="N44" s="65"/>
      <c r="O44" s="60">
        <v>0</v>
      </c>
      <c r="P44" s="66"/>
      <c r="Q44" s="66"/>
      <c r="R44" s="66"/>
      <c r="S44" s="66"/>
      <c r="T44" s="67"/>
      <c r="U44" s="67"/>
      <c r="V44" s="67"/>
      <c r="W44" s="67"/>
      <c r="X44" s="67">
        <f t="shared" ref="X44:Y44" si="50">(P44+R44+T44+V44)</f>
        <v>0</v>
      </c>
      <c r="Y44" s="67">
        <f t="shared" si="50"/>
        <v>0</v>
      </c>
      <c r="Z44" s="68">
        <f t="shared" si="3"/>
        <v>0</v>
      </c>
      <c r="AA44" s="69" t="str">
        <f t="shared" si="4"/>
        <v>3C</v>
      </c>
      <c r="AB44" s="70" t="s">
        <v>44</v>
      </c>
      <c r="AC44" s="70" t="s">
        <v>243</v>
      </c>
      <c r="AD44" s="70">
        <v>60</v>
      </c>
      <c r="AE44" s="70">
        <v>36</v>
      </c>
      <c r="AF44" s="70">
        <v>96</v>
      </c>
      <c r="AG44" s="72">
        <f t="shared" si="6"/>
        <v>0.625</v>
      </c>
      <c r="AH44" s="73">
        <f t="shared" si="7"/>
        <v>-39.375</v>
      </c>
      <c r="AI44" s="85">
        <v>2</v>
      </c>
      <c r="AJ44" s="79" t="s">
        <v>303</v>
      </c>
      <c r="AK44" s="76" t="s">
        <v>260</v>
      </c>
      <c r="AL44" s="67"/>
      <c r="AM44" s="506"/>
      <c r="AN44" s="505"/>
      <c r="AO44" s="515"/>
    </row>
    <row r="45" spans="1:43">
      <c r="A45" s="58">
        <v>40454</v>
      </c>
      <c r="B45" s="59" t="s">
        <v>204</v>
      </c>
      <c r="C45" s="60" t="s">
        <v>256</v>
      </c>
      <c r="D45" s="60" t="s">
        <v>327</v>
      </c>
      <c r="E45" s="86">
        <v>11</v>
      </c>
      <c r="F45" s="82">
        <v>3</v>
      </c>
      <c r="G45" s="84">
        <v>11</v>
      </c>
      <c r="H45" s="60">
        <v>25</v>
      </c>
      <c r="I45" s="60">
        <v>25</v>
      </c>
      <c r="J45" s="60">
        <v>50</v>
      </c>
      <c r="K45" s="60">
        <v>0.5</v>
      </c>
      <c r="L45" s="60">
        <f t="shared" si="0"/>
        <v>-7.5</v>
      </c>
      <c r="M45" s="64">
        <f t="shared" si="23"/>
        <v>10</v>
      </c>
      <c r="N45" s="65"/>
      <c r="O45" s="60"/>
      <c r="P45" s="66"/>
      <c r="Q45" s="66"/>
      <c r="R45" s="66"/>
      <c r="S45" s="66"/>
      <c r="T45" s="67"/>
      <c r="U45" s="67"/>
      <c r="V45" s="67"/>
      <c r="W45" s="67"/>
      <c r="X45" s="67">
        <f t="shared" ref="X45:Y45" si="51">(P45+R45+T45+V45)</f>
        <v>0</v>
      </c>
      <c r="Y45" s="67">
        <f t="shared" si="51"/>
        <v>0</v>
      </c>
      <c r="Z45" s="68">
        <f t="shared" si="3"/>
        <v>0</v>
      </c>
      <c r="AA45" s="69" t="str">
        <f t="shared" si="4"/>
        <v>3D</v>
      </c>
      <c r="AB45" s="70" t="s">
        <v>327</v>
      </c>
      <c r="AC45" s="70" t="s">
        <v>248</v>
      </c>
      <c r="AD45" s="70">
        <v>25</v>
      </c>
      <c r="AE45" s="70">
        <v>25</v>
      </c>
      <c r="AF45" s="70">
        <v>50</v>
      </c>
      <c r="AG45" s="72">
        <f t="shared" si="6"/>
        <v>0.5</v>
      </c>
      <c r="AH45" s="73">
        <f t="shared" si="7"/>
        <v>-74.5</v>
      </c>
      <c r="AI45" s="74">
        <v>10</v>
      </c>
      <c r="AJ45" s="79" t="s">
        <v>267</v>
      </c>
      <c r="AK45" s="76" t="s">
        <v>281</v>
      </c>
      <c r="AL45" s="67"/>
      <c r="AM45" s="506"/>
      <c r="AN45" s="505"/>
      <c r="AO45" s="515"/>
    </row>
    <row r="46" spans="1:43">
      <c r="A46" s="58">
        <v>40454</v>
      </c>
      <c r="B46" s="59" t="s">
        <v>204</v>
      </c>
      <c r="C46" s="60" t="s">
        <v>261</v>
      </c>
      <c r="D46" s="60" t="s">
        <v>328</v>
      </c>
      <c r="E46" s="61">
        <v>6</v>
      </c>
      <c r="F46" s="62">
        <v>11</v>
      </c>
      <c r="G46" s="63">
        <v>5</v>
      </c>
      <c r="H46" s="60">
        <v>22</v>
      </c>
      <c r="I46" s="60">
        <v>31</v>
      </c>
      <c r="J46" s="60">
        <v>53</v>
      </c>
      <c r="K46" s="60">
        <v>0.41510000000000002</v>
      </c>
      <c r="L46" s="60">
        <f t="shared" si="0"/>
        <v>-10.584899999999999</v>
      </c>
      <c r="M46" s="64">
        <f t="shared" si="23"/>
        <v>13</v>
      </c>
      <c r="N46" s="65" t="s">
        <v>263</v>
      </c>
      <c r="O46" s="60" t="s">
        <v>43</v>
      </c>
      <c r="P46" s="66"/>
      <c r="Q46" s="66"/>
      <c r="R46" s="66"/>
      <c r="S46" s="66"/>
      <c r="T46" s="67">
        <v>12</v>
      </c>
      <c r="U46" s="67">
        <v>5</v>
      </c>
      <c r="V46" s="67">
        <v>13</v>
      </c>
      <c r="W46" s="67">
        <v>15</v>
      </c>
      <c r="X46" s="67">
        <f t="shared" ref="X46:Y46" si="52">(P46+R46+T46+V46)</f>
        <v>25</v>
      </c>
      <c r="Y46" s="67">
        <f t="shared" si="52"/>
        <v>20</v>
      </c>
      <c r="Z46" s="68">
        <f t="shared" si="3"/>
        <v>45</v>
      </c>
      <c r="AA46" s="69" t="str">
        <f t="shared" si="4"/>
        <v>4A</v>
      </c>
      <c r="AB46" s="70" t="s">
        <v>328</v>
      </c>
      <c r="AC46" s="70" t="s">
        <v>278</v>
      </c>
      <c r="AD46" s="70">
        <v>22</v>
      </c>
      <c r="AE46" s="70">
        <v>31</v>
      </c>
      <c r="AF46" s="70">
        <v>53</v>
      </c>
      <c r="AG46" s="72">
        <f t="shared" si="6"/>
        <v>0.41509433962264153</v>
      </c>
      <c r="AH46" s="73">
        <f t="shared" si="7"/>
        <v>-77.584905660377359</v>
      </c>
      <c r="AI46" s="74">
        <v>13</v>
      </c>
      <c r="AJ46" s="79" t="s">
        <v>329</v>
      </c>
      <c r="AK46" s="76" t="s">
        <v>266</v>
      </c>
      <c r="AL46" s="67"/>
      <c r="AM46" s="506"/>
      <c r="AN46" s="505"/>
      <c r="AO46" s="515"/>
    </row>
    <row r="47" spans="1:43">
      <c r="A47" s="58">
        <v>40454</v>
      </c>
      <c r="B47" s="59" t="s">
        <v>204</v>
      </c>
      <c r="C47" s="60" t="s">
        <v>268</v>
      </c>
      <c r="D47" s="60" t="s">
        <v>330</v>
      </c>
      <c r="E47" s="77">
        <v>11</v>
      </c>
      <c r="F47" s="76">
        <v>4</v>
      </c>
      <c r="G47" s="76">
        <v>11</v>
      </c>
      <c r="H47" s="60">
        <v>26</v>
      </c>
      <c r="I47" s="60">
        <v>24</v>
      </c>
      <c r="J47" s="60">
        <v>50</v>
      </c>
      <c r="K47" s="60">
        <v>0.52</v>
      </c>
      <c r="L47" s="60">
        <f t="shared" si="0"/>
        <v>-6.48</v>
      </c>
      <c r="M47" s="64">
        <f t="shared" si="23"/>
        <v>9</v>
      </c>
      <c r="N47" s="65"/>
      <c r="O47" s="60"/>
      <c r="P47" s="66"/>
      <c r="Q47" s="66"/>
      <c r="R47" s="66"/>
      <c r="S47" s="66"/>
      <c r="T47" s="67"/>
      <c r="U47" s="67"/>
      <c r="V47" s="67"/>
      <c r="W47" s="67"/>
      <c r="X47" s="67">
        <f t="shared" ref="X47:Y47" si="53">(P47+R47+T47+V47)</f>
        <v>0</v>
      </c>
      <c r="Y47" s="67">
        <f t="shared" si="53"/>
        <v>0</v>
      </c>
      <c r="Z47" s="68">
        <f t="shared" si="3"/>
        <v>0</v>
      </c>
      <c r="AA47" s="69" t="str">
        <f t="shared" si="4"/>
        <v>4B</v>
      </c>
      <c r="AB47" s="70" t="s">
        <v>330</v>
      </c>
      <c r="AC47" s="70" t="s">
        <v>265</v>
      </c>
      <c r="AD47" s="70">
        <v>26</v>
      </c>
      <c r="AE47" s="70">
        <v>24</v>
      </c>
      <c r="AF47" s="70">
        <v>50</v>
      </c>
      <c r="AG47" s="72">
        <f t="shared" si="6"/>
        <v>0.52</v>
      </c>
      <c r="AH47" s="73">
        <f t="shared" si="7"/>
        <v>-73.48</v>
      </c>
      <c r="AI47" s="74">
        <v>9</v>
      </c>
      <c r="AJ47" s="79" t="s">
        <v>226</v>
      </c>
      <c r="AK47" s="76" t="s">
        <v>29</v>
      </c>
      <c r="AL47" s="67"/>
      <c r="AM47" s="506"/>
      <c r="AN47" s="505"/>
      <c r="AO47" s="515"/>
    </row>
    <row r="48" spans="1:43">
      <c r="A48" s="58">
        <v>40454</v>
      </c>
      <c r="B48" s="59" t="s">
        <v>204</v>
      </c>
      <c r="C48" s="60" t="s">
        <v>271</v>
      </c>
      <c r="D48" s="60" t="s">
        <v>331</v>
      </c>
      <c r="E48" s="77">
        <v>8</v>
      </c>
      <c r="F48" s="78">
        <v>9</v>
      </c>
      <c r="G48" s="78">
        <v>3</v>
      </c>
      <c r="H48" s="60">
        <v>20</v>
      </c>
      <c r="I48" s="60">
        <v>33</v>
      </c>
      <c r="J48" s="60">
        <v>53</v>
      </c>
      <c r="K48" s="60">
        <v>0.37740000000000001</v>
      </c>
      <c r="L48" s="60">
        <f t="shared" si="0"/>
        <v>-12.6226</v>
      </c>
      <c r="M48" s="64">
        <f t="shared" si="23"/>
        <v>14</v>
      </c>
      <c r="N48" s="65"/>
      <c r="O48" s="60">
        <v>0</v>
      </c>
      <c r="P48" s="66"/>
      <c r="Q48" s="66"/>
      <c r="R48" s="66"/>
      <c r="S48" s="66"/>
      <c r="T48" s="67"/>
      <c r="U48" s="67"/>
      <c r="V48" s="67"/>
      <c r="W48" s="67"/>
      <c r="X48" s="67">
        <f t="shared" ref="X48:Y48" si="54">(P48+R48+T48+V48)</f>
        <v>0</v>
      </c>
      <c r="Y48" s="67">
        <f t="shared" si="54"/>
        <v>0</v>
      </c>
      <c r="Z48" s="68">
        <f t="shared" si="3"/>
        <v>0</v>
      </c>
      <c r="AA48" s="69" t="str">
        <f t="shared" si="4"/>
        <v>4C</v>
      </c>
      <c r="AB48" s="70" t="s">
        <v>331</v>
      </c>
      <c r="AC48" s="70" t="s">
        <v>273</v>
      </c>
      <c r="AD48" s="70">
        <v>20</v>
      </c>
      <c r="AE48" s="70">
        <v>33</v>
      </c>
      <c r="AF48" s="70">
        <v>53</v>
      </c>
      <c r="AG48" s="72">
        <f t="shared" si="6"/>
        <v>0.37735849056603776</v>
      </c>
      <c r="AH48" s="73">
        <f t="shared" si="7"/>
        <v>-79.622641509433961</v>
      </c>
      <c r="AI48" s="74">
        <v>15</v>
      </c>
      <c r="AJ48" s="79" t="s">
        <v>270</v>
      </c>
      <c r="AK48" s="76" t="s">
        <v>23</v>
      </c>
      <c r="AL48" s="67"/>
      <c r="AM48" s="506"/>
      <c r="AN48" s="505"/>
      <c r="AO48" s="515"/>
    </row>
    <row r="49" spans="1:41">
      <c r="A49" s="87">
        <v>40454</v>
      </c>
      <c r="B49" s="88" t="s">
        <v>204</v>
      </c>
      <c r="C49" s="89" t="s">
        <v>276</v>
      </c>
      <c r="D49" s="89" t="s">
        <v>43</v>
      </c>
      <c r="E49" s="80">
        <v>11</v>
      </c>
      <c r="F49" s="81">
        <v>11</v>
      </c>
      <c r="G49" s="82">
        <v>11</v>
      </c>
      <c r="H49" s="89">
        <v>33</v>
      </c>
      <c r="I49" s="89">
        <v>13</v>
      </c>
      <c r="J49" s="89">
        <v>46</v>
      </c>
      <c r="K49" s="89">
        <v>0.71740000000000004</v>
      </c>
      <c r="L49" s="89">
        <f t="shared" si="0"/>
        <v>0.71740000000000004</v>
      </c>
      <c r="M49" s="86">
        <f t="shared" si="23"/>
        <v>1</v>
      </c>
      <c r="N49" s="90"/>
      <c r="O49" s="89"/>
      <c r="P49" s="91"/>
      <c r="Q49" s="91"/>
      <c r="R49" s="91"/>
      <c r="S49" s="91"/>
      <c r="T49" s="92"/>
      <c r="U49" s="92"/>
      <c r="V49" s="92"/>
      <c r="W49" s="92"/>
      <c r="X49" s="92">
        <f t="shared" ref="X49:Y49" si="55">(P49+R49+T49+V49)</f>
        <v>0</v>
      </c>
      <c r="Y49" s="92">
        <f t="shared" si="55"/>
        <v>0</v>
      </c>
      <c r="Z49" s="84">
        <f t="shared" si="3"/>
        <v>0</v>
      </c>
      <c r="AA49" s="93" t="str">
        <f t="shared" si="4"/>
        <v>4D</v>
      </c>
      <c r="AB49" s="94" t="s">
        <v>43</v>
      </c>
      <c r="AC49" s="94" t="s">
        <v>263</v>
      </c>
      <c r="AD49" s="94">
        <v>58</v>
      </c>
      <c r="AE49" s="94">
        <v>33</v>
      </c>
      <c r="AF49" s="94">
        <v>91</v>
      </c>
      <c r="AG49" s="95">
        <f t="shared" si="6"/>
        <v>0.63736263736263732</v>
      </c>
      <c r="AH49" s="96">
        <f t="shared" si="7"/>
        <v>-41.362637362637365</v>
      </c>
      <c r="AI49" s="99">
        <v>1</v>
      </c>
      <c r="AJ49" s="98" t="s">
        <v>332</v>
      </c>
      <c r="AK49" s="81" t="s">
        <v>333</v>
      </c>
      <c r="AL49" s="67"/>
      <c r="AM49" s="506"/>
      <c r="AN49" s="505"/>
      <c r="AO49" s="515"/>
    </row>
    <row r="50" spans="1:41">
      <c r="A50" s="58">
        <v>40639</v>
      </c>
      <c r="B50" s="59" t="s">
        <v>204</v>
      </c>
      <c r="C50" s="60" t="s">
        <v>205</v>
      </c>
      <c r="D50" s="60" t="s">
        <v>334</v>
      </c>
      <c r="E50" s="61">
        <v>1</v>
      </c>
      <c r="F50" s="62">
        <v>9</v>
      </c>
      <c r="G50" s="63">
        <v>11</v>
      </c>
      <c r="H50" s="60">
        <v>21</v>
      </c>
      <c r="I50" s="60">
        <v>30</v>
      </c>
      <c r="J50" s="60">
        <v>51</v>
      </c>
      <c r="K50" s="60">
        <v>0.4118</v>
      </c>
      <c r="L50" s="60">
        <f t="shared" si="0"/>
        <v>-11.588200000000001</v>
      </c>
      <c r="M50" s="64">
        <f t="shared" si="23"/>
        <v>11</v>
      </c>
      <c r="N50" s="65" t="s">
        <v>207</v>
      </c>
      <c r="O50" s="60" t="s">
        <v>335</v>
      </c>
      <c r="P50" s="66"/>
      <c r="Q50" s="66"/>
      <c r="R50" s="66"/>
      <c r="S50" s="66"/>
      <c r="T50" s="67">
        <v>9</v>
      </c>
      <c r="U50" s="67">
        <v>13</v>
      </c>
      <c r="V50" s="67"/>
      <c r="W50" s="67"/>
      <c r="X50" s="67">
        <f t="shared" ref="X50:Y50" si="56">(P50+R50+T50+V50)</f>
        <v>9</v>
      </c>
      <c r="Y50" s="67">
        <f t="shared" si="56"/>
        <v>13</v>
      </c>
      <c r="Z50" s="68">
        <f t="shared" si="3"/>
        <v>22</v>
      </c>
      <c r="AA50" s="69" t="str">
        <f t="shared" si="4"/>
        <v>1A</v>
      </c>
      <c r="AB50" s="70" t="s">
        <v>334</v>
      </c>
      <c r="AC50" s="70" t="s">
        <v>208</v>
      </c>
      <c r="AD50" s="70">
        <v>21</v>
      </c>
      <c r="AE50" s="70">
        <v>30</v>
      </c>
      <c r="AF50" s="70">
        <v>51</v>
      </c>
      <c r="AG50" s="72">
        <f t="shared" si="6"/>
        <v>0.41176470588235292</v>
      </c>
      <c r="AH50" s="73">
        <f t="shared" si="7"/>
        <v>-78.588235294117652</v>
      </c>
      <c r="AI50" s="74">
        <v>11</v>
      </c>
      <c r="AJ50" s="79" t="s">
        <v>30</v>
      </c>
      <c r="AK50" s="76" t="s">
        <v>235</v>
      </c>
      <c r="AL50" s="67"/>
      <c r="AM50" s="506"/>
      <c r="AN50" s="505"/>
      <c r="AO50" s="515"/>
    </row>
    <row r="51" spans="1:41">
      <c r="A51" s="58">
        <v>40639</v>
      </c>
      <c r="B51" s="59" t="s">
        <v>204</v>
      </c>
      <c r="C51" s="60" t="s">
        <v>211</v>
      </c>
      <c r="D51" s="60" t="s">
        <v>336</v>
      </c>
      <c r="E51" s="77">
        <v>11</v>
      </c>
      <c r="F51" s="76">
        <v>11</v>
      </c>
      <c r="G51" s="76">
        <v>7</v>
      </c>
      <c r="H51" s="60">
        <v>29</v>
      </c>
      <c r="I51" s="60">
        <v>13</v>
      </c>
      <c r="J51" s="60">
        <v>42</v>
      </c>
      <c r="K51" s="60">
        <v>0.6905</v>
      </c>
      <c r="L51" s="60">
        <f t="shared" si="0"/>
        <v>-3.3094999999999999</v>
      </c>
      <c r="M51" s="64">
        <f t="shared" si="23"/>
        <v>6</v>
      </c>
      <c r="N51" s="65"/>
      <c r="O51" s="60"/>
      <c r="P51" s="66"/>
      <c r="Q51" s="66"/>
      <c r="R51" s="66"/>
      <c r="S51" s="66"/>
      <c r="T51" s="67"/>
      <c r="U51" s="67"/>
      <c r="V51" s="67"/>
      <c r="W51" s="67"/>
      <c r="X51" s="67">
        <f t="shared" ref="X51:Y51" si="57">(P51+R51+T51+V51)</f>
        <v>0</v>
      </c>
      <c r="Y51" s="67">
        <f t="shared" si="57"/>
        <v>0</v>
      </c>
      <c r="Z51" s="68">
        <f t="shared" si="3"/>
        <v>0</v>
      </c>
      <c r="AA51" s="69" t="str">
        <f t="shared" si="4"/>
        <v>1B</v>
      </c>
      <c r="AB51" s="70" t="s">
        <v>336</v>
      </c>
      <c r="AC51" s="70" t="s">
        <v>218</v>
      </c>
      <c r="AD51" s="70">
        <v>29</v>
      </c>
      <c r="AE51" s="70">
        <v>13</v>
      </c>
      <c r="AF51" s="70">
        <v>42</v>
      </c>
      <c r="AG51" s="72">
        <f t="shared" si="6"/>
        <v>0.69047619047619047</v>
      </c>
      <c r="AH51" s="73">
        <f t="shared" si="7"/>
        <v>-70.30952380952381</v>
      </c>
      <c r="AI51" s="74">
        <v>6</v>
      </c>
      <c r="AJ51" s="79" t="s">
        <v>275</v>
      </c>
      <c r="AK51" s="76" t="s">
        <v>337</v>
      </c>
      <c r="AL51" s="67"/>
      <c r="AM51" s="506"/>
      <c r="AN51" s="505"/>
      <c r="AO51" s="515"/>
    </row>
    <row r="52" spans="1:41">
      <c r="A52" s="58">
        <v>40639</v>
      </c>
      <c r="B52" s="59" t="s">
        <v>204</v>
      </c>
      <c r="C52" s="60" t="s">
        <v>216</v>
      </c>
      <c r="D52" s="60" t="s">
        <v>335</v>
      </c>
      <c r="E52" s="77">
        <v>11</v>
      </c>
      <c r="F52" s="78">
        <v>11</v>
      </c>
      <c r="G52" s="78">
        <v>11</v>
      </c>
      <c r="H52" s="60">
        <v>33</v>
      </c>
      <c r="I52" s="60">
        <v>20</v>
      </c>
      <c r="J52" s="60">
        <v>53</v>
      </c>
      <c r="K52" s="60">
        <v>0.62260000000000004</v>
      </c>
      <c r="L52" s="60">
        <f t="shared" si="0"/>
        <v>0.62260000000000004</v>
      </c>
      <c r="M52" s="64">
        <f t="shared" si="23"/>
        <v>4</v>
      </c>
      <c r="N52" s="65"/>
      <c r="O52" s="60">
        <v>0</v>
      </c>
      <c r="P52" s="66"/>
      <c r="Q52" s="66"/>
      <c r="R52" s="66"/>
      <c r="S52" s="66"/>
      <c r="T52" s="67"/>
      <c r="U52" s="67"/>
      <c r="V52" s="67"/>
      <c r="W52" s="67"/>
      <c r="X52" s="67">
        <f t="shared" ref="X52:Y52" si="58">(P52+R52+T52+V52)</f>
        <v>0</v>
      </c>
      <c r="Y52" s="67">
        <f t="shared" si="58"/>
        <v>0</v>
      </c>
      <c r="Z52" s="68">
        <f t="shared" si="3"/>
        <v>0</v>
      </c>
      <c r="AA52" s="69" t="str">
        <f t="shared" si="4"/>
        <v>1C</v>
      </c>
      <c r="AB52" s="70" t="s">
        <v>335</v>
      </c>
      <c r="AC52" s="70" t="s">
        <v>207</v>
      </c>
      <c r="AD52" s="70">
        <v>42</v>
      </c>
      <c r="AE52" s="70">
        <v>33</v>
      </c>
      <c r="AF52" s="70">
        <v>75</v>
      </c>
      <c r="AG52" s="72">
        <f t="shared" si="6"/>
        <v>0.56000000000000005</v>
      </c>
      <c r="AH52" s="73">
        <f t="shared" si="7"/>
        <v>-57.44</v>
      </c>
      <c r="AI52" s="74">
        <v>4</v>
      </c>
      <c r="AJ52" s="79" t="s">
        <v>338</v>
      </c>
      <c r="AK52" s="76" t="s">
        <v>282</v>
      </c>
      <c r="AL52" s="67"/>
      <c r="AM52" s="506"/>
      <c r="AN52" s="505"/>
      <c r="AO52" s="515"/>
    </row>
    <row r="53" spans="1:41">
      <c r="A53" s="58">
        <v>40639</v>
      </c>
      <c r="B53" s="59" t="s">
        <v>204</v>
      </c>
      <c r="C53" s="60" t="s">
        <v>221</v>
      </c>
      <c r="D53" s="60" t="s">
        <v>339</v>
      </c>
      <c r="E53" s="80">
        <v>4</v>
      </c>
      <c r="F53" s="81">
        <v>1</v>
      </c>
      <c r="G53" s="82">
        <v>8</v>
      </c>
      <c r="H53" s="60">
        <v>13</v>
      </c>
      <c r="I53" s="60">
        <v>33</v>
      </c>
      <c r="J53" s="60">
        <v>46</v>
      </c>
      <c r="K53" s="60">
        <v>0.28260000000000002</v>
      </c>
      <c r="L53" s="60">
        <f t="shared" si="0"/>
        <v>-19.717400000000001</v>
      </c>
      <c r="M53" s="64">
        <f t="shared" si="23"/>
        <v>14</v>
      </c>
      <c r="N53" s="65"/>
      <c r="O53" s="60"/>
      <c r="P53" s="66"/>
      <c r="Q53" s="66"/>
      <c r="R53" s="66"/>
      <c r="S53" s="66"/>
      <c r="T53" s="67"/>
      <c r="U53" s="67"/>
      <c r="V53" s="67"/>
      <c r="W53" s="67"/>
      <c r="X53" s="67">
        <f t="shared" ref="X53:Y53" si="59">(P53+R53+T53+V53)</f>
        <v>0</v>
      </c>
      <c r="Y53" s="67">
        <f t="shared" si="59"/>
        <v>0</v>
      </c>
      <c r="Z53" s="68">
        <f t="shared" si="3"/>
        <v>0</v>
      </c>
      <c r="AA53" s="69" t="str">
        <f t="shared" si="4"/>
        <v>1D</v>
      </c>
      <c r="AB53" s="70" t="s">
        <v>339</v>
      </c>
      <c r="AC53" s="70" t="s">
        <v>213</v>
      </c>
      <c r="AD53" s="70">
        <v>13</v>
      </c>
      <c r="AE53" s="70">
        <v>33</v>
      </c>
      <c r="AF53" s="70">
        <v>46</v>
      </c>
      <c r="AG53" s="72">
        <f t="shared" si="6"/>
        <v>0.28260869565217389</v>
      </c>
      <c r="AH53" s="73">
        <f t="shared" si="7"/>
        <v>-86.717391304347828</v>
      </c>
      <c r="AI53" s="74">
        <v>14</v>
      </c>
      <c r="AJ53" s="79" t="s">
        <v>340</v>
      </c>
      <c r="AK53" s="76" t="s">
        <v>324</v>
      </c>
      <c r="AL53" s="67"/>
      <c r="AM53" s="506"/>
      <c r="AN53" s="505"/>
      <c r="AO53" s="515"/>
    </row>
    <row r="54" spans="1:41">
      <c r="A54" s="58">
        <v>40639</v>
      </c>
      <c r="B54" s="59" t="s">
        <v>204</v>
      </c>
      <c r="C54" s="60" t="s">
        <v>224</v>
      </c>
      <c r="D54" s="60" t="s">
        <v>341</v>
      </c>
      <c r="E54" s="64">
        <v>5</v>
      </c>
      <c r="F54" s="68">
        <v>2</v>
      </c>
      <c r="G54" s="78">
        <v>6</v>
      </c>
      <c r="H54" s="60">
        <v>13</v>
      </c>
      <c r="I54" s="60">
        <v>33</v>
      </c>
      <c r="J54" s="60">
        <v>46</v>
      </c>
      <c r="K54" s="60">
        <v>0.28260000000000002</v>
      </c>
      <c r="L54" s="60">
        <f t="shared" si="0"/>
        <v>-19.717400000000001</v>
      </c>
      <c r="M54" s="64">
        <f t="shared" si="23"/>
        <v>14</v>
      </c>
      <c r="N54" s="65" t="s">
        <v>225</v>
      </c>
      <c r="O54" s="60" t="s">
        <v>342</v>
      </c>
      <c r="P54" s="66"/>
      <c r="Q54" s="66"/>
      <c r="R54" s="66"/>
      <c r="S54" s="66"/>
      <c r="T54" s="67">
        <v>10</v>
      </c>
      <c r="U54" s="67">
        <v>15</v>
      </c>
      <c r="V54" s="67"/>
      <c r="W54" s="67"/>
      <c r="X54" s="67">
        <f t="shared" ref="X54:Y54" si="60">(P54+R54+T54+V54)</f>
        <v>10</v>
      </c>
      <c r="Y54" s="67">
        <f t="shared" si="60"/>
        <v>15</v>
      </c>
      <c r="Z54" s="68">
        <f t="shared" si="3"/>
        <v>25</v>
      </c>
      <c r="AA54" s="69" t="str">
        <f t="shared" si="4"/>
        <v>2A</v>
      </c>
      <c r="AB54" s="70" t="s">
        <v>341</v>
      </c>
      <c r="AC54" s="70" t="s">
        <v>234</v>
      </c>
      <c r="AD54" s="70">
        <v>13</v>
      </c>
      <c r="AE54" s="70">
        <v>33</v>
      </c>
      <c r="AF54" s="70">
        <v>46</v>
      </c>
      <c r="AG54" s="72">
        <f t="shared" si="6"/>
        <v>0.28260869565217389</v>
      </c>
      <c r="AH54" s="73">
        <f t="shared" si="7"/>
        <v>-86.717391304347828</v>
      </c>
      <c r="AI54" s="85">
        <v>15</v>
      </c>
      <c r="AJ54" s="79" t="s">
        <v>343</v>
      </c>
      <c r="AK54" s="76" t="s">
        <v>304</v>
      </c>
      <c r="AL54" s="67"/>
      <c r="AM54" s="506"/>
      <c r="AN54" s="505"/>
      <c r="AO54" s="515"/>
    </row>
    <row r="55" spans="1:41">
      <c r="A55" s="58">
        <v>40639</v>
      </c>
      <c r="B55" s="59" t="s">
        <v>204</v>
      </c>
      <c r="C55" s="60" t="s">
        <v>228</v>
      </c>
      <c r="D55" s="60" t="s">
        <v>342</v>
      </c>
      <c r="E55" s="64">
        <v>11</v>
      </c>
      <c r="F55" s="78">
        <v>11</v>
      </c>
      <c r="G55" s="68">
        <v>11</v>
      </c>
      <c r="H55" s="60">
        <v>33</v>
      </c>
      <c r="I55" s="60">
        <v>14</v>
      </c>
      <c r="J55" s="60">
        <v>47</v>
      </c>
      <c r="K55" s="60">
        <v>0.70209999999999995</v>
      </c>
      <c r="L55" s="60">
        <f t="shared" si="0"/>
        <v>0.70209999999999995</v>
      </c>
      <c r="M55" s="64">
        <f t="shared" si="23"/>
        <v>2</v>
      </c>
      <c r="N55" s="65"/>
      <c r="O55" s="60"/>
      <c r="P55" s="66"/>
      <c r="Q55" s="66"/>
      <c r="R55" s="66"/>
      <c r="S55" s="66"/>
      <c r="T55" s="67"/>
      <c r="U55" s="67"/>
      <c r="V55" s="67"/>
      <c r="W55" s="67"/>
      <c r="X55" s="67">
        <f t="shared" ref="X55:Y55" si="61">(P55+R55+T55+V55)</f>
        <v>0</v>
      </c>
      <c r="Y55" s="67">
        <f t="shared" si="61"/>
        <v>0</v>
      </c>
      <c r="Z55" s="68">
        <f t="shared" si="3"/>
        <v>0</v>
      </c>
      <c r="AA55" s="69" t="str">
        <f t="shared" si="4"/>
        <v>2B</v>
      </c>
      <c r="AB55" s="70" t="s">
        <v>342</v>
      </c>
      <c r="AC55" s="70" t="s">
        <v>225</v>
      </c>
      <c r="AD55" s="70">
        <v>43</v>
      </c>
      <c r="AE55" s="70">
        <v>29</v>
      </c>
      <c r="AF55" s="70">
        <v>72</v>
      </c>
      <c r="AG55" s="72">
        <f t="shared" si="6"/>
        <v>0.59722222222222221</v>
      </c>
      <c r="AH55" s="73">
        <f t="shared" si="7"/>
        <v>-56.402777777777779</v>
      </c>
      <c r="AI55" s="74">
        <v>3</v>
      </c>
      <c r="AJ55" s="79" t="s">
        <v>315</v>
      </c>
      <c r="AK55" s="76" t="s">
        <v>281</v>
      </c>
      <c r="AL55" s="67"/>
      <c r="AM55" s="506"/>
      <c r="AN55" s="505"/>
      <c r="AO55" s="515"/>
    </row>
    <row r="56" spans="1:41">
      <c r="A56" s="58">
        <v>40639</v>
      </c>
      <c r="B56" s="59" t="s">
        <v>204</v>
      </c>
      <c r="C56" s="60" t="s">
        <v>232</v>
      </c>
      <c r="D56" s="60" t="s">
        <v>344</v>
      </c>
      <c r="E56" s="77">
        <v>11</v>
      </c>
      <c r="F56" s="78">
        <v>11</v>
      </c>
      <c r="G56" s="78">
        <v>4</v>
      </c>
      <c r="H56" s="60">
        <v>26</v>
      </c>
      <c r="I56" s="60">
        <v>18</v>
      </c>
      <c r="J56" s="60">
        <v>44</v>
      </c>
      <c r="K56" s="60">
        <v>0.59089999999999998</v>
      </c>
      <c r="L56" s="60">
        <f t="shared" si="0"/>
        <v>-6.4091000000000005</v>
      </c>
      <c r="M56" s="64">
        <f t="shared" si="23"/>
        <v>8</v>
      </c>
      <c r="N56" s="65"/>
      <c r="O56" s="60">
        <v>0</v>
      </c>
      <c r="P56" s="66"/>
      <c r="Q56" s="66"/>
      <c r="R56" s="66"/>
      <c r="S56" s="66"/>
      <c r="T56" s="67"/>
      <c r="U56" s="67"/>
      <c r="V56" s="67"/>
      <c r="W56" s="67"/>
      <c r="X56" s="67">
        <f t="shared" ref="X56:Y56" si="62">(P56+R56+T56+V56)</f>
        <v>0</v>
      </c>
      <c r="Y56" s="67">
        <f t="shared" si="62"/>
        <v>0</v>
      </c>
      <c r="Z56" s="68">
        <f t="shared" si="3"/>
        <v>0</v>
      </c>
      <c r="AA56" s="69" t="str">
        <f t="shared" si="4"/>
        <v>2C</v>
      </c>
      <c r="AB56" s="70" t="s">
        <v>344</v>
      </c>
      <c r="AC56" s="70" t="s">
        <v>230</v>
      </c>
      <c r="AD56" s="70">
        <v>26</v>
      </c>
      <c r="AE56" s="70">
        <v>18</v>
      </c>
      <c r="AF56" s="70">
        <v>44</v>
      </c>
      <c r="AG56" s="72">
        <f t="shared" si="6"/>
        <v>0.59090909090909094</v>
      </c>
      <c r="AH56" s="73">
        <f t="shared" si="7"/>
        <v>-73.409090909090907</v>
      </c>
      <c r="AI56" s="74">
        <v>8</v>
      </c>
      <c r="AJ56" s="79" t="s">
        <v>345</v>
      </c>
      <c r="AK56" s="76" t="s">
        <v>346</v>
      </c>
      <c r="AL56" s="67"/>
      <c r="AM56" s="506"/>
      <c r="AN56" s="505"/>
      <c r="AO56" s="515"/>
    </row>
    <row r="57" spans="1:41">
      <c r="A57" s="58">
        <v>40639</v>
      </c>
      <c r="B57" s="59" t="s">
        <v>204</v>
      </c>
      <c r="C57" s="60" t="s">
        <v>237</v>
      </c>
      <c r="D57" s="60" t="s">
        <v>347</v>
      </c>
      <c r="E57" s="83">
        <v>5</v>
      </c>
      <c r="F57" s="84">
        <v>5</v>
      </c>
      <c r="G57" s="84">
        <v>11</v>
      </c>
      <c r="H57" s="60">
        <v>21</v>
      </c>
      <c r="I57" s="60">
        <v>28</v>
      </c>
      <c r="J57" s="60">
        <v>49</v>
      </c>
      <c r="K57" s="60">
        <v>0.42859999999999998</v>
      </c>
      <c r="L57" s="60">
        <f t="shared" si="0"/>
        <v>-11.571400000000001</v>
      </c>
      <c r="M57" s="64">
        <f t="shared" si="23"/>
        <v>10</v>
      </c>
      <c r="N57" s="65"/>
      <c r="O57" s="60"/>
      <c r="P57" s="66"/>
      <c r="Q57" s="66"/>
      <c r="R57" s="66"/>
      <c r="S57" s="66"/>
      <c r="T57" s="67"/>
      <c r="U57" s="67"/>
      <c r="V57" s="67"/>
      <c r="W57" s="67"/>
      <c r="X57" s="67">
        <f t="shared" ref="X57:Y57" si="63">(P57+R57+T57+V57)</f>
        <v>0</v>
      </c>
      <c r="Y57" s="67">
        <f t="shared" si="63"/>
        <v>0</v>
      </c>
      <c r="Z57" s="68">
        <f t="shared" si="3"/>
        <v>0</v>
      </c>
      <c r="AA57" s="69" t="str">
        <f t="shared" si="4"/>
        <v>2D</v>
      </c>
      <c r="AB57" s="70" t="s">
        <v>347</v>
      </c>
      <c r="AC57" s="70" t="s">
        <v>239</v>
      </c>
      <c r="AD57" s="70">
        <v>21</v>
      </c>
      <c r="AE57" s="70">
        <v>28</v>
      </c>
      <c r="AF57" s="70">
        <v>49</v>
      </c>
      <c r="AG57" s="72">
        <f t="shared" si="6"/>
        <v>0.42857142857142855</v>
      </c>
      <c r="AH57" s="73">
        <f t="shared" si="7"/>
        <v>-78.571428571428569</v>
      </c>
      <c r="AI57" s="74">
        <v>10</v>
      </c>
      <c r="AJ57" s="79" t="s">
        <v>260</v>
      </c>
      <c r="AK57" s="76" t="s">
        <v>269</v>
      </c>
      <c r="AL57" s="67"/>
      <c r="AM57" s="506"/>
      <c r="AN57" s="505"/>
      <c r="AO57" s="515"/>
    </row>
    <row r="58" spans="1:41">
      <c r="A58" s="58">
        <v>40639</v>
      </c>
      <c r="B58" s="59" t="s">
        <v>204</v>
      </c>
      <c r="C58" s="60" t="s">
        <v>241</v>
      </c>
      <c r="D58" s="60" t="s">
        <v>348</v>
      </c>
      <c r="E58" s="77">
        <v>11</v>
      </c>
      <c r="F58" s="68">
        <v>5</v>
      </c>
      <c r="G58" s="68">
        <v>11</v>
      </c>
      <c r="H58" s="60">
        <v>27</v>
      </c>
      <c r="I58" s="60">
        <v>22</v>
      </c>
      <c r="J58" s="60">
        <v>49</v>
      </c>
      <c r="K58" s="60">
        <v>0.55100000000000005</v>
      </c>
      <c r="L58" s="60">
        <f t="shared" si="0"/>
        <v>-5.4489999999999998</v>
      </c>
      <c r="M58" s="64">
        <f t="shared" si="23"/>
        <v>7</v>
      </c>
      <c r="N58" s="65" t="s">
        <v>243</v>
      </c>
      <c r="O58" s="60" t="s">
        <v>349</v>
      </c>
      <c r="P58" s="66"/>
      <c r="Q58" s="66"/>
      <c r="R58" s="66"/>
      <c r="S58" s="66"/>
      <c r="T58" s="67">
        <v>15</v>
      </c>
      <c r="U58" s="67">
        <v>10</v>
      </c>
      <c r="V58" s="67">
        <v>20</v>
      </c>
      <c r="W58" s="67">
        <v>21</v>
      </c>
      <c r="X58" s="67">
        <f t="shared" ref="X58:Y58" si="64">(P58+R58+T58+V58)</f>
        <v>35</v>
      </c>
      <c r="Y58" s="67">
        <f t="shared" si="64"/>
        <v>31</v>
      </c>
      <c r="Z58" s="68">
        <f t="shared" si="3"/>
        <v>66</v>
      </c>
      <c r="AA58" s="69" t="str">
        <f t="shared" si="4"/>
        <v>3A</v>
      </c>
      <c r="AB58" s="70" t="s">
        <v>348</v>
      </c>
      <c r="AC58" s="70" t="s">
        <v>253</v>
      </c>
      <c r="AD58" s="70">
        <v>27</v>
      </c>
      <c r="AE58" s="70">
        <v>22</v>
      </c>
      <c r="AF58" s="70">
        <v>49</v>
      </c>
      <c r="AG58" s="72">
        <f t="shared" si="6"/>
        <v>0.55102040816326525</v>
      </c>
      <c r="AH58" s="73">
        <f t="shared" si="7"/>
        <v>-72.448979591836732</v>
      </c>
      <c r="AI58" s="74">
        <v>7</v>
      </c>
      <c r="AJ58" s="79" t="s">
        <v>23</v>
      </c>
      <c r="AK58" s="76" t="s">
        <v>29</v>
      </c>
      <c r="AL58" s="67"/>
      <c r="AM58" s="506"/>
      <c r="AN58" s="505"/>
      <c r="AO58" s="515"/>
    </row>
    <row r="59" spans="1:41">
      <c r="A59" s="58">
        <v>40639</v>
      </c>
      <c r="B59" s="59" t="s">
        <v>204</v>
      </c>
      <c r="C59" s="60" t="s">
        <v>246</v>
      </c>
      <c r="D59" s="60" t="s">
        <v>350</v>
      </c>
      <c r="E59" s="64">
        <v>6</v>
      </c>
      <c r="F59" s="68">
        <v>11</v>
      </c>
      <c r="G59" s="78">
        <v>1</v>
      </c>
      <c r="H59" s="60">
        <v>18</v>
      </c>
      <c r="I59" s="60">
        <v>30</v>
      </c>
      <c r="J59" s="60">
        <v>48</v>
      </c>
      <c r="K59" s="60">
        <v>0.375</v>
      </c>
      <c r="L59" s="60">
        <f t="shared" si="0"/>
        <v>-14.625</v>
      </c>
      <c r="M59" s="64">
        <f t="shared" si="23"/>
        <v>13</v>
      </c>
      <c r="N59" s="65"/>
      <c r="O59" s="60"/>
      <c r="P59" s="66"/>
      <c r="Q59" s="66"/>
      <c r="R59" s="66"/>
      <c r="S59" s="66"/>
      <c r="T59" s="67"/>
      <c r="U59" s="67"/>
      <c r="V59" s="67"/>
      <c r="W59" s="67"/>
      <c r="X59" s="67">
        <f t="shared" ref="X59:Y59" si="65">(P59+R59+T59+V59)</f>
        <v>0</v>
      </c>
      <c r="Y59" s="67">
        <f t="shared" si="65"/>
        <v>0</v>
      </c>
      <c r="Z59" s="68">
        <f t="shared" si="3"/>
        <v>0</v>
      </c>
      <c r="AA59" s="69" t="str">
        <f t="shared" si="4"/>
        <v>3B</v>
      </c>
      <c r="AB59" s="70" t="s">
        <v>350</v>
      </c>
      <c r="AC59" s="70" t="s">
        <v>258</v>
      </c>
      <c r="AD59" s="70">
        <v>18</v>
      </c>
      <c r="AE59" s="70">
        <v>30</v>
      </c>
      <c r="AF59" s="70">
        <v>48</v>
      </c>
      <c r="AG59" s="72">
        <f t="shared" si="6"/>
        <v>0.375</v>
      </c>
      <c r="AH59" s="73">
        <f t="shared" si="7"/>
        <v>-81.625</v>
      </c>
      <c r="AI59" s="74">
        <v>13</v>
      </c>
      <c r="AJ59" s="79" t="s">
        <v>310</v>
      </c>
      <c r="AK59" s="76" t="s">
        <v>280</v>
      </c>
      <c r="AL59" s="67"/>
      <c r="AM59" s="506"/>
      <c r="AN59" s="505"/>
      <c r="AO59" s="515"/>
    </row>
    <row r="60" spans="1:41">
      <c r="A60" s="58">
        <v>40639</v>
      </c>
      <c r="B60" s="59" t="s">
        <v>204</v>
      </c>
      <c r="C60" s="60" t="s">
        <v>251</v>
      </c>
      <c r="D60" s="60" t="s">
        <v>349</v>
      </c>
      <c r="E60" s="77">
        <v>11</v>
      </c>
      <c r="F60" s="78">
        <v>11</v>
      </c>
      <c r="G60" s="78">
        <v>11</v>
      </c>
      <c r="H60" s="60">
        <v>33</v>
      </c>
      <c r="I60" s="60">
        <v>12</v>
      </c>
      <c r="J60" s="60">
        <v>45</v>
      </c>
      <c r="K60" s="60">
        <v>0.73329999999999995</v>
      </c>
      <c r="L60" s="60">
        <f t="shared" si="0"/>
        <v>0.73329999999999995</v>
      </c>
      <c r="M60" s="64">
        <f t="shared" si="23"/>
        <v>1</v>
      </c>
      <c r="N60" s="65"/>
      <c r="O60" s="60">
        <v>0</v>
      </c>
      <c r="P60" s="66"/>
      <c r="Q60" s="66"/>
      <c r="R60" s="66"/>
      <c r="S60" s="66"/>
      <c r="T60" s="67"/>
      <c r="U60" s="67"/>
      <c r="V60" s="67"/>
      <c r="W60" s="67"/>
      <c r="X60" s="67">
        <f t="shared" ref="X60:Y60" si="66">(P60+R60+T60+V60)</f>
        <v>0</v>
      </c>
      <c r="Y60" s="67">
        <f t="shared" si="66"/>
        <v>0</v>
      </c>
      <c r="Z60" s="68">
        <f t="shared" si="3"/>
        <v>0</v>
      </c>
      <c r="AA60" s="69" t="str">
        <f t="shared" si="4"/>
        <v>3C</v>
      </c>
      <c r="AB60" s="70" t="s">
        <v>349</v>
      </c>
      <c r="AC60" s="70" t="s">
        <v>243</v>
      </c>
      <c r="AD60" s="70">
        <v>68</v>
      </c>
      <c r="AE60" s="70">
        <v>43</v>
      </c>
      <c r="AF60" s="70">
        <v>111</v>
      </c>
      <c r="AG60" s="72">
        <f t="shared" si="6"/>
        <v>0.61261261261261257</v>
      </c>
      <c r="AH60" s="73">
        <f t="shared" si="7"/>
        <v>-31.387387387387388</v>
      </c>
      <c r="AI60" s="74">
        <v>2</v>
      </c>
      <c r="AJ60" s="79" t="s">
        <v>236</v>
      </c>
      <c r="AK60" s="76" t="s">
        <v>321</v>
      </c>
      <c r="AL60" s="67"/>
      <c r="AM60" s="506"/>
      <c r="AN60" s="505"/>
      <c r="AO60" s="515"/>
    </row>
    <row r="61" spans="1:41">
      <c r="A61" s="58">
        <v>40639</v>
      </c>
      <c r="B61" s="59" t="s">
        <v>204</v>
      </c>
      <c r="C61" s="60" t="s">
        <v>256</v>
      </c>
      <c r="D61" s="60" t="s">
        <v>351</v>
      </c>
      <c r="E61" s="86">
        <v>6</v>
      </c>
      <c r="F61" s="82">
        <v>8</v>
      </c>
      <c r="G61" s="84">
        <v>5</v>
      </c>
      <c r="H61" s="60">
        <v>19</v>
      </c>
      <c r="I61" s="60">
        <v>33</v>
      </c>
      <c r="J61" s="60">
        <v>52</v>
      </c>
      <c r="K61" s="60">
        <v>0.3654</v>
      </c>
      <c r="L61" s="60">
        <f t="shared" si="0"/>
        <v>-13.634600000000001</v>
      </c>
      <c r="M61" s="64">
        <f t="shared" si="23"/>
        <v>12</v>
      </c>
      <c r="N61" s="65"/>
      <c r="O61" s="60"/>
      <c r="P61" s="66"/>
      <c r="Q61" s="66"/>
      <c r="R61" s="66"/>
      <c r="S61" s="66"/>
      <c r="T61" s="67"/>
      <c r="U61" s="67"/>
      <c r="V61" s="67"/>
      <c r="W61" s="67"/>
      <c r="X61" s="67">
        <f t="shared" ref="X61:Y61" si="67">(P61+R61+T61+V61)</f>
        <v>0</v>
      </c>
      <c r="Y61" s="67">
        <f t="shared" si="67"/>
        <v>0</v>
      </c>
      <c r="Z61" s="68">
        <f t="shared" si="3"/>
        <v>0</v>
      </c>
      <c r="AA61" s="69" t="str">
        <f t="shared" si="4"/>
        <v>3D</v>
      </c>
      <c r="AB61" s="70" t="s">
        <v>351</v>
      </c>
      <c r="AC61" s="70" t="s">
        <v>248</v>
      </c>
      <c r="AD61" s="70">
        <v>19</v>
      </c>
      <c r="AE61" s="70">
        <v>33</v>
      </c>
      <c r="AF61" s="70">
        <v>52</v>
      </c>
      <c r="AG61" s="72">
        <f t="shared" si="6"/>
        <v>0.36538461538461536</v>
      </c>
      <c r="AH61" s="73">
        <f t="shared" si="7"/>
        <v>-80.634615384615387</v>
      </c>
      <c r="AI61" s="74">
        <v>12</v>
      </c>
      <c r="AJ61" s="79" t="s">
        <v>226</v>
      </c>
      <c r="AK61" s="76" t="s">
        <v>270</v>
      </c>
      <c r="AL61" s="67"/>
      <c r="AM61" s="506"/>
      <c r="AN61" s="505"/>
      <c r="AO61" s="515"/>
    </row>
    <row r="62" spans="1:41">
      <c r="A62" s="58">
        <v>40639</v>
      </c>
      <c r="B62" s="59" t="s">
        <v>204</v>
      </c>
      <c r="C62" s="60" t="s">
        <v>261</v>
      </c>
      <c r="D62" s="60" t="s">
        <v>352</v>
      </c>
      <c r="E62" s="61">
        <v>2</v>
      </c>
      <c r="F62" s="62">
        <v>0</v>
      </c>
      <c r="G62" s="63">
        <v>4</v>
      </c>
      <c r="H62" s="60">
        <v>6</v>
      </c>
      <c r="I62" s="60">
        <v>33</v>
      </c>
      <c r="J62" s="60">
        <v>39</v>
      </c>
      <c r="K62" s="60">
        <v>0.15379999999999999</v>
      </c>
      <c r="L62" s="60">
        <f t="shared" si="0"/>
        <v>-26.8462</v>
      </c>
      <c r="M62" s="64">
        <f t="shared" si="23"/>
        <v>16</v>
      </c>
      <c r="N62" s="65" t="s">
        <v>263</v>
      </c>
      <c r="O62" s="60" t="s">
        <v>46</v>
      </c>
      <c r="P62" s="66"/>
      <c r="Q62" s="66"/>
      <c r="R62" s="66"/>
      <c r="S62" s="66"/>
      <c r="T62" s="67">
        <v>13</v>
      </c>
      <c r="U62" s="67">
        <v>9</v>
      </c>
      <c r="V62" s="67">
        <v>21</v>
      </c>
      <c r="W62" s="67">
        <v>20</v>
      </c>
      <c r="X62" s="67">
        <f t="shared" ref="X62:Y62" si="68">(P62+R62+T62+V62)</f>
        <v>34</v>
      </c>
      <c r="Y62" s="67">
        <f t="shared" si="68"/>
        <v>29</v>
      </c>
      <c r="Z62" s="68">
        <f t="shared" si="3"/>
        <v>63</v>
      </c>
      <c r="AA62" s="69" t="str">
        <f t="shared" si="4"/>
        <v>4A</v>
      </c>
      <c r="AB62" s="70" t="s">
        <v>352</v>
      </c>
      <c r="AC62" s="70" t="s">
        <v>273</v>
      </c>
      <c r="AD62" s="70">
        <v>6</v>
      </c>
      <c r="AE62" s="70">
        <v>33</v>
      </c>
      <c r="AF62" s="70">
        <v>39</v>
      </c>
      <c r="AG62" s="72">
        <f t="shared" si="6"/>
        <v>0.15384615384615385</v>
      </c>
      <c r="AH62" s="73">
        <f t="shared" si="7"/>
        <v>-93.84615384615384</v>
      </c>
      <c r="AI62" s="74">
        <v>16</v>
      </c>
      <c r="AJ62" s="79" t="s">
        <v>307</v>
      </c>
      <c r="AK62" s="76" t="s">
        <v>353</v>
      </c>
      <c r="AL62" s="67"/>
      <c r="AM62" s="506"/>
      <c r="AN62" s="505"/>
      <c r="AO62" s="515"/>
    </row>
    <row r="63" spans="1:41">
      <c r="A63" s="58">
        <v>40639</v>
      </c>
      <c r="B63" s="59" t="s">
        <v>204</v>
      </c>
      <c r="C63" s="60" t="s">
        <v>268</v>
      </c>
      <c r="D63" s="60" t="s">
        <v>354</v>
      </c>
      <c r="E63" s="77">
        <v>11</v>
      </c>
      <c r="F63" s="76">
        <v>11</v>
      </c>
      <c r="G63" s="76">
        <v>10</v>
      </c>
      <c r="H63" s="60">
        <v>32</v>
      </c>
      <c r="I63" s="60">
        <v>18</v>
      </c>
      <c r="J63" s="60">
        <v>50</v>
      </c>
      <c r="K63" s="60">
        <v>0.64</v>
      </c>
      <c r="L63" s="60">
        <f t="shared" si="0"/>
        <v>-0.36</v>
      </c>
      <c r="M63" s="64">
        <f t="shared" si="23"/>
        <v>5</v>
      </c>
      <c r="N63" s="65"/>
      <c r="O63" s="60"/>
      <c r="P63" s="66"/>
      <c r="Q63" s="66"/>
      <c r="R63" s="66"/>
      <c r="S63" s="66"/>
      <c r="T63" s="67"/>
      <c r="U63" s="67"/>
      <c r="V63" s="67"/>
      <c r="W63" s="67"/>
      <c r="X63" s="67">
        <f t="shared" ref="X63:Y63" si="69">(P63+R63+T63+V63)</f>
        <v>0</v>
      </c>
      <c r="Y63" s="67">
        <f t="shared" si="69"/>
        <v>0</v>
      </c>
      <c r="Z63" s="68">
        <f t="shared" si="3"/>
        <v>0</v>
      </c>
      <c r="AA63" s="69" t="str">
        <f t="shared" si="4"/>
        <v>4B</v>
      </c>
      <c r="AB63" s="70" t="s">
        <v>354</v>
      </c>
      <c r="AC63" s="70" t="s">
        <v>265</v>
      </c>
      <c r="AD63" s="70">
        <v>32</v>
      </c>
      <c r="AE63" s="70">
        <v>18</v>
      </c>
      <c r="AF63" s="70">
        <v>50</v>
      </c>
      <c r="AG63" s="72">
        <f t="shared" si="6"/>
        <v>0.64</v>
      </c>
      <c r="AH63" s="73">
        <f t="shared" si="7"/>
        <v>-67.36</v>
      </c>
      <c r="AI63" s="74">
        <v>5</v>
      </c>
      <c r="AJ63" s="79" t="s">
        <v>303</v>
      </c>
      <c r="AK63" s="76" t="s">
        <v>355</v>
      </c>
      <c r="AL63" s="67"/>
      <c r="AM63" s="506"/>
      <c r="AN63" s="505"/>
      <c r="AO63" s="515"/>
    </row>
    <row r="64" spans="1:41">
      <c r="A64" s="58">
        <v>40639</v>
      </c>
      <c r="B64" s="59" t="s">
        <v>204</v>
      </c>
      <c r="C64" s="60" t="s">
        <v>271</v>
      </c>
      <c r="D64" s="60" t="s">
        <v>46</v>
      </c>
      <c r="E64" s="77">
        <v>11</v>
      </c>
      <c r="F64" s="78">
        <v>11</v>
      </c>
      <c r="G64" s="78">
        <v>11</v>
      </c>
      <c r="H64" s="60">
        <v>33</v>
      </c>
      <c r="I64" s="60">
        <v>18</v>
      </c>
      <c r="J64" s="60">
        <v>51</v>
      </c>
      <c r="K64" s="60">
        <v>0.64710000000000001</v>
      </c>
      <c r="L64" s="60">
        <f t="shared" si="0"/>
        <v>0.64710000000000001</v>
      </c>
      <c r="M64" s="64">
        <f t="shared" si="23"/>
        <v>3</v>
      </c>
      <c r="N64" s="65"/>
      <c r="O64" s="60">
        <v>0</v>
      </c>
      <c r="P64" s="66"/>
      <c r="Q64" s="66"/>
      <c r="R64" s="66"/>
      <c r="S64" s="66"/>
      <c r="T64" s="67"/>
      <c r="U64" s="67"/>
      <c r="V64" s="67"/>
      <c r="W64" s="67"/>
      <c r="X64" s="67">
        <f t="shared" ref="X64:Y64" si="70">(P64+R64+T64+V64)</f>
        <v>0</v>
      </c>
      <c r="Y64" s="67">
        <f t="shared" si="70"/>
        <v>0</v>
      </c>
      <c r="Z64" s="68">
        <f t="shared" si="3"/>
        <v>0</v>
      </c>
      <c r="AA64" s="69" t="str">
        <f t="shared" si="4"/>
        <v>4C</v>
      </c>
      <c r="AB64" s="70" t="s">
        <v>46</v>
      </c>
      <c r="AC64" s="70" t="s">
        <v>263</v>
      </c>
      <c r="AD64" s="70">
        <v>67</v>
      </c>
      <c r="AE64" s="70">
        <v>47</v>
      </c>
      <c r="AF64" s="70">
        <v>114</v>
      </c>
      <c r="AG64" s="72">
        <f t="shared" si="6"/>
        <v>0.58771929824561409</v>
      </c>
      <c r="AH64" s="73">
        <f t="shared" si="7"/>
        <v>-32.412280701754383</v>
      </c>
      <c r="AI64" s="74">
        <v>1</v>
      </c>
      <c r="AJ64" s="79" t="s">
        <v>291</v>
      </c>
      <c r="AK64" s="76" t="s">
        <v>356</v>
      </c>
      <c r="AL64" s="67"/>
      <c r="AM64" s="506"/>
      <c r="AN64" s="505"/>
      <c r="AO64" s="515"/>
    </row>
    <row r="65" spans="1:41">
      <c r="A65" s="87">
        <v>40639</v>
      </c>
      <c r="B65" s="88" t="s">
        <v>204</v>
      </c>
      <c r="C65" s="89" t="s">
        <v>276</v>
      </c>
      <c r="D65" s="89" t="s">
        <v>357</v>
      </c>
      <c r="E65" s="80">
        <v>8</v>
      </c>
      <c r="F65" s="81">
        <v>5</v>
      </c>
      <c r="G65" s="82">
        <v>11</v>
      </c>
      <c r="H65" s="89">
        <v>24</v>
      </c>
      <c r="I65" s="89">
        <v>26</v>
      </c>
      <c r="J65" s="89">
        <v>50</v>
      </c>
      <c r="K65" s="89">
        <v>0.48</v>
      </c>
      <c r="L65" s="89">
        <f t="shared" si="0"/>
        <v>-8.52</v>
      </c>
      <c r="M65" s="86">
        <f t="shared" si="23"/>
        <v>9</v>
      </c>
      <c r="N65" s="90"/>
      <c r="O65" s="89"/>
      <c r="P65" s="91"/>
      <c r="Q65" s="91"/>
      <c r="R65" s="91"/>
      <c r="S65" s="91"/>
      <c r="T65" s="92"/>
      <c r="U65" s="92"/>
      <c r="V65" s="92"/>
      <c r="W65" s="92"/>
      <c r="X65" s="92">
        <f t="shared" ref="X65:Y65" si="71">(P65+R65+T65+V65)</f>
        <v>0</v>
      </c>
      <c r="Y65" s="92">
        <f t="shared" si="71"/>
        <v>0</v>
      </c>
      <c r="Z65" s="84">
        <f t="shared" si="3"/>
        <v>0</v>
      </c>
      <c r="AA65" s="93" t="str">
        <f t="shared" si="4"/>
        <v>4D</v>
      </c>
      <c r="AB65" s="94" t="s">
        <v>357</v>
      </c>
      <c r="AC65" s="94" t="s">
        <v>278</v>
      </c>
      <c r="AD65" s="94">
        <v>24</v>
      </c>
      <c r="AE65" s="94">
        <v>26</v>
      </c>
      <c r="AF65" s="94">
        <v>50</v>
      </c>
      <c r="AG65" s="95">
        <f t="shared" si="6"/>
        <v>0.48</v>
      </c>
      <c r="AH65" s="96">
        <f t="shared" si="7"/>
        <v>-75.52</v>
      </c>
      <c r="AI65" s="97">
        <v>9</v>
      </c>
      <c r="AJ65" s="98" t="s">
        <v>210</v>
      </c>
      <c r="AK65" s="81" t="s">
        <v>358</v>
      </c>
      <c r="AL65" s="67"/>
      <c r="AM65" s="506"/>
      <c r="AN65" s="505"/>
      <c r="AO65" s="515"/>
    </row>
    <row r="66" spans="1:41" ht="14.5">
      <c r="A66" s="58">
        <v>41076</v>
      </c>
      <c r="B66" s="59" t="s">
        <v>204</v>
      </c>
      <c r="C66" s="60" t="s">
        <v>205</v>
      </c>
      <c r="D66" s="60" t="s">
        <v>359</v>
      </c>
      <c r="E66" s="100">
        <v>5</v>
      </c>
      <c r="F66" s="101">
        <v>8</v>
      </c>
      <c r="G66" s="101">
        <v>6</v>
      </c>
      <c r="H66" s="60">
        <v>19</v>
      </c>
      <c r="I66" s="60">
        <v>33</v>
      </c>
      <c r="J66" s="60">
        <v>52</v>
      </c>
      <c r="K66" s="60">
        <v>0.3654</v>
      </c>
      <c r="L66" s="60">
        <f t="shared" si="0"/>
        <v>-13.634600000000001</v>
      </c>
      <c r="M66" s="64">
        <f t="shared" si="23"/>
        <v>14</v>
      </c>
      <c r="N66" s="65" t="s">
        <v>207</v>
      </c>
      <c r="O66" s="60" t="s">
        <v>52</v>
      </c>
      <c r="P66" s="102"/>
      <c r="Q66" s="66"/>
      <c r="R66" s="103">
        <v>11</v>
      </c>
      <c r="S66" s="103">
        <v>6</v>
      </c>
      <c r="T66" s="103">
        <v>11</v>
      </c>
      <c r="U66" s="103">
        <v>8</v>
      </c>
      <c r="V66" s="67">
        <v>10</v>
      </c>
      <c r="W66" s="104">
        <v>13</v>
      </c>
      <c r="X66" s="67">
        <f t="shared" ref="X66:Y66" si="72">(P66+R66+T66+V66)</f>
        <v>32</v>
      </c>
      <c r="Y66" s="67">
        <f t="shared" si="72"/>
        <v>27</v>
      </c>
      <c r="Z66" s="68">
        <f t="shared" si="3"/>
        <v>59</v>
      </c>
      <c r="AA66" s="69" t="str">
        <f t="shared" si="4"/>
        <v>1A</v>
      </c>
      <c r="AB66" s="70" t="s">
        <v>359</v>
      </c>
      <c r="AC66" s="70" t="s">
        <v>213</v>
      </c>
      <c r="AD66" s="70">
        <v>19</v>
      </c>
      <c r="AE66" s="70">
        <v>33</v>
      </c>
      <c r="AF66" s="70">
        <v>52</v>
      </c>
      <c r="AG66" s="72">
        <f t="shared" si="6"/>
        <v>0.36538461538461536</v>
      </c>
      <c r="AH66" s="73">
        <f t="shared" si="7"/>
        <v>-80.634615384615387</v>
      </c>
      <c r="AI66" s="74">
        <v>14</v>
      </c>
      <c r="AJ66" s="79" t="s">
        <v>360</v>
      </c>
      <c r="AK66" s="76" t="s">
        <v>236</v>
      </c>
      <c r="AL66" s="67"/>
      <c r="AM66" s="506"/>
      <c r="AN66" s="505"/>
      <c r="AO66" s="515"/>
    </row>
    <row r="67" spans="1:41" ht="14.5">
      <c r="A67" s="58">
        <v>41076</v>
      </c>
      <c r="B67" s="59" t="s">
        <v>204</v>
      </c>
      <c r="C67" s="60" t="s">
        <v>211</v>
      </c>
      <c r="D67" s="60" t="s">
        <v>361</v>
      </c>
      <c r="E67" s="105">
        <v>11</v>
      </c>
      <c r="F67" s="106">
        <v>6</v>
      </c>
      <c r="G67" s="106">
        <v>11</v>
      </c>
      <c r="H67" s="60">
        <v>28</v>
      </c>
      <c r="I67" s="60">
        <v>22</v>
      </c>
      <c r="J67" s="60">
        <v>50</v>
      </c>
      <c r="K67" s="60">
        <v>0.56000000000000005</v>
      </c>
      <c r="L67" s="60">
        <f t="shared" si="0"/>
        <v>-4.4399999999999995</v>
      </c>
      <c r="M67" s="64">
        <f t="shared" si="23"/>
        <v>6</v>
      </c>
      <c r="N67" s="65"/>
      <c r="O67" s="60"/>
      <c r="P67" s="102"/>
      <c r="Q67" s="66"/>
      <c r="R67" s="103"/>
      <c r="S67" s="103"/>
      <c r="T67" s="103"/>
      <c r="U67" s="103"/>
      <c r="V67" s="67"/>
      <c r="W67" s="104"/>
      <c r="X67" s="67">
        <f t="shared" ref="X67:Y67" si="73">(P67+R67+T67+V67)</f>
        <v>0</v>
      </c>
      <c r="Y67" s="67">
        <f t="shared" si="73"/>
        <v>0</v>
      </c>
      <c r="Z67" s="68">
        <f t="shared" si="3"/>
        <v>0</v>
      </c>
      <c r="AA67" s="69" t="str">
        <f t="shared" si="4"/>
        <v>1B</v>
      </c>
      <c r="AB67" s="70" t="s">
        <v>361</v>
      </c>
      <c r="AC67" s="70" t="s">
        <v>218</v>
      </c>
      <c r="AD67" s="70">
        <v>37</v>
      </c>
      <c r="AE67" s="70">
        <v>33</v>
      </c>
      <c r="AF67" s="70">
        <v>70</v>
      </c>
      <c r="AG67" s="72">
        <f t="shared" si="6"/>
        <v>0.52857142857142858</v>
      </c>
      <c r="AH67" s="73">
        <f t="shared" si="7"/>
        <v>-62.471428571428568</v>
      </c>
      <c r="AI67" s="74">
        <v>5</v>
      </c>
      <c r="AJ67" s="79" t="s">
        <v>333</v>
      </c>
      <c r="AK67" s="76" t="s">
        <v>275</v>
      </c>
      <c r="AL67" s="67"/>
      <c r="AM67" s="506"/>
      <c r="AN67" s="505"/>
      <c r="AO67" s="515"/>
    </row>
    <row r="68" spans="1:41" ht="14.5">
      <c r="A68" s="58">
        <v>41076</v>
      </c>
      <c r="B68" s="59" t="s">
        <v>204</v>
      </c>
      <c r="C68" s="60" t="s">
        <v>216</v>
      </c>
      <c r="D68" s="60" t="s">
        <v>362</v>
      </c>
      <c r="E68" s="107">
        <v>6</v>
      </c>
      <c r="F68" s="108">
        <v>11</v>
      </c>
      <c r="G68" s="106">
        <v>6</v>
      </c>
      <c r="H68" s="60">
        <v>23</v>
      </c>
      <c r="I68" s="60">
        <v>30</v>
      </c>
      <c r="J68" s="60">
        <v>53</v>
      </c>
      <c r="K68" s="60">
        <v>0.434</v>
      </c>
      <c r="L68" s="60">
        <f t="shared" si="0"/>
        <v>-9.5660000000000007</v>
      </c>
      <c r="M68" s="64">
        <f t="shared" si="23"/>
        <v>10</v>
      </c>
      <c r="N68" s="65" t="s">
        <v>265</v>
      </c>
      <c r="O68" s="60" t="s">
        <v>363</v>
      </c>
      <c r="P68" s="102"/>
      <c r="Q68" s="66"/>
      <c r="R68" s="103">
        <v>6</v>
      </c>
      <c r="S68" s="103">
        <v>11</v>
      </c>
      <c r="T68" s="103"/>
      <c r="U68" s="103"/>
      <c r="V68" s="67"/>
      <c r="W68" s="104"/>
      <c r="X68" s="67">
        <f t="shared" ref="X68:Y68" si="74">(P68+R68+T68+V68)</f>
        <v>6</v>
      </c>
      <c r="Y68" s="67">
        <f t="shared" si="74"/>
        <v>11</v>
      </c>
      <c r="Z68" s="68">
        <f t="shared" si="3"/>
        <v>17</v>
      </c>
      <c r="AA68" s="69" t="str">
        <f t="shared" si="4"/>
        <v>1C</v>
      </c>
      <c r="AB68" s="70" t="s">
        <v>362</v>
      </c>
      <c r="AC68" s="70" t="s">
        <v>208</v>
      </c>
      <c r="AD68" s="70">
        <v>23</v>
      </c>
      <c r="AE68" s="70">
        <v>30</v>
      </c>
      <c r="AF68" s="70">
        <v>53</v>
      </c>
      <c r="AG68" s="72">
        <f t="shared" si="6"/>
        <v>0.43396226415094341</v>
      </c>
      <c r="AH68" s="73">
        <f t="shared" si="7"/>
        <v>-76.566037735849051</v>
      </c>
      <c r="AI68" s="74">
        <v>10</v>
      </c>
      <c r="AJ68" s="79" t="s">
        <v>304</v>
      </c>
      <c r="AK68" s="76" t="s">
        <v>226</v>
      </c>
      <c r="AL68" s="67"/>
      <c r="AM68" s="506"/>
      <c r="AN68" s="505"/>
      <c r="AO68" s="515"/>
    </row>
    <row r="69" spans="1:41" ht="14.5">
      <c r="A69" s="58">
        <v>41076</v>
      </c>
      <c r="B69" s="59" t="s">
        <v>204</v>
      </c>
      <c r="C69" s="60" t="s">
        <v>221</v>
      </c>
      <c r="D69" s="60" t="s">
        <v>52</v>
      </c>
      <c r="E69" s="109">
        <v>11</v>
      </c>
      <c r="F69" s="110">
        <v>11</v>
      </c>
      <c r="G69" s="111">
        <v>11</v>
      </c>
      <c r="H69" s="60">
        <v>33</v>
      </c>
      <c r="I69" s="60">
        <v>18</v>
      </c>
      <c r="J69" s="60">
        <v>51</v>
      </c>
      <c r="K69" s="60">
        <v>0.64710000000000001</v>
      </c>
      <c r="L69" s="60">
        <f t="shared" si="0"/>
        <v>0.64710000000000001</v>
      </c>
      <c r="M69" s="64">
        <f t="shared" si="23"/>
        <v>2</v>
      </c>
      <c r="N69" s="90"/>
      <c r="O69" s="89"/>
      <c r="P69" s="112"/>
      <c r="Q69" s="91"/>
      <c r="R69" s="113"/>
      <c r="S69" s="113"/>
      <c r="T69" s="103"/>
      <c r="U69" s="103"/>
      <c r="V69" s="67"/>
      <c r="W69" s="104"/>
      <c r="X69" s="67">
        <f t="shared" ref="X69:Y69" si="75">(P69+R69+T69+V69)</f>
        <v>0</v>
      </c>
      <c r="Y69" s="67">
        <f t="shared" si="75"/>
        <v>0</v>
      </c>
      <c r="Z69" s="68">
        <f t="shared" si="3"/>
        <v>0</v>
      </c>
      <c r="AA69" s="69" t="str">
        <f t="shared" si="4"/>
        <v>1D</v>
      </c>
      <c r="AB69" s="70" t="s">
        <v>52</v>
      </c>
      <c r="AC69" s="70" t="s">
        <v>207</v>
      </c>
      <c r="AD69" s="70">
        <v>65</v>
      </c>
      <c r="AE69" s="70">
        <v>45</v>
      </c>
      <c r="AF69" s="70">
        <v>110</v>
      </c>
      <c r="AG69" s="72">
        <f t="shared" si="6"/>
        <v>0.59090909090909094</v>
      </c>
      <c r="AH69" s="73">
        <f t="shared" si="7"/>
        <v>-34.409090909090907</v>
      </c>
      <c r="AI69" s="74">
        <v>2</v>
      </c>
      <c r="AJ69" s="79" t="s">
        <v>364</v>
      </c>
      <c r="AK69" s="76" t="s">
        <v>295</v>
      </c>
      <c r="AL69" s="67"/>
      <c r="AM69" s="506"/>
      <c r="AN69" s="505"/>
      <c r="AO69" s="515"/>
    </row>
    <row r="70" spans="1:41" ht="14.5">
      <c r="A70" s="58">
        <v>41076</v>
      </c>
      <c r="B70" s="59" t="s">
        <v>204</v>
      </c>
      <c r="C70" s="60" t="s">
        <v>224</v>
      </c>
      <c r="D70" s="60" t="s">
        <v>365</v>
      </c>
      <c r="E70" s="100">
        <v>5</v>
      </c>
      <c r="F70" s="101">
        <v>5</v>
      </c>
      <c r="G70" s="101">
        <v>11</v>
      </c>
      <c r="H70" s="60">
        <v>21</v>
      </c>
      <c r="I70" s="60">
        <v>30</v>
      </c>
      <c r="J70" s="60">
        <v>51</v>
      </c>
      <c r="K70" s="60">
        <v>0.4118</v>
      </c>
      <c r="L70" s="60">
        <f t="shared" si="0"/>
        <v>-11.588200000000001</v>
      </c>
      <c r="M70" s="64">
        <f t="shared" si="23"/>
        <v>13</v>
      </c>
      <c r="N70" s="65" t="s">
        <v>225</v>
      </c>
      <c r="O70" s="60" t="s">
        <v>366</v>
      </c>
      <c r="P70" s="102"/>
      <c r="Q70" s="66"/>
      <c r="R70" s="103">
        <v>11</v>
      </c>
      <c r="S70" s="103">
        <v>8</v>
      </c>
      <c r="T70" s="103">
        <v>8</v>
      </c>
      <c r="U70" s="103">
        <v>11</v>
      </c>
      <c r="V70" s="67"/>
      <c r="W70" s="104"/>
      <c r="X70" s="67">
        <f t="shared" ref="X70:Y70" si="76">(P70+R70+T70+V70)</f>
        <v>19</v>
      </c>
      <c r="Y70" s="67">
        <f t="shared" si="76"/>
        <v>19</v>
      </c>
      <c r="Z70" s="68">
        <f t="shared" si="3"/>
        <v>38</v>
      </c>
      <c r="AA70" s="69" t="str">
        <f t="shared" si="4"/>
        <v>2A</v>
      </c>
      <c r="AB70" s="70" t="s">
        <v>365</v>
      </c>
      <c r="AC70" s="70" t="s">
        <v>234</v>
      </c>
      <c r="AD70" s="70">
        <v>21</v>
      </c>
      <c r="AE70" s="70">
        <v>30</v>
      </c>
      <c r="AF70" s="70">
        <v>51</v>
      </c>
      <c r="AG70" s="72">
        <f t="shared" si="6"/>
        <v>0.41176470588235292</v>
      </c>
      <c r="AH70" s="73">
        <f t="shared" si="7"/>
        <v>-78.588235294117652</v>
      </c>
      <c r="AI70" s="74">
        <v>13</v>
      </c>
      <c r="AJ70" s="79" t="s">
        <v>343</v>
      </c>
      <c r="AK70" s="76" t="s">
        <v>282</v>
      </c>
      <c r="AL70" s="67"/>
      <c r="AM70" s="506"/>
      <c r="AN70" s="505"/>
      <c r="AO70" s="515"/>
    </row>
    <row r="71" spans="1:41" ht="14.5">
      <c r="A71" s="58">
        <v>41076</v>
      </c>
      <c r="B71" s="59" t="s">
        <v>204</v>
      </c>
      <c r="C71" s="60" t="s">
        <v>228</v>
      </c>
      <c r="D71" s="60" t="s">
        <v>367</v>
      </c>
      <c r="E71" s="105">
        <v>11</v>
      </c>
      <c r="F71" s="106">
        <v>11</v>
      </c>
      <c r="G71" s="106">
        <v>5</v>
      </c>
      <c r="H71" s="60">
        <v>27</v>
      </c>
      <c r="I71" s="60">
        <v>18</v>
      </c>
      <c r="J71" s="60">
        <v>45</v>
      </c>
      <c r="K71" s="60">
        <v>0.6</v>
      </c>
      <c r="L71" s="60">
        <f t="shared" si="0"/>
        <v>-5.4</v>
      </c>
      <c r="M71" s="64">
        <f t="shared" si="23"/>
        <v>7</v>
      </c>
      <c r="N71" s="65"/>
      <c r="O71" s="60"/>
      <c r="P71" s="102"/>
      <c r="Q71" s="66"/>
      <c r="R71" s="103"/>
      <c r="S71" s="103"/>
      <c r="T71" s="103"/>
      <c r="U71" s="103"/>
      <c r="V71" s="67"/>
      <c r="W71" s="104"/>
      <c r="X71" s="67">
        <f t="shared" ref="X71:Y71" si="77">(P71+R71+T71+V71)</f>
        <v>0</v>
      </c>
      <c r="Y71" s="67">
        <f t="shared" si="77"/>
        <v>0</v>
      </c>
      <c r="Z71" s="68">
        <f t="shared" si="3"/>
        <v>0</v>
      </c>
      <c r="AA71" s="69" t="str">
        <f t="shared" si="4"/>
        <v>2B</v>
      </c>
      <c r="AB71" s="70" t="s">
        <v>367</v>
      </c>
      <c r="AC71" s="70" t="s">
        <v>230</v>
      </c>
      <c r="AD71" s="70">
        <v>36</v>
      </c>
      <c r="AE71" s="70">
        <v>29</v>
      </c>
      <c r="AF71" s="70">
        <v>65</v>
      </c>
      <c r="AG71" s="72">
        <f t="shared" si="6"/>
        <v>0.55384615384615388</v>
      </c>
      <c r="AH71" s="73">
        <f t="shared" si="7"/>
        <v>-63.446153846153848</v>
      </c>
      <c r="AI71" s="74">
        <v>7</v>
      </c>
      <c r="AJ71" s="79" t="s">
        <v>358</v>
      </c>
      <c r="AK71" s="76" t="s">
        <v>30</v>
      </c>
      <c r="AL71" s="67"/>
      <c r="AM71" s="506"/>
      <c r="AN71" s="505"/>
      <c r="AO71" s="515"/>
    </row>
    <row r="72" spans="1:41" ht="14.5">
      <c r="A72" s="58">
        <v>41076</v>
      </c>
      <c r="B72" s="59" t="s">
        <v>204</v>
      </c>
      <c r="C72" s="60" t="s">
        <v>232</v>
      </c>
      <c r="D72" s="60" t="s">
        <v>366</v>
      </c>
      <c r="E72" s="107">
        <v>7</v>
      </c>
      <c r="F72" s="108">
        <v>11</v>
      </c>
      <c r="G72" s="106">
        <v>11</v>
      </c>
      <c r="H72" s="60">
        <v>29</v>
      </c>
      <c r="I72" s="60">
        <v>21</v>
      </c>
      <c r="J72" s="60">
        <v>50</v>
      </c>
      <c r="K72" s="60">
        <v>0.57999999999999996</v>
      </c>
      <c r="L72" s="60">
        <f t="shared" si="0"/>
        <v>-3.42</v>
      </c>
      <c r="M72" s="64">
        <f t="shared" si="23"/>
        <v>5</v>
      </c>
      <c r="N72" s="65" t="s">
        <v>253</v>
      </c>
      <c r="O72" s="60" t="s">
        <v>368</v>
      </c>
      <c r="P72" s="102"/>
      <c r="Q72" s="66"/>
      <c r="R72" s="103">
        <v>8</v>
      </c>
      <c r="S72" s="103">
        <v>11</v>
      </c>
      <c r="T72" s="103"/>
      <c r="U72" s="103"/>
      <c r="V72" s="67"/>
      <c r="W72" s="104"/>
      <c r="X72" s="67">
        <f t="shared" ref="X72:Y72" si="78">(P72+R72+T72+V72)</f>
        <v>8</v>
      </c>
      <c r="Y72" s="67">
        <f t="shared" si="78"/>
        <v>11</v>
      </c>
      <c r="Z72" s="68">
        <f t="shared" si="3"/>
        <v>19</v>
      </c>
      <c r="AA72" s="69" t="str">
        <f t="shared" si="4"/>
        <v>2C</v>
      </c>
      <c r="AB72" s="70" t="s">
        <v>366</v>
      </c>
      <c r="AC72" s="70" t="s">
        <v>225</v>
      </c>
      <c r="AD72" s="70">
        <v>48</v>
      </c>
      <c r="AE72" s="70">
        <v>40</v>
      </c>
      <c r="AF72" s="70">
        <v>88</v>
      </c>
      <c r="AG72" s="72">
        <f t="shared" si="6"/>
        <v>0.54545454545454541</v>
      </c>
      <c r="AH72" s="73">
        <f t="shared" si="7"/>
        <v>-51.454545454545453</v>
      </c>
      <c r="AI72" s="74">
        <v>4</v>
      </c>
      <c r="AJ72" s="79" t="s">
        <v>369</v>
      </c>
      <c r="AK72" s="76" t="s">
        <v>370</v>
      </c>
      <c r="AL72" s="67"/>
      <c r="AM72" s="506"/>
      <c r="AN72" s="505"/>
      <c r="AO72" s="515"/>
    </row>
    <row r="73" spans="1:41" ht="14.5">
      <c r="A73" s="58">
        <v>41076</v>
      </c>
      <c r="B73" s="59" t="s">
        <v>204</v>
      </c>
      <c r="C73" s="60" t="s">
        <v>237</v>
      </c>
      <c r="D73" s="60" t="s">
        <v>371</v>
      </c>
      <c r="E73" s="109">
        <v>11</v>
      </c>
      <c r="F73" s="110">
        <v>2</v>
      </c>
      <c r="G73" s="111">
        <v>8</v>
      </c>
      <c r="H73" s="60">
        <v>21</v>
      </c>
      <c r="I73" s="60">
        <v>29</v>
      </c>
      <c r="J73" s="60">
        <v>50</v>
      </c>
      <c r="K73" s="60">
        <v>0.42</v>
      </c>
      <c r="L73" s="60">
        <f t="shared" si="0"/>
        <v>-11.58</v>
      </c>
      <c r="M73" s="64">
        <f t="shared" si="23"/>
        <v>12</v>
      </c>
      <c r="N73" s="90"/>
      <c r="O73" s="89"/>
      <c r="P73" s="112"/>
      <c r="Q73" s="91"/>
      <c r="R73" s="113"/>
      <c r="S73" s="113"/>
      <c r="T73" s="113"/>
      <c r="U73" s="113"/>
      <c r="V73" s="67"/>
      <c r="W73" s="104"/>
      <c r="X73" s="67">
        <f t="shared" ref="X73:Y73" si="79">(P73+R73+T73+V73)</f>
        <v>0</v>
      </c>
      <c r="Y73" s="67">
        <f t="shared" si="79"/>
        <v>0</v>
      </c>
      <c r="Z73" s="68">
        <f t="shared" si="3"/>
        <v>0</v>
      </c>
      <c r="AA73" s="69" t="str">
        <f t="shared" si="4"/>
        <v>2D</v>
      </c>
      <c r="AB73" s="70" t="s">
        <v>371</v>
      </c>
      <c r="AC73" s="70" t="s">
        <v>239</v>
      </c>
      <c r="AD73" s="70">
        <v>21</v>
      </c>
      <c r="AE73" s="70">
        <v>29</v>
      </c>
      <c r="AF73" s="70">
        <v>50</v>
      </c>
      <c r="AG73" s="72">
        <f t="shared" si="6"/>
        <v>0.42</v>
      </c>
      <c r="AH73" s="73">
        <f t="shared" si="7"/>
        <v>-78.58</v>
      </c>
      <c r="AI73" s="74">
        <v>12</v>
      </c>
      <c r="AJ73" s="79" t="s">
        <v>337</v>
      </c>
      <c r="AK73" s="76" t="s">
        <v>372</v>
      </c>
      <c r="AL73" s="67"/>
      <c r="AM73" s="506"/>
      <c r="AN73" s="505"/>
      <c r="AO73" s="515"/>
    </row>
    <row r="74" spans="1:41" ht="14.5">
      <c r="A74" s="58">
        <v>41076</v>
      </c>
      <c r="B74" s="59" t="s">
        <v>204</v>
      </c>
      <c r="C74" s="60" t="s">
        <v>241</v>
      </c>
      <c r="D74" s="60" t="s">
        <v>373</v>
      </c>
      <c r="E74" s="100">
        <v>8</v>
      </c>
      <c r="F74" s="101">
        <v>5</v>
      </c>
      <c r="G74" s="101">
        <v>4</v>
      </c>
      <c r="H74" s="60">
        <v>17</v>
      </c>
      <c r="I74" s="60">
        <v>33</v>
      </c>
      <c r="J74" s="60">
        <v>50</v>
      </c>
      <c r="K74" s="60">
        <v>0.34</v>
      </c>
      <c r="L74" s="60">
        <f t="shared" si="0"/>
        <v>-15.66</v>
      </c>
      <c r="M74" s="64">
        <f t="shared" si="23"/>
        <v>15</v>
      </c>
      <c r="N74" s="65" t="s">
        <v>243</v>
      </c>
      <c r="O74" s="60" t="s">
        <v>51</v>
      </c>
      <c r="P74" s="102"/>
      <c r="Q74" s="66"/>
      <c r="R74" s="103">
        <v>11</v>
      </c>
      <c r="S74" s="103">
        <v>9</v>
      </c>
      <c r="T74" s="103">
        <v>11</v>
      </c>
      <c r="U74" s="103">
        <v>5</v>
      </c>
      <c r="V74" s="67">
        <v>13</v>
      </c>
      <c r="W74" s="104">
        <v>10</v>
      </c>
      <c r="X74" s="67">
        <f t="shared" ref="X74:Y74" si="80">(P74+R74+T74+V74)</f>
        <v>35</v>
      </c>
      <c r="Y74" s="67">
        <f t="shared" si="80"/>
        <v>24</v>
      </c>
      <c r="Z74" s="68">
        <f t="shared" si="3"/>
        <v>59</v>
      </c>
      <c r="AA74" s="69" t="str">
        <f t="shared" si="4"/>
        <v>3A</v>
      </c>
      <c r="AB74" s="70" t="s">
        <v>373</v>
      </c>
      <c r="AC74" s="70" t="s">
        <v>258</v>
      </c>
      <c r="AD74" s="70">
        <v>17</v>
      </c>
      <c r="AE74" s="70">
        <v>33</v>
      </c>
      <c r="AF74" s="70">
        <v>50</v>
      </c>
      <c r="AG74" s="72">
        <f t="shared" si="6"/>
        <v>0.34</v>
      </c>
      <c r="AH74" s="73">
        <f t="shared" si="7"/>
        <v>-82.66</v>
      </c>
      <c r="AI74" s="74">
        <v>15</v>
      </c>
      <c r="AJ74" s="79" t="s">
        <v>23</v>
      </c>
      <c r="AK74" s="76" t="s">
        <v>210</v>
      </c>
      <c r="AL74" s="67"/>
      <c r="AM74" s="506"/>
      <c r="AN74" s="505"/>
      <c r="AO74" s="515"/>
    </row>
    <row r="75" spans="1:41" ht="14.5">
      <c r="A75" s="58">
        <v>41076</v>
      </c>
      <c r="B75" s="59" t="s">
        <v>204</v>
      </c>
      <c r="C75" s="60" t="s">
        <v>246</v>
      </c>
      <c r="D75" s="60" t="s">
        <v>368</v>
      </c>
      <c r="E75" s="105">
        <v>11</v>
      </c>
      <c r="F75" s="106">
        <v>4</v>
      </c>
      <c r="G75" s="106">
        <v>11</v>
      </c>
      <c r="H75" s="60">
        <v>26</v>
      </c>
      <c r="I75" s="60">
        <v>25</v>
      </c>
      <c r="J75" s="60">
        <v>51</v>
      </c>
      <c r="K75" s="60">
        <v>0.50980000000000003</v>
      </c>
      <c r="L75" s="60">
        <f t="shared" si="0"/>
        <v>-6.4901999999999997</v>
      </c>
      <c r="M75" s="64">
        <f t="shared" si="23"/>
        <v>8</v>
      </c>
      <c r="N75" s="65"/>
      <c r="O75" s="60"/>
      <c r="P75" s="102"/>
      <c r="Q75" s="66"/>
      <c r="R75" s="103"/>
      <c r="S75" s="103"/>
      <c r="T75" s="103"/>
      <c r="U75" s="103"/>
      <c r="V75" s="67"/>
      <c r="W75" s="104"/>
      <c r="X75" s="67">
        <f t="shared" ref="X75:Y75" si="81">(P75+R75+T75+V75)</f>
        <v>0</v>
      </c>
      <c r="Y75" s="67">
        <f t="shared" si="81"/>
        <v>0</v>
      </c>
      <c r="Z75" s="68">
        <f t="shared" si="3"/>
        <v>0</v>
      </c>
      <c r="AA75" s="69" t="str">
        <f t="shared" si="4"/>
        <v>3B</v>
      </c>
      <c r="AB75" s="70" t="s">
        <v>368</v>
      </c>
      <c r="AC75" s="70" t="s">
        <v>253</v>
      </c>
      <c r="AD75" s="70">
        <v>34</v>
      </c>
      <c r="AE75" s="70">
        <v>36</v>
      </c>
      <c r="AF75" s="70">
        <v>70</v>
      </c>
      <c r="AG75" s="72">
        <f t="shared" si="6"/>
        <v>0.48571428571428571</v>
      </c>
      <c r="AH75" s="73">
        <f t="shared" si="7"/>
        <v>-65.51428571428572</v>
      </c>
      <c r="AI75" s="74">
        <v>8</v>
      </c>
      <c r="AJ75" s="79" t="s">
        <v>281</v>
      </c>
      <c r="AK75" s="76" t="s">
        <v>267</v>
      </c>
      <c r="AL75" s="67"/>
      <c r="AM75" s="506"/>
      <c r="AN75" s="505"/>
      <c r="AO75" s="515"/>
    </row>
    <row r="76" spans="1:41" ht="14.5">
      <c r="A76" s="58">
        <v>41076</v>
      </c>
      <c r="B76" s="59" t="s">
        <v>204</v>
      </c>
      <c r="C76" s="60" t="s">
        <v>251</v>
      </c>
      <c r="D76" s="60" t="s">
        <v>374</v>
      </c>
      <c r="E76" s="107">
        <v>5</v>
      </c>
      <c r="F76" s="108">
        <v>11</v>
      </c>
      <c r="G76" s="106">
        <v>6</v>
      </c>
      <c r="H76" s="60">
        <v>22</v>
      </c>
      <c r="I76" s="60">
        <v>27</v>
      </c>
      <c r="J76" s="60">
        <v>49</v>
      </c>
      <c r="K76" s="60">
        <v>0.44900000000000001</v>
      </c>
      <c r="L76" s="60">
        <f t="shared" si="0"/>
        <v>-10.551</v>
      </c>
      <c r="M76" s="64">
        <f t="shared" si="23"/>
        <v>11</v>
      </c>
      <c r="N76" s="65" t="s">
        <v>230</v>
      </c>
      <c r="O76" s="60" t="s">
        <v>367</v>
      </c>
      <c r="P76" s="102"/>
      <c r="Q76" s="66"/>
      <c r="R76" s="103">
        <v>9</v>
      </c>
      <c r="S76" s="103">
        <v>11</v>
      </c>
      <c r="T76" s="103"/>
      <c r="U76" s="103"/>
      <c r="V76" s="67"/>
      <c r="W76" s="104"/>
      <c r="X76" s="67">
        <f t="shared" ref="X76:Y76" si="82">(P76+R76+T76+V76)</f>
        <v>9</v>
      </c>
      <c r="Y76" s="67">
        <f t="shared" si="82"/>
        <v>11</v>
      </c>
      <c r="Z76" s="68">
        <f t="shared" si="3"/>
        <v>20</v>
      </c>
      <c r="AA76" s="69" t="str">
        <f t="shared" si="4"/>
        <v>3C</v>
      </c>
      <c r="AB76" s="70" t="s">
        <v>374</v>
      </c>
      <c r="AC76" s="70" t="s">
        <v>248</v>
      </c>
      <c r="AD76" s="70">
        <v>22</v>
      </c>
      <c r="AE76" s="70">
        <v>27</v>
      </c>
      <c r="AF76" s="70">
        <v>49</v>
      </c>
      <c r="AG76" s="72">
        <f t="shared" si="6"/>
        <v>0.44897959183673469</v>
      </c>
      <c r="AH76" s="73">
        <f t="shared" si="7"/>
        <v>-77.551020408163268</v>
      </c>
      <c r="AI76" s="74">
        <v>11</v>
      </c>
      <c r="AJ76" s="79" t="s">
        <v>303</v>
      </c>
      <c r="AK76" s="76" t="s">
        <v>375</v>
      </c>
      <c r="AL76" s="67"/>
      <c r="AM76" s="506"/>
      <c r="AN76" s="505"/>
      <c r="AO76" s="515"/>
    </row>
    <row r="77" spans="1:41" ht="14.5">
      <c r="A77" s="58">
        <v>41076</v>
      </c>
      <c r="B77" s="59" t="s">
        <v>204</v>
      </c>
      <c r="C77" s="60" t="s">
        <v>256</v>
      </c>
      <c r="D77" s="60" t="s">
        <v>51</v>
      </c>
      <c r="E77" s="109">
        <v>11</v>
      </c>
      <c r="F77" s="110">
        <v>11</v>
      </c>
      <c r="G77" s="111">
        <v>11</v>
      </c>
      <c r="H77" s="60">
        <v>33</v>
      </c>
      <c r="I77" s="60">
        <v>13</v>
      </c>
      <c r="J77" s="60">
        <v>46</v>
      </c>
      <c r="K77" s="60">
        <v>0.71740000000000004</v>
      </c>
      <c r="L77" s="60">
        <f t="shared" si="0"/>
        <v>0.71740000000000004</v>
      </c>
      <c r="M77" s="64">
        <f t="shared" si="23"/>
        <v>1</v>
      </c>
      <c r="N77" s="90"/>
      <c r="O77" s="89"/>
      <c r="P77" s="112"/>
      <c r="Q77" s="91"/>
      <c r="R77" s="113"/>
      <c r="S77" s="113"/>
      <c r="T77" s="103"/>
      <c r="U77" s="103"/>
      <c r="V77" s="67"/>
      <c r="W77" s="104"/>
      <c r="X77" s="67">
        <f t="shared" ref="X77:Y77" si="83">(P77+R77+T77+V77)</f>
        <v>0</v>
      </c>
      <c r="Y77" s="67">
        <f t="shared" si="83"/>
        <v>0</v>
      </c>
      <c r="Z77" s="68">
        <f t="shared" si="3"/>
        <v>0</v>
      </c>
      <c r="AA77" s="69" t="str">
        <f t="shared" si="4"/>
        <v>3D</v>
      </c>
      <c r="AB77" s="70" t="s">
        <v>51</v>
      </c>
      <c r="AC77" s="70" t="s">
        <v>243</v>
      </c>
      <c r="AD77" s="70">
        <v>68</v>
      </c>
      <c r="AE77" s="70">
        <v>37</v>
      </c>
      <c r="AF77" s="70">
        <v>105</v>
      </c>
      <c r="AG77" s="72">
        <f t="shared" si="6"/>
        <v>0.64761904761904765</v>
      </c>
      <c r="AH77" s="73">
        <f t="shared" si="7"/>
        <v>-31.352380952380951</v>
      </c>
      <c r="AI77" s="74">
        <v>1</v>
      </c>
      <c r="AJ77" s="79" t="s">
        <v>326</v>
      </c>
      <c r="AK77" s="76" t="s">
        <v>376</v>
      </c>
      <c r="AL77" s="67"/>
      <c r="AM77" s="506"/>
      <c r="AN77" s="505"/>
      <c r="AO77" s="515"/>
    </row>
    <row r="78" spans="1:41" ht="14.5">
      <c r="A78" s="58">
        <v>41076</v>
      </c>
      <c r="B78" s="59" t="s">
        <v>204</v>
      </c>
      <c r="C78" s="60" t="s">
        <v>261</v>
      </c>
      <c r="D78" s="60" t="s">
        <v>377</v>
      </c>
      <c r="E78" s="100">
        <v>4</v>
      </c>
      <c r="F78" s="101">
        <v>3</v>
      </c>
      <c r="G78" s="101">
        <v>6</v>
      </c>
      <c r="H78" s="60">
        <v>13</v>
      </c>
      <c r="I78" s="60">
        <v>33</v>
      </c>
      <c r="J78" s="60">
        <v>46</v>
      </c>
      <c r="K78" s="60">
        <v>0.28260000000000002</v>
      </c>
      <c r="L78" s="60">
        <f t="shared" si="0"/>
        <v>-19.717400000000001</v>
      </c>
      <c r="M78" s="64">
        <f t="shared" si="23"/>
        <v>16</v>
      </c>
      <c r="N78" s="65" t="s">
        <v>263</v>
      </c>
      <c r="O78" s="60" t="s">
        <v>378</v>
      </c>
      <c r="P78" s="102"/>
      <c r="Q78" s="66"/>
      <c r="R78" s="103">
        <v>11</v>
      </c>
      <c r="S78" s="103">
        <v>9</v>
      </c>
      <c r="T78" s="103">
        <v>5</v>
      </c>
      <c r="U78" s="103">
        <v>11</v>
      </c>
      <c r="V78" s="67"/>
      <c r="W78" s="104"/>
      <c r="X78" s="67">
        <f t="shared" ref="X78:Y78" si="84">(P78+R78+T78+V78)</f>
        <v>16</v>
      </c>
      <c r="Y78" s="67">
        <f t="shared" si="84"/>
        <v>20</v>
      </c>
      <c r="Z78" s="68">
        <f t="shared" si="3"/>
        <v>36</v>
      </c>
      <c r="AA78" s="69" t="str">
        <f t="shared" si="4"/>
        <v>4A</v>
      </c>
      <c r="AB78" s="70" t="s">
        <v>377</v>
      </c>
      <c r="AC78" s="70" t="s">
        <v>273</v>
      </c>
      <c r="AD78" s="70">
        <v>13</v>
      </c>
      <c r="AE78" s="70">
        <v>33</v>
      </c>
      <c r="AF78" s="70">
        <v>46</v>
      </c>
      <c r="AG78" s="72">
        <f t="shared" si="6"/>
        <v>0.28260869565217389</v>
      </c>
      <c r="AH78" s="73">
        <f t="shared" si="7"/>
        <v>-86.717391304347828</v>
      </c>
      <c r="AI78" s="74">
        <v>16</v>
      </c>
      <c r="AJ78" s="79" t="s">
        <v>266</v>
      </c>
      <c r="AK78" s="76" t="s">
        <v>324</v>
      </c>
      <c r="AL78" s="67"/>
      <c r="AM78" s="506"/>
      <c r="AN78" s="505"/>
      <c r="AO78" s="515"/>
    </row>
    <row r="79" spans="1:41" ht="14.5">
      <c r="A79" s="58">
        <v>41076</v>
      </c>
      <c r="B79" s="59" t="s">
        <v>204</v>
      </c>
      <c r="C79" s="60" t="s">
        <v>268</v>
      </c>
      <c r="D79" s="60" t="s">
        <v>363</v>
      </c>
      <c r="E79" s="105">
        <v>11</v>
      </c>
      <c r="F79" s="106">
        <v>9</v>
      </c>
      <c r="G79" s="106">
        <v>11</v>
      </c>
      <c r="H79" s="60">
        <v>31</v>
      </c>
      <c r="I79" s="60">
        <v>23</v>
      </c>
      <c r="J79" s="60">
        <v>54</v>
      </c>
      <c r="K79" s="60">
        <v>0.57410000000000005</v>
      </c>
      <c r="L79" s="60">
        <f t="shared" si="0"/>
        <v>-1.4258999999999999</v>
      </c>
      <c r="M79" s="64">
        <f t="shared" si="23"/>
        <v>4</v>
      </c>
      <c r="N79" s="65"/>
      <c r="O79" s="60"/>
      <c r="P79" s="102"/>
      <c r="Q79" s="66"/>
      <c r="R79" s="103"/>
      <c r="S79" s="103"/>
      <c r="T79" s="103"/>
      <c r="U79" s="103"/>
      <c r="V79" s="67"/>
      <c r="W79" s="104"/>
      <c r="X79" s="67">
        <f t="shared" ref="X79:Y79" si="85">(P79+R79+T79+V79)</f>
        <v>0</v>
      </c>
      <c r="Y79" s="67">
        <f t="shared" si="85"/>
        <v>0</v>
      </c>
      <c r="Z79" s="68">
        <f t="shared" si="3"/>
        <v>0</v>
      </c>
      <c r="AA79" s="69" t="str">
        <f t="shared" si="4"/>
        <v>4B</v>
      </c>
      <c r="AB79" s="70" t="s">
        <v>363</v>
      </c>
      <c r="AC79" s="70" t="s">
        <v>265</v>
      </c>
      <c r="AD79" s="70">
        <v>37</v>
      </c>
      <c r="AE79" s="70">
        <v>34</v>
      </c>
      <c r="AF79" s="70">
        <v>71</v>
      </c>
      <c r="AG79" s="72">
        <f t="shared" si="6"/>
        <v>0.52112676056338025</v>
      </c>
      <c r="AH79" s="73">
        <f t="shared" si="7"/>
        <v>-62.478873239436616</v>
      </c>
      <c r="AI79" s="74">
        <v>6</v>
      </c>
      <c r="AJ79" s="79" t="s">
        <v>289</v>
      </c>
      <c r="AK79" s="76" t="s">
        <v>260</v>
      </c>
      <c r="AL79" s="67"/>
      <c r="AM79" s="506"/>
      <c r="AN79" s="505"/>
      <c r="AO79" s="515"/>
    </row>
    <row r="80" spans="1:41" ht="14.5">
      <c r="A80" s="58">
        <v>41076</v>
      </c>
      <c r="B80" s="59" t="s">
        <v>204</v>
      </c>
      <c r="C80" s="60" t="s">
        <v>271</v>
      </c>
      <c r="D80" s="60" t="s">
        <v>379</v>
      </c>
      <c r="E80" s="107">
        <v>7</v>
      </c>
      <c r="F80" s="108">
        <v>11</v>
      </c>
      <c r="G80" s="106">
        <v>8</v>
      </c>
      <c r="H80" s="60">
        <v>26</v>
      </c>
      <c r="I80" s="60">
        <v>25</v>
      </c>
      <c r="J80" s="60">
        <v>51</v>
      </c>
      <c r="K80" s="60">
        <v>0.50980000000000003</v>
      </c>
      <c r="L80" s="60">
        <f t="shared" si="0"/>
        <v>-6.4901999999999997</v>
      </c>
      <c r="M80" s="64">
        <f t="shared" si="23"/>
        <v>8</v>
      </c>
      <c r="N80" s="65" t="s">
        <v>218</v>
      </c>
      <c r="O80" s="60" t="s">
        <v>361</v>
      </c>
      <c r="P80" s="102"/>
      <c r="Q80" s="66"/>
      <c r="R80" s="103">
        <v>9</v>
      </c>
      <c r="S80" s="103">
        <v>11</v>
      </c>
      <c r="T80" s="103"/>
      <c r="U80" s="103"/>
      <c r="V80" s="67"/>
      <c r="W80" s="104"/>
      <c r="X80" s="67">
        <f t="shared" ref="X80:Y80" si="86">(P80+R80+T80+V80)</f>
        <v>9</v>
      </c>
      <c r="Y80" s="67">
        <f t="shared" si="86"/>
        <v>11</v>
      </c>
      <c r="Z80" s="68">
        <f t="shared" si="3"/>
        <v>20</v>
      </c>
      <c r="AA80" s="69" t="str">
        <f t="shared" si="4"/>
        <v>4C</v>
      </c>
      <c r="AB80" s="70" t="s">
        <v>379</v>
      </c>
      <c r="AC80" s="70" t="s">
        <v>278</v>
      </c>
      <c r="AD80" s="70">
        <v>26</v>
      </c>
      <c r="AE80" s="70">
        <v>25</v>
      </c>
      <c r="AF80" s="70">
        <v>51</v>
      </c>
      <c r="AG80" s="72">
        <f t="shared" si="6"/>
        <v>0.50980392156862742</v>
      </c>
      <c r="AH80" s="73">
        <f t="shared" si="7"/>
        <v>-73.490196078431367</v>
      </c>
      <c r="AI80" s="74">
        <v>9</v>
      </c>
      <c r="AJ80" s="79" t="s">
        <v>338</v>
      </c>
      <c r="AK80" s="76" t="s">
        <v>270</v>
      </c>
      <c r="AL80" s="67"/>
      <c r="AM80" s="506"/>
      <c r="AN80" s="505"/>
      <c r="AO80" s="515"/>
    </row>
    <row r="81" spans="1:41" ht="14.5">
      <c r="A81" s="87">
        <v>41076</v>
      </c>
      <c r="B81" s="88" t="s">
        <v>204</v>
      </c>
      <c r="C81" s="89" t="s">
        <v>276</v>
      </c>
      <c r="D81" s="89" t="s">
        <v>378</v>
      </c>
      <c r="E81" s="109">
        <v>11</v>
      </c>
      <c r="F81" s="110">
        <v>11</v>
      </c>
      <c r="G81" s="111">
        <v>11</v>
      </c>
      <c r="H81" s="89">
        <v>33</v>
      </c>
      <c r="I81" s="89">
        <v>22</v>
      </c>
      <c r="J81" s="89">
        <v>55</v>
      </c>
      <c r="K81" s="89">
        <v>0.6</v>
      </c>
      <c r="L81" s="89">
        <f t="shared" si="0"/>
        <v>0.6</v>
      </c>
      <c r="M81" s="86">
        <f t="shared" si="23"/>
        <v>3</v>
      </c>
      <c r="N81" s="90"/>
      <c r="O81" s="89"/>
      <c r="P81" s="112"/>
      <c r="Q81" s="91"/>
      <c r="R81" s="113"/>
      <c r="S81" s="113"/>
      <c r="T81" s="113"/>
      <c r="U81" s="113"/>
      <c r="V81" s="92"/>
      <c r="W81" s="114"/>
      <c r="X81" s="92">
        <f t="shared" ref="X81:Y81" si="87">(P81+R81+T81+V81)</f>
        <v>0</v>
      </c>
      <c r="Y81" s="92">
        <f t="shared" si="87"/>
        <v>0</v>
      </c>
      <c r="Z81" s="84">
        <f t="shared" si="3"/>
        <v>0</v>
      </c>
      <c r="AA81" s="93" t="str">
        <f t="shared" si="4"/>
        <v>4D</v>
      </c>
      <c r="AB81" s="94" t="s">
        <v>378</v>
      </c>
      <c r="AC81" s="94" t="s">
        <v>263</v>
      </c>
      <c r="AD81" s="94">
        <v>49</v>
      </c>
      <c r="AE81" s="94">
        <v>42</v>
      </c>
      <c r="AF81" s="94">
        <v>91</v>
      </c>
      <c r="AG81" s="95">
        <f t="shared" si="6"/>
        <v>0.53846153846153844</v>
      </c>
      <c r="AH81" s="96">
        <f t="shared" si="7"/>
        <v>-50.46153846153846</v>
      </c>
      <c r="AI81" s="97">
        <v>3</v>
      </c>
      <c r="AJ81" s="98" t="s">
        <v>380</v>
      </c>
      <c r="AK81" s="81" t="s">
        <v>223</v>
      </c>
      <c r="AL81" s="67"/>
      <c r="AM81" s="506"/>
      <c r="AN81" s="505"/>
      <c r="AO81" s="515"/>
    </row>
    <row r="82" spans="1:41" ht="14.5">
      <c r="A82" s="58">
        <v>41196</v>
      </c>
      <c r="B82" s="59" t="s">
        <v>204</v>
      </c>
      <c r="C82" s="60" t="s">
        <v>205</v>
      </c>
      <c r="D82" s="60" t="s">
        <v>381</v>
      </c>
      <c r="E82" s="100">
        <v>9</v>
      </c>
      <c r="F82" s="101">
        <v>9</v>
      </c>
      <c r="G82" s="101">
        <v>6</v>
      </c>
      <c r="H82" s="60">
        <v>24</v>
      </c>
      <c r="I82" s="60">
        <v>33</v>
      </c>
      <c r="J82" s="60">
        <v>57</v>
      </c>
      <c r="K82" s="60">
        <v>0.42109999999999997</v>
      </c>
      <c r="L82" s="60">
        <f t="shared" si="0"/>
        <v>-8.5789000000000009</v>
      </c>
      <c r="M82" s="64">
        <f t="shared" si="23"/>
        <v>11</v>
      </c>
      <c r="N82" s="65" t="s">
        <v>218</v>
      </c>
      <c r="O82" s="60" t="s">
        <v>382</v>
      </c>
      <c r="P82" s="102"/>
      <c r="Q82" s="66"/>
      <c r="R82" s="103">
        <v>9</v>
      </c>
      <c r="S82" s="103">
        <v>11</v>
      </c>
      <c r="T82" s="103"/>
      <c r="U82" s="103"/>
      <c r="V82" s="67"/>
      <c r="W82" s="104"/>
      <c r="X82" s="67">
        <f t="shared" ref="X82:Y82" si="88">(P82+R82+T82+V82)</f>
        <v>9</v>
      </c>
      <c r="Y82" s="67">
        <f t="shared" si="88"/>
        <v>11</v>
      </c>
      <c r="Z82" s="68">
        <f t="shared" si="3"/>
        <v>20</v>
      </c>
      <c r="AA82" s="69" t="str">
        <f t="shared" si="4"/>
        <v>1A</v>
      </c>
      <c r="AB82" s="70" t="s">
        <v>381</v>
      </c>
      <c r="AC82" s="70" t="s">
        <v>213</v>
      </c>
      <c r="AD82" s="70">
        <v>24</v>
      </c>
      <c r="AE82" s="70">
        <v>33</v>
      </c>
      <c r="AF82" s="70">
        <v>57</v>
      </c>
      <c r="AG82" s="72">
        <f t="shared" si="6"/>
        <v>0.42105263157894735</v>
      </c>
      <c r="AH82" s="73">
        <f t="shared" si="7"/>
        <v>-75.578947368421055</v>
      </c>
      <c r="AI82" s="74">
        <v>11</v>
      </c>
      <c r="AJ82" s="79" t="s">
        <v>295</v>
      </c>
      <c r="AK82" s="76" t="s">
        <v>383</v>
      </c>
      <c r="AL82" s="67"/>
      <c r="AM82" s="506"/>
      <c r="AN82" s="505"/>
      <c r="AO82" s="515"/>
    </row>
    <row r="83" spans="1:41" ht="14.5">
      <c r="A83" s="58">
        <v>41196</v>
      </c>
      <c r="B83" s="59" t="s">
        <v>204</v>
      </c>
      <c r="C83" s="60" t="s">
        <v>211</v>
      </c>
      <c r="D83" s="60" t="s">
        <v>382</v>
      </c>
      <c r="E83" s="105">
        <v>11</v>
      </c>
      <c r="F83" s="106">
        <v>11</v>
      </c>
      <c r="G83" s="106">
        <v>8</v>
      </c>
      <c r="H83" s="60">
        <v>30</v>
      </c>
      <c r="I83" s="60">
        <v>28</v>
      </c>
      <c r="J83" s="60">
        <v>58</v>
      </c>
      <c r="K83" s="60">
        <v>0.51719999999999999</v>
      </c>
      <c r="L83" s="60">
        <f t="shared" si="0"/>
        <v>-2.4828000000000001</v>
      </c>
      <c r="M83" s="64">
        <f t="shared" si="23"/>
        <v>6</v>
      </c>
      <c r="N83" s="65"/>
      <c r="O83" s="60"/>
      <c r="P83" s="102"/>
      <c r="Q83" s="66"/>
      <c r="R83" s="103"/>
      <c r="S83" s="103"/>
      <c r="T83" s="103"/>
      <c r="U83" s="103"/>
      <c r="V83" s="67"/>
      <c r="W83" s="104"/>
      <c r="X83" s="67">
        <f t="shared" ref="X83:Y83" si="89">(P83+R83+T83+V83)</f>
        <v>0</v>
      </c>
      <c r="Y83" s="67">
        <f t="shared" si="89"/>
        <v>0</v>
      </c>
      <c r="Z83" s="68">
        <f t="shared" si="3"/>
        <v>0</v>
      </c>
      <c r="AA83" s="69" t="str">
        <f t="shared" si="4"/>
        <v>1B</v>
      </c>
      <c r="AB83" s="70" t="s">
        <v>382</v>
      </c>
      <c r="AC83" s="70" t="s">
        <v>218</v>
      </c>
      <c r="AD83" s="70">
        <v>39</v>
      </c>
      <c r="AE83" s="70">
        <v>39</v>
      </c>
      <c r="AF83" s="70">
        <v>78</v>
      </c>
      <c r="AG83" s="72">
        <f t="shared" si="6"/>
        <v>0.5</v>
      </c>
      <c r="AH83" s="73">
        <f t="shared" si="7"/>
        <v>-60.5</v>
      </c>
      <c r="AI83" s="74">
        <v>5</v>
      </c>
      <c r="AJ83" s="79" t="s">
        <v>282</v>
      </c>
      <c r="AK83" s="76" t="s">
        <v>235</v>
      </c>
      <c r="AL83" s="67"/>
      <c r="AM83" s="506"/>
      <c r="AN83" s="505"/>
      <c r="AO83" s="515"/>
    </row>
    <row r="84" spans="1:41" ht="14.5">
      <c r="A84" s="58">
        <v>41196</v>
      </c>
      <c r="B84" s="59" t="s">
        <v>204</v>
      </c>
      <c r="C84" s="60" t="s">
        <v>216</v>
      </c>
      <c r="D84" s="60" t="s">
        <v>384</v>
      </c>
      <c r="E84" s="107">
        <v>7</v>
      </c>
      <c r="F84" s="108">
        <v>11</v>
      </c>
      <c r="G84" s="106">
        <v>9</v>
      </c>
      <c r="H84" s="60">
        <v>27</v>
      </c>
      <c r="I84" s="60">
        <v>28</v>
      </c>
      <c r="J84" s="60">
        <v>55</v>
      </c>
      <c r="K84" s="60">
        <v>0.4909</v>
      </c>
      <c r="L84" s="60">
        <f t="shared" si="0"/>
        <v>-5.5091000000000001</v>
      </c>
      <c r="M84" s="64">
        <f t="shared" si="23"/>
        <v>8</v>
      </c>
      <c r="N84" s="65" t="s">
        <v>265</v>
      </c>
      <c r="O84" s="60" t="s">
        <v>385</v>
      </c>
      <c r="P84" s="102"/>
      <c r="Q84" s="66"/>
      <c r="R84" s="103">
        <v>11</v>
      </c>
      <c r="S84" s="103">
        <v>9</v>
      </c>
      <c r="T84" s="103">
        <v>8</v>
      </c>
      <c r="U84" s="103">
        <v>11</v>
      </c>
      <c r="V84" s="67"/>
      <c r="W84" s="104"/>
      <c r="X84" s="67">
        <f t="shared" ref="X84:Y84" si="90">(P84+R84+T84+V84)</f>
        <v>19</v>
      </c>
      <c r="Y84" s="67">
        <f t="shared" si="90"/>
        <v>20</v>
      </c>
      <c r="Z84" s="68">
        <f t="shared" si="3"/>
        <v>39</v>
      </c>
      <c r="AA84" s="69" t="str">
        <f t="shared" si="4"/>
        <v>1C</v>
      </c>
      <c r="AB84" s="70" t="s">
        <v>384</v>
      </c>
      <c r="AC84" s="70" t="s">
        <v>208</v>
      </c>
      <c r="AD84" s="70">
        <v>27</v>
      </c>
      <c r="AE84" s="70">
        <v>28</v>
      </c>
      <c r="AF84" s="70">
        <v>55</v>
      </c>
      <c r="AG84" s="72">
        <f t="shared" si="6"/>
        <v>0.49090909090909091</v>
      </c>
      <c r="AH84" s="73">
        <f t="shared" si="7"/>
        <v>-72.509090909090915</v>
      </c>
      <c r="AI84" s="74">
        <v>9</v>
      </c>
      <c r="AJ84" s="79" t="s">
        <v>324</v>
      </c>
      <c r="AK84" s="76" t="s">
        <v>386</v>
      </c>
      <c r="AL84" s="67"/>
      <c r="AM84" s="506"/>
      <c r="AN84" s="505"/>
      <c r="AO84" s="515"/>
    </row>
    <row r="85" spans="1:41" ht="14.5">
      <c r="A85" s="58">
        <v>41196</v>
      </c>
      <c r="B85" s="59" t="s">
        <v>204</v>
      </c>
      <c r="C85" s="60" t="s">
        <v>221</v>
      </c>
      <c r="D85" s="60" t="s">
        <v>387</v>
      </c>
      <c r="E85" s="109">
        <v>11</v>
      </c>
      <c r="F85" s="110">
        <v>10</v>
      </c>
      <c r="G85" s="111">
        <v>11</v>
      </c>
      <c r="H85" s="60">
        <v>32</v>
      </c>
      <c r="I85" s="60">
        <v>24</v>
      </c>
      <c r="J85" s="60">
        <v>56</v>
      </c>
      <c r="K85" s="60">
        <v>0.57140000000000002</v>
      </c>
      <c r="L85" s="60">
        <f t="shared" si="0"/>
        <v>-0.42859999999999998</v>
      </c>
      <c r="M85" s="64">
        <f t="shared" si="23"/>
        <v>4</v>
      </c>
      <c r="N85" s="90"/>
      <c r="O85" s="89"/>
      <c r="P85" s="112"/>
      <c r="Q85" s="91"/>
      <c r="R85" s="113"/>
      <c r="S85" s="113"/>
      <c r="T85" s="103"/>
      <c r="U85" s="103"/>
      <c r="V85" s="67"/>
      <c r="W85" s="104"/>
      <c r="X85" s="67">
        <f t="shared" ref="X85:Y85" si="91">(P85+R85+T85+V85)</f>
        <v>0</v>
      </c>
      <c r="Y85" s="67">
        <f t="shared" si="91"/>
        <v>0</v>
      </c>
      <c r="Z85" s="68">
        <f t="shared" si="3"/>
        <v>0</v>
      </c>
      <c r="AA85" s="69" t="str">
        <f t="shared" si="4"/>
        <v>1D</v>
      </c>
      <c r="AB85" s="70" t="s">
        <v>387</v>
      </c>
      <c r="AC85" s="70" t="s">
        <v>207</v>
      </c>
      <c r="AD85" s="70">
        <v>35</v>
      </c>
      <c r="AE85" s="70">
        <v>35</v>
      </c>
      <c r="AF85" s="70">
        <v>70</v>
      </c>
      <c r="AG85" s="72">
        <f t="shared" si="6"/>
        <v>0.5</v>
      </c>
      <c r="AH85" s="73">
        <f t="shared" si="7"/>
        <v>-64.5</v>
      </c>
      <c r="AI85" s="74">
        <v>7</v>
      </c>
      <c r="AJ85" s="79" t="s">
        <v>388</v>
      </c>
      <c r="AK85" s="76" t="s">
        <v>360</v>
      </c>
      <c r="AL85" s="67"/>
      <c r="AM85" s="506"/>
      <c r="AN85" s="505"/>
      <c r="AO85" s="515"/>
    </row>
    <row r="86" spans="1:41" ht="14.5">
      <c r="A86" s="58">
        <v>41196</v>
      </c>
      <c r="B86" s="59" t="s">
        <v>204</v>
      </c>
      <c r="C86" s="60" t="s">
        <v>224</v>
      </c>
      <c r="D86" s="60" t="s">
        <v>389</v>
      </c>
      <c r="E86" s="100">
        <v>4</v>
      </c>
      <c r="F86" s="101">
        <v>0</v>
      </c>
      <c r="G86" s="101">
        <v>11</v>
      </c>
      <c r="H86" s="60">
        <v>15</v>
      </c>
      <c r="I86" s="60">
        <v>32</v>
      </c>
      <c r="J86" s="60">
        <v>47</v>
      </c>
      <c r="K86" s="60">
        <v>0.31909999999999999</v>
      </c>
      <c r="L86" s="60">
        <f t="shared" si="0"/>
        <v>-17.680900000000001</v>
      </c>
      <c r="M86" s="64">
        <f t="shared" si="23"/>
        <v>15</v>
      </c>
      <c r="N86" s="65" t="s">
        <v>225</v>
      </c>
      <c r="O86" s="60" t="s">
        <v>56</v>
      </c>
      <c r="P86" s="102"/>
      <c r="Q86" s="66"/>
      <c r="R86" s="103">
        <v>11</v>
      </c>
      <c r="S86" s="103">
        <v>8</v>
      </c>
      <c r="T86" s="103">
        <v>11</v>
      </c>
      <c r="U86" s="103">
        <v>8</v>
      </c>
      <c r="V86" s="67">
        <v>12</v>
      </c>
      <c r="W86" s="104">
        <v>4</v>
      </c>
      <c r="X86" s="67">
        <f t="shared" ref="X86:Y86" si="92">(P86+R86+T86+V86)</f>
        <v>34</v>
      </c>
      <c r="Y86" s="67">
        <f t="shared" si="92"/>
        <v>20</v>
      </c>
      <c r="Z86" s="68">
        <f t="shared" si="3"/>
        <v>54</v>
      </c>
      <c r="AA86" s="69" t="str">
        <f t="shared" si="4"/>
        <v>2A</v>
      </c>
      <c r="AB86" s="70" t="s">
        <v>389</v>
      </c>
      <c r="AC86" s="70" t="s">
        <v>234</v>
      </c>
      <c r="AD86" s="70">
        <v>15</v>
      </c>
      <c r="AE86" s="70">
        <v>32</v>
      </c>
      <c r="AF86" s="70">
        <v>47</v>
      </c>
      <c r="AG86" s="72">
        <f t="shared" si="6"/>
        <v>0.31914893617021278</v>
      </c>
      <c r="AH86" s="73">
        <f t="shared" si="7"/>
        <v>-84.680851063829792</v>
      </c>
      <c r="AI86" s="74">
        <v>15</v>
      </c>
      <c r="AJ86" s="79" t="s">
        <v>210</v>
      </c>
      <c r="AK86" s="76" t="s">
        <v>23</v>
      </c>
      <c r="AL86" s="67"/>
      <c r="AM86" s="506"/>
      <c r="AN86" s="505"/>
      <c r="AO86" s="515"/>
    </row>
    <row r="87" spans="1:41" ht="14.5">
      <c r="A87" s="58">
        <v>41196</v>
      </c>
      <c r="B87" s="59" t="s">
        <v>204</v>
      </c>
      <c r="C87" s="60" t="s">
        <v>228</v>
      </c>
      <c r="D87" s="60" t="s">
        <v>390</v>
      </c>
      <c r="E87" s="105">
        <v>11</v>
      </c>
      <c r="F87" s="106">
        <v>11</v>
      </c>
      <c r="G87" s="106">
        <v>7</v>
      </c>
      <c r="H87" s="60">
        <v>29</v>
      </c>
      <c r="I87" s="60">
        <v>21</v>
      </c>
      <c r="J87" s="60">
        <v>50</v>
      </c>
      <c r="K87" s="60">
        <v>0.57999999999999996</v>
      </c>
      <c r="L87" s="60">
        <f t="shared" si="0"/>
        <v>-3.42</v>
      </c>
      <c r="M87" s="64">
        <f t="shared" si="23"/>
        <v>7</v>
      </c>
      <c r="N87" s="65"/>
      <c r="O87" s="60"/>
      <c r="P87" s="102"/>
      <c r="Q87" s="66"/>
      <c r="R87" s="103"/>
      <c r="S87" s="103"/>
      <c r="T87" s="103"/>
      <c r="U87" s="103"/>
      <c r="V87" s="67"/>
      <c r="W87" s="104"/>
      <c r="X87" s="67">
        <f t="shared" ref="X87:Y87" si="93">(P87+R87+T87+V87)</f>
        <v>0</v>
      </c>
      <c r="Y87" s="67">
        <f t="shared" si="93"/>
        <v>0</v>
      </c>
      <c r="Z87" s="68">
        <f t="shared" si="3"/>
        <v>0</v>
      </c>
      <c r="AA87" s="69" t="str">
        <f t="shared" si="4"/>
        <v>2B</v>
      </c>
      <c r="AB87" s="70" t="s">
        <v>390</v>
      </c>
      <c r="AC87" s="70" t="s">
        <v>230</v>
      </c>
      <c r="AD87" s="70">
        <v>31</v>
      </c>
      <c r="AE87" s="70">
        <v>32</v>
      </c>
      <c r="AF87" s="70">
        <v>63</v>
      </c>
      <c r="AG87" s="72">
        <f t="shared" si="6"/>
        <v>0.49206349206349204</v>
      </c>
      <c r="AH87" s="73">
        <f t="shared" si="7"/>
        <v>-68.507936507936506</v>
      </c>
      <c r="AI87" s="74">
        <v>8</v>
      </c>
      <c r="AJ87" s="79" t="s">
        <v>338</v>
      </c>
      <c r="AK87" s="76" t="s">
        <v>375</v>
      </c>
      <c r="AL87" s="67"/>
      <c r="AM87" s="506"/>
      <c r="AN87" s="505"/>
      <c r="AO87" s="515"/>
    </row>
    <row r="88" spans="1:41" ht="14.5">
      <c r="A88" s="58">
        <v>41196</v>
      </c>
      <c r="B88" s="59" t="s">
        <v>204</v>
      </c>
      <c r="C88" s="60" t="s">
        <v>232</v>
      </c>
      <c r="D88" s="60" t="s">
        <v>56</v>
      </c>
      <c r="E88" s="107">
        <v>11</v>
      </c>
      <c r="F88" s="108">
        <v>11</v>
      </c>
      <c r="G88" s="106">
        <v>11</v>
      </c>
      <c r="H88" s="60">
        <v>33</v>
      </c>
      <c r="I88" s="60">
        <v>14</v>
      </c>
      <c r="J88" s="60">
        <v>47</v>
      </c>
      <c r="K88" s="60">
        <v>0.70209999999999995</v>
      </c>
      <c r="L88" s="60">
        <f t="shared" si="0"/>
        <v>0.70209999999999995</v>
      </c>
      <c r="M88" s="64">
        <f t="shared" si="23"/>
        <v>1</v>
      </c>
      <c r="N88" s="65" t="s">
        <v>253</v>
      </c>
      <c r="O88" s="60" t="s">
        <v>391</v>
      </c>
      <c r="P88" s="102"/>
      <c r="Q88" s="66"/>
      <c r="R88" s="103">
        <v>8</v>
      </c>
      <c r="S88" s="103">
        <v>11</v>
      </c>
      <c r="T88" s="103"/>
      <c r="U88" s="103"/>
      <c r="V88" s="67"/>
      <c r="W88" s="104"/>
      <c r="X88" s="67">
        <f t="shared" ref="X88:Y88" si="94">(P88+R88+T88+V88)</f>
        <v>8</v>
      </c>
      <c r="Y88" s="67">
        <f t="shared" si="94"/>
        <v>11</v>
      </c>
      <c r="Z88" s="68">
        <f t="shared" si="3"/>
        <v>19</v>
      </c>
      <c r="AA88" s="69" t="str">
        <f t="shared" si="4"/>
        <v>2C</v>
      </c>
      <c r="AB88" s="70" t="s">
        <v>56</v>
      </c>
      <c r="AC88" s="70" t="s">
        <v>225</v>
      </c>
      <c r="AD88" s="70">
        <v>67</v>
      </c>
      <c r="AE88" s="70">
        <v>34</v>
      </c>
      <c r="AF88" s="70">
        <v>101</v>
      </c>
      <c r="AG88" s="72">
        <f t="shared" si="6"/>
        <v>0.6633663366336634</v>
      </c>
      <c r="AH88" s="73">
        <f t="shared" si="7"/>
        <v>-32.336633663366335</v>
      </c>
      <c r="AI88" s="74">
        <v>1</v>
      </c>
      <c r="AJ88" s="79" t="s">
        <v>266</v>
      </c>
      <c r="AK88" s="76" t="s">
        <v>392</v>
      </c>
      <c r="AL88" s="67"/>
      <c r="AM88" s="506"/>
      <c r="AN88" s="505"/>
      <c r="AO88" s="515"/>
    </row>
    <row r="89" spans="1:41" ht="14.5">
      <c r="A89" s="58">
        <v>41196</v>
      </c>
      <c r="B89" s="59" t="s">
        <v>204</v>
      </c>
      <c r="C89" s="60" t="s">
        <v>237</v>
      </c>
      <c r="D89" s="60" t="s">
        <v>393</v>
      </c>
      <c r="E89" s="109">
        <v>7</v>
      </c>
      <c r="F89" s="110">
        <v>6</v>
      </c>
      <c r="G89" s="111">
        <v>10</v>
      </c>
      <c r="H89" s="60">
        <v>23</v>
      </c>
      <c r="I89" s="60">
        <v>33</v>
      </c>
      <c r="J89" s="60">
        <v>56</v>
      </c>
      <c r="K89" s="60">
        <v>0.41070000000000001</v>
      </c>
      <c r="L89" s="60">
        <f t="shared" si="0"/>
        <v>-9.5892999999999997</v>
      </c>
      <c r="M89" s="64">
        <f t="shared" si="23"/>
        <v>12</v>
      </c>
      <c r="N89" s="90"/>
      <c r="O89" s="89"/>
      <c r="P89" s="112"/>
      <c r="Q89" s="91"/>
      <c r="R89" s="113"/>
      <c r="S89" s="113"/>
      <c r="T89" s="113"/>
      <c r="U89" s="113"/>
      <c r="V89" s="67"/>
      <c r="W89" s="104"/>
      <c r="X89" s="67">
        <f t="shared" ref="X89:Y89" si="95">(P89+R89+T89+V89)</f>
        <v>0</v>
      </c>
      <c r="Y89" s="67">
        <f t="shared" si="95"/>
        <v>0</v>
      </c>
      <c r="Z89" s="68">
        <f t="shared" si="3"/>
        <v>0</v>
      </c>
      <c r="AA89" s="69" t="str">
        <f t="shared" si="4"/>
        <v>2D</v>
      </c>
      <c r="AB89" s="70" t="s">
        <v>393</v>
      </c>
      <c r="AC89" s="70" t="s">
        <v>239</v>
      </c>
      <c r="AD89" s="70">
        <v>23</v>
      </c>
      <c r="AE89" s="70">
        <v>33</v>
      </c>
      <c r="AF89" s="70">
        <v>56</v>
      </c>
      <c r="AG89" s="72">
        <f t="shared" si="6"/>
        <v>0.4107142857142857</v>
      </c>
      <c r="AH89" s="73">
        <f t="shared" si="7"/>
        <v>-76.589285714285708</v>
      </c>
      <c r="AI89" s="74">
        <v>12</v>
      </c>
      <c r="AJ89" s="79" t="s">
        <v>303</v>
      </c>
      <c r="AK89" s="76" t="s">
        <v>394</v>
      </c>
      <c r="AL89" s="67"/>
      <c r="AM89" s="506"/>
      <c r="AN89" s="505"/>
      <c r="AO89" s="515"/>
    </row>
    <row r="90" spans="1:41" ht="14.5">
      <c r="A90" s="58">
        <v>41196</v>
      </c>
      <c r="B90" s="59" t="s">
        <v>204</v>
      </c>
      <c r="C90" s="60" t="s">
        <v>241</v>
      </c>
      <c r="D90" s="60" t="s">
        <v>57</v>
      </c>
      <c r="E90" s="100">
        <v>11</v>
      </c>
      <c r="F90" s="101">
        <v>11</v>
      </c>
      <c r="G90" s="101">
        <v>11</v>
      </c>
      <c r="H90" s="60">
        <v>33</v>
      </c>
      <c r="I90" s="60">
        <v>19</v>
      </c>
      <c r="J90" s="60">
        <v>52</v>
      </c>
      <c r="K90" s="60">
        <v>0.63460000000000005</v>
      </c>
      <c r="L90" s="60">
        <f t="shared" si="0"/>
        <v>0.63460000000000005</v>
      </c>
      <c r="M90" s="64">
        <f t="shared" si="23"/>
        <v>3</v>
      </c>
      <c r="N90" s="65" t="s">
        <v>243</v>
      </c>
      <c r="O90" s="60" t="s">
        <v>57</v>
      </c>
      <c r="P90" s="102"/>
      <c r="Q90" s="66"/>
      <c r="R90" s="103">
        <v>11</v>
      </c>
      <c r="S90" s="103">
        <v>2</v>
      </c>
      <c r="T90" s="103">
        <v>11</v>
      </c>
      <c r="U90" s="103">
        <v>3</v>
      </c>
      <c r="V90" s="67">
        <v>4</v>
      </c>
      <c r="W90" s="104">
        <v>12</v>
      </c>
      <c r="X90" s="67">
        <f t="shared" ref="X90:Y90" si="96">(P90+R90+T90+V90)</f>
        <v>26</v>
      </c>
      <c r="Y90" s="67">
        <f t="shared" si="96"/>
        <v>17</v>
      </c>
      <c r="Z90" s="68">
        <f t="shared" si="3"/>
        <v>43</v>
      </c>
      <c r="AA90" s="69" t="str">
        <f t="shared" si="4"/>
        <v>3A</v>
      </c>
      <c r="AB90" s="70" t="s">
        <v>57</v>
      </c>
      <c r="AC90" s="70" t="s">
        <v>243</v>
      </c>
      <c r="AD90" s="70">
        <v>59</v>
      </c>
      <c r="AE90" s="70">
        <v>36</v>
      </c>
      <c r="AF90" s="70">
        <v>95</v>
      </c>
      <c r="AG90" s="72">
        <f t="shared" si="6"/>
        <v>0.62105263157894741</v>
      </c>
      <c r="AH90" s="73">
        <f t="shared" si="7"/>
        <v>-40.378947368421052</v>
      </c>
      <c r="AI90" s="74">
        <v>2</v>
      </c>
      <c r="AJ90" s="79" t="s">
        <v>299</v>
      </c>
      <c r="AK90" s="76" t="s">
        <v>326</v>
      </c>
      <c r="AL90" s="67"/>
      <c r="AM90" s="506"/>
      <c r="AN90" s="505"/>
      <c r="AO90" s="515"/>
    </row>
    <row r="91" spans="1:41" ht="14.5">
      <c r="A91" s="58">
        <v>41196</v>
      </c>
      <c r="B91" s="59" t="s">
        <v>204</v>
      </c>
      <c r="C91" s="60" t="s">
        <v>246</v>
      </c>
      <c r="D91" s="60" t="s">
        <v>395</v>
      </c>
      <c r="E91" s="105">
        <v>5</v>
      </c>
      <c r="F91" s="106">
        <v>6</v>
      </c>
      <c r="G91" s="106">
        <v>5</v>
      </c>
      <c r="H91" s="60">
        <v>16</v>
      </c>
      <c r="I91" s="60">
        <v>33</v>
      </c>
      <c r="J91" s="60">
        <v>49</v>
      </c>
      <c r="K91" s="60">
        <v>0.32650000000000001</v>
      </c>
      <c r="L91" s="60">
        <f t="shared" si="0"/>
        <v>-16.673500000000001</v>
      </c>
      <c r="M91" s="64">
        <f t="shared" si="23"/>
        <v>14</v>
      </c>
      <c r="N91" s="65"/>
      <c r="O91" s="60"/>
      <c r="P91" s="102"/>
      <c r="Q91" s="66"/>
      <c r="R91" s="103"/>
      <c r="S91" s="103"/>
      <c r="T91" s="103"/>
      <c r="U91" s="103"/>
      <c r="V91" s="67"/>
      <c r="W91" s="104"/>
      <c r="X91" s="67">
        <f t="shared" ref="X91:Y91" si="97">(P91+R91+T91+V91)</f>
        <v>0</v>
      </c>
      <c r="Y91" s="67">
        <f t="shared" si="97"/>
        <v>0</v>
      </c>
      <c r="Z91" s="68">
        <f t="shared" si="3"/>
        <v>0</v>
      </c>
      <c r="AA91" s="69" t="str">
        <f t="shared" si="4"/>
        <v>3B</v>
      </c>
      <c r="AB91" s="70" t="s">
        <v>395</v>
      </c>
      <c r="AC91" s="70" t="s">
        <v>258</v>
      </c>
      <c r="AD91" s="70">
        <v>16</v>
      </c>
      <c r="AE91" s="70">
        <v>33</v>
      </c>
      <c r="AF91" s="70">
        <v>49</v>
      </c>
      <c r="AG91" s="72">
        <f t="shared" si="6"/>
        <v>0.32653061224489793</v>
      </c>
      <c r="AH91" s="73">
        <f t="shared" si="7"/>
        <v>-83.673469387755105</v>
      </c>
      <c r="AI91" s="74">
        <v>14</v>
      </c>
      <c r="AJ91" s="79" t="s">
        <v>329</v>
      </c>
      <c r="AK91" s="76" t="s">
        <v>396</v>
      </c>
      <c r="AL91" s="67"/>
      <c r="AM91" s="506"/>
      <c r="AN91" s="505"/>
      <c r="AO91" s="515"/>
    </row>
    <row r="92" spans="1:41" ht="14.5">
      <c r="A92" s="58">
        <v>41196</v>
      </c>
      <c r="B92" s="59" t="s">
        <v>204</v>
      </c>
      <c r="C92" s="60" t="s">
        <v>251</v>
      </c>
      <c r="D92" s="60" t="s">
        <v>391</v>
      </c>
      <c r="E92" s="107">
        <v>11</v>
      </c>
      <c r="F92" s="108">
        <v>8</v>
      </c>
      <c r="G92" s="106">
        <v>11</v>
      </c>
      <c r="H92" s="60">
        <v>30</v>
      </c>
      <c r="I92" s="60">
        <v>24</v>
      </c>
      <c r="J92" s="60">
        <v>54</v>
      </c>
      <c r="K92" s="60">
        <v>0.55559999999999998</v>
      </c>
      <c r="L92" s="60">
        <f t="shared" si="0"/>
        <v>-2.4443999999999999</v>
      </c>
      <c r="M92" s="64">
        <f t="shared" si="23"/>
        <v>5</v>
      </c>
      <c r="N92" s="65" t="s">
        <v>230</v>
      </c>
      <c r="O92" s="60" t="s">
        <v>390</v>
      </c>
      <c r="P92" s="102"/>
      <c r="Q92" s="66"/>
      <c r="R92" s="103">
        <v>2</v>
      </c>
      <c r="S92" s="103">
        <v>11</v>
      </c>
      <c r="T92" s="103"/>
      <c r="U92" s="103"/>
      <c r="V92" s="67"/>
      <c r="W92" s="104"/>
      <c r="X92" s="67">
        <f t="shared" ref="X92:Y92" si="98">(P92+R92+T92+V92)</f>
        <v>2</v>
      </c>
      <c r="Y92" s="67">
        <f t="shared" si="98"/>
        <v>11</v>
      </c>
      <c r="Z92" s="68">
        <f t="shared" si="3"/>
        <v>13</v>
      </c>
      <c r="AA92" s="69" t="str">
        <f t="shared" si="4"/>
        <v>3C</v>
      </c>
      <c r="AB92" s="70" t="s">
        <v>391</v>
      </c>
      <c r="AC92" s="70" t="s">
        <v>253</v>
      </c>
      <c r="AD92" s="70">
        <v>38</v>
      </c>
      <c r="AE92" s="70">
        <v>35</v>
      </c>
      <c r="AF92" s="70">
        <v>73</v>
      </c>
      <c r="AG92" s="72">
        <f t="shared" si="6"/>
        <v>0.52054794520547942</v>
      </c>
      <c r="AH92" s="73">
        <f t="shared" si="7"/>
        <v>-61.479452054794521</v>
      </c>
      <c r="AI92" s="74">
        <v>6</v>
      </c>
      <c r="AJ92" s="79" t="s">
        <v>397</v>
      </c>
      <c r="AK92" s="76" t="s">
        <v>369</v>
      </c>
      <c r="AL92" s="67"/>
      <c r="AM92" s="506"/>
      <c r="AN92" s="505"/>
      <c r="AO92" s="515"/>
    </row>
    <row r="93" spans="1:41" ht="14.5">
      <c r="A93" s="58">
        <v>41196</v>
      </c>
      <c r="B93" s="59" t="s">
        <v>204</v>
      </c>
      <c r="C93" s="60" t="s">
        <v>256</v>
      </c>
      <c r="D93" s="60" t="s">
        <v>398</v>
      </c>
      <c r="E93" s="109">
        <v>8</v>
      </c>
      <c r="F93" s="110">
        <v>11</v>
      </c>
      <c r="G93" s="111">
        <v>6</v>
      </c>
      <c r="H93" s="60">
        <v>25</v>
      </c>
      <c r="I93" s="60">
        <v>28</v>
      </c>
      <c r="J93" s="60">
        <v>53</v>
      </c>
      <c r="K93" s="60">
        <v>0.47170000000000001</v>
      </c>
      <c r="L93" s="60">
        <f t="shared" si="0"/>
        <v>-7.5282999999999998</v>
      </c>
      <c r="M93" s="64">
        <f t="shared" si="23"/>
        <v>9</v>
      </c>
      <c r="N93" s="90"/>
      <c r="O93" s="89"/>
      <c r="P93" s="112"/>
      <c r="Q93" s="91"/>
      <c r="R93" s="113"/>
      <c r="S93" s="113"/>
      <c r="T93" s="103"/>
      <c r="U93" s="103"/>
      <c r="V93" s="67"/>
      <c r="W93" s="104"/>
      <c r="X93" s="67">
        <f t="shared" ref="X93:Y93" si="99">(P93+R93+T93+V93)</f>
        <v>0</v>
      </c>
      <c r="Y93" s="67">
        <f t="shared" si="99"/>
        <v>0</v>
      </c>
      <c r="Z93" s="68">
        <f t="shared" si="3"/>
        <v>0</v>
      </c>
      <c r="AA93" s="69" t="str">
        <f t="shared" si="4"/>
        <v>3D</v>
      </c>
      <c r="AB93" s="70" t="s">
        <v>398</v>
      </c>
      <c r="AC93" s="70" t="s">
        <v>248</v>
      </c>
      <c r="AD93" s="70">
        <v>25</v>
      </c>
      <c r="AE93" s="70">
        <v>28</v>
      </c>
      <c r="AF93" s="70">
        <v>53</v>
      </c>
      <c r="AG93" s="72">
        <f t="shared" si="6"/>
        <v>0.47169811320754718</v>
      </c>
      <c r="AH93" s="73">
        <f t="shared" si="7"/>
        <v>-74.528301886792448</v>
      </c>
      <c r="AI93" s="74">
        <v>10</v>
      </c>
      <c r="AJ93" s="79" t="s">
        <v>270</v>
      </c>
      <c r="AK93" s="76" t="s">
        <v>372</v>
      </c>
      <c r="AL93" s="67"/>
      <c r="AM93" s="506"/>
      <c r="AN93" s="505"/>
      <c r="AO93" s="515"/>
    </row>
    <row r="94" spans="1:41" ht="14.5">
      <c r="A94" s="58">
        <v>41196</v>
      </c>
      <c r="B94" s="59" t="s">
        <v>204</v>
      </c>
      <c r="C94" s="60" t="s">
        <v>261</v>
      </c>
      <c r="D94" s="60" t="s">
        <v>399</v>
      </c>
      <c r="E94" s="100">
        <v>11</v>
      </c>
      <c r="F94" s="101">
        <v>11</v>
      </c>
      <c r="G94" s="101">
        <v>11</v>
      </c>
      <c r="H94" s="60">
        <v>33</v>
      </c>
      <c r="I94" s="60">
        <v>14</v>
      </c>
      <c r="J94" s="60">
        <v>47</v>
      </c>
      <c r="K94" s="60">
        <v>0.70209999999999995</v>
      </c>
      <c r="L94" s="60">
        <f t="shared" si="0"/>
        <v>0.70209999999999995</v>
      </c>
      <c r="M94" s="64">
        <f t="shared" si="23"/>
        <v>1</v>
      </c>
      <c r="N94" s="65" t="s">
        <v>263</v>
      </c>
      <c r="O94" s="60" t="s">
        <v>399</v>
      </c>
      <c r="P94" s="102"/>
      <c r="Q94" s="66"/>
      <c r="R94" s="103">
        <v>11</v>
      </c>
      <c r="S94" s="103">
        <v>3</v>
      </c>
      <c r="T94" s="103">
        <v>3</v>
      </c>
      <c r="U94" s="103">
        <v>11</v>
      </c>
      <c r="V94" s="67"/>
      <c r="W94" s="104"/>
      <c r="X94" s="67">
        <f t="shared" ref="X94:Y94" si="100">(P94+R94+T94+V94)</f>
        <v>14</v>
      </c>
      <c r="Y94" s="67">
        <f t="shared" si="100"/>
        <v>14</v>
      </c>
      <c r="Z94" s="68">
        <f t="shared" si="3"/>
        <v>28</v>
      </c>
      <c r="AA94" s="69" t="str">
        <f t="shared" si="4"/>
        <v>4A</v>
      </c>
      <c r="AB94" s="70" t="s">
        <v>399</v>
      </c>
      <c r="AC94" s="70" t="s">
        <v>263</v>
      </c>
      <c r="AD94" s="70">
        <v>47</v>
      </c>
      <c r="AE94" s="70">
        <v>28</v>
      </c>
      <c r="AF94" s="70">
        <v>75</v>
      </c>
      <c r="AG94" s="72">
        <f t="shared" si="6"/>
        <v>0.62666666666666671</v>
      </c>
      <c r="AH94" s="73">
        <f t="shared" si="7"/>
        <v>-52.373333333333335</v>
      </c>
      <c r="AI94" s="74">
        <v>3</v>
      </c>
      <c r="AJ94" s="79" t="s">
        <v>281</v>
      </c>
      <c r="AK94" s="76" t="s">
        <v>355</v>
      </c>
      <c r="AL94" s="67"/>
      <c r="AM94" s="506"/>
      <c r="AN94" s="505"/>
      <c r="AO94" s="515"/>
    </row>
    <row r="95" spans="1:41" ht="14.5">
      <c r="A95" s="58">
        <v>41196</v>
      </c>
      <c r="B95" s="59" t="s">
        <v>204</v>
      </c>
      <c r="C95" s="60" t="s">
        <v>268</v>
      </c>
      <c r="D95" s="60" t="s">
        <v>385</v>
      </c>
      <c r="E95" s="105">
        <v>2</v>
      </c>
      <c r="F95" s="106">
        <v>11</v>
      </c>
      <c r="G95" s="106">
        <v>11</v>
      </c>
      <c r="H95" s="60">
        <v>24</v>
      </c>
      <c r="I95" s="60">
        <v>22</v>
      </c>
      <c r="J95" s="60">
        <v>46</v>
      </c>
      <c r="K95" s="60">
        <v>0.52170000000000005</v>
      </c>
      <c r="L95" s="60">
        <f t="shared" si="0"/>
        <v>-8.4783000000000008</v>
      </c>
      <c r="M95" s="64">
        <f t="shared" si="23"/>
        <v>10</v>
      </c>
      <c r="N95" s="65"/>
      <c r="O95" s="60"/>
      <c r="P95" s="102"/>
      <c r="Q95" s="66"/>
      <c r="R95" s="103"/>
      <c r="S95" s="103"/>
      <c r="T95" s="103"/>
      <c r="U95" s="103"/>
      <c r="V95" s="67"/>
      <c r="W95" s="104"/>
      <c r="X95" s="67">
        <f t="shared" ref="X95:Y95" si="101">(P95+R95+T95+V95)</f>
        <v>0</v>
      </c>
      <c r="Y95" s="67">
        <f t="shared" si="101"/>
        <v>0</v>
      </c>
      <c r="Z95" s="68">
        <f t="shared" si="3"/>
        <v>0</v>
      </c>
      <c r="AA95" s="69" t="str">
        <f t="shared" si="4"/>
        <v>4B</v>
      </c>
      <c r="AB95" s="70" t="s">
        <v>385</v>
      </c>
      <c r="AC95" s="70" t="s">
        <v>265</v>
      </c>
      <c r="AD95" s="70">
        <v>43</v>
      </c>
      <c r="AE95" s="70">
        <v>42</v>
      </c>
      <c r="AF95" s="70">
        <v>85</v>
      </c>
      <c r="AG95" s="72">
        <f t="shared" si="6"/>
        <v>0.50588235294117645</v>
      </c>
      <c r="AH95" s="73">
        <f t="shared" si="7"/>
        <v>-56.494117647058822</v>
      </c>
      <c r="AI95" s="74">
        <v>4</v>
      </c>
      <c r="AJ95" s="79" t="s">
        <v>400</v>
      </c>
      <c r="AK95" s="76" t="s">
        <v>29</v>
      </c>
      <c r="AL95" s="67"/>
      <c r="AM95" s="506"/>
      <c r="AN95" s="505"/>
      <c r="AO95" s="515"/>
    </row>
    <row r="96" spans="1:41" ht="14.5">
      <c r="A96" s="58">
        <v>41196</v>
      </c>
      <c r="B96" s="59" t="s">
        <v>204</v>
      </c>
      <c r="C96" s="60" t="s">
        <v>271</v>
      </c>
      <c r="D96" s="60" t="s">
        <v>401</v>
      </c>
      <c r="E96" s="107">
        <v>2</v>
      </c>
      <c r="F96" s="108">
        <v>7</v>
      </c>
      <c r="G96" s="106">
        <v>6</v>
      </c>
      <c r="H96" s="60">
        <v>15</v>
      </c>
      <c r="I96" s="60">
        <v>33</v>
      </c>
      <c r="J96" s="60">
        <v>48</v>
      </c>
      <c r="K96" s="60">
        <v>0.3125</v>
      </c>
      <c r="L96" s="60">
        <f t="shared" si="0"/>
        <v>-17.6875</v>
      </c>
      <c r="M96" s="64">
        <f t="shared" si="23"/>
        <v>16</v>
      </c>
      <c r="N96" s="65" t="s">
        <v>207</v>
      </c>
      <c r="O96" s="60" t="s">
        <v>387</v>
      </c>
      <c r="P96" s="102"/>
      <c r="Q96" s="66"/>
      <c r="R96" s="103">
        <v>3</v>
      </c>
      <c r="S96" s="103">
        <v>11</v>
      </c>
      <c r="T96" s="103"/>
      <c r="U96" s="103"/>
      <c r="V96" s="67"/>
      <c r="W96" s="104"/>
      <c r="X96" s="67">
        <f t="shared" ref="X96:Y96" si="102">(P96+R96+T96+V96)</f>
        <v>3</v>
      </c>
      <c r="Y96" s="67">
        <f t="shared" si="102"/>
        <v>11</v>
      </c>
      <c r="Z96" s="68">
        <f t="shared" si="3"/>
        <v>14</v>
      </c>
      <c r="AA96" s="69" t="str">
        <f t="shared" si="4"/>
        <v>4C</v>
      </c>
      <c r="AB96" s="70" t="s">
        <v>401</v>
      </c>
      <c r="AC96" s="70" t="s">
        <v>273</v>
      </c>
      <c r="AD96" s="70">
        <v>15</v>
      </c>
      <c r="AE96" s="70">
        <v>33</v>
      </c>
      <c r="AF96" s="70">
        <v>48</v>
      </c>
      <c r="AG96" s="72">
        <f t="shared" si="6"/>
        <v>0.3125</v>
      </c>
      <c r="AH96" s="73">
        <f t="shared" si="7"/>
        <v>-84.6875</v>
      </c>
      <c r="AI96" s="74">
        <v>16</v>
      </c>
      <c r="AJ96" s="79" t="s">
        <v>304</v>
      </c>
      <c r="AK96" s="76" t="s">
        <v>337</v>
      </c>
      <c r="AL96" s="67"/>
      <c r="AM96" s="506"/>
      <c r="AN96" s="505"/>
      <c r="AO96" s="515"/>
    </row>
    <row r="97" spans="1:41" ht="14.5">
      <c r="A97" s="87">
        <v>41196</v>
      </c>
      <c r="B97" s="88" t="s">
        <v>204</v>
      </c>
      <c r="C97" s="89" t="s">
        <v>276</v>
      </c>
      <c r="D97" s="89" t="s">
        <v>402</v>
      </c>
      <c r="E97" s="109">
        <v>11</v>
      </c>
      <c r="F97" s="110">
        <v>5</v>
      </c>
      <c r="G97" s="111">
        <v>5</v>
      </c>
      <c r="H97" s="89">
        <v>21</v>
      </c>
      <c r="I97" s="89">
        <v>24</v>
      </c>
      <c r="J97" s="89">
        <v>45</v>
      </c>
      <c r="K97" s="89">
        <v>0.4667</v>
      </c>
      <c r="L97" s="89">
        <f t="shared" si="0"/>
        <v>-11.533300000000001</v>
      </c>
      <c r="M97" s="86">
        <f t="shared" si="23"/>
        <v>13</v>
      </c>
      <c r="N97" s="90"/>
      <c r="O97" s="89"/>
      <c r="P97" s="112"/>
      <c r="Q97" s="91"/>
      <c r="R97" s="113"/>
      <c r="S97" s="113"/>
      <c r="T97" s="113"/>
      <c r="U97" s="113"/>
      <c r="V97" s="92"/>
      <c r="W97" s="114"/>
      <c r="X97" s="92">
        <f t="shared" ref="X97:Y97" si="103">(P97+R97+T97+V97)</f>
        <v>0</v>
      </c>
      <c r="Y97" s="92">
        <f t="shared" si="103"/>
        <v>0</v>
      </c>
      <c r="Z97" s="84">
        <f t="shared" si="3"/>
        <v>0</v>
      </c>
      <c r="AA97" s="93" t="str">
        <f t="shared" si="4"/>
        <v>4D</v>
      </c>
      <c r="AB97" s="94" t="s">
        <v>402</v>
      </c>
      <c r="AC97" s="94" t="s">
        <v>278</v>
      </c>
      <c r="AD97" s="94">
        <v>21</v>
      </c>
      <c r="AE97" s="94">
        <v>24</v>
      </c>
      <c r="AF97" s="94">
        <v>45</v>
      </c>
      <c r="AG97" s="95">
        <f t="shared" si="6"/>
        <v>0.46666666666666667</v>
      </c>
      <c r="AH97" s="96">
        <f t="shared" si="7"/>
        <v>-78.533333333333331</v>
      </c>
      <c r="AI97" s="97">
        <v>13</v>
      </c>
      <c r="AJ97" s="98" t="s">
        <v>285</v>
      </c>
      <c r="AK97" s="81" t="s">
        <v>370</v>
      </c>
      <c r="AL97" s="67"/>
      <c r="AM97" s="506"/>
      <c r="AN97" s="505"/>
      <c r="AO97" s="515"/>
    </row>
    <row r="98" spans="1:41" ht="14.5">
      <c r="A98" s="58">
        <v>41440</v>
      </c>
      <c r="B98" s="59" t="s">
        <v>204</v>
      </c>
      <c r="C98" s="60" t="s">
        <v>205</v>
      </c>
      <c r="D98" s="60" t="s">
        <v>59</v>
      </c>
      <c r="E98" s="100">
        <v>11</v>
      </c>
      <c r="F98" s="101">
        <v>11</v>
      </c>
      <c r="G98" s="101">
        <v>11</v>
      </c>
      <c r="H98" s="60">
        <v>33</v>
      </c>
      <c r="I98" s="60">
        <v>4</v>
      </c>
      <c r="J98" s="60">
        <v>37</v>
      </c>
      <c r="K98" s="60">
        <v>0.89190000000000003</v>
      </c>
      <c r="L98" s="60">
        <f t="shared" si="0"/>
        <v>0.89190000000000003</v>
      </c>
      <c r="M98" s="64">
        <f t="shared" si="23"/>
        <v>1</v>
      </c>
      <c r="N98" s="65" t="s">
        <v>207</v>
      </c>
      <c r="O98" s="60" t="s">
        <v>59</v>
      </c>
      <c r="P98" s="102"/>
      <c r="Q98" s="66"/>
      <c r="R98" s="103">
        <v>11</v>
      </c>
      <c r="S98" s="103">
        <v>6</v>
      </c>
      <c r="T98" s="103">
        <v>11</v>
      </c>
      <c r="U98" s="103">
        <v>6</v>
      </c>
      <c r="V98" s="67">
        <v>12</v>
      </c>
      <c r="W98" s="104">
        <v>4</v>
      </c>
      <c r="X98" s="67">
        <f t="shared" ref="X98:Y98" si="104">(P98+R98+T98+V98)</f>
        <v>34</v>
      </c>
      <c r="Y98" s="67">
        <f t="shared" si="104"/>
        <v>16</v>
      </c>
      <c r="Z98" s="68">
        <f t="shared" si="3"/>
        <v>50</v>
      </c>
      <c r="AA98" s="69" t="str">
        <f t="shared" si="4"/>
        <v>1A</v>
      </c>
      <c r="AB98" s="70" t="s">
        <v>59</v>
      </c>
      <c r="AC98" s="70" t="s">
        <v>207</v>
      </c>
      <c r="AD98" s="70">
        <v>67</v>
      </c>
      <c r="AE98" s="70">
        <v>20</v>
      </c>
      <c r="AF98" s="70">
        <v>87</v>
      </c>
      <c r="AG98" s="72">
        <f t="shared" si="6"/>
        <v>0.77011494252873558</v>
      </c>
      <c r="AH98" s="73">
        <f t="shared" si="7"/>
        <v>-32.229885057471265</v>
      </c>
      <c r="AI98" s="74">
        <v>1</v>
      </c>
      <c r="AJ98" s="79" t="s">
        <v>227</v>
      </c>
      <c r="AK98" s="76" t="s">
        <v>394</v>
      </c>
      <c r="AL98" s="67"/>
      <c r="AM98" s="506"/>
      <c r="AN98" s="505"/>
      <c r="AO98" s="515"/>
    </row>
    <row r="99" spans="1:41" ht="14.5">
      <c r="A99" s="58">
        <v>41440</v>
      </c>
      <c r="B99" s="59" t="s">
        <v>204</v>
      </c>
      <c r="C99" s="60" t="s">
        <v>211</v>
      </c>
      <c r="D99" s="60" t="s">
        <v>403</v>
      </c>
      <c r="E99" s="105">
        <v>0</v>
      </c>
      <c r="F99" s="106">
        <v>1</v>
      </c>
      <c r="G99" s="106">
        <v>1</v>
      </c>
      <c r="H99" s="60">
        <v>2</v>
      </c>
      <c r="I99" s="60">
        <v>33</v>
      </c>
      <c r="J99" s="60">
        <v>35</v>
      </c>
      <c r="K99" s="60">
        <v>5.7099999999999998E-2</v>
      </c>
      <c r="L99" s="60">
        <f t="shared" si="0"/>
        <v>-30.942900000000002</v>
      </c>
      <c r="M99" s="64">
        <f t="shared" si="23"/>
        <v>16</v>
      </c>
      <c r="N99" s="65"/>
      <c r="O99" s="60"/>
      <c r="P99" s="102"/>
      <c r="Q99" s="66"/>
      <c r="R99" s="103"/>
      <c r="S99" s="103"/>
      <c r="T99" s="103"/>
      <c r="U99" s="103"/>
      <c r="V99" s="67"/>
      <c r="W99" s="104"/>
      <c r="X99" s="67">
        <f t="shared" ref="X99:Y99" si="105">(P99+R99+T99+V99)</f>
        <v>0</v>
      </c>
      <c r="Y99" s="67">
        <f t="shared" si="105"/>
        <v>0</v>
      </c>
      <c r="Z99" s="68">
        <f t="shared" si="3"/>
        <v>0</v>
      </c>
      <c r="AA99" s="69" t="str">
        <f t="shared" si="4"/>
        <v>1B</v>
      </c>
      <c r="AB99" s="70" t="s">
        <v>403</v>
      </c>
      <c r="AC99" s="70" t="s">
        <v>213</v>
      </c>
      <c r="AD99" s="70">
        <v>2</v>
      </c>
      <c r="AE99" s="70">
        <v>33</v>
      </c>
      <c r="AF99" s="70">
        <v>35</v>
      </c>
      <c r="AG99" s="72">
        <f t="shared" si="6"/>
        <v>5.7142857142857141E-2</v>
      </c>
      <c r="AH99" s="73">
        <f t="shared" si="7"/>
        <v>-97.942857142857136</v>
      </c>
      <c r="AI99" s="74">
        <v>16</v>
      </c>
      <c r="AJ99" s="79" t="s">
        <v>324</v>
      </c>
      <c r="AK99" s="76" t="s">
        <v>404</v>
      </c>
      <c r="AL99" s="67"/>
      <c r="AM99" s="506"/>
      <c r="AN99" s="505"/>
      <c r="AO99" s="515"/>
    </row>
    <row r="100" spans="1:41" ht="14.5">
      <c r="A100" s="58">
        <v>41440</v>
      </c>
      <c r="B100" s="59" t="s">
        <v>204</v>
      </c>
      <c r="C100" s="60" t="s">
        <v>216</v>
      </c>
      <c r="D100" s="60" t="s">
        <v>405</v>
      </c>
      <c r="E100" s="107">
        <v>10</v>
      </c>
      <c r="F100" s="108">
        <v>1</v>
      </c>
      <c r="G100" s="106">
        <v>11</v>
      </c>
      <c r="H100" s="60">
        <v>22</v>
      </c>
      <c r="I100" s="60">
        <v>23</v>
      </c>
      <c r="J100" s="60">
        <v>45</v>
      </c>
      <c r="K100" s="60">
        <v>0.4889</v>
      </c>
      <c r="L100" s="60">
        <f t="shared" si="0"/>
        <v>-10.511100000000001</v>
      </c>
      <c r="M100" s="64">
        <f t="shared" si="23"/>
        <v>10</v>
      </c>
      <c r="N100" s="65" t="s">
        <v>265</v>
      </c>
      <c r="O100" s="60" t="s">
        <v>406</v>
      </c>
      <c r="P100" s="102"/>
      <c r="Q100" s="66"/>
      <c r="R100" s="103">
        <v>6</v>
      </c>
      <c r="S100" s="103">
        <v>11</v>
      </c>
      <c r="T100" s="103"/>
      <c r="U100" s="103"/>
      <c r="V100" s="67"/>
      <c r="W100" s="104"/>
      <c r="X100" s="67">
        <f t="shared" ref="X100:Y100" si="106">(P100+R100+T100+V100)</f>
        <v>6</v>
      </c>
      <c r="Y100" s="67">
        <f t="shared" si="106"/>
        <v>11</v>
      </c>
      <c r="Z100" s="68">
        <f t="shared" si="3"/>
        <v>17</v>
      </c>
      <c r="AA100" s="69" t="str">
        <f t="shared" si="4"/>
        <v>1C</v>
      </c>
      <c r="AB100" s="70" t="s">
        <v>405</v>
      </c>
      <c r="AC100" s="70" t="s">
        <v>208</v>
      </c>
      <c r="AD100" s="70">
        <v>22</v>
      </c>
      <c r="AE100" s="70">
        <v>23</v>
      </c>
      <c r="AF100" s="70">
        <v>45</v>
      </c>
      <c r="AG100" s="72">
        <f t="shared" si="6"/>
        <v>0.48888888888888887</v>
      </c>
      <c r="AH100" s="73">
        <f t="shared" si="7"/>
        <v>-77.511111111111106</v>
      </c>
      <c r="AI100" s="74">
        <v>10</v>
      </c>
      <c r="AJ100" s="79" t="s">
        <v>293</v>
      </c>
      <c r="AK100" s="76" t="s">
        <v>226</v>
      </c>
      <c r="AL100" s="67"/>
      <c r="AM100" s="506"/>
      <c r="AN100" s="505"/>
      <c r="AO100" s="515"/>
    </row>
    <row r="101" spans="1:41" ht="14.5">
      <c r="A101" s="58">
        <v>41440</v>
      </c>
      <c r="B101" s="59" t="s">
        <v>204</v>
      </c>
      <c r="C101" s="60" t="s">
        <v>221</v>
      </c>
      <c r="D101" s="60" t="s">
        <v>407</v>
      </c>
      <c r="E101" s="109">
        <v>11</v>
      </c>
      <c r="F101" s="110">
        <v>11</v>
      </c>
      <c r="G101" s="111">
        <v>3</v>
      </c>
      <c r="H101" s="60">
        <v>25</v>
      </c>
      <c r="I101" s="60">
        <v>22</v>
      </c>
      <c r="J101" s="60">
        <v>47</v>
      </c>
      <c r="K101" s="60">
        <v>0.53190000000000004</v>
      </c>
      <c r="L101" s="60">
        <f t="shared" si="0"/>
        <v>-7.4680999999999997</v>
      </c>
      <c r="M101" s="64">
        <f t="shared" si="23"/>
        <v>7</v>
      </c>
      <c r="N101" s="90"/>
      <c r="O101" s="89"/>
      <c r="P101" s="112"/>
      <c r="Q101" s="91"/>
      <c r="R101" s="113"/>
      <c r="S101" s="113"/>
      <c r="T101" s="103"/>
      <c r="U101" s="103"/>
      <c r="V101" s="67"/>
      <c r="W101" s="104"/>
      <c r="X101" s="67">
        <f t="shared" ref="X101:Y101" si="107">(P101+R101+T101+V101)</f>
        <v>0</v>
      </c>
      <c r="Y101" s="67">
        <f t="shared" si="107"/>
        <v>0</v>
      </c>
      <c r="Z101" s="68">
        <f t="shared" si="3"/>
        <v>0</v>
      </c>
      <c r="AA101" s="69" t="str">
        <f t="shared" si="4"/>
        <v>1D</v>
      </c>
      <c r="AB101" s="70" t="s">
        <v>407</v>
      </c>
      <c r="AC101" s="70" t="s">
        <v>218</v>
      </c>
      <c r="AD101" s="70">
        <v>29</v>
      </c>
      <c r="AE101" s="70">
        <v>33</v>
      </c>
      <c r="AF101" s="70">
        <v>62</v>
      </c>
      <c r="AG101" s="72">
        <f t="shared" si="6"/>
        <v>0.46774193548387094</v>
      </c>
      <c r="AH101" s="73">
        <f t="shared" si="7"/>
        <v>-70.532258064516128</v>
      </c>
      <c r="AI101" s="74">
        <v>8</v>
      </c>
      <c r="AJ101" s="79" t="s">
        <v>408</v>
      </c>
      <c r="AK101" s="76" t="s">
        <v>267</v>
      </c>
      <c r="AL101" s="67"/>
      <c r="AM101" s="506"/>
      <c r="AN101" s="505"/>
      <c r="AO101" s="515"/>
    </row>
    <row r="102" spans="1:41" ht="14.5">
      <c r="A102" s="58">
        <v>41440</v>
      </c>
      <c r="B102" s="59" t="s">
        <v>204</v>
      </c>
      <c r="C102" s="60" t="s">
        <v>224</v>
      </c>
      <c r="D102" s="60" t="s">
        <v>409</v>
      </c>
      <c r="E102" s="100">
        <v>3</v>
      </c>
      <c r="F102" s="101">
        <v>2</v>
      </c>
      <c r="G102" s="101">
        <v>11</v>
      </c>
      <c r="H102" s="60">
        <v>16</v>
      </c>
      <c r="I102" s="60">
        <v>27</v>
      </c>
      <c r="J102" s="60">
        <v>43</v>
      </c>
      <c r="K102" s="60">
        <v>0.37209999999999999</v>
      </c>
      <c r="L102" s="60">
        <f t="shared" si="0"/>
        <v>-16.6279</v>
      </c>
      <c r="M102" s="64">
        <f t="shared" si="23"/>
        <v>15</v>
      </c>
      <c r="N102" s="65" t="s">
        <v>225</v>
      </c>
      <c r="O102" s="60" t="s">
        <v>410</v>
      </c>
      <c r="P102" s="102"/>
      <c r="Q102" s="66"/>
      <c r="R102" s="103">
        <v>11</v>
      </c>
      <c r="S102" s="103">
        <v>7</v>
      </c>
      <c r="T102" s="103">
        <v>6</v>
      </c>
      <c r="U102" s="103">
        <v>11</v>
      </c>
      <c r="V102" s="67"/>
      <c r="W102" s="104"/>
      <c r="X102" s="67">
        <f t="shared" ref="X102:Y102" si="108">(P102+R102+T102+V102)</f>
        <v>17</v>
      </c>
      <c r="Y102" s="67">
        <f t="shared" si="108"/>
        <v>18</v>
      </c>
      <c r="Z102" s="68">
        <f t="shared" si="3"/>
        <v>35</v>
      </c>
      <c r="AA102" s="69" t="str">
        <f t="shared" si="4"/>
        <v>2A</v>
      </c>
      <c r="AB102" s="70" t="s">
        <v>409</v>
      </c>
      <c r="AC102" s="70" t="s">
        <v>234</v>
      </c>
      <c r="AD102" s="70">
        <v>16</v>
      </c>
      <c r="AE102" s="70">
        <v>27</v>
      </c>
      <c r="AF102" s="70">
        <v>43</v>
      </c>
      <c r="AG102" s="72">
        <f t="shared" si="6"/>
        <v>0.37209302325581395</v>
      </c>
      <c r="AH102" s="73">
        <f t="shared" si="7"/>
        <v>-83.627906976744185</v>
      </c>
      <c r="AI102" s="74">
        <v>15</v>
      </c>
      <c r="AJ102" s="79" t="s">
        <v>411</v>
      </c>
      <c r="AK102" s="76" t="s">
        <v>285</v>
      </c>
      <c r="AL102" s="67"/>
      <c r="AM102" s="506"/>
      <c r="AN102" s="505"/>
      <c r="AO102" s="515"/>
    </row>
    <row r="103" spans="1:41" ht="14.5">
      <c r="A103" s="58">
        <v>41440</v>
      </c>
      <c r="B103" s="59" t="s">
        <v>204</v>
      </c>
      <c r="C103" s="60" t="s">
        <v>228</v>
      </c>
      <c r="D103" s="60" t="s">
        <v>412</v>
      </c>
      <c r="E103" s="105">
        <v>11</v>
      </c>
      <c r="F103" s="106">
        <v>9</v>
      </c>
      <c r="G103" s="106">
        <v>5</v>
      </c>
      <c r="H103" s="60">
        <v>25</v>
      </c>
      <c r="I103" s="60">
        <v>25</v>
      </c>
      <c r="J103" s="60">
        <v>50</v>
      </c>
      <c r="K103" s="60">
        <v>0.5</v>
      </c>
      <c r="L103" s="60">
        <f t="shared" si="0"/>
        <v>-7.5</v>
      </c>
      <c r="M103" s="64">
        <f t="shared" si="23"/>
        <v>8</v>
      </c>
      <c r="N103" s="65"/>
      <c r="O103" s="60"/>
      <c r="P103" s="102"/>
      <c r="Q103" s="66"/>
      <c r="R103" s="103"/>
      <c r="S103" s="103"/>
      <c r="T103" s="103"/>
      <c r="U103" s="103"/>
      <c r="V103" s="67"/>
      <c r="W103" s="104"/>
      <c r="X103" s="67">
        <f t="shared" ref="X103:Y103" si="109">(P103+R103+T103+V103)</f>
        <v>0</v>
      </c>
      <c r="Y103" s="67">
        <f t="shared" si="109"/>
        <v>0</v>
      </c>
      <c r="Z103" s="68">
        <f t="shared" si="3"/>
        <v>0</v>
      </c>
      <c r="AA103" s="69" t="str">
        <f t="shared" si="4"/>
        <v>2B</v>
      </c>
      <c r="AB103" s="70" t="s">
        <v>412</v>
      </c>
      <c r="AC103" s="70" t="s">
        <v>230</v>
      </c>
      <c r="AD103" s="70">
        <v>32</v>
      </c>
      <c r="AE103" s="70">
        <v>36</v>
      </c>
      <c r="AF103" s="70">
        <v>68</v>
      </c>
      <c r="AG103" s="72">
        <f t="shared" si="6"/>
        <v>0.47058823529411764</v>
      </c>
      <c r="AH103" s="73">
        <f t="shared" si="7"/>
        <v>-67.529411764705884</v>
      </c>
      <c r="AI103" s="74">
        <v>7</v>
      </c>
      <c r="AJ103" s="79" t="s">
        <v>338</v>
      </c>
      <c r="AK103" s="76" t="s">
        <v>295</v>
      </c>
      <c r="AL103" s="67"/>
      <c r="AM103" s="506"/>
      <c r="AN103" s="505"/>
      <c r="AO103" s="515"/>
    </row>
    <row r="104" spans="1:41" ht="14.5">
      <c r="A104" s="58">
        <v>41440</v>
      </c>
      <c r="B104" s="59" t="s">
        <v>204</v>
      </c>
      <c r="C104" s="60" t="s">
        <v>232</v>
      </c>
      <c r="D104" s="60" t="s">
        <v>410</v>
      </c>
      <c r="E104" s="107">
        <v>11</v>
      </c>
      <c r="F104" s="108">
        <v>11</v>
      </c>
      <c r="G104" s="106">
        <v>11</v>
      </c>
      <c r="H104" s="60">
        <v>33</v>
      </c>
      <c r="I104" s="60">
        <v>15</v>
      </c>
      <c r="J104" s="60">
        <v>48</v>
      </c>
      <c r="K104" s="60">
        <v>0.6875</v>
      </c>
      <c r="L104" s="60">
        <f t="shared" si="0"/>
        <v>0.6875</v>
      </c>
      <c r="M104" s="64">
        <f t="shared" si="23"/>
        <v>2</v>
      </c>
      <c r="N104" s="65" t="s">
        <v>253</v>
      </c>
      <c r="O104" s="60" t="s">
        <v>413</v>
      </c>
      <c r="P104" s="102"/>
      <c r="Q104" s="66"/>
      <c r="R104" s="103">
        <v>7</v>
      </c>
      <c r="S104" s="103">
        <v>11</v>
      </c>
      <c r="T104" s="103"/>
      <c r="U104" s="103"/>
      <c r="V104" s="67"/>
      <c r="W104" s="104"/>
      <c r="X104" s="67">
        <f t="shared" ref="X104:Y104" si="110">(P104+R104+T104+V104)</f>
        <v>7</v>
      </c>
      <c r="Y104" s="67">
        <f t="shared" si="110"/>
        <v>11</v>
      </c>
      <c r="Z104" s="68">
        <f t="shared" si="3"/>
        <v>18</v>
      </c>
      <c r="AA104" s="69" t="str">
        <f t="shared" si="4"/>
        <v>2C</v>
      </c>
      <c r="AB104" s="70" t="s">
        <v>410</v>
      </c>
      <c r="AC104" s="70" t="s">
        <v>225</v>
      </c>
      <c r="AD104" s="70">
        <v>50</v>
      </c>
      <c r="AE104" s="70">
        <v>33</v>
      </c>
      <c r="AF104" s="70">
        <v>83</v>
      </c>
      <c r="AG104" s="72">
        <f t="shared" si="6"/>
        <v>0.60240963855421692</v>
      </c>
      <c r="AH104" s="73">
        <f t="shared" si="7"/>
        <v>-49.397590361445786</v>
      </c>
      <c r="AI104" s="74">
        <v>3</v>
      </c>
      <c r="AJ104" s="79" t="s">
        <v>414</v>
      </c>
      <c r="AK104" s="76" t="s">
        <v>397</v>
      </c>
      <c r="AL104" s="67"/>
      <c r="AM104" s="506"/>
      <c r="AN104" s="505"/>
      <c r="AO104" s="515"/>
    </row>
    <row r="105" spans="1:41" ht="14.5">
      <c r="A105" s="58">
        <v>41440</v>
      </c>
      <c r="B105" s="59" t="s">
        <v>204</v>
      </c>
      <c r="C105" s="60" t="s">
        <v>237</v>
      </c>
      <c r="D105" s="60" t="s">
        <v>415</v>
      </c>
      <c r="E105" s="109">
        <v>8</v>
      </c>
      <c r="F105" s="110">
        <v>11</v>
      </c>
      <c r="G105" s="111">
        <v>5</v>
      </c>
      <c r="H105" s="60">
        <v>24</v>
      </c>
      <c r="I105" s="60">
        <v>31</v>
      </c>
      <c r="J105" s="60">
        <v>55</v>
      </c>
      <c r="K105" s="60">
        <v>0.43640000000000001</v>
      </c>
      <c r="L105" s="60">
        <f t="shared" si="0"/>
        <v>-8.5635999999999992</v>
      </c>
      <c r="M105" s="64">
        <f t="shared" si="23"/>
        <v>9</v>
      </c>
      <c r="N105" s="90"/>
      <c r="O105" s="89"/>
      <c r="P105" s="112"/>
      <c r="Q105" s="91"/>
      <c r="R105" s="113"/>
      <c r="S105" s="113"/>
      <c r="T105" s="113"/>
      <c r="U105" s="113"/>
      <c r="V105" s="67"/>
      <c r="W105" s="104"/>
      <c r="X105" s="67">
        <f t="shared" ref="X105:Y105" si="111">(P105+R105+T105+V105)</f>
        <v>0</v>
      </c>
      <c r="Y105" s="67">
        <f t="shared" si="111"/>
        <v>0</v>
      </c>
      <c r="Z105" s="68">
        <f t="shared" si="3"/>
        <v>0</v>
      </c>
      <c r="AA105" s="69" t="str">
        <f t="shared" si="4"/>
        <v>2D</v>
      </c>
      <c r="AB105" s="70" t="s">
        <v>415</v>
      </c>
      <c r="AC105" s="70" t="s">
        <v>239</v>
      </c>
      <c r="AD105" s="70">
        <v>24</v>
      </c>
      <c r="AE105" s="70">
        <v>31</v>
      </c>
      <c r="AF105" s="70">
        <v>55</v>
      </c>
      <c r="AG105" s="72">
        <f t="shared" si="6"/>
        <v>0.43636363636363634</v>
      </c>
      <c r="AH105" s="73">
        <f t="shared" si="7"/>
        <v>-75.563636363636363</v>
      </c>
      <c r="AI105" s="74">
        <v>9</v>
      </c>
      <c r="AJ105" s="79" t="s">
        <v>260</v>
      </c>
      <c r="AK105" s="76" t="s">
        <v>266</v>
      </c>
      <c r="AL105" s="67"/>
      <c r="AM105" s="506"/>
      <c r="AN105" s="505"/>
      <c r="AO105" s="515"/>
    </row>
    <row r="106" spans="1:41" ht="14.5">
      <c r="A106" s="58">
        <v>41440</v>
      </c>
      <c r="B106" s="59" t="s">
        <v>204</v>
      </c>
      <c r="C106" s="60" t="s">
        <v>241</v>
      </c>
      <c r="D106" s="60" t="s">
        <v>416</v>
      </c>
      <c r="E106" s="100">
        <v>1</v>
      </c>
      <c r="F106" s="101">
        <v>8</v>
      </c>
      <c r="G106" s="101">
        <v>9</v>
      </c>
      <c r="H106" s="60">
        <v>18</v>
      </c>
      <c r="I106" s="60">
        <v>33</v>
      </c>
      <c r="J106" s="60">
        <v>51</v>
      </c>
      <c r="K106" s="60">
        <v>0.35289999999999999</v>
      </c>
      <c r="L106" s="60">
        <f t="shared" si="0"/>
        <v>-14.6471</v>
      </c>
      <c r="M106" s="64">
        <f t="shared" si="23"/>
        <v>14</v>
      </c>
      <c r="N106" s="65" t="s">
        <v>243</v>
      </c>
      <c r="O106" s="60" t="s">
        <v>60</v>
      </c>
      <c r="P106" s="102"/>
      <c r="Q106" s="66"/>
      <c r="R106" s="103">
        <v>11</v>
      </c>
      <c r="S106" s="103">
        <v>7</v>
      </c>
      <c r="T106" s="103">
        <v>11</v>
      </c>
      <c r="U106" s="103">
        <v>2</v>
      </c>
      <c r="V106" s="67">
        <v>4</v>
      </c>
      <c r="W106" s="104">
        <v>12</v>
      </c>
      <c r="X106" s="67">
        <f t="shared" ref="X106:Y106" si="112">(P106+R106+T106+V106)</f>
        <v>26</v>
      </c>
      <c r="Y106" s="67">
        <f t="shared" si="112"/>
        <v>21</v>
      </c>
      <c r="Z106" s="68">
        <f t="shared" si="3"/>
        <v>47</v>
      </c>
      <c r="AA106" s="69" t="str">
        <f t="shared" si="4"/>
        <v>3A</v>
      </c>
      <c r="AB106" s="70" t="s">
        <v>416</v>
      </c>
      <c r="AC106" s="70" t="s">
        <v>258</v>
      </c>
      <c r="AD106" s="70">
        <v>18</v>
      </c>
      <c r="AE106" s="70">
        <v>33</v>
      </c>
      <c r="AF106" s="70">
        <v>51</v>
      </c>
      <c r="AG106" s="72">
        <f t="shared" si="6"/>
        <v>0.35294117647058826</v>
      </c>
      <c r="AH106" s="73">
        <f t="shared" si="7"/>
        <v>-81.647058823529406</v>
      </c>
      <c r="AI106" s="74">
        <v>14</v>
      </c>
      <c r="AJ106" s="79" t="s">
        <v>392</v>
      </c>
      <c r="AK106" s="76" t="s">
        <v>236</v>
      </c>
      <c r="AL106" s="67"/>
      <c r="AM106" s="506"/>
      <c r="AN106" s="505"/>
      <c r="AO106" s="515"/>
    </row>
    <row r="107" spans="1:41" ht="14.5">
      <c r="A107" s="58">
        <v>41440</v>
      </c>
      <c r="B107" s="59" t="s">
        <v>204</v>
      </c>
      <c r="C107" s="60" t="s">
        <v>246</v>
      </c>
      <c r="D107" s="60" t="s">
        <v>413</v>
      </c>
      <c r="E107" s="105">
        <v>11</v>
      </c>
      <c r="F107" s="106">
        <v>11</v>
      </c>
      <c r="G107" s="106">
        <v>6</v>
      </c>
      <c r="H107" s="60">
        <v>28</v>
      </c>
      <c r="I107" s="60">
        <v>19</v>
      </c>
      <c r="J107" s="60">
        <v>47</v>
      </c>
      <c r="K107" s="60">
        <v>0.59570000000000001</v>
      </c>
      <c r="L107" s="60">
        <f t="shared" si="0"/>
        <v>-4.4043000000000001</v>
      </c>
      <c r="M107" s="64">
        <f t="shared" si="23"/>
        <v>6</v>
      </c>
      <c r="N107" s="65"/>
      <c r="O107" s="60"/>
      <c r="P107" s="102"/>
      <c r="Q107" s="66"/>
      <c r="R107" s="103"/>
      <c r="S107" s="103"/>
      <c r="T107" s="103"/>
      <c r="U107" s="103"/>
      <c r="V107" s="67"/>
      <c r="W107" s="104"/>
      <c r="X107" s="67">
        <f t="shared" ref="X107:Y107" si="113">(P107+R107+T107+V107)</f>
        <v>0</v>
      </c>
      <c r="Y107" s="67">
        <f t="shared" si="113"/>
        <v>0</v>
      </c>
      <c r="Z107" s="68">
        <f t="shared" si="3"/>
        <v>0</v>
      </c>
      <c r="AA107" s="69" t="str">
        <f t="shared" si="4"/>
        <v>3B</v>
      </c>
      <c r="AB107" s="70" t="s">
        <v>413</v>
      </c>
      <c r="AC107" s="70" t="s">
        <v>253</v>
      </c>
      <c r="AD107" s="70">
        <v>35</v>
      </c>
      <c r="AE107" s="70">
        <v>30</v>
      </c>
      <c r="AF107" s="70">
        <v>65</v>
      </c>
      <c r="AG107" s="72">
        <f t="shared" si="6"/>
        <v>0.53846153846153844</v>
      </c>
      <c r="AH107" s="73">
        <f t="shared" si="7"/>
        <v>-64.461538461538467</v>
      </c>
      <c r="AI107" s="74">
        <v>5</v>
      </c>
      <c r="AJ107" s="79" t="s">
        <v>369</v>
      </c>
      <c r="AK107" s="76" t="s">
        <v>223</v>
      </c>
      <c r="AL107" s="67"/>
      <c r="AM107" s="506"/>
      <c r="AN107" s="505"/>
      <c r="AO107" s="515"/>
    </row>
    <row r="108" spans="1:41" ht="14.5">
      <c r="A108" s="58">
        <v>41440</v>
      </c>
      <c r="B108" s="59" t="s">
        <v>204</v>
      </c>
      <c r="C108" s="60" t="s">
        <v>251</v>
      </c>
      <c r="D108" s="60" t="s">
        <v>60</v>
      </c>
      <c r="E108" s="107">
        <v>11</v>
      </c>
      <c r="F108" s="108">
        <v>11</v>
      </c>
      <c r="G108" s="106">
        <v>11</v>
      </c>
      <c r="H108" s="60">
        <v>33</v>
      </c>
      <c r="I108" s="60">
        <v>15</v>
      </c>
      <c r="J108" s="60">
        <v>48</v>
      </c>
      <c r="K108" s="60">
        <v>0.6875</v>
      </c>
      <c r="L108" s="60">
        <f t="shared" si="0"/>
        <v>0.6875</v>
      </c>
      <c r="M108" s="64">
        <f t="shared" si="23"/>
        <v>2</v>
      </c>
      <c r="N108" s="65" t="s">
        <v>230</v>
      </c>
      <c r="O108" s="60" t="s">
        <v>412</v>
      </c>
      <c r="P108" s="102"/>
      <c r="Q108" s="66"/>
      <c r="R108" s="103">
        <v>7</v>
      </c>
      <c r="S108" s="103">
        <v>11</v>
      </c>
      <c r="T108" s="103"/>
      <c r="U108" s="103"/>
      <c r="V108" s="67"/>
      <c r="W108" s="104"/>
      <c r="X108" s="67">
        <f t="shared" ref="X108:Y108" si="114">(P108+R108+T108+V108)</f>
        <v>7</v>
      </c>
      <c r="Y108" s="67">
        <f t="shared" si="114"/>
        <v>11</v>
      </c>
      <c r="Z108" s="68">
        <f t="shared" si="3"/>
        <v>18</v>
      </c>
      <c r="AA108" s="69" t="str">
        <f t="shared" si="4"/>
        <v>3C</v>
      </c>
      <c r="AB108" s="70" t="s">
        <v>60</v>
      </c>
      <c r="AC108" s="70" t="s">
        <v>243</v>
      </c>
      <c r="AD108" s="70">
        <v>59</v>
      </c>
      <c r="AE108" s="70">
        <v>36</v>
      </c>
      <c r="AF108" s="70">
        <v>95</v>
      </c>
      <c r="AG108" s="72">
        <f t="shared" si="6"/>
        <v>0.62105263157894741</v>
      </c>
      <c r="AH108" s="73">
        <f t="shared" si="7"/>
        <v>-40.378947368421052</v>
      </c>
      <c r="AI108" s="74">
        <v>2</v>
      </c>
      <c r="AJ108" s="79" t="s">
        <v>417</v>
      </c>
      <c r="AK108" s="76" t="s">
        <v>30</v>
      </c>
      <c r="AL108" s="67"/>
      <c r="AM108" s="506"/>
      <c r="AN108" s="505"/>
      <c r="AO108" s="515"/>
    </row>
    <row r="109" spans="1:41" ht="14.5">
      <c r="A109" s="58">
        <v>41440</v>
      </c>
      <c r="B109" s="59" t="s">
        <v>204</v>
      </c>
      <c r="C109" s="60" t="s">
        <v>256</v>
      </c>
      <c r="D109" s="60" t="s">
        <v>418</v>
      </c>
      <c r="E109" s="109">
        <v>1</v>
      </c>
      <c r="F109" s="110">
        <v>7</v>
      </c>
      <c r="G109" s="111">
        <v>11</v>
      </c>
      <c r="H109" s="60">
        <v>19</v>
      </c>
      <c r="I109" s="60">
        <v>31</v>
      </c>
      <c r="J109" s="60">
        <v>50</v>
      </c>
      <c r="K109" s="60">
        <v>0.38</v>
      </c>
      <c r="L109" s="60">
        <f t="shared" si="0"/>
        <v>-13.62</v>
      </c>
      <c r="M109" s="64">
        <f t="shared" si="23"/>
        <v>13</v>
      </c>
      <c r="N109" s="90"/>
      <c r="O109" s="89"/>
      <c r="P109" s="112"/>
      <c r="Q109" s="91"/>
      <c r="R109" s="113"/>
      <c r="S109" s="113"/>
      <c r="T109" s="103"/>
      <c r="U109" s="103"/>
      <c r="V109" s="67"/>
      <c r="W109" s="104"/>
      <c r="X109" s="67">
        <f t="shared" ref="X109:Y109" si="115">(P109+R109+T109+V109)</f>
        <v>0</v>
      </c>
      <c r="Y109" s="67">
        <f t="shared" si="115"/>
        <v>0</v>
      </c>
      <c r="Z109" s="68">
        <f t="shared" si="3"/>
        <v>0</v>
      </c>
      <c r="AA109" s="69" t="str">
        <f t="shared" si="4"/>
        <v>3D</v>
      </c>
      <c r="AB109" s="70" t="s">
        <v>418</v>
      </c>
      <c r="AC109" s="70" t="s">
        <v>248</v>
      </c>
      <c r="AD109" s="70">
        <v>19</v>
      </c>
      <c r="AE109" s="70">
        <v>31</v>
      </c>
      <c r="AF109" s="70">
        <v>50</v>
      </c>
      <c r="AG109" s="72">
        <f t="shared" si="6"/>
        <v>0.38</v>
      </c>
      <c r="AH109" s="73">
        <f t="shared" si="7"/>
        <v>-80.62</v>
      </c>
      <c r="AI109" s="74">
        <v>13</v>
      </c>
      <c r="AJ109" s="79" t="s">
        <v>254</v>
      </c>
      <c r="AK109" s="76" t="s">
        <v>23</v>
      </c>
      <c r="AL109" s="67"/>
      <c r="AM109" s="506"/>
      <c r="AN109" s="505"/>
      <c r="AO109" s="515"/>
    </row>
    <row r="110" spans="1:41" ht="14.5">
      <c r="A110" s="58">
        <v>41440</v>
      </c>
      <c r="B110" s="59" t="s">
        <v>204</v>
      </c>
      <c r="C110" s="60" t="s">
        <v>261</v>
      </c>
      <c r="D110" s="60" t="s">
        <v>419</v>
      </c>
      <c r="E110" s="100">
        <v>11</v>
      </c>
      <c r="F110" s="101">
        <v>5</v>
      </c>
      <c r="G110" s="101">
        <v>5</v>
      </c>
      <c r="H110" s="60">
        <v>21</v>
      </c>
      <c r="I110" s="60">
        <v>31</v>
      </c>
      <c r="J110" s="60">
        <v>52</v>
      </c>
      <c r="K110" s="60">
        <v>0.40379999999999999</v>
      </c>
      <c r="L110" s="60">
        <f t="shared" si="0"/>
        <v>-11.5962</v>
      </c>
      <c r="M110" s="64">
        <f t="shared" si="23"/>
        <v>12</v>
      </c>
      <c r="N110" s="65" t="s">
        <v>263</v>
      </c>
      <c r="O110" s="60" t="s">
        <v>420</v>
      </c>
      <c r="P110" s="102"/>
      <c r="Q110" s="66"/>
      <c r="R110" s="103">
        <v>11</v>
      </c>
      <c r="S110" s="103">
        <v>4</v>
      </c>
      <c r="T110" s="103">
        <v>2</v>
      </c>
      <c r="U110" s="103">
        <v>11</v>
      </c>
      <c r="V110" s="67"/>
      <c r="W110" s="104"/>
      <c r="X110" s="67">
        <f t="shared" ref="X110:Y110" si="116">(P110+R110+T110+V110)</f>
        <v>13</v>
      </c>
      <c r="Y110" s="67">
        <f t="shared" si="116"/>
        <v>15</v>
      </c>
      <c r="Z110" s="68">
        <f t="shared" si="3"/>
        <v>28</v>
      </c>
      <c r="AA110" s="69" t="str">
        <f t="shared" si="4"/>
        <v>4A</v>
      </c>
      <c r="AB110" s="70" t="s">
        <v>419</v>
      </c>
      <c r="AC110" s="70" t="s">
        <v>273</v>
      </c>
      <c r="AD110" s="70">
        <v>21</v>
      </c>
      <c r="AE110" s="70">
        <v>31</v>
      </c>
      <c r="AF110" s="70">
        <v>52</v>
      </c>
      <c r="AG110" s="72">
        <f t="shared" si="6"/>
        <v>0.40384615384615385</v>
      </c>
      <c r="AH110" s="73">
        <f t="shared" si="7"/>
        <v>-78.59615384615384</v>
      </c>
      <c r="AI110" s="74">
        <v>12</v>
      </c>
      <c r="AJ110" s="79" t="s">
        <v>386</v>
      </c>
      <c r="AK110" s="76" t="s">
        <v>421</v>
      </c>
      <c r="AL110" s="67"/>
      <c r="AM110" s="506"/>
      <c r="AN110" s="505"/>
      <c r="AO110" s="515"/>
    </row>
    <row r="111" spans="1:41" ht="14.5">
      <c r="A111" s="58">
        <v>41440</v>
      </c>
      <c r="B111" s="59" t="s">
        <v>204</v>
      </c>
      <c r="C111" s="60" t="s">
        <v>268</v>
      </c>
      <c r="D111" s="60" t="s">
        <v>422</v>
      </c>
      <c r="E111" s="105">
        <v>9</v>
      </c>
      <c r="F111" s="106">
        <v>8</v>
      </c>
      <c r="G111" s="106">
        <v>5</v>
      </c>
      <c r="H111" s="60">
        <v>22</v>
      </c>
      <c r="I111" s="60">
        <v>33</v>
      </c>
      <c r="J111" s="60">
        <v>55</v>
      </c>
      <c r="K111" s="60">
        <v>0.4</v>
      </c>
      <c r="L111" s="60">
        <f t="shared" si="0"/>
        <v>-10.6</v>
      </c>
      <c r="M111" s="64">
        <f t="shared" si="23"/>
        <v>11</v>
      </c>
      <c r="N111" s="65"/>
      <c r="O111" s="60"/>
      <c r="P111" s="102"/>
      <c r="Q111" s="66"/>
      <c r="R111" s="103"/>
      <c r="S111" s="103"/>
      <c r="T111" s="103"/>
      <c r="U111" s="103"/>
      <c r="V111" s="67"/>
      <c r="W111" s="104"/>
      <c r="X111" s="67">
        <f t="shared" ref="X111:Y111" si="117">(P111+R111+T111+V111)</f>
        <v>0</v>
      </c>
      <c r="Y111" s="67">
        <f t="shared" si="117"/>
        <v>0</v>
      </c>
      <c r="Z111" s="68">
        <f t="shared" si="3"/>
        <v>0</v>
      </c>
      <c r="AA111" s="69" t="str">
        <f t="shared" si="4"/>
        <v>4B</v>
      </c>
      <c r="AB111" s="70" t="s">
        <v>422</v>
      </c>
      <c r="AC111" s="70" t="s">
        <v>278</v>
      </c>
      <c r="AD111" s="70">
        <v>22</v>
      </c>
      <c r="AE111" s="70">
        <v>33</v>
      </c>
      <c r="AF111" s="70">
        <v>55</v>
      </c>
      <c r="AG111" s="72">
        <f t="shared" si="6"/>
        <v>0.4</v>
      </c>
      <c r="AH111" s="73">
        <f t="shared" si="7"/>
        <v>-77.599999999999994</v>
      </c>
      <c r="AI111" s="74">
        <v>11</v>
      </c>
      <c r="AJ111" s="79" t="s">
        <v>423</v>
      </c>
      <c r="AK111" s="76" t="s">
        <v>424</v>
      </c>
      <c r="AL111" s="67"/>
      <c r="AM111" s="506"/>
      <c r="AN111" s="505"/>
      <c r="AO111" s="515"/>
    </row>
    <row r="112" spans="1:41" ht="14.5">
      <c r="A112" s="58">
        <v>41440</v>
      </c>
      <c r="B112" s="59" t="s">
        <v>204</v>
      </c>
      <c r="C112" s="60" t="s">
        <v>271</v>
      </c>
      <c r="D112" s="60" t="s">
        <v>406</v>
      </c>
      <c r="E112" s="107">
        <v>7</v>
      </c>
      <c r="F112" s="108">
        <v>11</v>
      </c>
      <c r="G112" s="106">
        <v>11</v>
      </c>
      <c r="H112" s="60">
        <v>29</v>
      </c>
      <c r="I112" s="60">
        <v>21</v>
      </c>
      <c r="J112" s="60">
        <v>50</v>
      </c>
      <c r="K112" s="60">
        <v>0.57999999999999996</v>
      </c>
      <c r="L112" s="60">
        <f t="shared" si="0"/>
        <v>-3.42</v>
      </c>
      <c r="M112" s="64">
        <f t="shared" si="23"/>
        <v>5</v>
      </c>
      <c r="N112" s="65" t="s">
        <v>218</v>
      </c>
      <c r="O112" s="60" t="s">
        <v>407</v>
      </c>
      <c r="P112" s="102"/>
      <c r="Q112" s="66"/>
      <c r="R112" s="103">
        <v>4</v>
      </c>
      <c r="S112" s="103">
        <v>11</v>
      </c>
      <c r="T112" s="103"/>
      <c r="U112" s="103"/>
      <c r="V112" s="67"/>
      <c r="W112" s="104"/>
      <c r="X112" s="67">
        <f t="shared" ref="X112:Y112" si="118">(P112+R112+T112+V112)</f>
        <v>4</v>
      </c>
      <c r="Y112" s="67">
        <f t="shared" si="118"/>
        <v>11</v>
      </c>
      <c r="Z112" s="68">
        <f t="shared" si="3"/>
        <v>15</v>
      </c>
      <c r="AA112" s="69" t="str">
        <f t="shared" si="4"/>
        <v>4C</v>
      </c>
      <c r="AB112" s="70" t="s">
        <v>406</v>
      </c>
      <c r="AC112" s="70" t="s">
        <v>265</v>
      </c>
      <c r="AD112" s="70">
        <v>35</v>
      </c>
      <c r="AE112" s="70">
        <v>32</v>
      </c>
      <c r="AF112" s="70">
        <v>67</v>
      </c>
      <c r="AG112" s="72">
        <f t="shared" si="6"/>
        <v>0.52238805970149249</v>
      </c>
      <c r="AH112" s="73">
        <f t="shared" si="7"/>
        <v>-64.477611940298502</v>
      </c>
      <c r="AI112" s="74">
        <v>6</v>
      </c>
      <c r="AJ112" s="79" t="s">
        <v>425</v>
      </c>
      <c r="AK112" s="76" t="s">
        <v>370</v>
      </c>
      <c r="AL112" s="67"/>
      <c r="AM112" s="506"/>
      <c r="AN112" s="505"/>
      <c r="AO112" s="515"/>
    </row>
    <row r="113" spans="1:41" ht="14.5">
      <c r="A113" s="87">
        <v>41440</v>
      </c>
      <c r="B113" s="88" t="s">
        <v>204</v>
      </c>
      <c r="C113" s="89" t="s">
        <v>276</v>
      </c>
      <c r="D113" s="89" t="s">
        <v>420</v>
      </c>
      <c r="E113" s="109">
        <v>11</v>
      </c>
      <c r="F113" s="110">
        <v>11</v>
      </c>
      <c r="G113" s="111">
        <v>11</v>
      </c>
      <c r="H113" s="89">
        <v>33</v>
      </c>
      <c r="I113" s="89">
        <v>20</v>
      </c>
      <c r="J113" s="89">
        <v>53</v>
      </c>
      <c r="K113" s="89">
        <v>0.62260000000000004</v>
      </c>
      <c r="L113" s="89">
        <f t="shared" si="0"/>
        <v>0.62260000000000004</v>
      </c>
      <c r="M113" s="86">
        <f t="shared" si="23"/>
        <v>4</v>
      </c>
      <c r="N113" s="90"/>
      <c r="O113" s="89"/>
      <c r="P113" s="112"/>
      <c r="Q113" s="91"/>
      <c r="R113" s="113"/>
      <c r="S113" s="113"/>
      <c r="T113" s="113"/>
      <c r="U113" s="113"/>
      <c r="V113" s="92"/>
      <c r="W113" s="114"/>
      <c r="X113" s="92">
        <f t="shared" ref="X113:Y113" si="119">(P113+R113+T113+V113)</f>
        <v>0</v>
      </c>
      <c r="Y113" s="92">
        <f t="shared" si="119"/>
        <v>0</v>
      </c>
      <c r="Z113" s="84">
        <f t="shared" si="3"/>
        <v>0</v>
      </c>
      <c r="AA113" s="93" t="str">
        <f t="shared" si="4"/>
        <v>4D</v>
      </c>
      <c r="AB113" s="94" t="s">
        <v>420</v>
      </c>
      <c r="AC113" s="94" t="s">
        <v>263</v>
      </c>
      <c r="AD113" s="94">
        <v>46</v>
      </c>
      <c r="AE113" s="94">
        <v>35</v>
      </c>
      <c r="AF113" s="94">
        <v>81</v>
      </c>
      <c r="AG113" s="95">
        <f t="shared" si="6"/>
        <v>0.5679012345679012</v>
      </c>
      <c r="AH113" s="96">
        <f t="shared" si="7"/>
        <v>-53.432098765432102</v>
      </c>
      <c r="AI113" s="97">
        <v>4</v>
      </c>
      <c r="AJ113" s="98" t="s">
        <v>426</v>
      </c>
      <c r="AK113" s="81" t="s">
        <v>427</v>
      </c>
      <c r="AL113" s="67"/>
      <c r="AM113" s="506"/>
      <c r="AN113" s="505"/>
      <c r="AO113" s="515"/>
    </row>
    <row r="114" spans="1:41" ht="14.5">
      <c r="A114" s="58">
        <v>41560</v>
      </c>
      <c r="B114" s="59" t="s">
        <v>428</v>
      </c>
      <c r="C114" s="60" t="s">
        <v>205</v>
      </c>
      <c r="D114" s="60" t="s">
        <v>429</v>
      </c>
      <c r="E114" s="100">
        <v>11</v>
      </c>
      <c r="F114" s="101">
        <v>11</v>
      </c>
      <c r="G114" s="101">
        <v>9</v>
      </c>
      <c r="H114" s="60">
        <v>31</v>
      </c>
      <c r="I114" s="60">
        <v>24</v>
      </c>
      <c r="J114" s="60">
        <v>55</v>
      </c>
      <c r="K114" s="60">
        <v>0.56359999999999999</v>
      </c>
      <c r="L114" s="60">
        <f t="shared" si="0"/>
        <v>-1.4363999999999999</v>
      </c>
      <c r="M114" s="64">
        <f t="shared" si="23"/>
        <v>12</v>
      </c>
      <c r="N114" s="65" t="s">
        <v>207</v>
      </c>
      <c r="O114" s="60" t="s">
        <v>430</v>
      </c>
      <c r="P114" s="115">
        <v>11</v>
      </c>
      <c r="Q114" s="115">
        <v>4</v>
      </c>
      <c r="R114" s="115">
        <v>7</v>
      </c>
      <c r="S114" s="115">
        <v>11</v>
      </c>
      <c r="T114" s="115"/>
      <c r="U114" s="115"/>
      <c r="V114" s="116"/>
      <c r="W114" s="117"/>
      <c r="X114" s="67">
        <f t="shared" ref="X114:Y114" si="120">(P114+R114+T114+V114)</f>
        <v>18</v>
      </c>
      <c r="Y114" s="67">
        <f t="shared" si="120"/>
        <v>15</v>
      </c>
      <c r="Z114" s="68">
        <f t="shared" si="3"/>
        <v>33</v>
      </c>
      <c r="AA114" s="69" t="str">
        <f t="shared" si="4"/>
        <v>1A</v>
      </c>
      <c r="AB114" s="70" t="s">
        <v>429</v>
      </c>
      <c r="AC114" s="70" t="s">
        <v>218</v>
      </c>
      <c r="AD114" s="70">
        <v>39</v>
      </c>
      <c r="AE114" s="70">
        <v>35</v>
      </c>
      <c r="AF114" s="70">
        <v>74</v>
      </c>
      <c r="AG114" s="72">
        <f t="shared" si="6"/>
        <v>0.52702702702702697</v>
      </c>
      <c r="AH114" s="73">
        <f t="shared" si="7"/>
        <v>-60.472972972972975</v>
      </c>
      <c r="AI114" s="74">
        <v>11</v>
      </c>
      <c r="AJ114" s="79" t="s">
        <v>380</v>
      </c>
      <c r="AK114" s="76" t="s">
        <v>431</v>
      </c>
      <c r="AL114" s="67"/>
      <c r="AM114" s="506"/>
      <c r="AN114" s="505"/>
      <c r="AO114" s="515"/>
    </row>
    <row r="115" spans="1:41" ht="14.5">
      <c r="A115" s="58">
        <v>41560</v>
      </c>
      <c r="B115" s="59" t="s">
        <v>428</v>
      </c>
      <c r="C115" s="60" t="s">
        <v>211</v>
      </c>
      <c r="D115" s="60" t="s">
        <v>432</v>
      </c>
      <c r="E115" s="105">
        <v>8</v>
      </c>
      <c r="F115" s="106">
        <v>7</v>
      </c>
      <c r="G115" s="106">
        <v>11</v>
      </c>
      <c r="H115" s="60">
        <v>26</v>
      </c>
      <c r="I115" s="60">
        <v>28</v>
      </c>
      <c r="J115" s="60">
        <v>54</v>
      </c>
      <c r="K115" s="60">
        <v>0.48149999999999998</v>
      </c>
      <c r="L115" s="60">
        <f t="shared" si="0"/>
        <v>-6.5185000000000004</v>
      </c>
      <c r="M115" s="64">
        <f t="shared" si="23"/>
        <v>17</v>
      </c>
      <c r="N115" s="65"/>
      <c r="O115" s="60"/>
      <c r="P115" s="103"/>
      <c r="Q115" s="103"/>
      <c r="R115" s="103"/>
      <c r="S115" s="103"/>
      <c r="T115" s="103"/>
      <c r="U115" s="103"/>
      <c r="V115" s="69"/>
      <c r="W115" s="104"/>
      <c r="X115" s="67">
        <f t="shared" ref="X115:Y115" si="121">(P115+R115+T115+V115)</f>
        <v>0</v>
      </c>
      <c r="Y115" s="67">
        <f t="shared" si="121"/>
        <v>0</v>
      </c>
      <c r="Z115" s="68">
        <f t="shared" si="3"/>
        <v>0</v>
      </c>
      <c r="AA115" s="69" t="str">
        <f t="shared" si="4"/>
        <v>1B</v>
      </c>
      <c r="AB115" s="70" t="s">
        <v>432</v>
      </c>
      <c r="AC115" s="70" t="s">
        <v>208</v>
      </c>
      <c r="AD115" s="70">
        <v>26</v>
      </c>
      <c r="AE115" s="70">
        <v>28</v>
      </c>
      <c r="AF115" s="70">
        <v>54</v>
      </c>
      <c r="AG115" s="72">
        <f t="shared" si="6"/>
        <v>0.48148148148148145</v>
      </c>
      <c r="AH115" s="73">
        <f t="shared" si="7"/>
        <v>-73.518518518518519</v>
      </c>
      <c r="AI115" s="74">
        <v>18</v>
      </c>
      <c r="AJ115" s="79" t="s">
        <v>319</v>
      </c>
      <c r="AK115" s="76" t="s">
        <v>433</v>
      </c>
      <c r="AL115" s="67"/>
      <c r="AM115" s="506"/>
      <c r="AN115" s="505"/>
      <c r="AO115" s="515"/>
    </row>
    <row r="116" spans="1:41" ht="14.5">
      <c r="A116" s="58">
        <v>41560</v>
      </c>
      <c r="B116" s="59" t="s">
        <v>428</v>
      </c>
      <c r="C116" s="60" t="s">
        <v>216</v>
      </c>
      <c r="D116" s="60" t="s">
        <v>434</v>
      </c>
      <c r="E116" s="107">
        <v>10</v>
      </c>
      <c r="F116" s="108">
        <v>5</v>
      </c>
      <c r="G116" s="106">
        <v>6</v>
      </c>
      <c r="H116" s="60">
        <v>21</v>
      </c>
      <c r="I116" s="60">
        <v>33</v>
      </c>
      <c r="J116" s="60">
        <v>54</v>
      </c>
      <c r="K116" s="60">
        <v>0.38890000000000002</v>
      </c>
      <c r="L116" s="60">
        <f t="shared" si="0"/>
        <v>-11.6111</v>
      </c>
      <c r="M116" s="64">
        <f t="shared" si="23"/>
        <v>26</v>
      </c>
      <c r="N116" s="65" t="s">
        <v>265</v>
      </c>
      <c r="O116" s="60" t="s">
        <v>435</v>
      </c>
      <c r="P116" s="103">
        <v>4</v>
      </c>
      <c r="Q116" s="103">
        <v>11</v>
      </c>
      <c r="R116" s="103"/>
      <c r="S116" s="103"/>
      <c r="T116" s="103"/>
      <c r="U116" s="103"/>
      <c r="V116" s="69"/>
      <c r="W116" s="104"/>
      <c r="X116" s="67">
        <f t="shared" ref="X116:Y116" si="122">(P116+R116+T116+V116)</f>
        <v>4</v>
      </c>
      <c r="Y116" s="67">
        <f t="shared" si="122"/>
        <v>11</v>
      </c>
      <c r="Z116" s="68">
        <f t="shared" si="3"/>
        <v>15</v>
      </c>
      <c r="AA116" s="69" t="str">
        <f t="shared" si="4"/>
        <v>1C</v>
      </c>
      <c r="AB116" s="70" t="s">
        <v>434</v>
      </c>
      <c r="AC116" s="70" t="s">
        <v>213</v>
      </c>
      <c r="AD116" s="70">
        <v>21</v>
      </c>
      <c r="AE116" s="70">
        <v>33</v>
      </c>
      <c r="AF116" s="70">
        <v>54</v>
      </c>
      <c r="AG116" s="72">
        <f t="shared" si="6"/>
        <v>0.3888888888888889</v>
      </c>
      <c r="AH116" s="73">
        <f t="shared" si="7"/>
        <v>-78.611111111111114</v>
      </c>
      <c r="AI116" s="74">
        <v>26</v>
      </c>
      <c r="AJ116" s="79" t="s">
        <v>226</v>
      </c>
      <c r="AK116" s="76" t="s">
        <v>436</v>
      </c>
      <c r="AL116" s="67"/>
      <c r="AM116" s="506"/>
      <c r="AN116" s="505"/>
      <c r="AO116" s="515"/>
    </row>
    <row r="117" spans="1:41" ht="14.5">
      <c r="A117" s="58">
        <v>41560</v>
      </c>
      <c r="B117" s="59" t="s">
        <v>428</v>
      </c>
      <c r="C117" s="60" t="s">
        <v>221</v>
      </c>
      <c r="D117" s="60" t="s">
        <v>430</v>
      </c>
      <c r="E117" s="109">
        <v>11</v>
      </c>
      <c r="F117" s="110">
        <v>11</v>
      </c>
      <c r="G117" s="111">
        <v>11</v>
      </c>
      <c r="H117" s="60">
        <v>33</v>
      </c>
      <c r="I117" s="60">
        <v>26</v>
      </c>
      <c r="J117" s="60">
        <v>59</v>
      </c>
      <c r="K117" s="60">
        <v>0.55930000000000002</v>
      </c>
      <c r="L117" s="60">
        <f t="shared" si="0"/>
        <v>0.55930000000000002</v>
      </c>
      <c r="M117" s="64">
        <f t="shared" si="23"/>
        <v>5</v>
      </c>
      <c r="N117" s="90"/>
      <c r="O117" s="89"/>
      <c r="P117" s="113"/>
      <c r="Q117" s="113"/>
      <c r="R117" s="103"/>
      <c r="S117" s="103"/>
      <c r="T117" s="103"/>
      <c r="U117" s="103"/>
      <c r="V117" s="69"/>
      <c r="W117" s="104"/>
      <c r="X117" s="67">
        <f t="shared" ref="X117:Y117" si="123">(P117+R117+T117+V117)</f>
        <v>0</v>
      </c>
      <c r="Y117" s="67">
        <f t="shared" si="123"/>
        <v>0</v>
      </c>
      <c r="Z117" s="68">
        <f t="shared" si="3"/>
        <v>0</v>
      </c>
      <c r="AA117" s="69" t="str">
        <f t="shared" si="4"/>
        <v>1D</v>
      </c>
      <c r="AB117" s="70" t="s">
        <v>430</v>
      </c>
      <c r="AC117" s="70" t="s">
        <v>207</v>
      </c>
      <c r="AD117" s="70">
        <v>51</v>
      </c>
      <c r="AE117" s="70">
        <v>41</v>
      </c>
      <c r="AF117" s="70">
        <v>92</v>
      </c>
      <c r="AG117" s="72">
        <f t="shared" si="6"/>
        <v>0.55434782608695654</v>
      </c>
      <c r="AH117" s="73">
        <f t="shared" si="7"/>
        <v>-48.445652173913047</v>
      </c>
      <c r="AI117" s="74">
        <v>7</v>
      </c>
      <c r="AJ117" s="79" t="s">
        <v>437</v>
      </c>
      <c r="AK117" s="76" t="s">
        <v>438</v>
      </c>
      <c r="AL117" s="67"/>
      <c r="AM117" s="506"/>
      <c r="AN117" s="505"/>
      <c r="AO117" s="515"/>
    </row>
    <row r="118" spans="1:41" ht="14.5">
      <c r="A118" s="58">
        <v>41560</v>
      </c>
      <c r="B118" s="59" t="s">
        <v>428</v>
      </c>
      <c r="C118" s="60" t="s">
        <v>224</v>
      </c>
      <c r="D118" s="60" t="s">
        <v>439</v>
      </c>
      <c r="E118" s="100">
        <v>11</v>
      </c>
      <c r="F118" s="101">
        <v>11</v>
      </c>
      <c r="G118" s="101">
        <v>11</v>
      </c>
      <c r="H118" s="60">
        <v>33</v>
      </c>
      <c r="I118" s="60">
        <v>18</v>
      </c>
      <c r="J118" s="60">
        <v>51</v>
      </c>
      <c r="K118" s="60">
        <v>0.64710000000000001</v>
      </c>
      <c r="L118" s="60">
        <f t="shared" si="0"/>
        <v>0.64710000000000001</v>
      </c>
      <c r="M118" s="64">
        <f t="shared" si="23"/>
        <v>3</v>
      </c>
      <c r="N118" s="65" t="s">
        <v>225</v>
      </c>
      <c r="O118" s="60" t="s">
        <v>439</v>
      </c>
      <c r="P118" s="103">
        <v>11</v>
      </c>
      <c r="Q118" s="103">
        <v>5</v>
      </c>
      <c r="R118" s="103">
        <v>11</v>
      </c>
      <c r="S118" s="103">
        <v>7</v>
      </c>
      <c r="T118" s="103">
        <v>11</v>
      </c>
      <c r="U118" s="103">
        <v>4</v>
      </c>
      <c r="V118" s="69">
        <v>12</v>
      </c>
      <c r="W118" s="104">
        <v>4</v>
      </c>
      <c r="X118" s="67">
        <f t="shared" ref="X118:Y118" si="124">(P118+R118+T118+V118)</f>
        <v>45</v>
      </c>
      <c r="Y118" s="67">
        <f t="shared" si="124"/>
        <v>20</v>
      </c>
      <c r="Z118" s="68">
        <f t="shared" si="3"/>
        <v>65</v>
      </c>
      <c r="AA118" s="69" t="str">
        <f t="shared" si="4"/>
        <v>2A</v>
      </c>
      <c r="AB118" s="70" t="s">
        <v>439</v>
      </c>
      <c r="AC118" s="70" t="s">
        <v>225</v>
      </c>
      <c r="AD118" s="70">
        <v>78</v>
      </c>
      <c r="AE118" s="70">
        <v>38</v>
      </c>
      <c r="AF118" s="70">
        <v>116</v>
      </c>
      <c r="AG118" s="72">
        <f t="shared" si="6"/>
        <v>0.67241379310344829</v>
      </c>
      <c r="AH118" s="73">
        <f t="shared" si="7"/>
        <v>-21.327586206896552</v>
      </c>
      <c r="AI118" s="74">
        <v>1</v>
      </c>
      <c r="AJ118" s="79" t="s">
        <v>440</v>
      </c>
      <c r="AK118" s="76" t="s">
        <v>394</v>
      </c>
      <c r="AL118" s="67"/>
      <c r="AM118" s="506"/>
      <c r="AN118" s="505"/>
      <c r="AO118" s="515"/>
    </row>
    <row r="119" spans="1:41" ht="14.5">
      <c r="A119" s="58">
        <v>41560</v>
      </c>
      <c r="B119" s="59" t="s">
        <v>428</v>
      </c>
      <c r="C119" s="60" t="s">
        <v>228</v>
      </c>
      <c r="D119" s="60" t="s">
        <v>441</v>
      </c>
      <c r="E119" s="105">
        <v>6</v>
      </c>
      <c r="F119" s="106">
        <v>3</v>
      </c>
      <c r="G119" s="106">
        <v>2</v>
      </c>
      <c r="H119" s="60">
        <v>11</v>
      </c>
      <c r="I119" s="60">
        <v>33</v>
      </c>
      <c r="J119" s="60">
        <v>44</v>
      </c>
      <c r="K119" s="60">
        <v>0.25</v>
      </c>
      <c r="L119" s="60">
        <f t="shared" si="0"/>
        <v>-21.75</v>
      </c>
      <c r="M119" s="64">
        <f t="shared" si="23"/>
        <v>32</v>
      </c>
      <c r="N119" s="65"/>
      <c r="O119" s="60"/>
      <c r="P119" s="103"/>
      <c r="Q119" s="103"/>
      <c r="R119" s="103"/>
      <c r="S119" s="103"/>
      <c r="T119" s="103"/>
      <c r="U119" s="103"/>
      <c r="V119" s="69"/>
      <c r="W119" s="104"/>
      <c r="X119" s="67">
        <f t="shared" ref="X119:Y119" si="125">(P119+R119+T119+V119)</f>
        <v>0</v>
      </c>
      <c r="Y119" s="67">
        <f t="shared" si="125"/>
        <v>0</v>
      </c>
      <c r="Z119" s="68">
        <f t="shared" si="3"/>
        <v>0</v>
      </c>
      <c r="AA119" s="69" t="str">
        <f t="shared" si="4"/>
        <v>2B</v>
      </c>
      <c r="AB119" s="70" t="s">
        <v>441</v>
      </c>
      <c r="AC119" s="70" t="s">
        <v>234</v>
      </c>
      <c r="AD119" s="70">
        <v>11</v>
      </c>
      <c r="AE119" s="70">
        <v>33</v>
      </c>
      <c r="AF119" s="70">
        <v>44</v>
      </c>
      <c r="AG119" s="72">
        <f t="shared" si="6"/>
        <v>0.25</v>
      </c>
      <c r="AH119" s="73">
        <f t="shared" si="7"/>
        <v>-88.75</v>
      </c>
      <c r="AI119" s="74">
        <v>32</v>
      </c>
      <c r="AJ119" s="79" t="s">
        <v>255</v>
      </c>
      <c r="AK119" s="76" t="s">
        <v>442</v>
      </c>
      <c r="AL119" s="67"/>
      <c r="AM119" s="506"/>
      <c r="AN119" s="505"/>
      <c r="AO119" s="515"/>
    </row>
    <row r="120" spans="1:41" ht="14.5">
      <c r="A120" s="58">
        <v>41560</v>
      </c>
      <c r="B120" s="59" t="s">
        <v>428</v>
      </c>
      <c r="C120" s="60" t="s">
        <v>232</v>
      </c>
      <c r="D120" s="60" t="s">
        <v>443</v>
      </c>
      <c r="E120" s="107">
        <v>11</v>
      </c>
      <c r="F120" s="108">
        <v>9</v>
      </c>
      <c r="G120" s="106">
        <v>11</v>
      </c>
      <c r="H120" s="60">
        <v>31</v>
      </c>
      <c r="I120" s="60">
        <v>18</v>
      </c>
      <c r="J120" s="60">
        <v>49</v>
      </c>
      <c r="K120" s="60">
        <v>0.63270000000000004</v>
      </c>
      <c r="L120" s="60">
        <f t="shared" si="0"/>
        <v>-1.3673</v>
      </c>
      <c r="M120" s="64">
        <f t="shared" si="23"/>
        <v>10</v>
      </c>
      <c r="N120" s="65" t="s">
        <v>253</v>
      </c>
      <c r="O120" s="60" t="s">
        <v>444</v>
      </c>
      <c r="P120" s="103">
        <v>5</v>
      </c>
      <c r="Q120" s="103">
        <v>11</v>
      </c>
      <c r="R120" s="103"/>
      <c r="S120" s="103"/>
      <c r="T120" s="103"/>
      <c r="U120" s="103"/>
      <c r="V120" s="69"/>
      <c r="W120" s="104"/>
      <c r="X120" s="67">
        <f t="shared" ref="X120:Y120" si="126">(P120+R120+T120+V120)</f>
        <v>5</v>
      </c>
      <c r="Y120" s="67">
        <f t="shared" si="126"/>
        <v>11</v>
      </c>
      <c r="Z120" s="68">
        <f t="shared" si="3"/>
        <v>16</v>
      </c>
      <c r="AA120" s="69" t="str">
        <f t="shared" si="4"/>
        <v>2C</v>
      </c>
      <c r="AB120" s="70" t="s">
        <v>443</v>
      </c>
      <c r="AC120" s="70" t="s">
        <v>230</v>
      </c>
      <c r="AD120" s="70">
        <v>41</v>
      </c>
      <c r="AE120" s="70">
        <v>29</v>
      </c>
      <c r="AF120" s="70">
        <v>70</v>
      </c>
      <c r="AG120" s="72">
        <f t="shared" si="6"/>
        <v>0.58571428571428574</v>
      </c>
      <c r="AH120" s="73">
        <f t="shared" si="7"/>
        <v>-58.414285714285711</v>
      </c>
      <c r="AI120" s="74">
        <v>9</v>
      </c>
      <c r="AJ120" s="79" t="s">
        <v>396</v>
      </c>
      <c r="AK120" s="76" t="s">
        <v>445</v>
      </c>
      <c r="AL120" s="67"/>
      <c r="AM120" s="506"/>
      <c r="AN120" s="505"/>
      <c r="AO120" s="515"/>
    </row>
    <row r="121" spans="1:41" ht="14.5">
      <c r="A121" s="58">
        <v>41560</v>
      </c>
      <c r="B121" s="59" t="s">
        <v>428</v>
      </c>
      <c r="C121" s="60" t="s">
        <v>237</v>
      </c>
      <c r="D121" s="60" t="s">
        <v>446</v>
      </c>
      <c r="E121" s="109">
        <v>5</v>
      </c>
      <c r="F121" s="110">
        <v>11</v>
      </c>
      <c r="G121" s="111">
        <v>3</v>
      </c>
      <c r="H121" s="60">
        <v>19</v>
      </c>
      <c r="I121" s="60">
        <v>25</v>
      </c>
      <c r="J121" s="60">
        <v>44</v>
      </c>
      <c r="K121" s="60">
        <v>0.43180000000000002</v>
      </c>
      <c r="L121" s="60">
        <f t="shared" si="0"/>
        <v>-13.568199999999999</v>
      </c>
      <c r="M121" s="64">
        <f t="shared" si="23"/>
        <v>29</v>
      </c>
      <c r="N121" s="90"/>
      <c r="O121" s="89"/>
      <c r="P121" s="113"/>
      <c r="Q121" s="113"/>
      <c r="R121" s="113"/>
      <c r="S121" s="113"/>
      <c r="T121" s="103"/>
      <c r="U121" s="103"/>
      <c r="V121" s="69"/>
      <c r="W121" s="104"/>
      <c r="X121" s="67">
        <f t="shared" ref="X121:Y121" si="127">(P121+R121+T121+V121)</f>
        <v>0</v>
      </c>
      <c r="Y121" s="67">
        <f t="shared" si="127"/>
        <v>0</v>
      </c>
      <c r="Z121" s="68">
        <f t="shared" si="3"/>
        <v>0</v>
      </c>
      <c r="AA121" s="69" t="str">
        <f t="shared" si="4"/>
        <v>2D</v>
      </c>
      <c r="AB121" s="70" t="s">
        <v>446</v>
      </c>
      <c r="AC121" s="70" t="s">
        <v>239</v>
      </c>
      <c r="AD121" s="70">
        <v>19</v>
      </c>
      <c r="AE121" s="70">
        <v>25</v>
      </c>
      <c r="AF121" s="70">
        <v>44</v>
      </c>
      <c r="AG121" s="72">
        <f t="shared" si="6"/>
        <v>0.43181818181818182</v>
      </c>
      <c r="AH121" s="73">
        <f t="shared" si="7"/>
        <v>-80.568181818181813</v>
      </c>
      <c r="AI121" s="74">
        <v>29</v>
      </c>
      <c r="AJ121" s="79" t="s">
        <v>369</v>
      </c>
      <c r="AK121" s="76" t="s">
        <v>447</v>
      </c>
      <c r="AL121" s="67"/>
      <c r="AM121" s="506"/>
      <c r="AN121" s="505"/>
      <c r="AO121" s="515"/>
    </row>
    <row r="122" spans="1:41" ht="14.5">
      <c r="A122" s="58">
        <v>41560</v>
      </c>
      <c r="B122" s="59" t="s">
        <v>428</v>
      </c>
      <c r="C122" s="60" t="s">
        <v>241</v>
      </c>
      <c r="D122" s="60" t="s">
        <v>448</v>
      </c>
      <c r="E122" s="100">
        <v>11</v>
      </c>
      <c r="F122" s="101">
        <v>10</v>
      </c>
      <c r="G122" s="101">
        <v>11</v>
      </c>
      <c r="H122" s="60">
        <v>32</v>
      </c>
      <c r="I122" s="60">
        <v>23</v>
      </c>
      <c r="J122" s="60">
        <v>55</v>
      </c>
      <c r="K122" s="60">
        <v>0.58179999999999998</v>
      </c>
      <c r="L122" s="60">
        <f t="shared" si="0"/>
        <v>-0.41820000000000002</v>
      </c>
      <c r="M122" s="64">
        <f t="shared" si="23"/>
        <v>7</v>
      </c>
      <c r="N122" s="65" t="s">
        <v>243</v>
      </c>
      <c r="O122" s="60" t="s">
        <v>448</v>
      </c>
      <c r="P122" s="103">
        <v>11</v>
      </c>
      <c r="Q122" s="103">
        <v>10</v>
      </c>
      <c r="R122" s="103">
        <v>8</v>
      </c>
      <c r="S122" s="103">
        <v>11</v>
      </c>
      <c r="T122" s="103"/>
      <c r="U122" s="103"/>
      <c r="V122" s="69"/>
      <c r="W122" s="104"/>
      <c r="X122" s="67">
        <f t="shared" ref="X122:Y122" si="128">(P122+R122+T122+V122)</f>
        <v>19</v>
      </c>
      <c r="Y122" s="67">
        <f t="shared" si="128"/>
        <v>21</v>
      </c>
      <c r="Z122" s="68">
        <f t="shared" si="3"/>
        <v>40</v>
      </c>
      <c r="AA122" s="69" t="str">
        <f t="shared" si="4"/>
        <v>3A</v>
      </c>
      <c r="AB122" s="70" t="s">
        <v>448</v>
      </c>
      <c r="AC122" s="70" t="s">
        <v>243</v>
      </c>
      <c r="AD122" s="70">
        <v>51</v>
      </c>
      <c r="AE122" s="70">
        <v>44</v>
      </c>
      <c r="AF122" s="70">
        <v>95</v>
      </c>
      <c r="AG122" s="72">
        <f t="shared" si="6"/>
        <v>0.5368421052631579</v>
      </c>
      <c r="AH122" s="73">
        <f t="shared" si="7"/>
        <v>-48.463157894736845</v>
      </c>
      <c r="AI122" s="74">
        <v>8</v>
      </c>
      <c r="AJ122" s="79" t="s">
        <v>275</v>
      </c>
      <c r="AK122" s="76" t="s">
        <v>449</v>
      </c>
      <c r="AL122" s="67"/>
      <c r="AM122" s="506"/>
      <c r="AN122" s="505"/>
      <c r="AO122" s="515"/>
    </row>
    <row r="123" spans="1:41" ht="14.5">
      <c r="A123" s="58">
        <v>41560</v>
      </c>
      <c r="B123" s="59" t="s">
        <v>428</v>
      </c>
      <c r="C123" s="60" t="s">
        <v>246</v>
      </c>
      <c r="D123" s="60" t="s">
        <v>444</v>
      </c>
      <c r="E123" s="105">
        <v>7</v>
      </c>
      <c r="F123" s="106">
        <v>11</v>
      </c>
      <c r="G123" s="106">
        <v>11</v>
      </c>
      <c r="H123" s="60">
        <v>29</v>
      </c>
      <c r="I123" s="60">
        <v>26</v>
      </c>
      <c r="J123" s="60">
        <v>55</v>
      </c>
      <c r="K123" s="60">
        <v>0.52729999999999999</v>
      </c>
      <c r="L123" s="60">
        <f t="shared" si="0"/>
        <v>-3.4727000000000001</v>
      </c>
      <c r="M123" s="64">
        <f t="shared" si="23"/>
        <v>14</v>
      </c>
      <c r="N123" s="65"/>
      <c r="O123" s="60"/>
      <c r="P123" s="103"/>
      <c r="Q123" s="103"/>
      <c r="R123" s="103"/>
      <c r="S123" s="103"/>
      <c r="T123" s="103"/>
      <c r="U123" s="103"/>
      <c r="V123" s="69"/>
      <c r="W123" s="104"/>
      <c r="X123" s="67">
        <f t="shared" ref="X123:Y123" si="129">(P123+R123+T123+V123)</f>
        <v>0</v>
      </c>
      <c r="Y123" s="67">
        <f t="shared" si="129"/>
        <v>0</v>
      </c>
      <c r="Z123" s="68">
        <f t="shared" si="3"/>
        <v>0</v>
      </c>
      <c r="AA123" s="69" t="str">
        <f t="shared" si="4"/>
        <v>3B</v>
      </c>
      <c r="AB123" s="70" t="s">
        <v>444</v>
      </c>
      <c r="AC123" s="70" t="s">
        <v>253</v>
      </c>
      <c r="AD123" s="70">
        <v>34</v>
      </c>
      <c r="AE123" s="70">
        <v>37</v>
      </c>
      <c r="AF123" s="70">
        <v>71</v>
      </c>
      <c r="AG123" s="72">
        <f t="shared" si="6"/>
        <v>0.47887323943661969</v>
      </c>
      <c r="AH123" s="73">
        <f t="shared" si="7"/>
        <v>-65.521126760563376</v>
      </c>
      <c r="AI123" s="74">
        <v>16</v>
      </c>
      <c r="AJ123" s="79" t="s">
        <v>450</v>
      </c>
      <c r="AK123" s="76" t="s">
        <v>329</v>
      </c>
      <c r="AL123" s="67"/>
      <c r="AM123" s="506"/>
      <c r="AN123" s="505"/>
      <c r="AO123" s="515"/>
    </row>
    <row r="124" spans="1:41" ht="14.5">
      <c r="A124" s="58">
        <v>41560</v>
      </c>
      <c r="B124" s="59" t="s">
        <v>428</v>
      </c>
      <c r="C124" s="60" t="s">
        <v>251</v>
      </c>
      <c r="D124" s="60" t="s">
        <v>451</v>
      </c>
      <c r="E124" s="107">
        <v>11</v>
      </c>
      <c r="F124" s="108">
        <v>11</v>
      </c>
      <c r="G124" s="106">
        <v>7</v>
      </c>
      <c r="H124" s="60">
        <v>29</v>
      </c>
      <c r="I124" s="60">
        <v>28</v>
      </c>
      <c r="J124" s="60">
        <v>57</v>
      </c>
      <c r="K124" s="60">
        <v>0.50880000000000003</v>
      </c>
      <c r="L124" s="60">
        <f t="shared" si="0"/>
        <v>-3.4912000000000001</v>
      </c>
      <c r="M124" s="64">
        <f t="shared" si="23"/>
        <v>16</v>
      </c>
      <c r="N124" s="65" t="s">
        <v>230</v>
      </c>
      <c r="O124" s="60" t="s">
        <v>443</v>
      </c>
      <c r="P124" s="103">
        <v>10</v>
      </c>
      <c r="Q124" s="103">
        <v>11</v>
      </c>
      <c r="R124" s="103"/>
      <c r="S124" s="103"/>
      <c r="T124" s="103"/>
      <c r="U124" s="103"/>
      <c r="V124" s="69"/>
      <c r="W124" s="104"/>
      <c r="X124" s="67">
        <f t="shared" ref="X124:Y124" si="130">(P124+R124+T124+V124)</f>
        <v>10</v>
      </c>
      <c r="Y124" s="67">
        <f t="shared" si="130"/>
        <v>11</v>
      </c>
      <c r="Z124" s="68">
        <f t="shared" si="3"/>
        <v>21</v>
      </c>
      <c r="AA124" s="69" t="str">
        <f t="shared" si="4"/>
        <v>3C</v>
      </c>
      <c r="AB124" s="70" t="s">
        <v>451</v>
      </c>
      <c r="AC124" s="70" t="s">
        <v>248</v>
      </c>
      <c r="AD124" s="70">
        <v>29</v>
      </c>
      <c r="AE124" s="70">
        <v>28</v>
      </c>
      <c r="AF124" s="70">
        <v>57</v>
      </c>
      <c r="AG124" s="72">
        <f t="shared" si="6"/>
        <v>0.50877192982456143</v>
      </c>
      <c r="AH124" s="73">
        <f t="shared" si="7"/>
        <v>-70.491228070175438</v>
      </c>
      <c r="AI124" s="74">
        <v>17</v>
      </c>
      <c r="AJ124" s="79" t="s">
        <v>452</v>
      </c>
      <c r="AK124" s="76" t="s">
        <v>453</v>
      </c>
      <c r="AL124" s="67"/>
      <c r="AM124" s="506"/>
      <c r="AN124" s="505"/>
      <c r="AO124" s="515"/>
    </row>
    <row r="125" spans="1:41" ht="14.5">
      <c r="A125" s="58">
        <v>41560</v>
      </c>
      <c r="B125" s="59" t="s">
        <v>428</v>
      </c>
      <c r="C125" s="60" t="s">
        <v>256</v>
      </c>
      <c r="D125" s="60" t="s">
        <v>454</v>
      </c>
      <c r="E125" s="109">
        <v>7</v>
      </c>
      <c r="F125" s="110">
        <v>8</v>
      </c>
      <c r="G125" s="111">
        <v>5</v>
      </c>
      <c r="H125" s="60">
        <v>20</v>
      </c>
      <c r="I125" s="60">
        <v>33</v>
      </c>
      <c r="J125" s="60">
        <v>53</v>
      </c>
      <c r="K125" s="60">
        <v>0.37740000000000001</v>
      </c>
      <c r="L125" s="60">
        <f t="shared" si="0"/>
        <v>-12.6226</v>
      </c>
      <c r="M125" s="64">
        <f t="shared" si="23"/>
        <v>27</v>
      </c>
      <c r="N125" s="90"/>
      <c r="O125" s="89"/>
      <c r="P125" s="113"/>
      <c r="Q125" s="113"/>
      <c r="R125" s="103"/>
      <c r="S125" s="103"/>
      <c r="T125" s="103"/>
      <c r="U125" s="103"/>
      <c r="V125" s="69"/>
      <c r="W125" s="104"/>
      <c r="X125" s="67">
        <f t="shared" ref="X125:Y125" si="131">(P125+R125+T125+V125)</f>
        <v>0</v>
      </c>
      <c r="Y125" s="67">
        <f t="shared" si="131"/>
        <v>0</v>
      </c>
      <c r="Z125" s="68">
        <f t="shared" si="3"/>
        <v>0</v>
      </c>
      <c r="AA125" s="69" t="str">
        <f t="shared" si="4"/>
        <v>3D</v>
      </c>
      <c r="AB125" s="70" t="s">
        <v>454</v>
      </c>
      <c r="AC125" s="70" t="s">
        <v>258</v>
      </c>
      <c r="AD125" s="70">
        <v>20</v>
      </c>
      <c r="AE125" s="70">
        <v>33</v>
      </c>
      <c r="AF125" s="70">
        <v>53</v>
      </c>
      <c r="AG125" s="72">
        <f t="shared" si="6"/>
        <v>0.37735849056603776</v>
      </c>
      <c r="AH125" s="73">
        <f t="shared" si="7"/>
        <v>-79.622641509433961</v>
      </c>
      <c r="AI125" s="74">
        <v>27</v>
      </c>
      <c r="AJ125" s="79" t="s">
        <v>397</v>
      </c>
      <c r="AK125" s="76" t="s">
        <v>455</v>
      </c>
      <c r="AL125" s="67"/>
      <c r="AM125" s="506"/>
      <c r="AN125" s="505"/>
      <c r="AO125" s="515"/>
    </row>
    <row r="126" spans="1:41" ht="14.5">
      <c r="A126" s="58">
        <v>41560</v>
      </c>
      <c r="B126" s="59" t="s">
        <v>428</v>
      </c>
      <c r="C126" s="60" t="s">
        <v>261</v>
      </c>
      <c r="D126" s="60" t="s">
        <v>456</v>
      </c>
      <c r="E126" s="100">
        <v>10</v>
      </c>
      <c r="F126" s="101">
        <v>8</v>
      </c>
      <c r="G126" s="101">
        <v>2</v>
      </c>
      <c r="H126" s="60">
        <v>20</v>
      </c>
      <c r="I126" s="60">
        <v>33</v>
      </c>
      <c r="J126" s="60">
        <v>53</v>
      </c>
      <c r="K126" s="60">
        <v>0.37740000000000001</v>
      </c>
      <c r="L126" s="60">
        <f t="shared" si="0"/>
        <v>-12.6226</v>
      </c>
      <c r="M126" s="64">
        <f t="shared" si="23"/>
        <v>27</v>
      </c>
      <c r="N126" s="65" t="s">
        <v>263</v>
      </c>
      <c r="O126" s="60" t="s">
        <v>457</v>
      </c>
      <c r="P126" s="103">
        <v>11</v>
      </c>
      <c r="Q126" s="103">
        <v>8</v>
      </c>
      <c r="R126" s="103">
        <v>11</v>
      </c>
      <c r="S126" s="103">
        <v>8</v>
      </c>
      <c r="T126" s="103">
        <v>4</v>
      </c>
      <c r="U126" s="103">
        <v>11</v>
      </c>
      <c r="V126" s="69"/>
      <c r="W126" s="104"/>
      <c r="X126" s="67">
        <f t="shared" ref="X126:Y126" si="132">(P126+R126+T126+V126)</f>
        <v>26</v>
      </c>
      <c r="Y126" s="67">
        <f t="shared" si="132"/>
        <v>27</v>
      </c>
      <c r="Z126" s="68">
        <f t="shared" si="3"/>
        <v>53</v>
      </c>
      <c r="AA126" s="69" t="str">
        <f t="shared" si="4"/>
        <v>4A</v>
      </c>
      <c r="AB126" s="70" t="s">
        <v>456</v>
      </c>
      <c r="AC126" s="70" t="s">
        <v>273</v>
      </c>
      <c r="AD126" s="70">
        <v>20</v>
      </c>
      <c r="AE126" s="70">
        <v>33</v>
      </c>
      <c r="AF126" s="70">
        <v>53</v>
      </c>
      <c r="AG126" s="72">
        <f t="shared" si="6"/>
        <v>0.37735849056603776</v>
      </c>
      <c r="AH126" s="73">
        <f t="shared" si="7"/>
        <v>-79.622641509433961</v>
      </c>
      <c r="AI126" s="74">
        <v>28</v>
      </c>
      <c r="AJ126" s="79" t="s">
        <v>458</v>
      </c>
      <c r="AK126" s="76" t="s">
        <v>459</v>
      </c>
      <c r="AL126" s="67"/>
      <c r="AM126" s="506"/>
      <c r="AN126" s="505"/>
      <c r="AO126" s="515"/>
    </row>
    <row r="127" spans="1:41" ht="14.5">
      <c r="A127" s="58">
        <v>41560</v>
      </c>
      <c r="B127" s="59" t="s">
        <v>428</v>
      </c>
      <c r="C127" s="60" t="s">
        <v>268</v>
      </c>
      <c r="D127" s="60" t="s">
        <v>457</v>
      </c>
      <c r="E127" s="105">
        <v>11</v>
      </c>
      <c r="F127" s="106">
        <v>11</v>
      </c>
      <c r="G127" s="106">
        <v>11</v>
      </c>
      <c r="H127" s="60">
        <v>33</v>
      </c>
      <c r="I127" s="60">
        <v>29</v>
      </c>
      <c r="J127" s="60">
        <v>62</v>
      </c>
      <c r="K127" s="60">
        <v>0.5323</v>
      </c>
      <c r="L127" s="60">
        <f t="shared" si="0"/>
        <v>0.5323</v>
      </c>
      <c r="M127" s="64">
        <f t="shared" si="23"/>
        <v>6</v>
      </c>
      <c r="N127" s="65"/>
      <c r="O127" s="60"/>
      <c r="P127" s="103"/>
      <c r="Q127" s="103"/>
      <c r="R127" s="103"/>
      <c r="S127" s="103"/>
      <c r="T127" s="103"/>
      <c r="U127" s="103"/>
      <c r="V127" s="69"/>
      <c r="W127" s="104"/>
      <c r="X127" s="67">
        <f t="shared" ref="X127:Y127" si="133">(P127+R127+T127+V127)</f>
        <v>0</v>
      </c>
      <c r="Y127" s="67">
        <f t="shared" si="133"/>
        <v>0</v>
      </c>
      <c r="Z127" s="68">
        <f t="shared" si="3"/>
        <v>0</v>
      </c>
      <c r="AA127" s="69" t="str">
        <f t="shared" si="4"/>
        <v>4B</v>
      </c>
      <c r="AB127" s="70" t="s">
        <v>457</v>
      </c>
      <c r="AC127" s="70" t="s">
        <v>263</v>
      </c>
      <c r="AD127" s="70">
        <v>59</v>
      </c>
      <c r="AE127" s="70">
        <v>56</v>
      </c>
      <c r="AF127" s="70">
        <v>115</v>
      </c>
      <c r="AG127" s="72">
        <f t="shared" si="6"/>
        <v>0.5130434782608696</v>
      </c>
      <c r="AH127" s="73">
        <f t="shared" si="7"/>
        <v>-40.486956521739131</v>
      </c>
      <c r="AI127" s="74">
        <v>4</v>
      </c>
      <c r="AJ127" s="79" t="s">
        <v>303</v>
      </c>
      <c r="AK127" s="76" t="s">
        <v>460</v>
      </c>
      <c r="AL127" s="67"/>
      <c r="AM127" s="506"/>
      <c r="AN127" s="505"/>
      <c r="AO127" s="515"/>
    </row>
    <row r="128" spans="1:41" ht="14.5">
      <c r="A128" s="58">
        <v>41560</v>
      </c>
      <c r="B128" s="59" t="s">
        <v>428</v>
      </c>
      <c r="C128" s="60" t="s">
        <v>271</v>
      </c>
      <c r="D128" s="60" t="s">
        <v>461</v>
      </c>
      <c r="E128" s="107">
        <v>1</v>
      </c>
      <c r="F128" s="108">
        <v>11</v>
      </c>
      <c r="G128" s="106">
        <v>10</v>
      </c>
      <c r="H128" s="60">
        <v>22</v>
      </c>
      <c r="I128" s="60">
        <v>30</v>
      </c>
      <c r="J128" s="60">
        <v>52</v>
      </c>
      <c r="K128" s="60">
        <v>0.42309999999999998</v>
      </c>
      <c r="L128" s="60">
        <f t="shared" si="0"/>
        <v>-10.5769</v>
      </c>
      <c r="M128" s="64">
        <f t="shared" si="23"/>
        <v>24</v>
      </c>
      <c r="N128" s="65" t="s">
        <v>218</v>
      </c>
      <c r="O128" s="60" t="s">
        <v>429</v>
      </c>
      <c r="P128" s="103">
        <v>8</v>
      </c>
      <c r="Q128" s="103">
        <v>11</v>
      </c>
      <c r="R128" s="103"/>
      <c r="S128" s="103"/>
      <c r="T128" s="103"/>
      <c r="U128" s="103"/>
      <c r="V128" s="69"/>
      <c r="W128" s="104"/>
      <c r="X128" s="67">
        <f t="shared" ref="X128:Y128" si="134">(P128+R128+T128+V128)</f>
        <v>8</v>
      </c>
      <c r="Y128" s="67">
        <f t="shared" si="134"/>
        <v>11</v>
      </c>
      <c r="Z128" s="68">
        <f t="shared" si="3"/>
        <v>19</v>
      </c>
      <c r="AA128" s="69" t="str">
        <f t="shared" si="4"/>
        <v>4C</v>
      </c>
      <c r="AB128" s="70" t="s">
        <v>461</v>
      </c>
      <c r="AC128" s="70" t="s">
        <v>278</v>
      </c>
      <c r="AD128" s="70">
        <v>22</v>
      </c>
      <c r="AE128" s="70">
        <v>30</v>
      </c>
      <c r="AF128" s="70">
        <v>52</v>
      </c>
      <c r="AG128" s="72">
        <f t="shared" si="6"/>
        <v>0.42307692307692307</v>
      </c>
      <c r="AH128" s="73">
        <f t="shared" si="7"/>
        <v>-77.57692307692308</v>
      </c>
      <c r="AI128" s="74">
        <v>24</v>
      </c>
      <c r="AJ128" s="79" t="s">
        <v>462</v>
      </c>
      <c r="AK128" s="76" t="s">
        <v>463</v>
      </c>
      <c r="AL128" s="67"/>
      <c r="AM128" s="506"/>
      <c r="AN128" s="505"/>
      <c r="AO128" s="515"/>
    </row>
    <row r="129" spans="1:41" ht="14.5">
      <c r="A129" s="58">
        <v>41560</v>
      </c>
      <c r="B129" s="59" t="s">
        <v>428</v>
      </c>
      <c r="C129" s="60" t="s">
        <v>276</v>
      </c>
      <c r="D129" s="60" t="s">
        <v>435</v>
      </c>
      <c r="E129" s="109">
        <v>11</v>
      </c>
      <c r="F129" s="110">
        <v>9</v>
      </c>
      <c r="G129" s="111">
        <v>11</v>
      </c>
      <c r="H129" s="60">
        <v>31</v>
      </c>
      <c r="I129" s="60">
        <v>14</v>
      </c>
      <c r="J129" s="60">
        <v>45</v>
      </c>
      <c r="K129" s="60">
        <v>0.68889999999999996</v>
      </c>
      <c r="L129" s="60">
        <f t="shared" si="0"/>
        <v>-1.3111000000000002</v>
      </c>
      <c r="M129" s="64">
        <f t="shared" si="23"/>
        <v>9</v>
      </c>
      <c r="N129" s="90"/>
      <c r="O129" s="89"/>
      <c r="P129" s="113"/>
      <c r="Q129" s="113"/>
      <c r="R129" s="113"/>
      <c r="S129" s="113"/>
      <c r="T129" s="113"/>
      <c r="U129" s="113"/>
      <c r="V129" s="69"/>
      <c r="W129" s="104"/>
      <c r="X129" s="67">
        <f t="shared" ref="X129:Y129" si="135">(P129+R129+T129+V129)</f>
        <v>0</v>
      </c>
      <c r="Y129" s="67">
        <f t="shared" si="135"/>
        <v>0</v>
      </c>
      <c r="Z129" s="68">
        <f t="shared" si="3"/>
        <v>0</v>
      </c>
      <c r="AA129" s="69" t="str">
        <f t="shared" si="4"/>
        <v>4D</v>
      </c>
      <c r="AB129" s="70" t="s">
        <v>435</v>
      </c>
      <c r="AC129" s="70" t="s">
        <v>265</v>
      </c>
      <c r="AD129" s="70">
        <v>35</v>
      </c>
      <c r="AE129" s="70">
        <v>25</v>
      </c>
      <c r="AF129" s="70">
        <v>60</v>
      </c>
      <c r="AG129" s="72">
        <f t="shared" si="6"/>
        <v>0.58333333333333337</v>
      </c>
      <c r="AH129" s="73">
        <f t="shared" si="7"/>
        <v>-64.416666666666671</v>
      </c>
      <c r="AI129" s="74">
        <v>15</v>
      </c>
      <c r="AJ129" s="79" t="s">
        <v>464</v>
      </c>
      <c r="AK129" s="76" t="s">
        <v>465</v>
      </c>
      <c r="AL129" s="67"/>
      <c r="AM129" s="506"/>
      <c r="AN129" s="505"/>
      <c r="AO129" s="515"/>
    </row>
    <row r="130" spans="1:41" ht="14.5">
      <c r="A130" s="58">
        <v>41560</v>
      </c>
      <c r="B130" s="59" t="s">
        <v>428</v>
      </c>
      <c r="C130" s="60" t="s">
        <v>466</v>
      </c>
      <c r="D130" s="60" t="s">
        <v>467</v>
      </c>
      <c r="E130" s="100">
        <v>11</v>
      </c>
      <c r="F130" s="101">
        <v>11</v>
      </c>
      <c r="G130" s="101">
        <v>9</v>
      </c>
      <c r="H130" s="60">
        <v>31</v>
      </c>
      <c r="I130" s="60">
        <v>19</v>
      </c>
      <c r="J130" s="60">
        <v>50</v>
      </c>
      <c r="K130" s="60">
        <v>0.62</v>
      </c>
      <c r="L130" s="60">
        <f t="shared" si="0"/>
        <v>-1.38</v>
      </c>
      <c r="M130" s="64">
        <f t="shared" si="23"/>
        <v>11</v>
      </c>
      <c r="N130" s="65" t="s">
        <v>468</v>
      </c>
      <c r="O130" s="60" t="s">
        <v>469</v>
      </c>
      <c r="P130" s="103">
        <v>11</v>
      </c>
      <c r="Q130" s="103">
        <v>10</v>
      </c>
      <c r="R130" s="103">
        <v>9</v>
      </c>
      <c r="S130" s="103">
        <v>11</v>
      </c>
      <c r="T130" s="103"/>
      <c r="U130" s="103"/>
      <c r="V130" s="69"/>
      <c r="W130" s="104"/>
      <c r="X130" s="67">
        <f t="shared" ref="X130:Y130" si="136">(P130+R130+T130+V130)</f>
        <v>20</v>
      </c>
      <c r="Y130" s="67">
        <f t="shared" si="136"/>
        <v>21</v>
      </c>
      <c r="Z130" s="68">
        <f t="shared" si="3"/>
        <v>41</v>
      </c>
      <c r="AA130" s="69" t="str">
        <f t="shared" si="4"/>
        <v>5A</v>
      </c>
      <c r="AB130" s="70" t="s">
        <v>467</v>
      </c>
      <c r="AC130" s="70" t="s">
        <v>470</v>
      </c>
      <c r="AD130" s="70">
        <v>52</v>
      </c>
      <c r="AE130" s="70">
        <v>35</v>
      </c>
      <c r="AF130" s="70">
        <v>87</v>
      </c>
      <c r="AG130" s="72">
        <f t="shared" si="6"/>
        <v>0.5977011494252874</v>
      </c>
      <c r="AH130" s="73">
        <f t="shared" si="7"/>
        <v>-47.402298850574709</v>
      </c>
      <c r="AI130" s="74">
        <v>6</v>
      </c>
      <c r="AJ130" s="79" t="s">
        <v>210</v>
      </c>
      <c r="AK130" s="76" t="s">
        <v>471</v>
      </c>
      <c r="AL130" s="67"/>
      <c r="AM130" s="506"/>
      <c r="AN130" s="505"/>
      <c r="AO130" s="515"/>
    </row>
    <row r="131" spans="1:41" ht="14.5">
      <c r="A131" s="58">
        <v>41560</v>
      </c>
      <c r="B131" s="59" t="s">
        <v>428</v>
      </c>
      <c r="C131" s="60" t="s">
        <v>472</v>
      </c>
      <c r="D131" s="60" t="s">
        <v>473</v>
      </c>
      <c r="E131" s="105">
        <v>7</v>
      </c>
      <c r="F131" s="106">
        <v>7</v>
      </c>
      <c r="G131" s="106">
        <v>9</v>
      </c>
      <c r="H131" s="60">
        <v>23</v>
      </c>
      <c r="I131" s="60">
        <v>33</v>
      </c>
      <c r="J131" s="60">
        <v>56</v>
      </c>
      <c r="K131" s="60">
        <v>0.41070000000000001</v>
      </c>
      <c r="L131" s="60">
        <f t="shared" si="0"/>
        <v>-9.5892999999999997</v>
      </c>
      <c r="M131" s="64">
        <f t="shared" si="23"/>
        <v>22</v>
      </c>
      <c r="N131" s="65"/>
      <c r="O131" s="60"/>
      <c r="P131" s="103"/>
      <c r="Q131" s="103"/>
      <c r="R131" s="103"/>
      <c r="S131" s="103"/>
      <c r="T131" s="103"/>
      <c r="U131" s="103"/>
      <c r="V131" s="69"/>
      <c r="W131" s="104"/>
      <c r="X131" s="67">
        <f t="shared" ref="X131:Y131" si="137">(P131+R131+T131+V131)</f>
        <v>0</v>
      </c>
      <c r="Y131" s="67">
        <f t="shared" si="137"/>
        <v>0</v>
      </c>
      <c r="Z131" s="68">
        <f t="shared" si="3"/>
        <v>0</v>
      </c>
      <c r="AA131" s="69" t="str">
        <f t="shared" si="4"/>
        <v>5B</v>
      </c>
      <c r="AB131" s="70" t="s">
        <v>473</v>
      </c>
      <c r="AC131" s="70" t="s">
        <v>474</v>
      </c>
      <c r="AD131" s="70">
        <v>23</v>
      </c>
      <c r="AE131" s="70">
        <v>33</v>
      </c>
      <c r="AF131" s="70">
        <v>56</v>
      </c>
      <c r="AG131" s="72">
        <f t="shared" si="6"/>
        <v>0.4107142857142857</v>
      </c>
      <c r="AH131" s="73">
        <f t="shared" si="7"/>
        <v>-76.589285714285708</v>
      </c>
      <c r="AI131" s="74">
        <v>22</v>
      </c>
      <c r="AJ131" s="79" t="s">
        <v>475</v>
      </c>
      <c r="AK131" s="76" t="s">
        <v>476</v>
      </c>
      <c r="AL131" s="67"/>
      <c r="AM131" s="506"/>
      <c r="AN131" s="505"/>
      <c r="AO131" s="515"/>
    </row>
    <row r="132" spans="1:41" ht="14.5">
      <c r="A132" s="58">
        <v>41560</v>
      </c>
      <c r="B132" s="59" t="s">
        <v>428</v>
      </c>
      <c r="C132" s="60" t="s">
        <v>477</v>
      </c>
      <c r="D132" s="60" t="s">
        <v>478</v>
      </c>
      <c r="E132" s="107">
        <v>9</v>
      </c>
      <c r="F132" s="108">
        <v>1</v>
      </c>
      <c r="G132" s="106">
        <v>11</v>
      </c>
      <c r="H132" s="60">
        <v>21</v>
      </c>
      <c r="I132" s="60">
        <v>31</v>
      </c>
      <c r="J132" s="60">
        <v>52</v>
      </c>
      <c r="K132" s="60">
        <v>0.40379999999999999</v>
      </c>
      <c r="L132" s="60">
        <f t="shared" si="0"/>
        <v>-11.5962</v>
      </c>
      <c r="M132" s="64">
        <f t="shared" si="23"/>
        <v>25</v>
      </c>
      <c r="N132" s="65" t="s">
        <v>479</v>
      </c>
      <c r="O132" s="60" t="s">
        <v>480</v>
      </c>
      <c r="P132" s="103">
        <v>10</v>
      </c>
      <c r="Q132" s="103">
        <v>11</v>
      </c>
      <c r="R132" s="103"/>
      <c r="S132" s="103"/>
      <c r="T132" s="103"/>
      <c r="U132" s="103"/>
      <c r="V132" s="69"/>
      <c r="W132" s="104"/>
      <c r="X132" s="67">
        <f t="shared" ref="X132:Y132" si="138">(P132+R132+T132+V132)</f>
        <v>10</v>
      </c>
      <c r="Y132" s="67">
        <f t="shared" si="138"/>
        <v>11</v>
      </c>
      <c r="Z132" s="68">
        <f t="shared" si="3"/>
        <v>21</v>
      </c>
      <c r="AA132" s="69" t="str">
        <f t="shared" si="4"/>
        <v>5C</v>
      </c>
      <c r="AB132" s="70" t="s">
        <v>478</v>
      </c>
      <c r="AC132" s="70" t="s">
        <v>481</v>
      </c>
      <c r="AD132" s="70">
        <v>21</v>
      </c>
      <c r="AE132" s="70">
        <v>31</v>
      </c>
      <c r="AF132" s="70">
        <v>52</v>
      </c>
      <c r="AG132" s="72">
        <f t="shared" si="6"/>
        <v>0.40384615384615385</v>
      </c>
      <c r="AH132" s="73">
        <f t="shared" si="7"/>
        <v>-78.59615384615384</v>
      </c>
      <c r="AI132" s="74">
        <v>25</v>
      </c>
      <c r="AJ132" s="79" t="s">
        <v>386</v>
      </c>
      <c r="AK132" s="76" t="s">
        <v>482</v>
      </c>
      <c r="AL132" s="67"/>
      <c r="AM132" s="506"/>
      <c r="AN132" s="505"/>
      <c r="AO132" s="515"/>
    </row>
    <row r="133" spans="1:41" ht="14.5">
      <c r="A133" s="58">
        <v>41560</v>
      </c>
      <c r="B133" s="59" t="s">
        <v>428</v>
      </c>
      <c r="C133" s="60" t="s">
        <v>483</v>
      </c>
      <c r="D133" s="60" t="s">
        <v>469</v>
      </c>
      <c r="E133" s="109">
        <v>11</v>
      </c>
      <c r="F133" s="110">
        <v>11</v>
      </c>
      <c r="G133" s="111">
        <v>11</v>
      </c>
      <c r="H133" s="60">
        <v>33</v>
      </c>
      <c r="I133" s="60">
        <v>25</v>
      </c>
      <c r="J133" s="60">
        <v>58</v>
      </c>
      <c r="K133" s="60">
        <v>0.56899999999999995</v>
      </c>
      <c r="L133" s="60">
        <f t="shared" si="0"/>
        <v>0.56899999999999995</v>
      </c>
      <c r="M133" s="64">
        <f t="shared" si="23"/>
        <v>4</v>
      </c>
      <c r="N133" s="90"/>
      <c r="O133" s="89"/>
      <c r="P133" s="113"/>
      <c r="Q133" s="113"/>
      <c r="R133" s="103"/>
      <c r="S133" s="103"/>
      <c r="T133" s="103"/>
      <c r="U133" s="103"/>
      <c r="V133" s="69"/>
      <c r="W133" s="104"/>
      <c r="X133" s="67">
        <f t="shared" ref="X133:Y133" si="139">(P133+R133+T133+V133)</f>
        <v>0</v>
      </c>
      <c r="Y133" s="67">
        <f t="shared" si="139"/>
        <v>0</v>
      </c>
      <c r="Z133" s="68">
        <f t="shared" si="3"/>
        <v>0</v>
      </c>
      <c r="AA133" s="69" t="str">
        <f t="shared" si="4"/>
        <v>5D</v>
      </c>
      <c r="AB133" s="70" t="s">
        <v>469</v>
      </c>
      <c r="AC133" s="70" t="s">
        <v>468</v>
      </c>
      <c r="AD133" s="70">
        <v>53</v>
      </c>
      <c r="AE133" s="70">
        <v>46</v>
      </c>
      <c r="AF133" s="70">
        <v>99</v>
      </c>
      <c r="AG133" s="72">
        <f t="shared" si="6"/>
        <v>0.53535353535353536</v>
      </c>
      <c r="AH133" s="73">
        <f t="shared" si="7"/>
        <v>-46.464646464646464</v>
      </c>
      <c r="AI133" s="74">
        <v>5</v>
      </c>
      <c r="AJ133" s="79" t="s">
        <v>484</v>
      </c>
      <c r="AK133" s="76" t="s">
        <v>485</v>
      </c>
      <c r="AL133" s="67"/>
      <c r="AM133" s="506"/>
      <c r="AN133" s="505"/>
      <c r="AO133" s="515"/>
    </row>
    <row r="134" spans="1:41" ht="14.5">
      <c r="A134" s="58">
        <v>41560</v>
      </c>
      <c r="B134" s="59" t="s">
        <v>428</v>
      </c>
      <c r="C134" s="60" t="s">
        <v>486</v>
      </c>
      <c r="D134" s="60" t="s">
        <v>487</v>
      </c>
      <c r="E134" s="100">
        <v>11</v>
      </c>
      <c r="F134" s="101">
        <v>8</v>
      </c>
      <c r="G134" s="101">
        <v>11</v>
      </c>
      <c r="H134" s="60">
        <v>30</v>
      </c>
      <c r="I134" s="60">
        <v>18</v>
      </c>
      <c r="J134" s="60">
        <v>48</v>
      </c>
      <c r="K134" s="60">
        <v>0.625</v>
      </c>
      <c r="L134" s="60">
        <f t="shared" si="0"/>
        <v>-2.375</v>
      </c>
      <c r="M134" s="64">
        <f t="shared" si="23"/>
        <v>13</v>
      </c>
      <c r="N134" s="65" t="s">
        <v>488</v>
      </c>
      <c r="O134" s="60" t="s">
        <v>489</v>
      </c>
      <c r="P134" s="103">
        <v>7</v>
      </c>
      <c r="Q134" s="103">
        <v>11</v>
      </c>
      <c r="R134" s="103"/>
      <c r="S134" s="103"/>
      <c r="T134" s="103"/>
      <c r="U134" s="103"/>
      <c r="V134" s="69"/>
      <c r="W134" s="104"/>
      <c r="X134" s="67">
        <f t="shared" ref="X134:Y134" si="140">(P134+R134+T134+V134)</f>
        <v>7</v>
      </c>
      <c r="Y134" s="67">
        <f t="shared" si="140"/>
        <v>11</v>
      </c>
      <c r="Z134" s="68">
        <f t="shared" si="3"/>
        <v>18</v>
      </c>
      <c r="AA134" s="69" t="str">
        <f t="shared" si="4"/>
        <v>6A</v>
      </c>
      <c r="AB134" s="70" t="s">
        <v>487</v>
      </c>
      <c r="AC134" s="70" t="s">
        <v>490</v>
      </c>
      <c r="AD134" s="70">
        <v>61</v>
      </c>
      <c r="AE134" s="70">
        <v>46</v>
      </c>
      <c r="AF134" s="70">
        <v>107</v>
      </c>
      <c r="AG134" s="72">
        <f t="shared" si="6"/>
        <v>0.57009345794392519</v>
      </c>
      <c r="AH134" s="73">
        <f t="shared" si="7"/>
        <v>-38.429906542056074</v>
      </c>
      <c r="AI134" s="74">
        <v>3</v>
      </c>
      <c r="AJ134" s="79" t="s">
        <v>491</v>
      </c>
      <c r="AK134" s="76" t="s">
        <v>392</v>
      </c>
      <c r="AL134" s="67"/>
      <c r="AM134" s="506"/>
      <c r="AN134" s="505"/>
      <c r="AO134" s="515"/>
    </row>
    <row r="135" spans="1:41" ht="14.5">
      <c r="A135" s="58">
        <v>41560</v>
      </c>
      <c r="B135" s="59" t="s">
        <v>428</v>
      </c>
      <c r="C135" s="60" t="s">
        <v>492</v>
      </c>
      <c r="D135" s="60" t="s">
        <v>493</v>
      </c>
      <c r="E135" s="105">
        <v>1</v>
      </c>
      <c r="F135" s="106">
        <v>5</v>
      </c>
      <c r="G135" s="106">
        <v>6</v>
      </c>
      <c r="H135" s="60">
        <v>12</v>
      </c>
      <c r="I135" s="60">
        <v>33</v>
      </c>
      <c r="J135" s="60">
        <v>45</v>
      </c>
      <c r="K135" s="60">
        <v>0.26669999999999999</v>
      </c>
      <c r="L135" s="60">
        <f t="shared" si="0"/>
        <v>-20.7333</v>
      </c>
      <c r="M135" s="64">
        <f t="shared" si="23"/>
        <v>31</v>
      </c>
      <c r="N135" s="65"/>
      <c r="O135" s="60"/>
      <c r="P135" s="103"/>
      <c r="Q135" s="103"/>
      <c r="R135" s="103"/>
      <c r="S135" s="103"/>
      <c r="T135" s="103"/>
      <c r="U135" s="103"/>
      <c r="V135" s="69"/>
      <c r="W135" s="104"/>
      <c r="X135" s="67">
        <f t="shared" ref="X135:Y135" si="141">(P135+R135+T135+V135)</f>
        <v>0</v>
      </c>
      <c r="Y135" s="67">
        <f t="shared" si="141"/>
        <v>0</v>
      </c>
      <c r="Z135" s="68">
        <f t="shared" si="3"/>
        <v>0</v>
      </c>
      <c r="AA135" s="69" t="str">
        <f t="shared" si="4"/>
        <v>6B</v>
      </c>
      <c r="AB135" s="70" t="s">
        <v>493</v>
      </c>
      <c r="AC135" s="70" t="s">
        <v>494</v>
      </c>
      <c r="AD135" s="70">
        <v>12</v>
      </c>
      <c r="AE135" s="70">
        <v>33</v>
      </c>
      <c r="AF135" s="70">
        <v>45</v>
      </c>
      <c r="AG135" s="72">
        <f t="shared" si="6"/>
        <v>0.26666666666666666</v>
      </c>
      <c r="AH135" s="73">
        <f t="shared" si="7"/>
        <v>-87.733333333333334</v>
      </c>
      <c r="AI135" s="74">
        <v>31</v>
      </c>
      <c r="AJ135" s="79" t="s">
        <v>495</v>
      </c>
      <c r="AK135" s="76" t="s">
        <v>274</v>
      </c>
      <c r="AL135" s="67"/>
      <c r="AM135" s="506"/>
      <c r="AN135" s="505"/>
      <c r="AO135" s="515"/>
    </row>
    <row r="136" spans="1:41" ht="14.5">
      <c r="A136" s="58">
        <v>41560</v>
      </c>
      <c r="B136" s="59" t="s">
        <v>428</v>
      </c>
      <c r="C136" s="60" t="s">
        <v>496</v>
      </c>
      <c r="D136" s="60" t="s">
        <v>489</v>
      </c>
      <c r="E136" s="107">
        <v>11</v>
      </c>
      <c r="F136" s="108">
        <v>11</v>
      </c>
      <c r="G136" s="106">
        <v>11</v>
      </c>
      <c r="H136" s="60">
        <v>33</v>
      </c>
      <c r="I136" s="60">
        <v>15</v>
      </c>
      <c r="J136" s="60">
        <v>48</v>
      </c>
      <c r="K136" s="60">
        <v>0.6875</v>
      </c>
      <c r="L136" s="60">
        <f t="shared" si="0"/>
        <v>0.6875</v>
      </c>
      <c r="M136" s="64">
        <f t="shared" si="23"/>
        <v>1</v>
      </c>
      <c r="N136" s="65" t="s">
        <v>497</v>
      </c>
      <c r="O136" s="60" t="s">
        <v>498</v>
      </c>
      <c r="P136" s="103">
        <v>11</v>
      </c>
      <c r="Q136" s="103">
        <v>7</v>
      </c>
      <c r="R136" s="103">
        <v>11</v>
      </c>
      <c r="S136" s="103">
        <v>9</v>
      </c>
      <c r="T136" s="103">
        <v>11</v>
      </c>
      <c r="U136" s="103">
        <v>9</v>
      </c>
      <c r="V136" s="69">
        <v>4</v>
      </c>
      <c r="W136" s="104">
        <v>12</v>
      </c>
      <c r="X136" s="67">
        <f t="shared" ref="X136:Y136" si="142">(P136+R136+T136+V136)</f>
        <v>37</v>
      </c>
      <c r="Y136" s="67">
        <f t="shared" si="142"/>
        <v>37</v>
      </c>
      <c r="Z136" s="68">
        <f t="shared" si="3"/>
        <v>74</v>
      </c>
      <c r="AA136" s="69" t="str">
        <f t="shared" si="4"/>
        <v>6C</v>
      </c>
      <c r="AB136" s="70" t="s">
        <v>489</v>
      </c>
      <c r="AC136" s="70" t="s">
        <v>488</v>
      </c>
      <c r="AD136" s="70">
        <v>40</v>
      </c>
      <c r="AE136" s="70">
        <v>26</v>
      </c>
      <c r="AF136" s="70">
        <v>66</v>
      </c>
      <c r="AG136" s="72">
        <f t="shared" si="6"/>
        <v>0.60606060606060608</v>
      </c>
      <c r="AH136" s="73">
        <f t="shared" si="7"/>
        <v>-59.393939393939391</v>
      </c>
      <c r="AI136" s="74">
        <v>10</v>
      </c>
      <c r="AJ136" s="79" t="s">
        <v>499</v>
      </c>
      <c r="AK136" s="76" t="s">
        <v>500</v>
      </c>
      <c r="AL136" s="67"/>
      <c r="AM136" s="506"/>
      <c r="AN136" s="505"/>
      <c r="AO136" s="515"/>
    </row>
    <row r="137" spans="1:41" ht="14.5">
      <c r="A137" s="58">
        <v>41560</v>
      </c>
      <c r="B137" s="59" t="s">
        <v>428</v>
      </c>
      <c r="C137" s="60" t="s">
        <v>501</v>
      </c>
      <c r="D137" s="60" t="s">
        <v>502</v>
      </c>
      <c r="E137" s="109">
        <v>1</v>
      </c>
      <c r="F137" s="110">
        <v>11</v>
      </c>
      <c r="G137" s="111">
        <v>6</v>
      </c>
      <c r="H137" s="60">
        <v>18</v>
      </c>
      <c r="I137" s="60">
        <v>27</v>
      </c>
      <c r="J137" s="60">
        <v>45</v>
      </c>
      <c r="K137" s="60">
        <v>0.4</v>
      </c>
      <c r="L137" s="60">
        <f t="shared" si="0"/>
        <v>-14.6</v>
      </c>
      <c r="M137" s="64">
        <f t="shared" si="23"/>
        <v>30</v>
      </c>
      <c r="N137" s="90"/>
      <c r="O137" s="89"/>
      <c r="P137" s="113"/>
      <c r="Q137" s="113"/>
      <c r="R137" s="113"/>
      <c r="S137" s="113"/>
      <c r="T137" s="103"/>
      <c r="U137" s="103"/>
      <c r="V137" s="69"/>
      <c r="W137" s="104"/>
      <c r="X137" s="67">
        <f t="shared" ref="X137:Y137" si="143">(P137+R137+T137+V137)</f>
        <v>0</v>
      </c>
      <c r="Y137" s="67">
        <f t="shared" si="143"/>
        <v>0</v>
      </c>
      <c r="Z137" s="68">
        <f t="shared" si="3"/>
        <v>0</v>
      </c>
      <c r="AA137" s="69" t="str">
        <f t="shared" si="4"/>
        <v>6D</v>
      </c>
      <c r="AB137" s="70" t="s">
        <v>502</v>
      </c>
      <c r="AC137" s="70" t="s">
        <v>503</v>
      </c>
      <c r="AD137" s="70">
        <v>18</v>
      </c>
      <c r="AE137" s="70">
        <v>27</v>
      </c>
      <c r="AF137" s="70">
        <v>45</v>
      </c>
      <c r="AG137" s="72">
        <f t="shared" si="6"/>
        <v>0.4</v>
      </c>
      <c r="AH137" s="73">
        <f t="shared" si="7"/>
        <v>-81.599999999999994</v>
      </c>
      <c r="AI137" s="74">
        <v>30</v>
      </c>
      <c r="AJ137" s="79" t="s">
        <v>504</v>
      </c>
      <c r="AK137" s="76" t="s">
        <v>505</v>
      </c>
      <c r="AL137" s="67"/>
      <c r="AM137" s="506"/>
      <c r="AN137" s="505"/>
      <c r="AO137" s="515"/>
    </row>
    <row r="138" spans="1:41" ht="14.5">
      <c r="A138" s="58">
        <v>41560</v>
      </c>
      <c r="B138" s="59" t="s">
        <v>428</v>
      </c>
      <c r="C138" s="60" t="s">
        <v>506</v>
      </c>
      <c r="D138" s="60" t="s">
        <v>507</v>
      </c>
      <c r="E138" s="100">
        <v>11</v>
      </c>
      <c r="F138" s="101">
        <v>10</v>
      </c>
      <c r="G138" s="101">
        <v>4</v>
      </c>
      <c r="H138" s="60">
        <v>25</v>
      </c>
      <c r="I138" s="60">
        <v>29</v>
      </c>
      <c r="J138" s="60">
        <v>54</v>
      </c>
      <c r="K138" s="60">
        <v>0.46300000000000002</v>
      </c>
      <c r="L138" s="60">
        <f t="shared" si="0"/>
        <v>-7.5369999999999999</v>
      </c>
      <c r="M138" s="64">
        <f t="shared" si="23"/>
        <v>20</v>
      </c>
      <c r="N138" s="65" t="s">
        <v>508</v>
      </c>
      <c r="O138" s="60" t="s">
        <v>509</v>
      </c>
      <c r="P138" s="103">
        <v>7</v>
      </c>
      <c r="Q138" s="103">
        <v>11</v>
      </c>
      <c r="R138" s="103"/>
      <c r="S138" s="103"/>
      <c r="T138" s="103"/>
      <c r="U138" s="103"/>
      <c r="V138" s="69"/>
      <c r="W138" s="104"/>
      <c r="X138" s="67">
        <f t="shared" ref="X138:Y138" si="144">(P138+R138+T138+V138)</f>
        <v>7</v>
      </c>
      <c r="Y138" s="67">
        <f t="shared" si="144"/>
        <v>11</v>
      </c>
      <c r="Z138" s="68">
        <f t="shared" si="3"/>
        <v>18</v>
      </c>
      <c r="AA138" s="69" t="str">
        <f t="shared" si="4"/>
        <v>7A</v>
      </c>
      <c r="AB138" s="70" t="s">
        <v>507</v>
      </c>
      <c r="AC138" s="70" t="s">
        <v>510</v>
      </c>
      <c r="AD138" s="70">
        <v>25</v>
      </c>
      <c r="AE138" s="70">
        <v>29</v>
      </c>
      <c r="AF138" s="70">
        <v>54</v>
      </c>
      <c r="AG138" s="72">
        <f t="shared" si="6"/>
        <v>0.46296296296296297</v>
      </c>
      <c r="AH138" s="73">
        <f t="shared" si="7"/>
        <v>-74.537037037037038</v>
      </c>
      <c r="AI138" s="74">
        <v>20</v>
      </c>
      <c r="AJ138" s="79" t="s">
        <v>511</v>
      </c>
      <c r="AK138" s="76" t="s">
        <v>512</v>
      </c>
      <c r="AL138" s="67"/>
      <c r="AM138" s="506"/>
      <c r="AN138" s="505"/>
      <c r="AO138" s="515"/>
    </row>
    <row r="139" spans="1:41" ht="14.5">
      <c r="A139" s="58">
        <v>41560</v>
      </c>
      <c r="B139" s="59" t="s">
        <v>428</v>
      </c>
      <c r="C139" s="60" t="s">
        <v>513</v>
      </c>
      <c r="D139" s="60" t="s">
        <v>498</v>
      </c>
      <c r="E139" s="105">
        <v>7</v>
      </c>
      <c r="F139" s="106">
        <v>11</v>
      </c>
      <c r="G139" s="106">
        <v>11</v>
      </c>
      <c r="H139" s="60">
        <v>29</v>
      </c>
      <c r="I139" s="60">
        <v>26</v>
      </c>
      <c r="J139" s="60">
        <v>55</v>
      </c>
      <c r="K139" s="60">
        <v>0.52729999999999999</v>
      </c>
      <c r="L139" s="60">
        <f t="shared" si="0"/>
        <v>-3.4727000000000001</v>
      </c>
      <c r="M139" s="64">
        <f t="shared" si="23"/>
        <v>14</v>
      </c>
      <c r="N139" s="65"/>
      <c r="O139" s="60"/>
      <c r="P139" s="103"/>
      <c r="Q139" s="103"/>
      <c r="R139" s="103"/>
      <c r="S139" s="103"/>
      <c r="T139" s="103"/>
      <c r="U139" s="103"/>
      <c r="V139" s="69"/>
      <c r="W139" s="104"/>
      <c r="X139" s="67">
        <f t="shared" ref="X139:Y139" si="145">(P139+R139+T139+V139)</f>
        <v>0</v>
      </c>
      <c r="Y139" s="67">
        <f t="shared" si="145"/>
        <v>0</v>
      </c>
      <c r="Z139" s="68">
        <f t="shared" si="3"/>
        <v>0</v>
      </c>
      <c r="AA139" s="69" t="str">
        <f t="shared" si="4"/>
        <v>7B</v>
      </c>
      <c r="AB139" s="70" t="s">
        <v>498</v>
      </c>
      <c r="AC139" s="70" t="s">
        <v>497</v>
      </c>
      <c r="AD139" s="70">
        <v>66</v>
      </c>
      <c r="AE139" s="70">
        <v>63</v>
      </c>
      <c r="AF139" s="70">
        <v>129</v>
      </c>
      <c r="AG139" s="72">
        <f t="shared" si="6"/>
        <v>0.51162790697674421</v>
      </c>
      <c r="AH139" s="73">
        <f t="shared" si="7"/>
        <v>-33.488372093023258</v>
      </c>
      <c r="AI139" s="74">
        <v>2</v>
      </c>
      <c r="AJ139" s="79" t="s">
        <v>514</v>
      </c>
      <c r="AK139" s="76" t="s">
        <v>267</v>
      </c>
      <c r="AL139" s="67"/>
      <c r="AM139" s="506"/>
      <c r="AN139" s="505"/>
      <c r="AO139" s="515"/>
    </row>
    <row r="140" spans="1:41" ht="14.5">
      <c r="A140" s="58">
        <v>41560</v>
      </c>
      <c r="B140" s="59" t="s">
        <v>428</v>
      </c>
      <c r="C140" s="60" t="s">
        <v>515</v>
      </c>
      <c r="D140" s="60" t="s">
        <v>516</v>
      </c>
      <c r="E140" s="107">
        <v>10</v>
      </c>
      <c r="F140" s="108">
        <v>11</v>
      </c>
      <c r="G140" s="106">
        <v>5</v>
      </c>
      <c r="H140" s="60">
        <v>26</v>
      </c>
      <c r="I140" s="60">
        <v>32</v>
      </c>
      <c r="J140" s="60">
        <v>58</v>
      </c>
      <c r="K140" s="60">
        <v>0.44829999999999998</v>
      </c>
      <c r="L140" s="60">
        <f t="shared" si="0"/>
        <v>-6.5517000000000003</v>
      </c>
      <c r="M140" s="64">
        <f t="shared" si="23"/>
        <v>19</v>
      </c>
      <c r="N140" s="65" t="s">
        <v>490</v>
      </c>
      <c r="O140" s="60" t="s">
        <v>487</v>
      </c>
      <c r="P140" s="103">
        <v>11</v>
      </c>
      <c r="Q140" s="103">
        <v>7</v>
      </c>
      <c r="R140" s="103">
        <v>11</v>
      </c>
      <c r="S140" s="103">
        <v>10</v>
      </c>
      <c r="T140" s="103">
        <v>9</v>
      </c>
      <c r="U140" s="103">
        <v>11</v>
      </c>
      <c r="V140" s="69"/>
      <c r="W140" s="104"/>
      <c r="X140" s="67">
        <f t="shared" ref="X140:Y140" si="146">(P140+R140+T140+V140)</f>
        <v>31</v>
      </c>
      <c r="Y140" s="67">
        <f t="shared" si="146"/>
        <v>28</v>
      </c>
      <c r="Z140" s="68">
        <f t="shared" si="3"/>
        <v>59</v>
      </c>
      <c r="AA140" s="69" t="str">
        <f t="shared" si="4"/>
        <v>7C</v>
      </c>
      <c r="AB140" s="70" t="s">
        <v>516</v>
      </c>
      <c r="AC140" s="70" t="s">
        <v>517</v>
      </c>
      <c r="AD140" s="70">
        <v>26</v>
      </c>
      <c r="AE140" s="70">
        <v>32</v>
      </c>
      <c r="AF140" s="70">
        <v>58</v>
      </c>
      <c r="AG140" s="72">
        <f t="shared" si="6"/>
        <v>0.44827586206896552</v>
      </c>
      <c r="AH140" s="73">
        <f t="shared" si="7"/>
        <v>-73.551724137931032</v>
      </c>
      <c r="AI140" s="74">
        <v>19</v>
      </c>
      <c r="AJ140" s="79" t="s">
        <v>518</v>
      </c>
      <c r="AK140" s="76" t="s">
        <v>23</v>
      </c>
      <c r="AL140" s="67"/>
      <c r="AM140" s="506"/>
      <c r="AN140" s="505"/>
      <c r="AO140" s="515"/>
    </row>
    <row r="141" spans="1:41" ht="14.5">
      <c r="A141" s="58">
        <v>41560</v>
      </c>
      <c r="B141" s="59" t="s">
        <v>428</v>
      </c>
      <c r="C141" s="60" t="s">
        <v>519</v>
      </c>
      <c r="D141" s="60" t="s">
        <v>509</v>
      </c>
      <c r="E141" s="109">
        <v>11</v>
      </c>
      <c r="F141" s="110">
        <v>10</v>
      </c>
      <c r="G141" s="111">
        <v>11</v>
      </c>
      <c r="H141" s="60">
        <v>32</v>
      </c>
      <c r="I141" s="60">
        <v>25</v>
      </c>
      <c r="J141" s="60">
        <v>57</v>
      </c>
      <c r="K141" s="60">
        <v>0.56140000000000001</v>
      </c>
      <c r="L141" s="60">
        <f t="shared" si="0"/>
        <v>-0.43859999999999999</v>
      </c>
      <c r="M141" s="64">
        <f t="shared" si="23"/>
        <v>8</v>
      </c>
      <c r="N141" s="90"/>
      <c r="O141" s="89"/>
      <c r="P141" s="113"/>
      <c r="Q141" s="113"/>
      <c r="R141" s="103"/>
      <c r="S141" s="103"/>
      <c r="T141" s="103"/>
      <c r="U141" s="103"/>
      <c r="V141" s="69"/>
      <c r="W141" s="104"/>
      <c r="X141" s="67">
        <f t="shared" ref="X141:Y141" si="147">(P141+R141+T141+V141)</f>
        <v>0</v>
      </c>
      <c r="Y141" s="67">
        <f t="shared" si="147"/>
        <v>0</v>
      </c>
      <c r="Z141" s="68">
        <f t="shared" si="3"/>
        <v>0</v>
      </c>
      <c r="AA141" s="69" t="str">
        <f t="shared" si="4"/>
        <v>7D</v>
      </c>
      <c r="AB141" s="70" t="s">
        <v>509</v>
      </c>
      <c r="AC141" s="70" t="s">
        <v>508</v>
      </c>
      <c r="AD141" s="70">
        <v>39</v>
      </c>
      <c r="AE141" s="70">
        <v>36</v>
      </c>
      <c r="AF141" s="70">
        <v>75</v>
      </c>
      <c r="AG141" s="72">
        <f t="shared" si="6"/>
        <v>0.52</v>
      </c>
      <c r="AH141" s="73">
        <f t="shared" si="7"/>
        <v>-60.48</v>
      </c>
      <c r="AI141" s="74">
        <v>12</v>
      </c>
      <c r="AJ141" s="79" t="s">
        <v>520</v>
      </c>
      <c r="AK141" s="76" t="s">
        <v>521</v>
      </c>
      <c r="AL141" s="67"/>
      <c r="AM141" s="506"/>
      <c r="AN141" s="505"/>
      <c r="AO141" s="515"/>
    </row>
    <row r="142" spans="1:41" ht="14.5">
      <c r="A142" s="58">
        <v>41560</v>
      </c>
      <c r="B142" s="59" t="s">
        <v>428</v>
      </c>
      <c r="C142" s="60" t="s">
        <v>522</v>
      </c>
      <c r="D142" s="60" t="s">
        <v>523</v>
      </c>
      <c r="E142" s="100">
        <v>11</v>
      </c>
      <c r="F142" s="101">
        <v>11</v>
      </c>
      <c r="G142" s="101">
        <v>11</v>
      </c>
      <c r="H142" s="60">
        <v>33</v>
      </c>
      <c r="I142" s="60">
        <v>15</v>
      </c>
      <c r="J142" s="60">
        <v>48</v>
      </c>
      <c r="K142" s="60">
        <v>0.6875</v>
      </c>
      <c r="L142" s="60">
        <f t="shared" si="0"/>
        <v>0.6875</v>
      </c>
      <c r="M142" s="64">
        <f t="shared" si="23"/>
        <v>1</v>
      </c>
      <c r="N142" s="65" t="s">
        <v>524</v>
      </c>
      <c r="O142" s="60" t="s">
        <v>523</v>
      </c>
      <c r="P142" s="103">
        <v>5</v>
      </c>
      <c r="Q142" s="103">
        <v>11</v>
      </c>
      <c r="R142" s="103"/>
      <c r="S142" s="103"/>
      <c r="T142" s="103"/>
      <c r="U142" s="103"/>
      <c r="V142" s="69"/>
      <c r="W142" s="104"/>
      <c r="X142" s="67">
        <f t="shared" ref="X142:Y142" si="148">(P142+R142+T142+V142)</f>
        <v>5</v>
      </c>
      <c r="Y142" s="67">
        <f t="shared" si="148"/>
        <v>11</v>
      </c>
      <c r="Z142" s="68">
        <f t="shared" si="3"/>
        <v>16</v>
      </c>
      <c r="AA142" s="69" t="str">
        <f t="shared" si="4"/>
        <v>8A</v>
      </c>
      <c r="AB142" s="70" t="s">
        <v>523</v>
      </c>
      <c r="AC142" s="70" t="s">
        <v>524</v>
      </c>
      <c r="AD142" s="70">
        <v>38</v>
      </c>
      <c r="AE142" s="70">
        <v>26</v>
      </c>
      <c r="AF142" s="70">
        <v>64</v>
      </c>
      <c r="AG142" s="72">
        <f t="shared" si="6"/>
        <v>0.59375</v>
      </c>
      <c r="AH142" s="73">
        <f t="shared" si="7"/>
        <v>-61.40625</v>
      </c>
      <c r="AI142" s="74">
        <v>13</v>
      </c>
      <c r="AJ142" s="79" t="s">
        <v>525</v>
      </c>
      <c r="AK142" s="76" t="s">
        <v>427</v>
      </c>
      <c r="AL142" s="67"/>
      <c r="AM142" s="506"/>
      <c r="AN142" s="505"/>
      <c r="AO142" s="515"/>
    </row>
    <row r="143" spans="1:41" ht="14.5">
      <c r="A143" s="58">
        <v>41560</v>
      </c>
      <c r="B143" s="59" t="s">
        <v>428</v>
      </c>
      <c r="C143" s="60" t="s">
        <v>526</v>
      </c>
      <c r="D143" s="60" t="s">
        <v>527</v>
      </c>
      <c r="E143" s="105">
        <v>7</v>
      </c>
      <c r="F143" s="106">
        <v>10</v>
      </c>
      <c r="G143" s="106">
        <v>6</v>
      </c>
      <c r="H143" s="60">
        <v>23</v>
      </c>
      <c r="I143" s="60">
        <v>33</v>
      </c>
      <c r="J143" s="60">
        <v>56</v>
      </c>
      <c r="K143" s="60">
        <v>0.41070000000000001</v>
      </c>
      <c r="L143" s="60">
        <f t="shared" si="0"/>
        <v>-9.5892999999999997</v>
      </c>
      <c r="M143" s="64">
        <f t="shared" si="23"/>
        <v>22</v>
      </c>
      <c r="N143" s="65"/>
      <c r="O143" s="60"/>
      <c r="P143" s="103"/>
      <c r="Q143" s="103"/>
      <c r="R143" s="103"/>
      <c r="S143" s="103"/>
      <c r="T143" s="103"/>
      <c r="U143" s="103"/>
      <c r="V143" s="69"/>
      <c r="W143" s="104"/>
      <c r="X143" s="67">
        <f t="shared" ref="X143:Y143" si="149">(P143+R143+T143+V143)</f>
        <v>0</v>
      </c>
      <c r="Y143" s="67">
        <f t="shared" si="149"/>
        <v>0</v>
      </c>
      <c r="Z143" s="68">
        <f t="shared" si="3"/>
        <v>0</v>
      </c>
      <c r="AA143" s="69" t="str">
        <f t="shared" si="4"/>
        <v>8B</v>
      </c>
      <c r="AB143" s="70" t="s">
        <v>527</v>
      </c>
      <c r="AC143" s="70" t="s">
        <v>528</v>
      </c>
      <c r="AD143" s="70">
        <v>23</v>
      </c>
      <c r="AE143" s="70">
        <v>33</v>
      </c>
      <c r="AF143" s="70">
        <v>56</v>
      </c>
      <c r="AG143" s="72">
        <f t="shared" si="6"/>
        <v>0.4107142857142857</v>
      </c>
      <c r="AH143" s="73">
        <f t="shared" si="7"/>
        <v>-76.589285714285708</v>
      </c>
      <c r="AI143" s="74">
        <v>23</v>
      </c>
      <c r="AJ143" s="79" t="s">
        <v>529</v>
      </c>
      <c r="AK143" s="76" t="s">
        <v>370</v>
      </c>
      <c r="AL143" s="67"/>
      <c r="AM143" s="506"/>
      <c r="AN143" s="505"/>
      <c r="AO143" s="515"/>
    </row>
    <row r="144" spans="1:41" ht="14.5">
      <c r="A144" s="58">
        <v>41560</v>
      </c>
      <c r="B144" s="59" t="s">
        <v>428</v>
      </c>
      <c r="C144" s="60" t="s">
        <v>530</v>
      </c>
      <c r="D144" s="60" t="s">
        <v>531</v>
      </c>
      <c r="E144" s="107">
        <v>9</v>
      </c>
      <c r="F144" s="108">
        <v>4</v>
      </c>
      <c r="G144" s="106">
        <v>11</v>
      </c>
      <c r="H144" s="60">
        <v>24</v>
      </c>
      <c r="I144" s="60">
        <v>28</v>
      </c>
      <c r="J144" s="60">
        <v>52</v>
      </c>
      <c r="K144" s="60">
        <v>0.46150000000000002</v>
      </c>
      <c r="L144" s="60">
        <f t="shared" si="0"/>
        <v>-8.5384999999999991</v>
      </c>
      <c r="M144" s="64">
        <f t="shared" si="23"/>
        <v>21</v>
      </c>
      <c r="N144" s="65" t="s">
        <v>470</v>
      </c>
      <c r="O144" s="60" t="s">
        <v>467</v>
      </c>
      <c r="P144" s="103">
        <v>11</v>
      </c>
      <c r="Q144" s="103">
        <v>5</v>
      </c>
      <c r="R144" s="103">
        <v>10</v>
      </c>
      <c r="S144" s="103">
        <v>11</v>
      </c>
      <c r="T144" s="103"/>
      <c r="U144" s="103"/>
      <c r="V144" s="69"/>
      <c r="W144" s="104"/>
      <c r="X144" s="67">
        <f t="shared" ref="X144:Y144" si="150">(P144+R144+T144+V144)</f>
        <v>21</v>
      </c>
      <c r="Y144" s="67">
        <f t="shared" si="150"/>
        <v>16</v>
      </c>
      <c r="Z144" s="68">
        <f t="shared" si="3"/>
        <v>37</v>
      </c>
      <c r="AA144" s="69" t="str">
        <f t="shared" si="4"/>
        <v>8C</v>
      </c>
      <c r="AB144" s="70" t="s">
        <v>531</v>
      </c>
      <c r="AC144" s="70" t="s">
        <v>532</v>
      </c>
      <c r="AD144" s="70">
        <v>24</v>
      </c>
      <c r="AE144" s="70">
        <v>28</v>
      </c>
      <c r="AF144" s="70">
        <v>52</v>
      </c>
      <c r="AG144" s="72">
        <f t="shared" si="6"/>
        <v>0.46153846153846156</v>
      </c>
      <c r="AH144" s="73">
        <f t="shared" si="7"/>
        <v>-75.538461538461533</v>
      </c>
      <c r="AI144" s="74">
        <v>21</v>
      </c>
      <c r="AJ144" s="79" t="s">
        <v>337</v>
      </c>
      <c r="AK144" s="76" t="s">
        <v>533</v>
      </c>
      <c r="AL144" s="67"/>
      <c r="AM144" s="506"/>
      <c r="AN144" s="505"/>
      <c r="AO144" s="515"/>
    </row>
    <row r="145" spans="1:41" ht="14.5">
      <c r="A145" s="87">
        <v>41560</v>
      </c>
      <c r="B145" s="88" t="s">
        <v>428</v>
      </c>
      <c r="C145" s="89" t="s">
        <v>534</v>
      </c>
      <c r="D145" s="89" t="s">
        <v>480</v>
      </c>
      <c r="E145" s="109">
        <v>11</v>
      </c>
      <c r="F145" s="110">
        <v>11</v>
      </c>
      <c r="G145" s="111">
        <v>4</v>
      </c>
      <c r="H145" s="89">
        <v>26</v>
      </c>
      <c r="I145" s="89">
        <v>30</v>
      </c>
      <c r="J145" s="89">
        <v>56</v>
      </c>
      <c r="K145" s="89">
        <v>0.46429999999999999</v>
      </c>
      <c r="L145" s="89">
        <f t="shared" si="0"/>
        <v>-6.5357000000000003</v>
      </c>
      <c r="M145" s="86">
        <f t="shared" si="23"/>
        <v>18</v>
      </c>
      <c r="N145" s="90"/>
      <c r="O145" s="89"/>
      <c r="P145" s="113"/>
      <c r="Q145" s="113"/>
      <c r="R145" s="113"/>
      <c r="S145" s="113"/>
      <c r="T145" s="113"/>
      <c r="U145" s="113"/>
      <c r="V145" s="93"/>
      <c r="W145" s="114"/>
      <c r="X145" s="92">
        <f t="shared" ref="X145:Y145" si="151">(P145+R145+T145+V145)</f>
        <v>0</v>
      </c>
      <c r="Y145" s="92">
        <f t="shared" si="151"/>
        <v>0</v>
      </c>
      <c r="Z145" s="84">
        <f t="shared" si="3"/>
        <v>0</v>
      </c>
      <c r="AA145" s="93" t="str">
        <f t="shared" si="4"/>
        <v>8D</v>
      </c>
      <c r="AB145" s="94" t="s">
        <v>480</v>
      </c>
      <c r="AC145" s="94" t="s">
        <v>479</v>
      </c>
      <c r="AD145" s="94">
        <v>36</v>
      </c>
      <c r="AE145" s="94">
        <v>41</v>
      </c>
      <c r="AF145" s="94">
        <v>77</v>
      </c>
      <c r="AG145" s="95">
        <f t="shared" si="6"/>
        <v>0.46753246753246752</v>
      </c>
      <c r="AH145" s="96">
        <f t="shared" si="7"/>
        <v>-63.532467532467535</v>
      </c>
      <c r="AI145" s="97">
        <v>14</v>
      </c>
      <c r="AJ145" s="98" t="s">
        <v>535</v>
      </c>
      <c r="AK145" s="81" t="s">
        <v>417</v>
      </c>
      <c r="AL145" s="67"/>
      <c r="AM145" s="506"/>
      <c r="AN145" s="505"/>
      <c r="AO145" s="515"/>
    </row>
    <row r="146" spans="1:41" ht="14.5">
      <c r="A146" s="58">
        <v>41790</v>
      </c>
      <c r="B146" s="59" t="s">
        <v>204</v>
      </c>
      <c r="C146" s="60" t="s">
        <v>205</v>
      </c>
      <c r="D146" s="60" t="s">
        <v>536</v>
      </c>
      <c r="E146" s="100">
        <v>8</v>
      </c>
      <c r="F146" s="101">
        <v>11</v>
      </c>
      <c r="G146" s="101">
        <v>7</v>
      </c>
      <c r="H146" s="60">
        <v>26</v>
      </c>
      <c r="I146" s="60">
        <v>29</v>
      </c>
      <c r="J146" s="60">
        <v>55</v>
      </c>
      <c r="K146" s="60">
        <v>0.47270000000000001</v>
      </c>
      <c r="L146" s="60">
        <f t="shared" si="0"/>
        <v>-6.5273000000000003</v>
      </c>
      <c r="M146" s="64">
        <f t="shared" si="23"/>
        <v>10</v>
      </c>
      <c r="N146" s="65" t="s">
        <v>207</v>
      </c>
      <c r="O146" s="60" t="s">
        <v>537</v>
      </c>
      <c r="P146" s="102"/>
      <c r="Q146" s="66"/>
      <c r="R146" s="103">
        <v>6</v>
      </c>
      <c r="S146" s="103">
        <v>11</v>
      </c>
      <c r="T146" s="103"/>
      <c r="U146" s="103"/>
      <c r="V146" s="67"/>
      <c r="W146" s="104"/>
      <c r="X146" s="67">
        <f t="shared" ref="X146:Y146" si="152">(P146+R146+T146+V146)</f>
        <v>6</v>
      </c>
      <c r="Y146" s="67">
        <f t="shared" si="152"/>
        <v>11</v>
      </c>
      <c r="Z146" s="68">
        <f t="shared" si="3"/>
        <v>17</v>
      </c>
      <c r="AA146" s="69" t="str">
        <f t="shared" si="4"/>
        <v>1A</v>
      </c>
      <c r="AB146" s="70" t="s">
        <v>536</v>
      </c>
      <c r="AC146" s="70" t="s">
        <v>218</v>
      </c>
      <c r="AD146" s="70">
        <v>28</v>
      </c>
      <c r="AE146" s="70">
        <v>40</v>
      </c>
      <c r="AF146" s="70">
        <v>68</v>
      </c>
      <c r="AG146" s="72">
        <f t="shared" si="6"/>
        <v>0.41176470588235292</v>
      </c>
      <c r="AH146" s="73">
        <f t="shared" si="7"/>
        <v>-71.588235294117652</v>
      </c>
      <c r="AI146" s="74">
        <v>9</v>
      </c>
      <c r="AJ146" s="79" t="s">
        <v>476</v>
      </c>
      <c r="AK146" s="76" t="s">
        <v>380</v>
      </c>
      <c r="AL146" s="67"/>
      <c r="AM146" s="506"/>
      <c r="AN146" s="505"/>
      <c r="AO146" s="515"/>
    </row>
    <row r="147" spans="1:41" ht="14.5">
      <c r="A147" s="58">
        <v>41790</v>
      </c>
      <c r="B147" s="59" t="s">
        <v>204</v>
      </c>
      <c r="C147" s="60" t="s">
        <v>211</v>
      </c>
      <c r="D147" s="60" t="s">
        <v>538</v>
      </c>
      <c r="E147" s="105">
        <v>11</v>
      </c>
      <c r="F147" s="106">
        <v>8</v>
      </c>
      <c r="G147" s="106">
        <v>4</v>
      </c>
      <c r="H147" s="60">
        <v>23</v>
      </c>
      <c r="I147" s="60">
        <v>30</v>
      </c>
      <c r="J147" s="60">
        <v>53</v>
      </c>
      <c r="K147" s="60">
        <v>0.434</v>
      </c>
      <c r="L147" s="60">
        <f t="shared" si="0"/>
        <v>-9.5660000000000007</v>
      </c>
      <c r="M147" s="64">
        <f t="shared" si="23"/>
        <v>13</v>
      </c>
      <c r="N147" s="65"/>
      <c r="O147" s="60"/>
      <c r="P147" s="102"/>
      <c r="Q147" s="66"/>
      <c r="R147" s="103"/>
      <c r="S147" s="103"/>
      <c r="T147" s="103"/>
      <c r="U147" s="103"/>
      <c r="V147" s="67"/>
      <c r="W147" s="104"/>
      <c r="X147" s="67">
        <f t="shared" ref="X147:Y147" si="153">(P147+R147+T147+V147)</f>
        <v>0</v>
      </c>
      <c r="Y147" s="67">
        <f t="shared" si="153"/>
        <v>0</v>
      </c>
      <c r="Z147" s="68">
        <f t="shared" si="3"/>
        <v>0</v>
      </c>
      <c r="AA147" s="69" t="str">
        <f t="shared" si="4"/>
        <v>1B</v>
      </c>
      <c r="AB147" s="70" t="s">
        <v>538</v>
      </c>
      <c r="AC147" s="70" t="s">
        <v>213</v>
      </c>
      <c r="AD147" s="70">
        <v>23</v>
      </c>
      <c r="AE147" s="70">
        <v>30</v>
      </c>
      <c r="AF147" s="70">
        <v>53</v>
      </c>
      <c r="AG147" s="72">
        <f t="shared" si="6"/>
        <v>0.43396226415094341</v>
      </c>
      <c r="AH147" s="73">
        <f t="shared" si="7"/>
        <v>-76.566037735849051</v>
      </c>
      <c r="AI147" s="74">
        <v>13</v>
      </c>
      <c r="AJ147" s="79" t="s">
        <v>539</v>
      </c>
      <c r="AK147" s="76" t="s">
        <v>421</v>
      </c>
      <c r="AL147" s="67"/>
      <c r="AM147" s="506"/>
      <c r="AN147" s="505"/>
      <c r="AO147" s="515"/>
    </row>
    <row r="148" spans="1:41" ht="14.5">
      <c r="A148" s="58">
        <v>41790</v>
      </c>
      <c r="B148" s="59" t="s">
        <v>204</v>
      </c>
      <c r="C148" s="60" t="s">
        <v>216</v>
      </c>
      <c r="D148" s="60" t="s">
        <v>540</v>
      </c>
      <c r="E148" s="107">
        <v>6</v>
      </c>
      <c r="F148" s="108">
        <v>7</v>
      </c>
      <c r="G148" s="106">
        <v>11</v>
      </c>
      <c r="H148" s="60">
        <v>24</v>
      </c>
      <c r="I148" s="60">
        <v>26</v>
      </c>
      <c r="J148" s="60">
        <v>50</v>
      </c>
      <c r="K148" s="60">
        <v>0.48</v>
      </c>
      <c r="L148" s="60">
        <f t="shared" si="0"/>
        <v>-8.52</v>
      </c>
      <c r="M148" s="64">
        <f t="shared" si="23"/>
        <v>12</v>
      </c>
      <c r="N148" s="65" t="s">
        <v>265</v>
      </c>
      <c r="O148" s="60" t="s">
        <v>68</v>
      </c>
      <c r="P148" s="102"/>
      <c r="Q148" s="66"/>
      <c r="R148" s="103">
        <v>11</v>
      </c>
      <c r="S148" s="103">
        <v>6</v>
      </c>
      <c r="T148" s="103">
        <v>11</v>
      </c>
      <c r="U148" s="103">
        <v>7</v>
      </c>
      <c r="V148" s="67">
        <v>12</v>
      </c>
      <c r="W148" s="104">
        <v>8</v>
      </c>
      <c r="X148" s="67">
        <f t="shared" ref="X148:Y148" si="154">(P148+R148+T148+V148)</f>
        <v>34</v>
      </c>
      <c r="Y148" s="67">
        <f t="shared" si="154"/>
        <v>21</v>
      </c>
      <c r="Z148" s="68">
        <f t="shared" si="3"/>
        <v>55</v>
      </c>
      <c r="AA148" s="69" t="str">
        <f t="shared" si="4"/>
        <v>1C</v>
      </c>
      <c r="AB148" s="70" t="s">
        <v>540</v>
      </c>
      <c r="AC148" s="70" t="s">
        <v>208</v>
      </c>
      <c r="AD148" s="70">
        <v>24</v>
      </c>
      <c r="AE148" s="70">
        <v>26</v>
      </c>
      <c r="AF148" s="70">
        <v>50</v>
      </c>
      <c r="AG148" s="72">
        <f t="shared" si="6"/>
        <v>0.48</v>
      </c>
      <c r="AH148" s="73">
        <f t="shared" si="7"/>
        <v>-75.52</v>
      </c>
      <c r="AI148" s="74">
        <v>12</v>
      </c>
      <c r="AJ148" s="79" t="s">
        <v>541</v>
      </c>
      <c r="AK148" s="76" t="s">
        <v>542</v>
      </c>
      <c r="AL148" s="67"/>
      <c r="AM148" s="506"/>
      <c r="AN148" s="505"/>
      <c r="AO148" s="515"/>
    </row>
    <row r="149" spans="1:41" ht="14.5">
      <c r="A149" s="58">
        <v>41790</v>
      </c>
      <c r="B149" s="59" t="s">
        <v>204</v>
      </c>
      <c r="C149" s="60" t="s">
        <v>221</v>
      </c>
      <c r="D149" s="60" t="s">
        <v>537</v>
      </c>
      <c r="E149" s="109">
        <v>11</v>
      </c>
      <c r="F149" s="110">
        <v>11</v>
      </c>
      <c r="G149" s="111">
        <v>11</v>
      </c>
      <c r="H149" s="60">
        <v>33</v>
      </c>
      <c r="I149" s="60">
        <v>21</v>
      </c>
      <c r="J149" s="60">
        <v>54</v>
      </c>
      <c r="K149" s="60">
        <v>0.61109999999999998</v>
      </c>
      <c r="L149" s="60">
        <f t="shared" si="0"/>
        <v>0.61109999999999998</v>
      </c>
      <c r="M149" s="64">
        <f t="shared" si="23"/>
        <v>2</v>
      </c>
      <c r="N149" s="90"/>
      <c r="O149" s="89"/>
      <c r="P149" s="112"/>
      <c r="Q149" s="91"/>
      <c r="R149" s="113"/>
      <c r="S149" s="113"/>
      <c r="T149" s="103"/>
      <c r="U149" s="103"/>
      <c r="V149" s="67"/>
      <c r="W149" s="104"/>
      <c r="X149" s="67">
        <f t="shared" ref="X149:Y149" si="155">(P149+R149+T149+V149)</f>
        <v>0</v>
      </c>
      <c r="Y149" s="67">
        <f t="shared" si="155"/>
        <v>0</v>
      </c>
      <c r="Z149" s="68">
        <f t="shared" si="3"/>
        <v>0</v>
      </c>
      <c r="AA149" s="69" t="str">
        <f t="shared" si="4"/>
        <v>1D</v>
      </c>
      <c r="AB149" s="70" t="s">
        <v>537</v>
      </c>
      <c r="AC149" s="70" t="s">
        <v>207</v>
      </c>
      <c r="AD149" s="70">
        <v>39</v>
      </c>
      <c r="AE149" s="70">
        <v>32</v>
      </c>
      <c r="AF149" s="70">
        <v>71</v>
      </c>
      <c r="AG149" s="72">
        <f t="shared" si="6"/>
        <v>0.54929577464788737</v>
      </c>
      <c r="AH149" s="73">
        <f t="shared" si="7"/>
        <v>-60.450704225352112</v>
      </c>
      <c r="AI149" s="74">
        <v>5</v>
      </c>
      <c r="AJ149" s="79" t="s">
        <v>226</v>
      </c>
      <c r="AK149" s="76" t="s">
        <v>543</v>
      </c>
      <c r="AL149" s="67"/>
      <c r="AM149" s="506"/>
      <c r="AN149" s="505"/>
      <c r="AO149" s="515"/>
    </row>
    <row r="150" spans="1:41" ht="14.5">
      <c r="A150" s="58">
        <v>41790</v>
      </c>
      <c r="B150" s="59" t="s">
        <v>204</v>
      </c>
      <c r="C150" s="60" t="s">
        <v>224</v>
      </c>
      <c r="D150" s="60" t="s">
        <v>544</v>
      </c>
      <c r="E150" s="100">
        <v>11</v>
      </c>
      <c r="F150" s="101">
        <v>10</v>
      </c>
      <c r="G150" s="101">
        <v>11</v>
      </c>
      <c r="H150" s="60">
        <v>32</v>
      </c>
      <c r="I150" s="60">
        <v>24</v>
      </c>
      <c r="J150" s="60">
        <v>56</v>
      </c>
      <c r="K150" s="60">
        <v>0.57140000000000002</v>
      </c>
      <c r="L150" s="60">
        <f t="shared" si="0"/>
        <v>-0.42859999999999998</v>
      </c>
      <c r="M150" s="64">
        <f t="shared" si="23"/>
        <v>5</v>
      </c>
      <c r="N150" s="65" t="s">
        <v>225</v>
      </c>
      <c r="O150" s="60" t="s">
        <v>545</v>
      </c>
      <c r="P150" s="102"/>
      <c r="Q150" s="66"/>
      <c r="R150" s="103">
        <v>3</v>
      </c>
      <c r="S150" s="103">
        <v>11</v>
      </c>
      <c r="T150" s="103"/>
      <c r="U150" s="103"/>
      <c r="V150" s="67"/>
      <c r="W150" s="104"/>
      <c r="X150" s="67">
        <f t="shared" ref="X150:Y150" si="156">(P150+R150+T150+V150)</f>
        <v>3</v>
      </c>
      <c r="Y150" s="67">
        <f t="shared" si="156"/>
        <v>11</v>
      </c>
      <c r="Z150" s="68">
        <f t="shared" si="3"/>
        <v>14</v>
      </c>
      <c r="AA150" s="69" t="str">
        <f t="shared" si="4"/>
        <v>2A</v>
      </c>
      <c r="AB150" s="70" t="s">
        <v>544</v>
      </c>
      <c r="AC150" s="70" t="s">
        <v>230</v>
      </c>
      <c r="AD150" s="70">
        <v>38</v>
      </c>
      <c r="AE150" s="70">
        <v>35</v>
      </c>
      <c r="AF150" s="70">
        <v>73</v>
      </c>
      <c r="AG150" s="72">
        <f t="shared" si="6"/>
        <v>0.52054794520547942</v>
      </c>
      <c r="AH150" s="73">
        <f t="shared" si="7"/>
        <v>-61.479452054794521</v>
      </c>
      <c r="AI150" s="74">
        <v>6</v>
      </c>
      <c r="AJ150" s="79" t="s">
        <v>411</v>
      </c>
      <c r="AK150" s="76" t="s">
        <v>546</v>
      </c>
      <c r="AL150" s="67"/>
      <c r="AM150" s="506"/>
      <c r="AN150" s="505"/>
      <c r="AO150" s="515"/>
    </row>
    <row r="151" spans="1:41" ht="14.5">
      <c r="A151" s="58">
        <v>41790</v>
      </c>
      <c r="B151" s="59" t="s">
        <v>204</v>
      </c>
      <c r="C151" s="60" t="s">
        <v>228</v>
      </c>
      <c r="D151" s="60" t="s">
        <v>547</v>
      </c>
      <c r="E151" s="105">
        <v>6</v>
      </c>
      <c r="F151" s="106">
        <v>7</v>
      </c>
      <c r="G151" s="106">
        <v>5</v>
      </c>
      <c r="H151" s="60">
        <v>18</v>
      </c>
      <c r="I151" s="60">
        <v>33</v>
      </c>
      <c r="J151" s="60">
        <v>51</v>
      </c>
      <c r="K151" s="60">
        <v>0.35289999999999999</v>
      </c>
      <c r="L151" s="60">
        <f t="shared" si="0"/>
        <v>-14.6471</v>
      </c>
      <c r="M151" s="64">
        <f t="shared" si="23"/>
        <v>15</v>
      </c>
      <c r="N151" s="65"/>
      <c r="O151" s="60"/>
      <c r="P151" s="102"/>
      <c r="Q151" s="66"/>
      <c r="R151" s="103"/>
      <c r="S151" s="103"/>
      <c r="T151" s="103"/>
      <c r="U151" s="103"/>
      <c r="V151" s="67"/>
      <c r="W151" s="104"/>
      <c r="X151" s="67">
        <f t="shared" ref="X151:Y151" si="157">(P151+R151+T151+V151)</f>
        <v>0</v>
      </c>
      <c r="Y151" s="67">
        <f t="shared" si="157"/>
        <v>0</v>
      </c>
      <c r="Z151" s="68">
        <f t="shared" si="3"/>
        <v>0</v>
      </c>
      <c r="AA151" s="69" t="str">
        <f t="shared" si="4"/>
        <v>2B</v>
      </c>
      <c r="AB151" s="70" t="s">
        <v>547</v>
      </c>
      <c r="AC151" s="70" t="s">
        <v>234</v>
      </c>
      <c r="AD151" s="70">
        <v>18</v>
      </c>
      <c r="AE151" s="70">
        <v>33</v>
      </c>
      <c r="AF151" s="70">
        <v>51</v>
      </c>
      <c r="AG151" s="72">
        <f t="shared" si="6"/>
        <v>0.35294117647058826</v>
      </c>
      <c r="AH151" s="73">
        <f t="shared" si="7"/>
        <v>-81.647058823529406</v>
      </c>
      <c r="AI151" s="74">
        <v>15</v>
      </c>
      <c r="AJ151" s="79" t="s">
        <v>548</v>
      </c>
      <c r="AK151" s="76" t="s">
        <v>338</v>
      </c>
      <c r="AL151" s="67"/>
      <c r="AM151" s="506"/>
      <c r="AN151" s="505"/>
      <c r="AO151" s="515"/>
    </row>
    <row r="152" spans="1:41" ht="14.5">
      <c r="A152" s="58">
        <v>41790</v>
      </c>
      <c r="B152" s="59" t="s">
        <v>204</v>
      </c>
      <c r="C152" s="60" t="s">
        <v>232</v>
      </c>
      <c r="D152" s="60" t="s">
        <v>545</v>
      </c>
      <c r="E152" s="107">
        <v>11</v>
      </c>
      <c r="F152" s="108">
        <v>11</v>
      </c>
      <c r="G152" s="106">
        <v>11</v>
      </c>
      <c r="H152" s="60">
        <v>33</v>
      </c>
      <c r="I152" s="60">
        <v>24</v>
      </c>
      <c r="J152" s="60">
        <v>57</v>
      </c>
      <c r="K152" s="60">
        <v>0.57889999999999997</v>
      </c>
      <c r="L152" s="60">
        <f t="shared" si="0"/>
        <v>0.57889999999999997</v>
      </c>
      <c r="M152" s="64">
        <f t="shared" si="23"/>
        <v>3</v>
      </c>
      <c r="N152" s="65" t="s">
        <v>253</v>
      </c>
      <c r="O152" s="60" t="s">
        <v>549</v>
      </c>
      <c r="P152" s="102"/>
      <c r="Q152" s="66"/>
      <c r="R152" s="103">
        <v>11</v>
      </c>
      <c r="S152" s="103">
        <v>3</v>
      </c>
      <c r="T152" s="103">
        <v>7</v>
      </c>
      <c r="U152" s="103">
        <v>11</v>
      </c>
      <c r="V152" s="67"/>
      <c r="W152" s="104"/>
      <c r="X152" s="67">
        <f t="shared" ref="X152:Y152" si="158">(P152+R152+T152+V152)</f>
        <v>18</v>
      </c>
      <c r="Y152" s="67">
        <f t="shared" si="158"/>
        <v>14</v>
      </c>
      <c r="Z152" s="68">
        <f t="shared" si="3"/>
        <v>32</v>
      </c>
      <c r="AA152" s="69" t="str">
        <f t="shared" si="4"/>
        <v>2C</v>
      </c>
      <c r="AB152" s="70" t="s">
        <v>545</v>
      </c>
      <c r="AC152" s="70" t="s">
        <v>225</v>
      </c>
      <c r="AD152" s="70">
        <v>36</v>
      </c>
      <c r="AE152" s="70">
        <v>35</v>
      </c>
      <c r="AF152" s="70">
        <v>71</v>
      </c>
      <c r="AG152" s="72">
        <f t="shared" si="6"/>
        <v>0.50704225352112675</v>
      </c>
      <c r="AH152" s="73">
        <f t="shared" si="7"/>
        <v>-63.492957746478872</v>
      </c>
      <c r="AI152" s="74">
        <v>7</v>
      </c>
      <c r="AJ152" s="79" t="s">
        <v>438</v>
      </c>
      <c r="AK152" s="76" t="s">
        <v>414</v>
      </c>
      <c r="AL152" s="67"/>
      <c r="AM152" s="506"/>
      <c r="AN152" s="505"/>
      <c r="AO152" s="515"/>
    </row>
    <row r="153" spans="1:41" ht="14.5">
      <c r="A153" s="58">
        <v>41790</v>
      </c>
      <c r="B153" s="59" t="s">
        <v>204</v>
      </c>
      <c r="C153" s="60" t="s">
        <v>237</v>
      </c>
      <c r="D153" s="60" t="s">
        <v>550</v>
      </c>
      <c r="E153" s="109">
        <v>9</v>
      </c>
      <c r="F153" s="110">
        <v>11</v>
      </c>
      <c r="G153" s="111">
        <v>7</v>
      </c>
      <c r="H153" s="60">
        <v>27</v>
      </c>
      <c r="I153" s="60">
        <v>29</v>
      </c>
      <c r="J153" s="60">
        <v>56</v>
      </c>
      <c r="K153" s="60">
        <v>0.48209999999999997</v>
      </c>
      <c r="L153" s="60">
        <f t="shared" si="0"/>
        <v>-5.5179</v>
      </c>
      <c r="M153" s="64">
        <f t="shared" si="23"/>
        <v>9</v>
      </c>
      <c r="N153" s="90"/>
      <c r="O153" s="89"/>
      <c r="P153" s="112"/>
      <c r="Q153" s="91"/>
      <c r="R153" s="113"/>
      <c r="S153" s="113"/>
      <c r="T153" s="113"/>
      <c r="U153" s="113"/>
      <c r="V153" s="67"/>
      <c r="W153" s="104"/>
      <c r="X153" s="67">
        <f t="shared" ref="X153:Y153" si="159">(P153+R153+T153+V153)</f>
        <v>0</v>
      </c>
      <c r="Y153" s="67">
        <f t="shared" si="159"/>
        <v>0</v>
      </c>
      <c r="Z153" s="68">
        <f t="shared" si="3"/>
        <v>0</v>
      </c>
      <c r="AA153" s="69" t="str">
        <f t="shared" si="4"/>
        <v>2D</v>
      </c>
      <c r="AB153" s="70" t="s">
        <v>550</v>
      </c>
      <c r="AC153" s="70" t="s">
        <v>239</v>
      </c>
      <c r="AD153" s="70">
        <v>27</v>
      </c>
      <c r="AE153" s="70">
        <v>29</v>
      </c>
      <c r="AF153" s="70">
        <v>56</v>
      </c>
      <c r="AG153" s="72">
        <f t="shared" si="6"/>
        <v>0.48214285714285715</v>
      </c>
      <c r="AH153" s="73">
        <f t="shared" si="7"/>
        <v>-72.517857142857139</v>
      </c>
      <c r="AI153" s="74">
        <v>10</v>
      </c>
      <c r="AJ153" s="79" t="s">
        <v>254</v>
      </c>
      <c r="AK153" s="76" t="s">
        <v>551</v>
      </c>
      <c r="AL153" s="67"/>
      <c r="AM153" s="506"/>
      <c r="AN153" s="505"/>
      <c r="AO153" s="515"/>
    </row>
    <row r="154" spans="1:41" ht="14.5">
      <c r="A154" s="58">
        <v>41790</v>
      </c>
      <c r="B154" s="59" t="s">
        <v>204</v>
      </c>
      <c r="C154" s="60" t="s">
        <v>241</v>
      </c>
      <c r="D154" s="60" t="s">
        <v>549</v>
      </c>
      <c r="E154" s="100">
        <v>11</v>
      </c>
      <c r="F154" s="101">
        <v>11</v>
      </c>
      <c r="G154" s="101">
        <v>9</v>
      </c>
      <c r="H154" s="60">
        <v>31</v>
      </c>
      <c r="I154" s="60">
        <v>19</v>
      </c>
      <c r="J154" s="60">
        <v>50</v>
      </c>
      <c r="K154" s="60">
        <v>0.62</v>
      </c>
      <c r="L154" s="60">
        <f t="shared" si="0"/>
        <v>-1.38</v>
      </c>
      <c r="M154" s="64">
        <f t="shared" si="23"/>
        <v>6</v>
      </c>
      <c r="N154" s="65" t="s">
        <v>243</v>
      </c>
      <c r="O154" s="60" t="s">
        <v>552</v>
      </c>
      <c r="P154" s="102"/>
      <c r="Q154" s="66"/>
      <c r="R154" s="103">
        <v>11</v>
      </c>
      <c r="S154" s="103">
        <v>6</v>
      </c>
      <c r="T154" s="103">
        <v>6</v>
      </c>
      <c r="U154" s="103">
        <v>11</v>
      </c>
      <c r="V154" s="67"/>
      <c r="W154" s="104"/>
      <c r="X154" s="67">
        <f t="shared" ref="X154:Y154" si="160">(P154+R154+T154+V154)</f>
        <v>17</v>
      </c>
      <c r="Y154" s="67">
        <f t="shared" si="160"/>
        <v>17</v>
      </c>
      <c r="Z154" s="68">
        <f t="shared" si="3"/>
        <v>34</v>
      </c>
      <c r="AA154" s="69" t="str">
        <f t="shared" si="4"/>
        <v>3A</v>
      </c>
      <c r="AB154" s="70" t="s">
        <v>549</v>
      </c>
      <c r="AC154" s="70" t="s">
        <v>253</v>
      </c>
      <c r="AD154" s="70">
        <v>49</v>
      </c>
      <c r="AE154" s="70">
        <v>33</v>
      </c>
      <c r="AF154" s="70">
        <v>82</v>
      </c>
      <c r="AG154" s="72">
        <f t="shared" si="6"/>
        <v>0.59756097560975607</v>
      </c>
      <c r="AH154" s="73">
        <f t="shared" si="7"/>
        <v>-50.402439024390247</v>
      </c>
      <c r="AI154" s="74">
        <v>4</v>
      </c>
      <c r="AJ154" s="79" t="s">
        <v>553</v>
      </c>
      <c r="AK154" s="76" t="s">
        <v>260</v>
      </c>
      <c r="AL154" s="67"/>
      <c r="AM154" s="506"/>
      <c r="AN154" s="505"/>
      <c r="AO154" s="515"/>
    </row>
    <row r="155" spans="1:41" ht="14.5">
      <c r="A155" s="58">
        <v>41790</v>
      </c>
      <c r="B155" s="59" t="s">
        <v>204</v>
      </c>
      <c r="C155" s="60" t="s">
        <v>246</v>
      </c>
      <c r="D155" s="60" t="s">
        <v>554</v>
      </c>
      <c r="E155" s="105">
        <v>8</v>
      </c>
      <c r="F155" s="106">
        <v>10</v>
      </c>
      <c r="G155" s="106">
        <v>11</v>
      </c>
      <c r="H155" s="60">
        <v>29</v>
      </c>
      <c r="I155" s="60">
        <v>29</v>
      </c>
      <c r="J155" s="60">
        <v>58</v>
      </c>
      <c r="K155" s="60">
        <v>0.5</v>
      </c>
      <c r="L155" s="60">
        <f t="shared" si="0"/>
        <v>-3.5</v>
      </c>
      <c r="M155" s="64">
        <f t="shared" si="23"/>
        <v>8</v>
      </c>
      <c r="N155" s="65"/>
      <c r="O155" s="60"/>
      <c r="P155" s="102"/>
      <c r="Q155" s="66"/>
      <c r="R155" s="103"/>
      <c r="S155" s="103"/>
      <c r="T155" s="103"/>
      <c r="U155" s="103"/>
      <c r="V155" s="67"/>
      <c r="W155" s="104"/>
      <c r="X155" s="67">
        <f t="shared" ref="X155:Y155" si="161">(P155+R155+T155+V155)</f>
        <v>0</v>
      </c>
      <c r="Y155" s="67">
        <f t="shared" si="161"/>
        <v>0</v>
      </c>
      <c r="Z155" s="68">
        <f t="shared" si="3"/>
        <v>0</v>
      </c>
      <c r="AA155" s="69" t="str">
        <f t="shared" si="4"/>
        <v>3B</v>
      </c>
      <c r="AB155" s="70" t="s">
        <v>554</v>
      </c>
      <c r="AC155" s="70" t="s">
        <v>248</v>
      </c>
      <c r="AD155" s="70">
        <v>29</v>
      </c>
      <c r="AE155" s="70">
        <v>29</v>
      </c>
      <c r="AF155" s="70">
        <v>58</v>
      </c>
      <c r="AG155" s="72">
        <f t="shared" si="6"/>
        <v>0.5</v>
      </c>
      <c r="AH155" s="73">
        <f t="shared" si="7"/>
        <v>-70.5</v>
      </c>
      <c r="AI155" s="74">
        <v>8</v>
      </c>
      <c r="AJ155" s="79" t="s">
        <v>555</v>
      </c>
      <c r="AK155" s="76" t="s">
        <v>369</v>
      </c>
      <c r="AL155" s="67"/>
      <c r="AM155" s="506"/>
      <c r="AN155" s="505"/>
      <c r="AO155" s="515"/>
    </row>
    <row r="156" spans="1:41" ht="14.5">
      <c r="A156" s="58">
        <v>41790</v>
      </c>
      <c r="B156" s="59" t="s">
        <v>204</v>
      </c>
      <c r="C156" s="60" t="s">
        <v>251</v>
      </c>
      <c r="D156" s="60" t="s">
        <v>556</v>
      </c>
      <c r="E156" s="107">
        <v>0</v>
      </c>
      <c r="F156" s="108">
        <v>0</v>
      </c>
      <c r="G156" s="106">
        <v>7</v>
      </c>
      <c r="H156" s="60">
        <v>7</v>
      </c>
      <c r="I156" s="60">
        <v>33</v>
      </c>
      <c r="J156" s="60">
        <v>40</v>
      </c>
      <c r="K156" s="60">
        <v>0.17499999999999999</v>
      </c>
      <c r="L156" s="60">
        <f t="shared" si="0"/>
        <v>-25.824999999999999</v>
      </c>
      <c r="M156" s="64">
        <f t="shared" si="23"/>
        <v>16</v>
      </c>
      <c r="N156" s="65" t="s">
        <v>230</v>
      </c>
      <c r="O156" s="60" t="s">
        <v>544</v>
      </c>
      <c r="P156" s="102"/>
      <c r="Q156" s="66"/>
      <c r="R156" s="103">
        <v>6</v>
      </c>
      <c r="S156" s="103">
        <v>11</v>
      </c>
      <c r="T156" s="103"/>
      <c r="U156" s="103"/>
      <c r="V156" s="67"/>
      <c r="W156" s="104"/>
      <c r="X156" s="67">
        <f t="shared" ref="X156:Y156" si="162">(P156+R156+T156+V156)</f>
        <v>6</v>
      </c>
      <c r="Y156" s="67">
        <f t="shared" si="162"/>
        <v>11</v>
      </c>
      <c r="Z156" s="68">
        <f t="shared" si="3"/>
        <v>17</v>
      </c>
      <c r="AA156" s="69" t="str">
        <f t="shared" si="4"/>
        <v>3C</v>
      </c>
      <c r="AB156" s="70" t="s">
        <v>556</v>
      </c>
      <c r="AC156" s="70" t="s">
        <v>258</v>
      </c>
      <c r="AD156" s="70">
        <v>7</v>
      </c>
      <c r="AE156" s="70">
        <v>33</v>
      </c>
      <c r="AF156" s="70">
        <v>40</v>
      </c>
      <c r="AG156" s="72">
        <f t="shared" si="6"/>
        <v>0.17499999999999999</v>
      </c>
      <c r="AH156" s="73">
        <f t="shared" si="7"/>
        <v>-92.825000000000003</v>
      </c>
      <c r="AI156" s="74">
        <v>16</v>
      </c>
      <c r="AJ156" s="79" t="s">
        <v>396</v>
      </c>
      <c r="AK156" s="76" t="s">
        <v>267</v>
      </c>
      <c r="AL156" s="67"/>
      <c r="AM156" s="506"/>
      <c r="AN156" s="505"/>
      <c r="AO156" s="515"/>
    </row>
    <row r="157" spans="1:41" ht="14.5">
      <c r="A157" s="58">
        <v>41790</v>
      </c>
      <c r="B157" s="59" t="s">
        <v>204</v>
      </c>
      <c r="C157" s="60" t="s">
        <v>256</v>
      </c>
      <c r="D157" s="60" t="s">
        <v>552</v>
      </c>
      <c r="E157" s="109">
        <v>11</v>
      </c>
      <c r="F157" s="110">
        <v>11</v>
      </c>
      <c r="G157" s="111">
        <v>11</v>
      </c>
      <c r="H157" s="60">
        <v>33</v>
      </c>
      <c r="I157" s="60">
        <v>19</v>
      </c>
      <c r="J157" s="60">
        <v>52</v>
      </c>
      <c r="K157" s="60">
        <v>0.63460000000000005</v>
      </c>
      <c r="L157" s="60">
        <f t="shared" si="0"/>
        <v>0.63460000000000005</v>
      </c>
      <c r="M157" s="64">
        <f t="shared" si="23"/>
        <v>1</v>
      </c>
      <c r="N157" s="90"/>
      <c r="O157" s="89"/>
      <c r="P157" s="112"/>
      <c r="Q157" s="91"/>
      <c r="R157" s="113"/>
      <c r="S157" s="113"/>
      <c r="T157" s="103"/>
      <c r="U157" s="103"/>
      <c r="V157" s="67"/>
      <c r="W157" s="104"/>
      <c r="X157" s="67">
        <f t="shared" ref="X157:Y157" si="163">(P157+R157+T157+V157)</f>
        <v>0</v>
      </c>
      <c r="Y157" s="67">
        <f t="shared" si="163"/>
        <v>0</v>
      </c>
      <c r="Z157" s="68">
        <f t="shared" si="3"/>
        <v>0</v>
      </c>
      <c r="AA157" s="69" t="str">
        <f t="shared" si="4"/>
        <v>3D</v>
      </c>
      <c r="AB157" s="70" t="s">
        <v>552</v>
      </c>
      <c r="AC157" s="70" t="s">
        <v>243</v>
      </c>
      <c r="AD157" s="70">
        <v>50</v>
      </c>
      <c r="AE157" s="70">
        <v>36</v>
      </c>
      <c r="AF157" s="70">
        <v>86</v>
      </c>
      <c r="AG157" s="72">
        <f t="shared" si="6"/>
        <v>0.58139534883720934</v>
      </c>
      <c r="AH157" s="73">
        <f t="shared" si="7"/>
        <v>-49.418604651162788</v>
      </c>
      <c r="AI157" s="74">
        <v>3</v>
      </c>
      <c r="AJ157" s="79" t="s">
        <v>266</v>
      </c>
      <c r="AK157" s="76" t="s">
        <v>210</v>
      </c>
      <c r="AL157" s="67"/>
      <c r="AM157" s="506"/>
      <c r="AN157" s="505"/>
      <c r="AO157" s="515"/>
    </row>
    <row r="158" spans="1:41" ht="14.5">
      <c r="A158" s="58">
        <v>41790</v>
      </c>
      <c r="B158" s="59" t="s">
        <v>204</v>
      </c>
      <c r="C158" s="60" t="s">
        <v>261</v>
      </c>
      <c r="D158" s="60" t="s">
        <v>557</v>
      </c>
      <c r="E158" s="100">
        <v>11</v>
      </c>
      <c r="F158" s="101">
        <v>11</v>
      </c>
      <c r="G158" s="101">
        <v>11</v>
      </c>
      <c r="H158" s="60">
        <v>33</v>
      </c>
      <c r="I158" s="60">
        <v>26</v>
      </c>
      <c r="J158" s="60">
        <v>59</v>
      </c>
      <c r="K158" s="60">
        <v>0.55930000000000002</v>
      </c>
      <c r="L158" s="60">
        <f t="shared" si="0"/>
        <v>0.55930000000000002</v>
      </c>
      <c r="M158" s="64">
        <f t="shared" si="23"/>
        <v>4</v>
      </c>
      <c r="N158" s="65" t="s">
        <v>263</v>
      </c>
      <c r="O158" s="60" t="s">
        <v>557</v>
      </c>
      <c r="P158" s="102"/>
      <c r="Q158" s="66"/>
      <c r="R158" s="103">
        <v>11</v>
      </c>
      <c r="S158" s="103">
        <v>2</v>
      </c>
      <c r="T158" s="103">
        <v>11</v>
      </c>
      <c r="U158" s="103">
        <v>6</v>
      </c>
      <c r="V158" s="67">
        <v>8</v>
      </c>
      <c r="W158" s="104">
        <v>12</v>
      </c>
      <c r="X158" s="67">
        <f t="shared" ref="X158:Y158" si="164">(P158+R158+T158+V158)</f>
        <v>30</v>
      </c>
      <c r="Y158" s="67">
        <f t="shared" si="164"/>
        <v>20</v>
      </c>
      <c r="Z158" s="68">
        <f t="shared" si="3"/>
        <v>50</v>
      </c>
      <c r="AA158" s="69" t="str">
        <f t="shared" si="4"/>
        <v>4A</v>
      </c>
      <c r="AB158" s="70" t="s">
        <v>557</v>
      </c>
      <c r="AC158" s="70" t="s">
        <v>263</v>
      </c>
      <c r="AD158" s="70">
        <v>63</v>
      </c>
      <c r="AE158" s="70">
        <v>46</v>
      </c>
      <c r="AF158" s="70">
        <v>109</v>
      </c>
      <c r="AG158" s="72">
        <f t="shared" si="6"/>
        <v>0.57798165137614677</v>
      </c>
      <c r="AH158" s="73">
        <f t="shared" si="7"/>
        <v>-36.422018348623851</v>
      </c>
      <c r="AI158" s="74">
        <v>2</v>
      </c>
      <c r="AJ158" s="79" t="s">
        <v>462</v>
      </c>
      <c r="AK158" s="76" t="s">
        <v>417</v>
      </c>
      <c r="AL158" s="67"/>
      <c r="AM158" s="506"/>
      <c r="AN158" s="505"/>
      <c r="AO158" s="515"/>
    </row>
    <row r="159" spans="1:41" ht="14.5">
      <c r="A159" s="58">
        <v>41790</v>
      </c>
      <c r="B159" s="59" t="s">
        <v>204</v>
      </c>
      <c r="C159" s="60" t="s">
        <v>268</v>
      </c>
      <c r="D159" s="60" t="s">
        <v>558</v>
      </c>
      <c r="E159" s="105">
        <v>9</v>
      </c>
      <c r="F159" s="106">
        <v>6</v>
      </c>
      <c r="G159" s="106">
        <v>11</v>
      </c>
      <c r="H159" s="60">
        <v>26</v>
      </c>
      <c r="I159" s="60">
        <v>31</v>
      </c>
      <c r="J159" s="60">
        <v>57</v>
      </c>
      <c r="K159" s="60">
        <v>0.45610000000000001</v>
      </c>
      <c r="L159" s="60">
        <f t="shared" si="0"/>
        <v>-6.5438999999999998</v>
      </c>
      <c r="M159" s="64">
        <f t="shared" si="23"/>
        <v>11</v>
      </c>
      <c r="N159" s="65"/>
      <c r="O159" s="60"/>
      <c r="P159" s="102"/>
      <c r="Q159" s="66"/>
      <c r="R159" s="103"/>
      <c r="S159" s="103"/>
      <c r="T159" s="103"/>
      <c r="U159" s="103"/>
      <c r="V159" s="67"/>
      <c r="W159" s="104"/>
      <c r="X159" s="67">
        <f t="shared" ref="X159:Y159" si="165">(P159+R159+T159+V159)</f>
        <v>0</v>
      </c>
      <c r="Y159" s="67">
        <f t="shared" si="165"/>
        <v>0</v>
      </c>
      <c r="Z159" s="68">
        <f t="shared" si="3"/>
        <v>0</v>
      </c>
      <c r="AA159" s="69" t="str">
        <f t="shared" si="4"/>
        <v>4B</v>
      </c>
      <c r="AB159" s="70" t="s">
        <v>558</v>
      </c>
      <c r="AC159" s="70" t="s">
        <v>278</v>
      </c>
      <c r="AD159" s="70">
        <v>26</v>
      </c>
      <c r="AE159" s="70">
        <v>31</v>
      </c>
      <c r="AF159" s="70">
        <v>57</v>
      </c>
      <c r="AG159" s="72">
        <f t="shared" si="6"/>
        <v>0.45614035087719296</v>
      </c>
      <c r="AH159" s="73">
        <f t="shared" si="7"/>
        <v>-73.543859649122808</v>
      </c>
      <c r="AI159" s="74">
        <v>11</v>
      </c>
      <c r="AJ159" s="79" t="s">
        <v>23</v>
      </c>
      <c r="AK159" s="76" t="s">
        <v>559</v>
      </c>
      <c r="AL159" s="67"/>
      <c r="AM159" s="506"/>
      <c r="AN159" s="505"/>
      <c r="AO159" s="515"/>
    </row>
    <row r="160" spans="1:41" ht="14.5">
      <c r="A160" s="58">
        <v>41790</v>
      </c>
      <c r="B160" s="59" t="s">
        <v>204</v>
      </c>
      <c r="C160" s="60" t="s">
        <v>271</v>
      </c>
      <c r="D160" s="60" t="s">
        <v>560</v>
      </c>
      <c r="E160" s="107">
        <v>5</v>
      </c>
      <c r="F160" s="108">
        <v>8</v>
      </c>
      <c r="G160" s="106">
        <v>9</v>
      </c>
      <c r="H160" s="60">
        <v>22</v>
      </c>
      <c r="I160" s="60">
        <v>33</v>
      </c>
      <c r="J160" s="60">
        <v>55</v>
      </c>
      <c r="K160" s="60">
        <v>0.4</v>
      </c>
      <c r="L160" s="60">
        <f t="shared" si="0"/>
        <v>-10.6</v>
      </c>
      <c r="M160" s="64">
        <f t="shared" si="23"/>
        <v>14</v>
      </c>
      <c r="N160" s="65" t="s">
        <v>218</v>
      </c>
      <c r="O160" s="60" t="s">
        <v>536</v>
      </c>
      <c r="P160" s="102"/>
      <c r="Q160" s="66"/>
      <c r="R160" s="103">
        <v>2</v>
      </c>
      <c r="S160" s="103">
        <v>11</v>
      </c>
      <c r="T160" s="103"/>
      <c r="U160" s="103"/>
      <c r="V160" s="67"/>
      <c r="W160" s="104"/>
      <c r="X160" s="67">
        <f t="shared" ref="X160:Y160" si="166">(P160+R160+T160+V160)</f>
        <v>2</v>
      </c>
      <c r="Y160" s="67">
        <f t="shared" si="166"/>
        <v>11</v>
      </c>
      <c r="Z160" s="68">
        <f t="shared" si="3"/>
        <v>13</v>
      </c>
      <c r="AA160" s="69" t="str">
        <f t="shared" si="4"/>
        <v>4C</v>
      </c>
      <c r="AB160" s="70" t="s">
        <v>560</v>
      </c>
      <c r="AC160" s="70" t="s">
        <v>273</v>
      </c>
      <c r="AD160" s="70">
        <v>22</v>
      </c>
      <c r="AE160" s="70">
        <v>33</v>
      </c>
      <c r="AF160" s="70">
        <v>55</v>
      </c>
      <c r="AG160" s="72">
        <f t="shared" si="6"/>
        <v>0.4</v>
      </c>
      <c r="AH160" s="73">
        <f t="shared" si="7"/>
        <v>-77.599999999999994</v>
      </c>
      <c r="AI160" s="74">
        <v>14</v>
      </c>
      <c r="AJ160" s="79" t="s">
        <v>561</v>
      </c>
      <c r="AK160" s="76" t="s">
        <v>394</v>
      </c>
      <c r="AL160" s="67"/>
      <c r="AM160" s="506"/>
      <c r="AN160" s="505"/>
      <c r="AO160" s="515"/>
    </row>
    <row r="161" spans="1:41" ht="14.5">
      <c r="A161" s="87">
        <v>41790</v>
      </c>
      <c r="B161" s="88" t="s">
        <v>204</v>
      </c>
      <c r="C161" s="89" t="s">
        <v>276</v>
      </c>
      <c r="D161" s="89" t="s">
        <v>68</v>
      </c>
      <c r="E161" s="109">
        <v>11</v>
      </c>
      <c r="F161" s="110">
        <v>11</v>
      </c>
      <c r="G161" s="111">
        <v>9</v>
      </c>
      <c r="H161" s="89">
        <v>31</v>
      </c>
      <c r="I161" s="89">
        <v>22</v>
      </c>
      <c r="J161" s="89">
        <v>53</v>
      </c>
      <c r="K161" s="89">
        <v>0.58489999999999998</v>
      </c>
      <c r="L161" s="89">
        <f t="shared" si="0"/>
        <v>-1.4151</v>
      </c>
      <c r="M161" s="86">
        <f t="shared" si="23"/>
        <v>7</v>
      </c>
      <c r="N161" s="90"/>
      <c r="O161" s="89"/>
      <c r="P161" s="112"/>
      <c r="Q161" s="91"/>
      <c r="R161" s="113"/>
      <c r="S161" s="113"/>
      <c r="T161" s="113"/>
      <c r="U161" s="113"/>
      <c r="V161" s="92"/>
      <c r="W161" s="114"/>
      <c r="X161" s="92">
        <f t="shared" ref="X161:Y161" si="167">(P161+R161+T161+V161)</f>
        <v>0</v>
      </c>
      <c r="Y161" s="92">
        <f t="shared" si="167"/>
        <v>0</v>
      </c>
      <c r="Z161" s="84">
        <f t="shared" si="3"/>
        <v>0</v>
      </c>
      <c r="AA161" s="93" t="str">
        <f t="shared" si="4"/>
        <v>4D</v>
      </c>
      <c r="AB161" s="94" t="s">
        <v>68</v>
      </c>
      <c r="AC161" s="94" t="s">
        <v>265</v>
      </c>
      <c r="AD161" s="94">
        <v>65</v>
      </c>
      <c r="AE161" s="94">
        <v>43</v>
      </c>
      <c r="AF161" s="94">
        <v>108</v>
      </c>
      <c r="AG161" s="95">
        <f t="shared" si="6"/>
        <v>0.60185185185185186</v>
      </c>
      <c r="AH161" s="96">
        <f t="shared" si="7"/>
        <v>-34.398148148148145</v>
      </c>
      <c r="AI161" s="97">
        <v>1</v>
      </c>
      <c r="AJ161" s="98" t="s">
        <v>464</v>
      </c>
      <c r="AK161" s="81" t="s">
        <v>275</v>
      </c>
      <c r="AL161" s="67"/>
      <c r="AM161" s="506"/>
      <c r="AN161" s="505"/>
      <c r="AO161" s="515"/>
    </row>
    <row r="162" spans="1:41" ht="14.5">
      <c r="A162" s="58">
        <v>41910</v>
      </c>
      <c r="B162" s="59" t="s">
        <v>428</v>
      </c>
      <c r="C162" s="60" t="s">
        <v>205</v>
      </c>
      <c r="D162" s="60" t="s">
        <v>562</v>
      </c>
      <c r="E162" s="100">
        <v>9</v>
      </c>
      <c r="F162" s="101">
        <v>1</v>
      </c>
      <c r="G162" s="101">
        <v>0</v>
      </c>
      <c r="H162" s="60">
        <v>10</v>
      </c>
      <c r="I162" s="60">
        <v>33</v>
      </c>
      <c r="J162" s="60">
        <v>43</v>
      </c>
      <c r="K162" s="60">
        <v>0.2326</v>
      </c>
      <c r="L162" s="60">
        <f t="shared" si="0"/>
        <v>-22.767399999999999</v>
      </c>
      <c r="M162" s="64">
        <f t="shared" si="23"/>
        <v>31</v>
      </c>
      <c r="N162" s="65" t="s">
        <v>207</v>
      </c>
      <c r="O162" s="60" t="s">
        <v>563</v>
      </c>
      <c r="P162" s="115">
        <v>11</v>
      </c>
      <c r="Q162" s="115">
        <v>9</v>
      </c>
      <c r="R162" s="115">
        <v>11</v>
      </c>
      <c r="S162" s="115">
        <v>10</v>
      </c>
      <c r="T162" s="115">
        <v>10</v>
      </c>
      <c r="U162" s="115">
        <v>11</v>
      </c>
      <c r="V162" s="116"/>
      <c r="W162" s="117"/>
      <c r="X162" s="67">
        <f t="shared" ref="X162:Y162" si="168">(P162+R162+T162+V162)</f>
        <v>32</v>
      </c>
      <c r="Y162" s="67">
        <f t="shared" si="168"/>
        <v>30</v>
      </c>
      <c r="Z162" s="68">
        <f t="shared" si="3"/>
        <v>62</v>
      </c>
      <c r="AA162" s="69" t="str">
        <f t="shared" si="4"/>
        <v>1A</v>
      </c>
      <c r="AB162" s="70" t="s">
        <v>562</v>
      </c>
      <c r="AC162" s="70" t="s">
        <v>213</v>
      </c>
      <c r="AD162" s="70">
        <v>10</v>
      </c>
      <c r="AE162" s="70">
        <v>33</v>
      </c>
      <c r="AF162" s="70">
        <v>43</v>
      </c>
      <c r="AG162" s="72">
        <f t="shared" si="6"/>
        <v>0.23255813953488372</v>
      </c>
      <c r="AH162" s="73">
        <f t="shared" si="7"/>
        <v>-89.767441860465112</v>
      </c>
      <c r="AI162" s="74">
        <v>31</v>
      </c>
      <c r="AJ162" s="79" t="s">
        <v>484</v>
      </c>
      <c r="AK162" s="76" t="s">
        <v>463</v>
      </c>
      <c r="AL162" s="67"/>
      <c r="AM162" s="506"/>
      <c r="AN162" s="505"/>
      <c r="AO162" s="515"/>
    </row>
    <row r="163" spans="1:41" ht="14.5">
      <c r="A163" s="58">
        <v>41910</v>
      </c>
      <c r="B163" s="59" t="s">
        <v>428</v>
      </c>
      <c r="C163" s="60" t="s">
        <v>211</v>
      </c>
      <c r="D163" s="60" t="s">
        <v>564</v>
      </c>
      <c r="E163" s="105">
        <v>11</v>
      </c>
      <c r="F163" s="106">
        <v>2</v>
      </c>
      <c r="G163" s="106">
        <v>2</v>
      </c>
      <c r="H163" s="60">
        <v>15</v>
      </c>
      <c r="I163" s="60">
        <v>31</v>
      </c>
      <c r="J163" s="60">
        <v>46</v>
      </c>
      <c r="K163" s="60">
        <v>0.3261</v>
      </c>
      <c r="L163" s="60">
        <f t="shared" si="0"/>
        <v>-17.6739</v>
      </c>
      <c r="M163" s="64">
        <f t="shared" si="23"/>
        <v>28</v>
      </c>
      <c r="N163" s="65"/>
      <c r="O163" s="60"/>
      <c r="P163" s="103"/>
      <c r="Q163" s="103"/>
      <c r="R163" s="103"/>
      <c r="S163" s="103"/>
      <c r="T163" s="103"/>
      <c r="U163" s="103"/>
      <c r="V163" s="69"/>
      <c r="W163" s="104"/>
      <c r="X163" s="67">
        <f t="shared" ref="X163:Y163" si="169">(P163+R163+T163+V163)</f>
        <v>0</v>
      </c>
      <c r="Y163" s="67">
        <f t="shared" si="169"/>
        <v>0</v>
      </c>
      <c r="Z163" s="68">
        <f t="shared" si="3"/>
        <v>0</v>
      </c>
      <c r="AA163" s="69" t="str">
        <f t="shared" si="4"/>
        <v>1B</v>
      </c>
      <c r="AB163" s="70" t="s">
        <v>564</v>
      </c>
      <c r="AC163" s="70" t="s">
        <v>208</v>
      </c>
      <c r="AD163" s="70">
        <v>15</v>
      </c>
      <c r="AE163" s="70">
        <v>31</v>
      </c>
      <c r="AF163" s="70">
        <v>46</v>
      </c>
      <c r="AG163" s="72">
        <f t="shared" si="6"/>
        <v>0.32608695652173914</v>
      </c>
      <c r="AH163" s="73">
        <f t="shared" si="7"/>
        <v>-84.673913043478265</v>
      </c>
      <c r="AI163" s="74">
        <v>28</v>
      </c>
      <c r="AJ163" s="79" t="s">
        <v>421</v>
      </c>
      <c r="AK163" s="76" t="s">
        <v>533</v>
      </c>
      <c r="AL163" s="67"/>
      <c r="AM163" s="506"/>
      <c r="AN163" s="505"/>
      <c r="AO163" s="515"/>
    </row>
    <row r="164" spans="1:41" ht="14.5">
      <c r="A164" s="58">
        <v>41910</v>
      </c>
      <c r="B164" s="59" t="s">
        <v>428</v>
      </c>
      <c r="C164" s="60" t="s">
        <v>216</v>
      </c>
      <c r="D164" s="60" t="s">
        <v>563</v>
      </c>
      <c r="E164" s="107">
        <v>11</v>
      </c>
      <c r="F164" s="108">
        <v>11</v>
      </c>
      <c r="G164" s="106">
        <v>11</v>
      </c>
      <c r="H164" s="60">
        <v>33</v>
      </c>
      <c r="I164" s="60">
        <v>13</v>
      </c>
      <c r="J164" s="60">
        <v>46</v>
      </c>
      <c r="K164" s="60">
        <v>0.71740000000000004</v>
      </c>
      <c r="L164" s="60">
        <f t="shared" si="0"/>
        <v>0.71740000000000004</v>
      </c>
      <c r="M164" s="64">
        <f t="shared" si="23"/>
        <v>3</v>
      </c>
      <c r="N164" s="65" t="s">
        <v>265</v>
      </c>
      <c r="O164" s="60" t="s">
        <v>565</v>
      </c>
      <c r="P164" s="103">
        <v>9</v>
      </c>
      <c r="Q164" s="103">
        <v>11</v>
      </c>
      <c r="R164" s="103"/>
      <c r="S164" s="103"/>
      <c r="T164" s="103"/>
      <c r="U164" s="103"/>
      <c r="V164" s="69"/>
      <c r="W164" s="104"/>
      <c r="X164" s="67">
        <f t="shared" ref="X164:Y164" si="170">(P164+R164+T164+V164)</f>
        <v>9</v>
      </c>
      <c r="Y164" s="67">
        <f t="shared" si="170"/>
        <v>11</v>
      </c>
      <c r="Z164" s="68">
        <f t="shared" si="3"/>
        <v>20</v>
      </c>
      <c r="AA164" s="69" t="str">
        <f t="shared" si="4"/>
        <v>1C</v>
      </c>
      <c r="AB164" s="70" t="s">
        <v>563</v>
      </c>
      <c r="AC164" s="70" t="s">
        <v>207</v>
      </c>
      <c r="AD164" s="70">
        <v>65</v>
      </c>
      <c r="AE164" s="70">
        <v>43</v>
      </c>
      <c r="AF164" s="70">
        <v>108</v>
      </c>
      <c r="AG164" s="72">
        <f t="shared" si="6"/>
        <v>0.60185185185185186</v>
      </c>
      <c r="AH164" s="73">
        <f t="shared" si="7"/>
        <v>-34.398148148148145</v>
      </c>
      <c r="AI164" s="74">
        <v>3</v>
      </c>
      <c r="AJ164" s="79" t="s">
        <v>358</v>
      </c>
      <c r="AK164" s="76" t="s">
        <v>566</v>
      </c>
      <c r="AL164" s="67"/>
      <c r="AM164" s="506"/>
      <c r="AN164" s="505"/>
      <c r="AO164" s="515"/>
    </row>
    <row r="165" spans="1:41" ht="14.5">
      <c r="A165" s="58">
        <v>41910</v>
      </c>
      <c r="B165" s="59" t="s">
        <v>428</v>
      </c>
      <c r="C165" s="60" t="s">
        <v>221</v>
      </c>
      <c r="D165" s="60" t="s">
        <v>73</v>
      </c>
      <c r="E165" s="109">
        <v>10</v>
      </c>
      <c r="F165" s="110">
        <v>11</v>
      </c>
      <c r="G165" s="111">
        <v>11</v>
      </c>
      <c r="H165" s="60">
        <v>32</v>
      </c>
      <c r="I165" s="60">
        <v>13</v>
      </c>
      <c r="J165" s="60">
        <v>45</v>
      </c>
      <c r="K165" s="60">
        <v>0.71109999999999995</v>
      </c>
      <c r="L165" s="60">
        <f t="shared" si="0"/>
        <v>-0.28890000000000005</v>
      </c>
      <c r="M165" s="64">
        <f t="shared" si="23"/>
        <v>8</v>
      </c>
      <c r="N165" s="90"/>
      <c r="O165" s="89"/>
      <c r="P165" s="113"/>
      <c r="Q165" s="113"/>
      <c r="R165" s="103"/>
      <c r="S165" s="103"/>
      <c r="T165" s="103"/>
      <c r="U165" s="103"/>
      <c r="V165" s="69"/>
      <c r="W165" s="104"/>
      <c r="X165" s="67">
        <f t="shared" ref="X165:Y165" si="171">(P165+R165+T165+V165)</f>
        <v>0</v>
      </c>
      <c r="Y165" s="67">
        <f t="shared" si="171"/>
        <v>0</v>
      </c>
      <c r="Z165" s="68">
        <f t="shared" si="3"/>
        <v>0</v>
      </c>
      <c r="AA165" s="69" t="str">
        <f t="shared" si="4"/>
        <v>1D</v>
      </c>
      <c r="AB165" s="70" t="s">
        <v>73</v>
      </c>
      <c r="AC165" s="70" t="s">
        <v>218</v>
      </c>
      <c r="AD165" s="70">
        <v>72</v>
      </c>
      <c r="AE165" s="70">
        <v>46</v>
      </c>
      <c r="AF165" s="70">
        <v>118</v>
      </c>
      <c r="AG165" s="72">
        <f t="shared" si="6"/>
        <v>0.61016949152542377</v>
      </c>
      <c r="AH165" s="73">
        <f t="shared" si="7"/>
        <v>-27.389830508474578</v>
      </c>
      <c r="AI165" s="74">
        <v>2</v>
      </c>
      <c r="AJ165" s="79" t="s">
        <v>226</v>
      </c>
      <c r="AK165" s="76" t="s">
        <v>525</v>
      </c>
      <c r="AL165" s="67"/>
      <c r="AM165" s="506"/>
      <c r="AN165" s="505"/>
      <c r="AO165" s="515"/>
    </row>
    <row r="166" spans="1:41" ht="14.5">
      <c r="A166" s="58">
        <v>41910</v>
      </c>
      <c r="B166" s="59" t="s">
        <v>428</v>
      </c>
      <c r="C166" s="60" t="s">
        <v>224</v>
      </c>
      <c r="D166" s="60" t="s">
        <v>567</v>
      </c>
      <c r="E166" s="100">
        <v>11</v>
      </c>
      <c r="F166" s="101">
        <v>11</v>
      </c>
      <c r="G166" s="101">
        <v>4</v>
      </c>
      <c r="H166" s="60">
        <v>26</v>
      </c>
      <c r="I166" s="60">
        <v>19</v>
      </c>
      <c r="J166" s="60">
        <v>45</v>
      </c>
      <c r="K166" s="60">
        <v>0.57779999999999998</v>
      </c>
      <c r="L166" s="60">
        <f t="shared" si="0"/>
        <v>-6.4222000000000001</v>
      </c>
      <c r="M166" s="64">
        <f t="shared" si="23"/>
        <v>15</v>
      </c>
      <c r="N166" s="65" t="s">
        <v>225</v>
      </c>
      <c r="O166" s="60" t="s">
        <v>568</v>
      </c>
      <c r="P166" s="103">
        <v>11</v>
      </c>
      <c r="Q166" s="103">
        <v>8</v>
      </c>
      <c r="R166" s="103">
        <v>10</v>
      </c>
      <c r="S166" s="103">
        <v>11</v>
      </c>
      <c r="T166" s="103"/>
      <c r="U166" s="103"/>
      <c r="V166" s="69"/>
      <c r="W166" s="104"/>
      <c r="X166" s="67">
        <f t="shared" ref="X166:Y166" si="172">(P166+R166+T166+V166)</f>
        <v>21</v>
      </c>
      <c r="Y166" s="67">
        <f t="shared" si="172"/>
        <v>19</v>
      </c>
      <c r="Z166" s="68">
        <f t="shared" si="3"/>
        <v>40</v>
      </c>
      <c r="AA166" s="69" t="str">
        <f t="shared" si="4"/>
        <v>2A</v>
      </c>
      <c r="AB166" s="70" t="s">
        <v>567</v>
      </c>
      <c r="AC166" s="70" t="s">
        <v>230</v>
      </c>
      <c r="AD166" s="70">
        <v>32</v>
      </c>
      <c r="AE166" s="70">
        <v>30</v>
      </c>
      <c r="AF166" s="70">
        <v>62</v>
      </c>
      <c r="AG166" s="72">
        <f t="shared" si="6"/>
        <v>0.5161290322580645</v>
      </c>
      <c r="AH166" s="73">
        <f t="shared" si="7"/>
        <v>-67.483870967741936</v>
      </c>
      <c r="AI166" s="74">
        <v>15</v>
      </c>
      <c r="AJ166" s="79" t="s">
        <v>559</v>
      </c>
      <c r="AK166" s="76" t="s">
        <v>449</v>
      </c>
      <c r="AL166" s="67"/>
      <c r="AM166" s="506"/>
      <c r="AN166" s="505"/>
      <c r="AO166" s="515"/>
    </row>
    <row r="167" spans="1:41" ht="14.5">
      <c r="A167" s="58">
        <v>41910</v>
      </c>
      <c r="B167" s="59" t="s">
        <v>428</v>
      </c>
      <c r="C167" s="60" t="s">
        <v>228</v>
      </c>
      <c r="D167" s="60" t="s">
        <v>569</v>
      </c>
      <c r="E167" s="105">
        <v>4</v>
      </c>
      <c r="F167" s="106">
        <v>7</v>
      </c>
      <c r="G167" s="106">
        <v>8</v>
      </c>
      <c r="H167" s="60">
        <v>19</v>
      </c>
      <c r="I167" s="60">
        <v>33</v>
      </c>
      <c r="J167" s="60">
        <v>52</v>
      </c>
      <c r="K167" s="60">
        <v>0.3654</v>
      </c>
      <c r="L167" s="60">
        <f t="shared" si="0"/>
        <v>-13.634600000000001</v>
      </c>
      <c r="M167" s="64">
        <f t="shared" si="23"/>
        <v>26</v>
      </c>
      <c r="N167" s="65"/>
      <c r="O167" s="60"/>
      <c r="P167" s="103"/>
      <c r="Q167" s="103"/>
      <c r="R167" s="103"/>
      <c r="S167" s="103"/>
      <c r="T167" s="103"/>
      <c r="U167" s="103"/>
      <c r="V167" s="69"/>
      <c r="W167" s="104"/>
      <c r="X167" s="67">
        <f t="shared" ref="X167:Y167" si="173">(P167+R167+T167+V167)</f>
        <v>0</v>
      </c>
      <c r="Y167" s="67">
        <f t="shared" si="173"/>
        <v>0</v>
      </c>
      <c r="Z167" s="68">
        <f t="shared" si="3"/>
        <v>0</v>
      </c>
      <c r="AA167" s="69" t="str">
        <f t="shared" si="4"/>
        <v>2B</v>
      </c>
      <c r="AB167" s="70" t="s">
        <v>569</v>
      </c>
      <c r="AC167" s="70" t="s">
        <v>234</v>
      </c>
      <c r="AD167" s="70">
        <v>19</v>
      </c>
      <c r="AE167" s="70">
        <v>33</v>
      </c>
      <c r="AF167" s="70">
        <v>52</v>
      </c>
      <c r="AG167" s="72">
        <f t="shared" si="6"/>
        <v>0.36538461538461536</v>
      </c>
      <c r="AH167" s="73">
        <f t="shared" si="7"/>
        <v>-80.634615384615387</v>
      </c>
      <c r="AI167" s="74">
        <v>26</v>
      </c>
      <c r="AJ167" s="79" t="s">
        <v>452</v>
      </c>
      <c r="AK167" s="76" t="s">
        <v>512</v>
      </c>
      <c r="AL167" s="67"/>
      <c r="AM167" s="506"/>
      <c r="AN167" s="505"/>
      <c r="AO167" s="515"/>
    </row>
    <row r="168" spans="1:41" ht="14.5">
      <c r="A168" s="58">
        <v>41910</v>
      </c>
      <c r="B168" s="59" t="s">
        <v>428</v>
      </c>
      <c r="C168" s="60" t="s">
        <v>232</v>
      </c>
      <c r="D168" s="60" t="s">
        <v>570</v>
      </c>
      <c r="E168" s="107">
        <v>8</v>
      </c>
      <c r="F168" s="108">
        <v>4</v>
      </c>
      <c r="G168" s="106">
        <v>11</v>
      </c>
      <c r="H168" s="60">
        <v>23</v>
      </c>
      <c r="I168" s="60">
        <v>30</v>
      </c>
      <c r="J168" s="60">
        <v>53</v>
      </c>
      <c r="K168" s="60">
        <v>0.434</v>
      </c>
      <c r="L168" s="60">
        <f t="shared" si="0"/>
        <v>-9.5660000000000007</v>
      </c>
      <c r="M168" s="64">
        <f t="shared" si="23"/>
        <v>21</v>
      </c>
      <c r="N168" s="65" t="s">
        <v>253</v>
      </c>
      <c r="O168" s="60" t="s">
        <v>571</v>
      </c>
      <c r="P168" s="103">
        <v>8</v>
      </c>
      <c r="Q168" s="103">
        <v>11</v>
      </c>
      <c r="R168" s="103"/>
      <c r="S168" s="103"/>
      <c r="T168" s="103"/>
      <c r="U168" s="103"/>
      <c r="V168" s="69"/>
      <c r="W168" s="104"/>
      <c r="X168" s="67">
        <f t="shared" ref="X168:Y168" si="174">(P168+R168+T168+V168)</f>
        <v>8</v>
      </c>
      <c r="Y168" s="67">
        <f t="shared" si="174"/>
        <v>11</v>
      </c>
      <c r="Z168" s="68">
        <f t="shared" si="3"/>
        <v>19</v>
      </c>
      <c r="AA168" s="69" t="str">
        <f t="shared" si="4"/>
        <v>2C</v>
      </c>
      <c r="AB168" s="70" t="s">
        <v>570</v>
      </c>
      <c r="AC168" s="70" t="s">
        <v>239</v>
      </c>
      <c r="AD168" s="70">
        <v>23</v>
      </c>
      <c r="AE168" s="70">
        <v>30</v>
      </c>
      <c r="AF168" s="70">
        <v>53</v>
      </c>
      <c r="AG168" s="72">
        <f t="shared" si="6"/>
        <v>0.43396226415094341</v>
      </c>
      <c r="AH168" s="73">
        <f t="shared" si="7"/>
        <v>-76.566037735849051</v>
      </c>
      <c r="AI168" s="74">
        <v>21</v>
      </c>
      <c r="AJ168" s="79" t="s">
        <v>476</v>
      </c>
      <c r="AK168" s="76" t="s">
        <v>572</v>
      </c>
      <c r="AL168" s="67"/>
      <c r="AM168" s="506"/>
      <c r="AN168" s="505"/>
      <c r="AO168" s="515"/>
    </row>
    <row r="169" spans="1:41" ht="14.5">
      <c r="A169" s="58">
        <v>41910</v>
      </c>
      <c r="B169" s="59" t="s">
        <v>428</v>
      </c>
      <c r="C169" s="60" t="s">
        <v>237</v>
      </c>
      <c r="D169" s="60" t="s">
        <v>573</v>
      </c>
      <c r="E169" s="109">
        <v>11</v>
      </c>
      <c r="F169" s="110">
        <v>11</v>
      </c>
      <c r="G169" s="111">
        <v>11</v>
      </c>
      <c r="H169" s="60">
        <v>33</v>
      </c>
      <c r="I169" s="60">
        <v>19</v>
      </c>
      <c r="J169" s="60">
        <v>52</v>
      </c>
      <c r="K169" s="60">
        <v>0.63460000000000005</v>
      </c>
      <c r="L169" s="60">
        <f t="shared" si="0"/>
        <v>0.63460000000000005</v>
      </c>
      <c r="M169" s="64">
        <f t="shared" si="23"/>
        <v>5</v>
      </c>
      <c r="N169" s="90"/>
      <c r="O169" s="89"/>
      <c r="P169" s="113"/>
      <c r="Q169" s="113"/>
      <c r="R169" s="113"/>
      <c r="S169" s="113"/>
      <c r="T169" s="103"/>
      <c r="U169" s="103"/>
      <c r="V169" s="69"/>
      <c r="W169" s="104"/>
      <c r="X169" s="67">
        <f t="shared" ref="X169:Y169" si="175">(P169+R169+T169+V169)</f>
        <v>0</v>
      </c>
      <c r="Y169" s="67">
        <f t="shared" si="175"/>
        <v>0</v>
      </c>
      <c r="Z169" s="68">
        <f t="shared" si="3"/>
        <v>0</v>
      </c>
      <c r="AA169" s="69" t="str">
        <f t="shared" si="4"/>
        <v>2D</v>
      </c>
      <c r="AB169" s="70" t="s">
        <v>573</v>
      </c>
      <c r="AC169" s="70" t="s">
        <v>225</v>
      </c>
      <c r="AD169" s="70">
        <v>54</v>
      </c>
      <c r="AE169" s="70">
        <v>38</v>
      </c>
      <c r="AF169" s="70">
        <v>92</v>
      </c>
      <c r="AG169" s="72">
        <f t="shared" si="6"/>
        <v>0.58695652173913049</v>
      </c>
      <c r="AH169" s="73">
        <f t="shared" si="7"/>
        <v>-45.413043478260867</v>
      </c>
      <c r="AI169" s="74">
        <v>5</v>
      </c>
      <c r="AJ169" s="79" t="s">
        <v>462</v>
      </c>
      <c r="AK169" s="76" t="s">
        <v>574</v>
      </c>
      <c r="AL169" s="67"/>
      <c r="AM169" s="506"/>
      <c r="AN169" s="505"/>
      <c r="AO169" s="515"/>
    </row>
    <row r="170" spans="1:41" ht="14.5">
      <c r="A170" s="58">
        <v>41910</v>
      </c>
      <c r="B170" s="59" t="s">
        <v>428</v>
      </c>
      <c r="C170" s="60" t="s">
        <v>241</v>
      </c>
      <c r="D170" s="60" t="s">
        <v>575</v>
      </c>
      <c r="E170" s="100">
        <v>6</v>
      </c>
      <c r="F170" s="101">
        <v>5</v>
      </c>
      <c r="G170" s="101">
        <v>3</v>
      </c>
      <c r="H170" s="60">
        <v>14</v>
      </c>
      <c r="I170" s="60">
        <v>33</v>
      </c>
      <c r="J170" s="60">
        <v>47</v>
      </c>
      <c r="K170" s="60">
        <v>0.2979</v>
      </c>
      <c r="L170" s="60">
        <f t="shared" si="0"/>
        <v>-18.702100000000002</v>
      </c>
      <c r="M170" s="64">
        <f t="shared" si="23"/>
        <v>29</v>
      </c>
      <c r="N170" s="65" t="s">
        <v>243</v>
      </c>
      <c r="O170" s="60" t="s">
        <v>576</v>
      </c>
      <c r="P170" s="103">
        <v>11</v>
      </c>
      <c r="Q170" s="103">
        <v>6</v>
      </c>
      <c r="R170" s="103">
        <v>8</v>
      </c>
      <c r="S170" s="103">
        <v>11</v>
      </c>
      <c r="T170" s="103"/>
      <c r="U170" s="103"/>
      <c r="V170" s="69"/>
      <c r="W170" s="104"/>
      <c r="X170" s="67">
        <f t="shared" ref="X170:Y170" si="176">(P170+R170+T170+V170)</f>
        <v>19</v>
      </c>
      <c r="Y170" s="67">
        <f t="shared" si="176"/>
        <v>17</v>
      </c>
      <c r="Z170" s="68">
        <f t="shared" si="3"/>
        <v>36</v>
      </c>
      <c r="AA170" s="69" t="str">
        <f t="shared" si="4"/>
        <v>3A</v>
      </c>
      <c r="AB170" s="70" t="s">
        <v>575</v>
      </c>
      <c r="AC170" s="70" t="s">
        <v>258</v>
      </c>
      <c r="AD170" s="70">
        <v>14</v>
      </c>
      <c r="AE170" s="70">
        <v>33</v>
      </c>
      <c r="AF170" s="70">
        <v>47</v>
      </c>
      <c r="AG170" s="72">
        <f t="shared" si="6"/>
        <v>0.2978723404255319</v>
      </c>
      <c r="AH170" s="73">
        <f t="shared" si="7"/>
        <v>-85.702127659574472</v>
      </c>
      <c r="AI170" s="74">
        <v>29</v>
      </c>
      <c r="AJ170" s="79" t="s">
        <v>394</v>
      </c>
      <c r="AK170" s="76" t="s">
        <v>482</v>
      </c>
      <c r="AL170" s="67"/>
      <c r="AM170" s="506"/>
      <c r="AN170" s="505"/>
      <c r="AO170" s="515"/>
    </row>
    <row r="171" spans="1:41" ht="14.5">
      <c r="A171" s="58">
        <v>41910</v>
      </c>
      <c r="B171" s="59" t="s">
        <v>428</v>
      </c>
      <c r="C171" s="60" t="s">
        <v>246</v>
      </c>
      <c r="D171" s="60" t="s">
        <v>571</v>
      </c>
      <c r="E171" s="105">
        <v>11</v>
      </c>
      <c r="F171" s="106">
        <v>4</v>
      </c>
      <c r="G171" s="106">
        <v>11</v>
      </c>
      <c r="H171" s="60">
        <v>26</v>
      </c>
      <c r="I171" s="60">
        <v>27</v>
      </c>
      <c r="J171" s="60">
        <v>53</v>
      </c>
      <c r="K171" s="60">
        <v>0.49059999999999998</v>
      </c>
      <c r="L171" s="60">
        <f t="shared" si="0"/>
        <v>-6.5094000000000003</v>
      </c>
      <c r="M171" s="64">
        <f t="shared" si="23"/>
        <v>16</v>
      </c>
      <c r="N171" s="65"/>
      <c r="O171" s="60"/>
      <c r="P171" s="103"/>
      <c r="Q171" s="103"/>
      <c r="R171" s="103"/>
      <c r="S171" s="103"/>
      <c r="T171" s="103"/>
      <c r="U171" s="103"/>
      <c r="V171" s="69"/>
      <c r="W171" s="104"/>
      <c r="X171" s="67">
        <f t="shared" ref="X171:Y171" si="177">(P171+R171+T171+V171)</f>
        <v>0</v>
      </c>
      <c r="Y171" s="67">
        <f t="shared" si="177"/>
        <v>0</v>
      </c>
      <c r="Z171" s="68">
        <f t="shared" si="3"/>
        <v>0</v>
      </c>
      <c r="AA171" s="69" t="str">
        <f t="shared" si="4"/>
        <v>3B</v>
      </c>
      <c r="AB171" s="70" t="s">
        <v>571</v>
      </c>
      <c r="AC171" s="70" t="s">
        <v>253</v>
      </c>
      <c r="AD171" s="70">
        <v>34</v>
      </c>
      <c r="AE171" s="70">
        <v>38</v>
      </c>
      <c r="AF171" s="70">
        <v>72</v>
      </c>
      <c r="AG171" s="72">
        <f t="shared" si="6"/>
        <v>0.47222222222222221</v>
      </c>
      <c r="AH171" s="73">
        <f t="shared" si="7"/>
        <v>-65.527777777777771</v>
      </c>
      <c r="AI171" s="74">
        <v>12</v>
      </c>
      <c r="AJ171" s="79" t="s">
        <v>227</v>
      </c>
      <c r="AK171" s="76" t="s">
        <v>577</v>
      </c>
      <c r="AL171" s="67"/>
      <c r="AM171" s="506"/>
      <c r="AN171" s="505"/>
      <c r="AO171" s="515"/>
    </row>
    <row r="172" spans="1:41" ht="14.5">
      <c r="A172" s="58">
        <v>41910</v>
      </c>
      <c r="B172" s="59" t="s">
        <v>428</v>
      </c>
      <c r="C172" s="60" t="s">
        <v>251</v>
      </c>
      <c r="D172" s="60" t="s">
        <v>578</v>
      </c>
      <c r="E172" s="107">
        <v>2</v>
      </c>
      <c r="F172" s="108">
        <v>11</v>
      </c>
      <c r="G172" s="106">
        <v>10</v>
      </c>
      <c r="H172" s="60">
        <v>23</v>
      </c>
      <c r="I172" s="60">
        <v>27</v>
      </c>
      <c r="J172" s="60">
        <v>50</v>
      </c>
      <c r="K172" s="60">
        <v>0.46</v>
      </c>
      <c r="L172" s="60">
        <f t="shared" si="0"/>
        <v>-9.5399999999999991</v>
      </c>
      <c r="M172" s="64">
        <f t="shared" si="23"/>
        <v>20</v>
      </c>
      <c r="N172" s="65" t="s">
        <v>230</v>
      </c>
      <c r="O172" s="60" t="s">
        <v>567</v>
      </c>
      <c r="P172" s="103">
        <v>6</v>
      </c>
      <c r="Q172" s="103">
        <v>11</v>
      </c>
      <c r="R172" s="103"/>
      <c r="S172" s="103"/>
      <c r="T172" s="103"/>
      <c r="U172" s="103"/>
      <c r="V172" s="69"/>
      <c r="W172" s="104"/>
      <c r="X172" s="67">
        <f t="shared" ref="X172:Y172" si="178">(P172+R172+T172+V172)</f>
        <v>6</v>
      </c>
      <c r="Y172" s="67">
        <f t="shared" si="178"/>
        <v>11</v>
      </c>
      <c r="Z172" s="68">
        <f t="shared" si="3"/>
        <v>17</v>
      </c>
      <c r="AA172" s="69" t="str">
        <f t="shared" si="4"/>
        <v>3C</v>
      </c>
      <c r="AB172" s="70" t="s">
        <v>578</v>
      </c>
      <c r="AC172" s="70" t="s">
        <v>248</v>
      </c>
      <c r="AD172" s="70">
        <v>23</v>
      </c>
      <c r="AE172" s="70">
        <v>27</v>
      </c>
      <c r="AF172" s="70">
        <v>50</v>
      </c>
      <c r="AG172" s="72">
        <f t="shared" si="6"/>
        <v>0.46</v>
      </c>
      <c r="AH172" s="73">
        <f t="shared" si="7"/>
        <v>-76.540000000000006</v>
      </c>
      <c r="AI172" s="74">
        <v>20</v>
      </c>
      <c r="AJ172" s="79" t="s">
        <v>579</v>
      </c>
      <c r="AK172" s="76" t="s">
        <v>453</v>
      </c>
      <c r="AL172" s="67"/>
      <c r="AM172" s="506"/>
      <c r="AN172" s="505"/>
      <c r="AO172" s="515"/>
    </row>
    <row r="173" spans="1:41" ht="14.5">
      <c r="A173" s="58">
        <v>41910</v>
      </c>
      <c r="B173" s="59" t="s">
        <v>428</v>
      </c>
      <c r="C173" s="60" t="s">
        <v>256</v>
      </c>
      <c r="D173" s="60" t="s">
        <v>576</v>
      </c>
      <c r="E173" s="109">
        <v>11</v>
      </c>
      <c r="F173" s="110">
        <v>11</v>
      </c>
      <c r="G173" s="111">
        <v>11</v>
      </c>
      <c r="H173" s="60">
        <v>33</v>
      </c>
      <c r="I173" s="60">
        <v>9</v>
      </c>
      <c r="J173" s="60">
        <v>42</v>
      </c>
      <c r="K173" s="60">
        <v>0.78569999999999995</v>
      </c>
      <c r="L173" s="60">
        <f t="shared" si="0"/>
        <v>0.78569999999999995</v>
      </c>
      <c r="M173" s="64">
        <f t="shared" si="23"/>
        <v>2</v>
      </c>
      <c r="N173" s="90"/>
      <c r="O173" s="89"/>
      <c r="P173" s="113"/>
      <c r="Q173" s="113"/>
      <c r="R173" s="103"/>
      <c r="S173" s="103"/>
      <c r="T173" s="103"/>
      <c r="U173" s="103"/>
      <c r="V173" s="69"/>
      <c r="W173" s="104"/>
      <c r="X173" s="67">
        <f t="shared" ref="X173:Y173" si="179">(P173+R173+T173+V173)</f>
        <v>0</v>
      </c>
      <c r="Y173" s="67">
        <f t="shared" si="179"/>
        <v>0</v>
      </c>
      <c r="Z173" s="68">
        <f t="shared" si="3"/>
        <v>0</v>
      </c>
      <c r="AA173" s="69" t="str">
        <f t="shared" si="4"/>
        <v>3D</v>
      </c>
      <c r="AB173" s="70" t="s">
        <v>576</v>
      </c>
      <c r="AC173" s="70" t="s">
        <v>243</v>
      </c>
      <c r="AD173" s="70">
        <v>52</v>
      </c>
      <c r="AE173" s="70">
        <v>26</v>
      </c>
      <c r="AF173" s="70">
        <v>78</v>
      </c>
      <c r="AG173" s="72">
        <f t="shared" si="6"/>
        <v>0.66666666666666663</v>
      </c>
      <c r="AH173" s="73">
        <f t="shared" si="7"/>
        <v>-47.333333333333336</v>
      </c>
      <c r="AI173" s="74">
        <v>6</v>
      </c>
      <c r="AJ173" s="79" t="s">
        <v>580</v>
      </c>
      <c r="AK173" s="76" t="s">
        <v>529</v>
      </c>
      <c r="AL173" s="67"/>
      <c r="AM173" s="506"/>
      <c r="AN173" s="505"/>
      <c r="AO173" s="515"/>
    </row>
    <row r="174" spans="1:41" ht="14.5">
      <c r="A174" s="58">
        <v>41910</v>
      </c>
      <c r="B174" s="59" t="s">
        <v>428</v>
      </c>
      <c r="C174" s="60" t="s">
        <v>261</v>
      </c>
      <c r="D174" s="60" t="s">
        <v>581</v>
      </c>
      <c r="E174" s="100">
        <v>11</v>
      </c>
      <c r="F174" s="101">
        <v>6</v>
      </c>
      <c r="G174" s="101">
        <v>4</v>
      </c>
      <c r="H174" s="60">
        <v>21</v>
      </c>
      <c r="I174" s="60">
        <v>24</v>
      </c>
      <c r="J174" s="60">
        <v>45</v>
      </c>
      <c r="K174" s="60">
        <v>0.4667</v>
      </c>
      <c r="L174" s="60">
        <f t="shared" si="0"/>
        <v>-11.533300000000001</v>
      </c>
      <c r="M174" s="64">
        <f t="shared" si="23"/>
        <v>24</v>
      </c>
      <c r="N174" s="65" t="s">
        <v>263</v>
      </c>
      <c r="O174" s="60" t="s">
        <v>582</v>
      </c>
      <c r="P174" s="103">
        <v>4</v>
      </c>
      <c r="Q174" s="103">
        <v>11</v>
      </c>
      <c r="R174" s="103"/>
      <c r="S174" s="103"/>
      <c r="T174" s="103"/>
      <c r="U174" s="103"/>
      <c r="V174" s="69"/>
      <c r="W174" s="104"/>
      <c r="X174" s="67">
        <f t="shared" ref="X174:Y174" si="180">(P174+R174+T174+V174)</f>
        <v>4</v>
      </c>
      <c r="Y174" s="67">
        <f t="shared" si="180"/>
        <v>11</v>
      </c>
      <c r="Z174" s="68">
        <f t="shared" si="3"/>
        <v>15</v>
      </c>
      <c r="AA174" s="69" t="str">
        <f t="shared" si="4"/>
        <v>4A</v>
      </c>
      <c r="AB174" s="70" t="s">
        <v>581</v>
      </c>
      <c r="AC174" s="70" t="s">
        <v>278</v>
      </c>
      <c r="AD174" s="70">
        <v>21</v>
      </c>
      <c r="AE174" s="70">
        <v>24</v>
      </c>
      <c r="AF174" s="70">
        <v>45</v>
      </c>
      <c r="AG174" s="72">
        <f t="shared" si="6"/>
        <v>0.46666666666666667</v>
      </c>
      <c r="AH174" s="73">
        <f t="shared" si="7"/>
        <v>-78.533333333333331</v>
      </c>
      <c r="AI174" s="74">
        <v>24</v>
      </c>
      <c r="AJ174" s="79" t="s">
        <v>459</v>
      </c>
      <c r="AK174" s="76" t="s">
        <v>437</v>
      </c>
      <c r="AL174" s="67"/>
      <c r="AM174" s="506"/>
      <c r="AN174" s="505"/>
      <c r="AO174" s="515"/>
    </row>
    <row r="175" spans="1:41" ht="14.5">
      <c r="A175" s="58">
        <v>41910</v>
      </c>
      <c r="B175" s="59" t="s">
        <v>428</v>
      </c>
      <c r="C175" s="60" t="s">
        <v>268</v>
      </c>
      <c r="D175" s="60" t="s">
        <v>583</v>
      </c>
      <c r="E175" s="105">
        <v>2</v>
      </c>
      <c r="F175" s="106">
        <v>2</v>
      </c>
      <c r="G175" s="106">
        <v>0</v>
      </c>
      <c r="H175" s="60">
        <v>4</v>
      </c>
      <c r="I175" s="60">
        <v>33</v>
      </c>
      <c r="J175" s="60">
        <v>37</v>
      </c>
      <c r="K175" s="60">
        <v>0.1081</v>
      </c>
      <c r="L175" s="60">
        <f t="shared" si="0"/>
        <v>-28.8919</v>
      </c>
      <c r="M175" s="64">
        <f t="shared" si="23"/>
        <v>32</v>
      </c>
      <c r="N175" s="65"/>
      <c r="O175" s="60"/>
      <c r="P175" s="103"/>
      <c r="Q175" s="103"/>
      <c r="R175" s="103"/>
      <c r="S175" s="103"/>
      <c r="T175" s="103"/>
      <c r="U175" s="103"/>
      <c r="V175" s="69"/>
      <c r="W175" s="104"/>
      <c r="X175" s="67">
        <f t="shared" ref="X175:Y175" si="181">(P175+R175+T175+V175)</f>
        <v>0</v>
      </c>
      <c r="Y175" s="67">
        <f t="shared" si="181"/>
        <v>0</v>
      </c>
      <c r="Z175" s="68">
        <f t="shared" si="3"/>
        <v>0</v>
      </c>
      <c r="AA175" s="69" t="str">
        <f t="shared" si="4"/>
        <v>4B</v>
      </c>
      <c r="AB175" s="70" t="s">
        <v>583</v>
      </c>
      <c r="AC175" s="70" t="s">
        <v>273</v>
      </c>
      <c r="AD175" s="70">
        <v>4</v>
      </c>
      <c r="AE175" s="70">
        <v>33</v>
      </c>
      <c r="AF175" s="70">
        <v>37</v>
      </c>
      <c r="AG175" s="72">
        <f t="shared" si="6"/>
        <v>0.10810810810810811</v>
      </c>
      <c r="AH175" s="73">
        <f t="shared" si="7"/>
        <v>-95.891891891891888</v>
      </c>
      <c r="AI175" s="74">
        <v>32</v>
      </c>
      <c r="AJ175" s="79" t="s">
        <v>584</v>
      </c>
      <c r="AK175" s="76" t="s">
        <v>585</v>
      </c>
      <c r="AL175" s="67"/>
      <c r="AM175" s="506"/>
      <c r="AN175" s="505"/>
      <c r="AO175" s="515"/>
    </row>
    <row r="176" spans="1:41" ht="14.5">
      <c r="A176" s="58">
        <v>41910</v>
      </c>
      <c r="B176" s="59" t="s">
        <v>428</v>
      </c>
      <c r="C176" s="60" t="s">
        <v>271</v>
      </c>
      <c r="D176" s="60" t="s">
        <v>565</v>
      </c>
      <c r="E176" s="107">
        <v>2</v>
      </c>
      <c r="F176" s="108">
        <v>11</v>
      </c>
      <c r="G176" s="106">
        <v>11</v>
      </c>
      <c r="H176" s="60">
        <v>24</v>
      </c>
      <c r="I176" s="60">
        <v>17</v>
      </c>
      <c r="J176" s="60">
        <v>41</v>
      </c>
      <c r="K176" s="60">
        <v>0.58540000000000003</v>
      </c>
      <c r="L176" s="60">
        <f t="shared" si="0"/>
        <v>-8.4146000000000001</v>
      </c>
      <c r="M176" s="64">
        <f t="shared" si="23"/>
        <v>19</v>
      </c>
      <c r="N176" s="65" t="s">
        <v>218</v>
      </c>
      <c r="O176" s="60" t="s">
        <v>73</v>
      </c>
      <c r="P176" s="103">
        <v>11</v>
      </c>
      <c r="Q176" s="103">
        <v>4</v>
      </c>
      <c r="R176" s="103">
        <v>11</v>
      </c>
      <c r="S176" s="103">
        <v>8</v>
      </c>
      <c r="T176" s="103">
        <v>11</v>
      </c>
      <c r="U176" s="103">
        <v>10</v>
      </c>
      <c r="V176" s="69">
        <v>7</v>
      </c>
      <c r="W176" s="104">
        <v>11</v>
      </c>
      <c r="X176" s="67">
        <f t="shared" ref="X176:Y176" si="182">(P176+R176+T176+V176)</f>
        <v>40</v>
      </c>
      <c r="Y176" s="67">
        <f t="shared" si="182"/>
        <v>33</v>
      </c>
      <c r="Z176" s="68">
        <f t="shared" si="3"/>
        <v>73</v>
      </c>
      <c r="AA176" s="69" t="str">
        <f t="shared" si="4"/>
        <v>4C</v>
      </c>
      <c r="AB176" s="70" t="s">
        <v>565</v>
      </c>
      <c r="AC176" s="70" t="s">
        <v>265</v>
      </c>
      <c r="AD176" s="70">
        <v>33</v>
      </c>
      <c r="AE176" s="70">
        <v>28</v>
      </c>
      <c r="AF176" s="70">
        <v>61</v>
      </c>
      <c r="AG176" s="72">
        <f t="shared" si="6"/>
        <v>0.54098360655737709</v>
      </c>
      <c r="AH176" s="73">
        <f t="shared" si="7"/>
        <v>-66.459016393442624</v>
      </c>
      <c r="AI176" s="74">
        <v>13</v>
      </c>
      <c r="AJ176" s="79" t="s">
        <v>386</v>
      </c>
      <c r="AK176" s="76" t="s">
        <v>500</v>
      </c>
      <c r="AL176" s="67"/>
      <c r="AM176" s="506"/>
      <c r="AN176" s="505"/>
      <c r="AO176" s="515"/>
    </row>
    <row r="177" spans="1:41" ht="14.5">
      <c r="A177" s="58">
        <v>41910</v>
      </c>
      <c r="B177" s="59" t="s">
        <v>428</v>
      </c>
      <c r="C177" s="60" t="s">
        <v>276</v>
      </c>
      <c r="D177" s="60" t="s">
        <v>582</v>
      </c>
      <c r="E177" s="109">
        <v>11</v>
      </c>
      <c r="F177" s="110">
        <v>11</v>
      </c>
      <c r="G177" s="111">
        <v>11</v>
      </c>
      <c r="H177" s="60">
        <v>33</v>
      </c>
      <c r="I177" s="60">
        <v>8</v>
      </c>
      <c r="J177" s="60">
        <v>41</v>
      </c>
      <c r="K177" s="60">
        <v>0.80489999999999995</v>
      </c>
      <c r="L177" s="60">
        <f t="shared" si="0"/>
        <v>0.80489999999999995</v>
      </c>
      <c r="M177" s="64">
        <f t="shared" si="23"/>
        <v>1</v>
      </c>
      <c r="N177" s="90"/>
      <c r="O177" s="89"/>
      <c r="P177" s="113"/>
      <c r="Q177" s="113"/>
      <c r="R177" s="113"/>
      <c r="S177" s="113"/>
      <c r="T177" s="113"/>
      <c r="U177" s="113"/>
      <c r="V177" s="69"/>
      <c r="W177" s="104"/>
      <c r="X177" s="67">
        <f t="shared" ref="X177:Y177" si="183">(P177+R177+T177+V177)</f>
        <v>0</v>
      </c>
      <c r="Y177" s="67">
        <f t="shared" si="183"/>
        <v>0</v>
      </c>
      <c r="Z177" s="68">
        <f t="shared" si="3"/>
        <v>0</v>
      </c>
      <c r="AA177" s="69" t="str">
        <f t="shared" si="4"/>
        <v>4D</v>
      </c>
      <c r="AB177" s="70" t="s">
        <v>582</v>
      </c>
      <c r="AC177" s="70" t="s">
        <v>263</v>
      </c>
      <c r="AD177" s="70">
        <v>37</v>
      </c>
      <c r="AE177" s="70">
        <v>19</v>
      </c>
      <c r="AF177" s="70">
        <v>56</v>
      </c>
      <c r="AG177" s="72">
        <f t="shared" si="6"/>
        <v>0.6607142857142857</v>
      </c>
      <c r="AH177" s="73">
        <f t="shared" si="7"/>
        <v>-62.339285714285715</v>
      </c>
      <c r="AI177" s="74">
        <v>11</v>
      </c>
      <c r="AJ177" s="79" t="s">
        <v>464</v>
      </c>
      <c r="AK177" s="76" t="s">
        <v>586</v>
      </c>
      <c r="AL177" s="67"/>
      <c r="AM177" s="506"/>
      <c r="AN177" s="505"/>
      <c r="AO177" s="515"/>
    </row>
    <row r="178" spans="1:41" ht="14.5">
      <c r="A178" s="58">
        <v>41910</v>
      </c>
      <c r="B178" s="59" t="s">
        <v>428</v>
      </c>
      <c r="C178" s="60" t="s">
        <v>466</v>
      </c>
      <c r="D178" s="60" t="s">
        <v>587</v>
      </c>
      <c r="E178" s="100">
        <v>11</v>
      </c>
      <c r="F178" s="101">
        <v>11</v>
      </c>
      <c r="G178" s="101">
        <v>11</v>
      </c>
      <c r="H178" s="60">
        <v>33</v>
      </c>
      <c r="I178" s="60">
        <v>23</v>
      </c>
      <c r="J178" s="60">
        <v>56</v>
      </c>
      <c r="K178" s="60">
        <v>0.58930000000000005</v>
      </c>
      <c r="L178" s="60">
        <f t="shared" si="0"/>
        <v>0.58930000000000005</v>
      </c>
      <c r="M178" s="64">
        <f t="shared" si="23"/>
        <v>7</v>
      </c>
      <c r="N178" s="65" t="s">
        <v>468</v>
      </c>
      <c r="O178" s="60" t="s">
        <v>587</v>
      </c>
      <c r="P178" s="103">
        <v>11</v>
      </c>
      <c r="Q178" s="103">
        <v>4</v>
      </c>
      <c r="R178" s="103">
        <v>11</v>
      </c>
      <c r="S178" s="103">
        <v>4</v>
      </c>
      <c r="T178" s="103">
        <v>11</v>
      </c>
      <c r="U178" s="103">
        <v>4</v>
      </c>
      <c r="V178" s="69">
        <v>11</v>
      </c>
      <c r="W178" s="104">
        <v>7</v>
      </c>
      <c r="X178" s="67">
        <f t="shared" ref="X178:Y178" si="184">(P178+R178+T178+V178)</f>
        <v>44</v>
      </c>
      <c r="Y178" s="67">
        <f t="shared" si="184"/>
        <v>19</v>
      </c>
      <c r="Z178" s="68">
        <f t="shared" si="3"/>
        <v>63</v>
      </c>
      <c r="AA178" s="69" t="str">
        <f t="shared" si="4"/>
        <v>5A</v>
      </c>
      <c r="AB178" s="70" t="s">
        <v>587</v>
      </c>
      <c r="AC178" s="70" t="s">
        <v>468</v>
      </c>
      <c r="AD178" s="70">
        <v>77</v>
      </c>
      <c r="AE178" s="70">
        <v>42</v>
      </c>
      <c r="AF178" s="70">
        <v>119</v>
      </c>
      <c r="AG178" s="72">
        <f t="shared" si="6"/>
        <v>0.6470588235294118</v>
      </c>
      <c r="AH178" s="73">
        <f t="shared" si="7"/>
        <v>-22.352941176470587</v>
      </c>
      <c r="AI178" s="74">
        <v>1</v>
      </c>
      <c r="AJ178" s="79" t="s">
        <v>380</v>
      </c>
      <c r="AK178" s="76" t="s">
        <v>588</v>
      </c>
      <c r="AL178" s="67"/>
      <c r="AM178" s="506"/>
      <c r="AN178" s="505"/>
      <c r="AO178" s="515"/>
    </row>
    <row r="179" spans="1:41" ht="14.5">
      <c r="A179" s="58">
        <v>41910</v>
      </c>
      <c r="B179" s="59" t="s">
        <v>428</v>
      </c>
      <c r="C179" s="60" t="s">
        <v>472</v>
      </c>
      <c r="D179" s="60" t="s">
        <v>589</v>
      </c>
      <c r="E179" s="105">
        <v>8</v>
      </c>
      <c r="F179" s="106">
        <v>5</v>
      </c>
      <c r="G179" s="106">
        <v>8</v>
      </c>
      <c r="H179" s="60">
        <v>21</v>
      </c>
      <c r="I179" s="60">
        <v>33</v>
      </c>
      <c r="J179" s="60">
        <v>54</v>
      </c>
      <c r="K179" s="60">
        <v>0.38890000000000002</v>
      </c>
      <c r="L179" s="60">
        <f t="shared" si="0"/>
        <v>-11.6111</v>
      </c>
      <c r="M179" s="64">
        <f t="shared" si="23"/>
        <v>25</v>
      </c>
      <c r="N179" s="65"/>
      <c r="O179" s="60"/>
      <c r="P179" s="103"/>
      <c r="Q179" s="103"/>
      <c r="R179" s="103"/>
      <c r="S179" s="103"/>
      <c r="T179" s="103"/>
      <c r="U179" s="103"/>
      <c r="V179" s="69"/>
      <c r="W179" s="104"/>
      <c r="X179" s="67">
        <f t="shared" ref="X179:Y179" si="185">(P179+R179+T179+V179)</f>
        <v>0</v>
      </c>
      <c r="Y179" s="67">
        <f t="shared" si="185"/>
        <v>0</v>
      </c>
      <c r="Z179" s="68">
        <f t="shared" si="3"/>
        <v>0</v>
      </c>
      <c r="AA179" s="69" t="str">
        <f t="shared" si="4"/>
        <v>5B</v>
      </c>
      <c r="AB179" s="70" t="s">
        <v>589</v>
      </c>
      <c r="AC179" s="70" t="s">
        <v>481</v>
      </c>
      <c r="AD179" s="70">
        <v>21</v>
      </c>
      <c r="AE179" s="70">
        <v>33</v>
      </c>
      <c r="AF179" s="70">
        <v>54</v>
      </c>
      <c r="AG179" s="72">
        <f t="shared" si="6"/>
        <v>0.3888888888888889</v>
      </c>
      <c r="AH179" s="73">
        <f t="shared" si="7"/>
        <v>-78.611111111111114</v>
      </c>
      <c r="AI179" s="74">
        <v>25</v>
      </c>
      <c r="AJ179" s="79" t="s">
        <v>555</v>
      </c>
      <c r="AK179" s="76" t="s">
        <v>485</v>
      </c>
      <c r="AL179" s="67"/>
      <c r="AM179" s="506"/>
      <c r="AN179" s="505"/>
      <c r="AO179" s="515"/>
    </row>
    <row r="180" spans="1:41" ht="14.5">
      <c r="A180" s="58">
        <v>41910</v>
      </c>
      <c r="B180" s="59" t="s">
        <v>428</v>
      </c>
      <c r="C180" s="60" t="s">
        <v>477</v>
      </c>
      <c r="D180" s="60" t="s">
        <v>590</v>
      </c>
      <c r="E180" s="107">
        <v>11</v>
      </c>
      <c r="F180" s="108">
        <v>8</v>
      </c>
      <c r="G180" s="106">
        <v>11</v>
      </c>
      <c r="H180" s="60">
        <v>30</v>
      </c>
      <c r="I180" s="60">
        <v>26</v>
      </c>
      <c r="J180" s="60">
        <v>56</v>
      </c>
      <c r="K180" s="60">
        <v>0.53569999999999995</v>
      </c>
      <c r="L180" s="60">
        <f t="shared" si="0"/>
        <v>-2.4643000000000002</v>
      </c>
      <c r="M180" s="64">
        <f t="shared" si="23"/>
        <v>10</v>
      </c>
      <c r="N180" s="65" t="s">
        <v>479</v>
      </c>
      <c r="O180" s="60" t="s">
        <v>591</v>
      </c>
      <c r="P180" s="103">
        <v>4</v>
      </c>
      <c r="Q180" s="103">
        <v>11</v>
      </c>
      <c r="R180" s="103"/>
      <c r="S180" s="103"/>
      <c r="T180" s="103"/>
      <c r="U180" s="103"/>
      <c r="V180" s="69"/>
      <c r="W180" s="104"/>
      <c r="X180" s="67">
        <f t="shared" ref="X180:Y180" si="186">(P180+R180+T180+V180)</f>
        <v>4</v>
      </c>
      <c r="Y180" s="67">
        <f t="shared" si="186"/>
        <v>11</v>
      </c>
      <c r="Z180" s="68">
        <f t="shared" si="3"/>
        <v>15</v>
      </c>
      <c r="AA180" s="69" t="str">
        <f t="shared" si="4"/>
        <v>5C</v>
      </c>
      <c r="AB180" s="70" t="s">
        <v>590</v>
      </c>
      <c r="AC180" s="70" t="s">
        <v>470</v>
      </c>
      <c r="AD180" s="70">
        <v>46</v>
      </c>
      <c r="AE180" s="70">
        <v>47</v>
      </c>
      <c r="AF180" s="70">
        <v>93</v>
      </c>
      <c r="AG180" s="72">
        <f t="shared" si="6"/>
        <v>0.4946236559139785</v>
      </c>
      <c r="AH180" s="73">
        <f t="shared" si="7"/>
        <v>-53.505376344086024</v>
      </c>
      <c r="AI180" s="74">
        <v>7</v>
      </c>
      <c r="AJ180" s="79" t="s">
        <v>592</v>
      </c>
      <c r="AK180" s="76" t="s">
        <v>593</v>
      </c>
      <c r="AL180" s="67"/>
      <c r="AM180" s="506"/>
      <c r="AN180" s="505"/>
      <c r="AO180" s="515"/>
    </row>
    <row r="181" spans="1:41" ht="14.5">
      <c r="A181" s="58">
        <v>41910</v>
      </c>
      <c r="B181" s="59" t="s">
        <v>428</v>
      </c>
      <c r="C181" s="60" t="s">
        <v>483</v>
      </c>
      <c r="D181" s="60" t="s">
        <v>594</v>
      </c>
      <c r="E181" s="109">
        <v>7</v>
      </c>
      <c r="F181" s="110">
        <v>11</v>
      </c>
      <c r="G181" s="111">
        <v>7</v>
      </c>
      <c r="H181" s="60">
        <v>25</v>
      </c>
      <c r="I181" s="60">
        <v>27</v>
      </c>
      <c r="J181" s="60">
        <v>52</v>
      </c>
      <c r="K181" s="60">
        <v>0.48080000000000001</v>
      </c>
      <c r="L181" s="60">
        <f t="shared" si="0"/>
        <v>-7.5191999999999997</v>
      </c>
      <c r="M181" s="64">
        <f t="shared" si="23"/>
        <v>18</v>
      </c>
      <c r="N181" s="90"/>
      <c r="O181" s="89"/>
      <c r="P181" s="113"/>
      <c r="Q181" s="113"/>
      <c r="R181" s="103"/>
      <c r="S181" s="103"/>
      <c r="T181" s="103"/>
      <c r="U181" s="103"/>
      <c r="V181" s="69"/>
      <c r="W181" s="104"/>
      <c r="X181" s="67">
        <f t="shared" ref="X181:Y181" si="187">(P181+R181+T181+V181)</f>
        <v>0</v>
      </c>
      <c r="Y181" s="67">
        <f t="shared" si="187"/>
        <v>0</v>
      </c>
      <c r="Z181" s="68">
        <f t="shared" si="3"/>
        <v>0</v>
      </c>
      <c r="AA181" s="69" t="str">
        <f t="shared" si="4"/>
        <v>5D</v>
      </c>
      <c r="AB181" s="70" t="s">
        <v>594</v>
      </c>
      <c r="AC181" s="70" t="s">
        <v>474</v>
      </c>
      <c r="AD181" s="70">
        <v>25</v>
      </c>
      <c r="AE181" s="70">
        <v>27</v>
      </c>
      <c r="AF181" s="70">
        <v>52</v>
      </c>
      <c r="AG181" s="72">
        <f t="shared" si="6"/>
        <v>0.48076923076923078</v>
      </c>
      <c r="AH181" s="73">
        <f t="shared" si="7"/>
        <v>-74.519230769230774</v>
      </c>
      <c r="AI181" s="74">
        <v>19</v>
      </c>
      <c r="AJ181" s="79" t="s">
        <v>267</v>
      </c>
      <c r="AK181" s="76" t="s">
        <v>595</v>
      </c>
      <c r="AL181" s="67"/>
      <c r="AM181" s="506"/>
      <c r="AN181" s="505"/>
      <c r="AO181" s="515"/>
    </row>
    <row r="182" spans="1:41" ht="14.5">
      <c r="A182" s="58">
        <v>41910</v>
      </c>
      <c r="B182" s="59" t="s">
        <v>428</v>
      </c>
      <c r="C182" s="60" t="s">
        <v>486</v>
      </c>
      <c r="D182" s="60" t="s">
        <v>596</v>
      </c>
      <c r="E182" s="100">
        <v>11</v>
      </c>
      <c r="F182" s="101">
        <v>3</v>
      </c>
      <c r="G182" s="101">
        <v>11</v>
      </c>
      <c r="H182" s="60">
        <v>25</v>
      </c>
      <c r="I182" s="60">
        <v>23</v>
      </c>
      <c r="J182" s="60">
        <v>48</v>
      </c>
      <c r="K182" s="60">
        <v>0.52080000000000004</v>
      </c>
      <c r="L182" s="60">
        <f t="shared" si="0"/>
        <v>-7.4791999999999996</v>
      </c>
      <c r="M182" s="64">
        <f t="shared" si="23"/>
        <v>17</v>
      </c>
      <c r="N182" s="65" t="s">
        <v>488</v>
      </c>
      <c r="O182" s="60" t="s">
        <v>597</v>
      </c>
      <c r="P182" s="103">
        <v>9</v>
      </c>
      <c r="Q182" s="103">
        <v>11</v>
      </c>
      <c r="R182" s="103"/>
      <c r="S182" s="103"/>
      <c r="T182" s="103"/>
      <c r="U182" s="103"/>
      <c r="V182" s="69"/>
      <c r="W182" s="104"/>
      <c r="X182" s="67">
        <f t="shared" ref="X182:Y182" si="188">(P182+R182+T182+V182)</f>
        <v>9</v>
      </c>
      <c r="Y182" s="67">
        <f t="shared" si="188"/>
        <v>11</v>
      </c>
      <c r="Z182" s="68">
        <f t="shared" si="3"/>
        <v>20</v>
      </c>
      <c r="AA182" s="69" t="str">
        <f t="shared" si="4"/>
        <v>6A</v>
      </c>
      <c r="AB182" s="70" t="s">
        <v>596</v>
      </c>
      <c r="AC182" s="70" t="s">
        <v>503</v>
      </c>
      <c r="AD182" s="70">
        <v>25</v>
      </c>
      <c r="AE182" s="70">
        <v>23</v>
      </c>
      <c r="AF182" s="70">
        <v>48</v>
      </c>
      <c r="AG182" s="72">
        <f t="shared" si="6"/>
        <v>0.52083333333333337</v>
      </c>
      <c r="AH182" s="73">
        <f t="shared" si="7"/>
        <v>-74.479166666666671</v>
      </c>
      <c r="AI182" s="74">
        <v>18</v>
      </c>
      <c r="AJ182" s="79" t="s">
        <v>438</v>
      </c>
      <c r="AK182" s="76" t="s">
        <v>598</v>
      </c>
      <c r="AL182" s="67"/>
      <c r="AM182" s="506"/>
      <c r="AN182" s="505"/>
      <c r="AO182" s="515"/>
    </row>
    <row r="183" spans="1:41" ht="14.5">
      <c r="A183" s="58">
        <v>41910</v>
      </c>
      <c r="B183" s="59" t="s">
        <v>428</v>
      </c>
      <c r="C183" s="60" t="s">
        <v>492</v>
      </c>
      <c r="D183" s="60" t="s">
        <v>597</v>
      </c>
      <c r="E183" s="105">
        <v>8</v>
      </c>
      <c r="F183" s="106">
        <v>11</v>
      </c>
      <c r="G183" s="106">
        <v>11</v>
      </c>
      <c r="H183" s="60">
        <v>30</v>
      </c>
      <c r="I183" s="60">
        <v>26</v>
      </c>
      <c r="J183" s="60">
        <v>56</v>
      </c>
      <c r="K183" s="60">
        <v>0.53569999999999995</v>
      </c>
      <c r="L183" s="60">
        <f t="shared" si="0"/>
        <v>-2.4643000000000002</v>
      </c>
      <c r="M183" s="64">
        <f t="shared" si="23"/>
        <v>10</v>
      </c>
      <c r="N183" s="65"/>
      <c r="O183" s="60"/>
      <c r="P183" s="103"/>
      <c r="Q183" s="103"/>
      <c r="R183" s="103"/>
      <c r="S183" s="103"/>
      <c r="T183" s="103"/>
      <c r="U183" s="103"/>
      <c r="V183" s="69"/>
      <c r="W183" s="104"/>
      <c r="X183" s="67">
        <f t="shared" ref="X183:Y183" si="189">(P183+R183+T183+V183)</f>
        <v>0</v>
      </c>
      <c r="Y183" s="67">
        <f t="shared" si="189"/>
        <v>0</v>
      </c>
      <c r="Z183" s="68">
        <f t="shared" si="3"/>
        <v>0</v>
      </c>
      <c r="AA183" s="69" t="str">
        <f t="shared" si="4"/>
        <v>6B</v>
      </c>
      <c r="AB183" s="70" t="s">
        <v>597</v>
      </c>
      <c r="AC183" s="70" t="s">
        <v>488</v>
      </c>
      <c r="AD183" s="70">
        <v>39</v>
      </c>
      <c r="AE183" s="70">
        <v>37</v>
      </c>
      <c r="AF183" s="70">
        <v>76</v>
      </c>
      <c r="AG183" s="72">
        <f t="shared" si="6"/>
        <v>0.51315789473684215</v>
      </c>
      <c r="AH183" s="73">
        <f t="shared" si="7"/>
        <v>-60.486842105263158</v>
      </c>
      <c r="AI183" s="74">
        <v>10</v>
      </c>
      <c r="AJ183" s="79" t="s">
        <v>511</v>
      </c>
      <c r="AK183" s="76" t="s">
        <v>599</v>
      </c>
      <c r="AL183" s="67"/>
      <c r="AM183" s="506"/>
      <c r="AN183" s="505"/>
      <c r="AO183" s="515"/>
    </row>
    <row r="184" spans="1:41" ht="14.5">
      <c r="A184" s="58">
        <v>41910</v>
      </c>
      <c r="B184" s="59" t="s">
        <v>428</v>
      </c>
      <c r="C184" s="60" t="s">
        <v>496</v>
      </c>
      <c r="D184" s="60" t="s">
        <v>600</v>
      </c>
      <c r="E184" s="107">
        <v>10</v>
      </c>
      <c r="F184" s="108">
        <v>11</v>
      </c>
      <c r="G184" s="106">
        <v>8</v>
      </c>
      <c r="H184" s="60">
        <v>29</v>
      </c>
      <c r="I184" s="60">
        <v>25</v>
      </c>
      <c r="J184" s="60">
        <v>54</v>
      </c>
      <c r="K184" s="60">
        <v>0.53700000000000003</v>
      </c>
      <c r="L184" s="60">
        <f t="shared" si="0"/>
        <v>-3.4630000000000001</v>
      </c>
      <c r="M184" s="64">
        <f t="shared" si="23"/>
        <v>12</v>
      </c>
      <c r="N184" s="65" t="s">
        <v>497</v>
      </c>
      <c r="O184" s="60" t="s">
        <v>601</v>
      </c>
      <c r="P184" s="103">
        <v>11</v>
      </c>
      <c r="Q184" s="103">
        <v>9</v>
      </c>
      <c r="R184" s="103">
        <v>4</v>
      </c>
      <c r="S184" s="103">
        <v>11</v>
      </c>
      <c r="T184" s="103"/>
      <c r="U184" s="103"/>
      <c r="V184" s="69"/>
      <c r="W184" s="104"/>
      <c r="X184" s="67">
        <f t="shared" ref="X184:Y184" si="190">(P184+R184+T184+V184)</f>
        <v>15</v>
      </c>
      <c r="Y184" s="67">
        <f t="shared" si="190"/>
        <v>20</v>
      </c>
      <c r="Z184" s="68">
        <f t="shared" si="3"/>
        <v>35</v>
      </c>
      <c r="AA184" s="69" t="str">
        <f t="shared" si="4"/>
        <v>6C</v>
      </c>
      <c r="AB184" s="70" t="s">
        <v>600</v>
      </c>
      <c r="AC184" s="70" t="s">
        <v>490</v>
      </c>
      <c r="AD184" s="70">
        <v>31</v>
      </c>
      <c r="AE184" s="70">
        <v>36</v>
      </c>
      <c r="AF184" s="70">
        <v>67</v>
      </c>
      <c r="AG184" s="72">
        <f t="shared" si="6"/>
        <v>0.46268656716417911</v>
      </c>
      <c r="AH184" s="73">
        <f t="shared" si="7"/>
        <v>-68.537313432835816</v>
      </c>
      <c r="AI184" s="74">
        <v>16</v>
      </c>
      <c r="AJ184" s="79" t="s">
        <v>548</v>
      </c>
      <c r="AK184" s="76" t="s">
        <v>433</v>
      </c>
      <c r="AL184" s="67"/>
      <c r="AM184" s="506"/>
      <c r="AN184" s="505"/>
      <c r="AO184" s="515"/>
    </row>
    <row r="185" spans="1:41" ht="14.5">
      <c r="A185" s="58">
        <v>41910</v>
      </c>
      <c r="B185" s="59" t="s">
        <v>428</v>
      </c>
      <c r="C185" s="60" t="s">
        <v>501</v>
      </c>
      <c r="D185" s="60" t="s">
        <v>602</v>
      </c>
      <c r="E185" s="109">
        <v>11</v>
      </c>
      <c r="F185" s="110">
        <v>7</v>
      </c>
      <c r="G185" s="111">
        <v>4</v>
      </c>
      <c r="H185" s="60">
        <v>22</v>
      </c>
      <c r="I185" s="60">
        <v>32</v>
      </c>
      <c r="J185" s="60">
        <v>54</v>
      </c>
      <c r="K185" s="60">
        <v>0.40739999999999998</v>
      </c>
      <c r="L185" s="60">
        <f t="shared" si="0"/>
        <v>-10.592600000000001</v>
      </c>
      <c r="M185" s="64">
        <f t="shared" si="23"/>
        <v>23</v>
      </c>
      <c r="N185" s="90"/>
      <c r="O185" s="89"/>
      <c r="P185" s="113"/>
      <c r="Q185" s="113"/>
      <c r="R185" s="113"/>
      <c r="S185" s="113"/>
      <c r="T185" s="103"/>
      <c r="U185" s="103"/>
      <c r="V185" s="69"/>
      <c r="W185" s="104"/>
      <c r="X185" s="67">
        <f t="shared" ref="X185:Y185" si="191">(P185+R185+T185+V185)</f>
        <v>0</v>
      </c>
      <c r="Y185" s="67">
        <f t="shared" si="191"/>
        <v>0</v>
      </c>
      <c r="Z185" s="68">
        <f t="shared" si="3"/>
        <v>0</v>
      </c>
      <c r="AA185" s="69" t="str">
        <f t="shared" si="4"/>
        <v>6D</v>
      </c>
      <c r="AB185" s="70" t="s">
        <v>602</v>
      </c>
      <c r="AC185" s="70" t="s">
        <v>494</v>
      </c>
      <c r="AD185" s="70">
        <v>22</v>
      </c>
      <c r="AE185" s="70">
        <v>32</v>
      </c>
      <c r="AF185" s="70">
        <v>54</v>
      </c>
      <c r="AG185" s="72">
        <f t="shared" si="6"/>
        <v>0.40740740740740738</v>
      </c>
      <c r="AH185" s="73">
        <f t="shared" si="7"/>
        <v>-77.592592592592595</v>
      </c>
      <c r="AI185" s="74">
        <v>23</v>
      </c>
      <c r="AJ185" s="79" t="s">
        <v>542</v>
      </c>
      <c r="AK185" s="76" t="s">
        <v>603</v>
      </c>
      <c r="AL185" s="67"/>
      <c r="AM185" s="506"/>
      <c r="AN185" s="505"/>
      <c r="AO185" s="515"/>
    </row>
    <row r="186" spans="1:41" ht="14.5">
      <c r="A186" s="58">
        <v>41910</v>
      </c>
      <c r="B186" s="59" t="s">
        <v>428</v>
      </c>
      <c r="C186" s="60" t="s">
        <v>506</v>
      </c>
      <c r="D186" s="60" t="s">
        <v>604</v>
      </c>
      <c r="E186" s="100">
        <v>3</v>
      </c>
      <c r="F186" s="101">
        <v>5</v>
      </c>
      <c r="G186" s="101">
        <v>9</v>
      </c>
      <c r="H186" s="60">
        <v>17</v>
      </c>
      <c r="I186" s="60">
        <v>33</v>
      </c>
      <c r="J186" s="60">
        <v>50</v>
      </c>
      <c r="K186" s="60">
        <v>0.34</v>
      </c>
      <c r="L186" s="60">
        <f t="shared" si="0"/>
        <v>-15.66</v>
      </c>
      <c r="M186" s="64">
        <f t="shared" si="23"/>
        <v>27</v>
      </c>
      <c r="N186" s="65" t="s">
        <v>508</v>
      </c>
      <c r="O186" s="60" t="s">
        <v>605</v>
      </c>
      <c r="P186" s="103">
        <v>11</v>
      </c>
      <c r="Q186" s="103">
        <v>2</v>
      </c>
      <c r="R186" s="103">
        <v>11</v>
      </c>
      <c r="S186" s="103">
        <v>5</v>
      </c>
      <c r="T186" s="103">
        <v>4</v>
      </c>
      <c r="U186" s="103">
        <v>11</v>
      </c>
      <c r="V186" s="69"/>
      <c r="W186" s="104"/>
      <c r="X186" s="67">
        <f t="shared" ref="X186:Y186" si="192">(P186+R186+T186+V186)</f>
        <v>26</v>
      </c>
      <c r="Y186" s="67">
        <f t="shared" si="192"/>
        <v>18</v>
      </c>
      <c r="Z186" s="68">
        <f t="shared" si="3"/>
        <v>44</v>
      </c>
      <c r="AA186" s="69" t="str">
        <f t="shared" si="4"/>
        <v>7A</v>
      </c>
      <c r="AB186" s="70" t="s">
        <v>604</v>
      </c>
      <c r="AC186" s="70" t="s">
        <v>510</v>
      </c>
      <c r="AD186" s="70">
        <v>17</v>
      </c>
      <c r="AE186" s="70">
        <v>33</v>
      </c>
      <c r="AF186" s="70">
        <v>50</v>
      </c>
      <c r="AG186" s="72">
        <f t="shared" si="6"/>
        <v>0.34</v>
      </c>
      <c r="AH186" s="73">
        <f t="shared" si="7"/>
        <v>-82.66</v>
      </c>
      <c r="AI186" s="74">
        <v>27</v>
      </c>
      <c r="AJ186" s="75" t="s">
        <v>561</v>
      </c>
      <c r="AK186" s="76" t="s">
        <v>491</v>
      </c>
      <c r="AL186" s="67"/>
      <c r="AM186" s="506"/>
      <c r="AN186" s="505"/>
      <c r="AO186" s="515"/>
    </row>
    <row r="187" spans="1:41" ht="14.5">
      <c r="A187" s="58">
        <v>41910</v>
      </c>
      <c r="B187" s="59" t="s">
        <v>428</v>
      </c>
      <c r="C187" s="60" t="s">
        <v>513</v>
      </c>
      <c r="D187" s="60" t="s">
        <v>605</v>
      </c>
      <c r="E187" s="105">
        <v>11</v>
      </c>
      <c r="F187" s="106">
        <v>11</v>
      </c>
      <c r="G187" s="106">
        <v>11</v>
      </c>
      <c r="H187" s="60">
        <v>33</v>
      </c>
      <c r="I187" s="60">
        <v>20</v>
      </c>
      <c r="J187" s="60">
        <v>53</v>
      </c>
      <c r="K187" s="60">
        <v>0.62260000000000004</v>
      </c>
      <c r="L187" s="60">
        <f t="shared" si="0"/>
        <v>0.62260000000000004</v>
      </c>
      <c r="M187" s="64">
        <f t="shared" si="23"/>
        <v>6</v>
      </c>
      <c r="N187" s="65"/>
      <c r="O187" s="60"/>
      <c r="P187" s="103"/>
      <c r="Q187" s="103"/>
      <c r="R187" s="103"/>
      <c r="S187" s="103"/>
      <c r="T187" s="103"/>
      <c r="U187" s="103"/>
      <c r="V187" s="69"/>
      <c r="W187" s="104"/>
      <c r="X187" s="67">
        <f t="shared" ref="X187:Y187" si="193">(P187+R187+T187+V187)</f>
        <v>0</v>
      </c>
      <c r="Y187" s="67">
        <f t="shared" si="193"/>
        <v>0</v>
      </c>
      <c r="Z187" s="68">
        <f t="shared" si="3"/>
        <v>0</v>
      </c>
      <c r="AA187" s="69" t="str">
        <f t="shared" si="4"/>
        <v>7B</v>
      </c>
      <c r="AB187" s="70" t="s">
        <v>605</v>
      </c>
      <c r="AC187" s="70" t="s">
        <v>508</v>
      </c>
      <c r="AD187" s="70">
        <v>59</v>
      </c>
      <c r="AE187" s="70">
        <v>38</v>
      </c>
      <c r="AF187" s="70">
        <v>97</v>
      </c>
      <c r="AG187" s="72">
        <f t="shared" si="6"/>
        <v>0.60824742268041232</v>
      </c>
      <c r="AH187" s="73">
        <f t="shared" si="7"/>
        <v>-40.391752577319586</v>
      </c>
      <c r="AI187" s="74">
        <v>4</v>
      </c>
      <c r="AJ187" s="79" t="s">
        <v>606</v>
      </c>
      <c r="AK187" s="76" t="s">
        <v>475</v>
      </c>
      <c r="AL187" s="67"/>
      <c r="AM187" s="506"/>
      <c r="AN187" s="505"/>
      <c r="AO187" s="515"/>
    </row>
    <row r="188" spans="1:41" ht="14.5">
      <c r="A188" s="58">
        <v>41910</v>
      </c>
      <c r="B188" s="59" t="s">
        <v>428</v>
      </c>
      <c r="C188" s="60" t="s">
        <v>515</v>
      </c>
      <c r="D188" s="60" t="s">
        <v>607</v>
      </c>
      <c r="E188" s="107">
        <v>9</v>
      </c>
      <c r="F188" s="108">
        <v>11</v>
      </c>
      <c r="G188" s="106">
        <v>8</v>
      </c>
      <c r="H188" s="60">
        <v>28</v>
      </c>
      <c r="I188" s="60">
        <v>27</v>
      </c>
      <c r="J188" s="60">
        <v>55</v>
      </c>
      <c r="K188" s="60">
        <v>0.5091</v>
      </c>
      <c r="L188" s="60">
        <f t="shared" si="0"/>
        <v>-4.4908999999999999</v>
      </c>
      <c r="M188" s="64">
        <f t="shared" si="23"/>
        <v>14</v>
      </c>
      <c r="N188" s="65" t="s">
        <v>490</v>
      </c>
      <c r="O188" s="60" t="s">
        <v>600</v>
      </c>
      <c r="P188" s="103">
        <v>2</v>
      </c>
      <c r="Q188" s="103">
        <v>11</v>
      </c>
      <c r="R188" s="103"/>
      <c r="S188" s="103"/>
      <c r="T188" s="103"/>
      <c r="U188" s="103"/>
      <c r="V188" s="69"/>
      <c r="W188" s="104"/>
      <c r="X188" s="67">
        <f t="shared" ref="X188:Y188" si="194">(P188+R188+T188+V188)</f>
        <v>2</v>
      </c>
      <c r="Y188" s="67">
        <f t="shared" si="194"/>
        <v>11</v>
      </c>
      <c r="Z188" s="68">
        <f t="shared" si="3"/>
        <v>13</v>
      </c>
      <c r="AA188" s="69" t="str">
        <f t="shared" si="4"/>
        <v>7C</v>
      </c>
      <c r="AB188" s="70" t="s">
        <v>607</v>
      </c>
      <c r="AC188" s="70" t="s">
        <v>517</v>
      </c>
      <c r="AD188" s="70">
        <v>28</v>
      </c>
      <c r="AE188" s="70">
        <v>27</v>
      </c>
      <c r="AF188" s="70">
        <v>55</v>
      </c>
      <c r="AG188" s="72">
        <f t="shared" si="6"/>
        <v>0.50909090909090904</v>
      </c>
      <c r="AH188" s="73">
        <f t="shared" si="7"/>
        <v>-71.490909090909085</v>
      </c>
      <c r="AI188" s="74">
        <v>17</v>
      </c>
      <c r="AJ188" s="79" t="s">
        <v>417</v>
      </c>
      <c r="AK188" s="76" t="s">
        <v>608</v>
      </c>
      <c r="AL188" s="67"/>
      <c r="AM188" s="506"/>
      <c r="AN188" s="505"/>
      <c r="AO188" s="515"/>
    </row>
    <row r="189" spans="1:41" ht="14.5">
      <c r="A189" s="58">
        <v>41910</v>
      </c>
      <c r="B189" s="59" t="s">
        <v>428</v>
      </c>
      <c r="C189" s="60" t="s">
        <v>519</v>
      </c>
      <c r="D189" s="60" t="s">
        <v>601</v>
      </c>
      <c r="E189" s="109">
        <v>11</v>
      </c>
      <c r="F189" s="110">
        <v>9</v>
      </c>
      <c r="G189" s="111">
        <v>11</v>
      </c>
      <c r="H189" s="60">
        <v>31</v>
      </c>
      <c r="I189" s="60">
        <v>29</v>
      </c>
      <c r="J189" s="60">
        <v>60</v>
      </c>
      <c r="K189" s="60">
        <v>0.51670000000000005</v>
      </c>
      <c r="L189" s="60">
        <f t="shared" si="0"/>
        <v>-1.4832999999999998</v>
      </c>
      <c r="M189" s="64">
        <f t="shared" si="23"/>
        <v>9</v>
      </c>
      <c r="N189" s="90"/>
      <c r="O189" s="89"/>
      <c r="P189" s="113"/>
      <c r="Q189" s="113"/>
      <c r="R189" s="103"/>
      <c r="S189" s="103"/>
      <c r="T189" s="103"/>
      <c r="U189" s="103"/>
      <c r="V189" s="69"/>
      <c r="W189" s="104"/>
      <c r="X189" s="67">
        <f t="shared" ref="X189:Y189" si="195">(P189+R189+T189+V189)</f>
        <v>0</v>
      </c>
      <c r="Y189" s="67">
        <f t="shared" si="195"/>
        <v>0</v>
      </c>
      <c r="Z189" s="68">
        <f t="shared" si="3"/>
        <v>0</v>
      </c>
      <c r="AA189" s="69" t="str">
        <f t="shared" si="4"/>
        <v>7D</v>
      </c>
      <c r="AB189" s="70" t="s">
        <v>601</v>
      </c>
      <c r="AC189" s="70" t="s">
        <v>497</v>
      </c>
      <c r="AD189" s="70">
        <v>46</v>
      </c>
      <c r="AE189" s="70">
        <v>49</v>
      </c>
      <c r="AF189" s="70">
        <v>95</v>
      </c>
      <c r="AG189" s="72">
        <f t="shared" si="6"/>
        <v>0.48421052631578948</v>
      </c>
      <c r="AH189" s="73">
        <f t="shared" si="7"/>
        <v>-53.515789473684208</v>
      </c>
      <c r="AI189" s="74">
        <v>8</v>
      </c>
      <c r="AJ189" s="79" t="s">
        <v>299</v>
      </c>
      <c r="AK189" s="76" t="s">
        <v>609</v>
      </c>
      <c r="AL189" s="67"/>
      <c r="AM189" s="506"/>
      <c r="AN189" s="505"/>
      <c r="AO189" s="515"/>
    </row>
    <row r="190" spans="1:41" ht="14.5">
      <c r="A190" s="58">
        <v>41910</v>
      </c>
      <c r="B190" s="59" t="s">
        <v>428</v>
      </c>
      <c r="C190" s="60" t="s">
        <v>522</v>
      </c>
      <c r="D190" s="60" t="s">
        <v>591</v>
      </c>
      <c r="E190" s="100">
        <v>11</v>
      </c>
      <c r="F190" s="101">
        <v>11</v>
      </c>
      <c r="G190" s="101">
        <v>6</v>
      </c>
      <c r="H190" s="60">
        <v>28</v>
      </c>
      <c r="I190" s="60">
        <v>18</v>
      </c>
      <c r="J190" s="60">
        <v>46</v>
      </c>
      <c r="K190" s="60">
        <v>0.60870000000000002</v>
      </c>
      <c r="L190" s="60">
        <f t="shared" si="0"/>
        <v>-4.3913000000000002</v>
      </c>
      <c r="M190" s="64">
        <f t="shared" si="23"/>
        <v>13</v>
      </c>
      <c r="N190" s="65" t="s">
        <v>524</v>
      </c>
      <c r="O190" s="60" t="s">
        <v>610</v>
      </c>
      <c r="P190" s="103">
        <v>10</v>
      </c>
      <c r="Q190" s="103">
        <v>11</v>
      </c>
      <c r="R190" s="103"/>
      <c r="S190" s="103"/>
      <c r="T190" s="103"/>
      <c r="U190" s="103"/>
      <c r="V190" s="69"/>
      <c r="W190" s="104"/>
      <c r="X190" s="67">
        <f t="shared" ref="X190:Y190" si="196">(P190+R190+T190+V190)</f>
        <v>10</v>
      </c>
      <c r="Y190" s="67">
        <f t="shared" si="196"/>
        <v>11</v>
      </c>
      <c r="Z190" s="68">
        <f t="shared" si="3"/>
        <v>21</v>
      </c>
      <c r="AA190" s="69" t="str">
        <f t="shared" si="4"/>
        <v>8A</v>
      </c>
      <c r="AB190" s="70" t="s">
        <v>591</v>
      </c>
      <c r="AC190" s="70" t="s">
        <v>479</v>
      </c>
      <c r="AD190" s="70">
        <v>32</v>
      </c>
      <c r="AE190" s="70">
        <v>29</v>
      </c>
      <c r="AF190" s="70">
        <v>61</v>
      </c>
      <c r="AG190" s="72">
        <f t="shared" si="6"/>
        <v>0.52459016393442626</v>
      </c>
      <c r="AH190" s="73">
        <f t="shared" si="7"/>
        <v>-67.47540983606558</v>
      </c>
      <c r="AI190" s="74">
        <v>14</v>
      </c>
      <c r="AJ190" s="79" t="s">
        <v>30</v>
      </c>
      <c r="AK190" s="76" t="s">
        <v>611</v>
      </c>
      <c r="AL190" s="67"/>
      <c r="AM190" s="506"/>
      <c r="AN190" s="505"/>
      <c r="AO190" s="515"/>
    </row>
    <row r="191" spans="1:41" ht="14.5">
      <c r="A191" s="58">
        <v>41910</v>
      </c>
      <c r="B191" s="59" t="s">
        <v>428</v>
      </c>
      <c r="C191" s="60" t="s">
        <v>526</v>
      </c>
      <c r="D191" s="60" t="s">
        <v>612</v>
      </c>
      <c r="E191" s="105">
        <v>5</v>
      </c>
      <c r="F191" s="106">
        <v>6</v>
      </c>
      <c r="G191" s="106">
        <v>11</v>
      </c>
      <c r="H191" s="60">
        <v>22</v>
      </c>
      <c r="I191" s="60">
        <v>27</v>
      </c>
      <c r="J191" s="60">
        <v>49</v>
      </c>
      <c r="K191" s="60">
        <v>0.44900000000000001</v>
      </c>
      <c r="L191" s="60">
        <f t="shared" si="0"/>
        <v>-10.551</v>
      </c>
      <c r="M191" s="64">
        <f t="shared" si="23"/>
        <v>22</v>
      </c>
      <c r="N191" s="65"/>
      <c r="O191" s="60"/>
      <c r="P191" s="103"/>
      <c r="Q191" s="103"/>
      <c r="R191" s="103"/>
      <c r="S191" s="103"/>
      <c r="T191" s="103"/>
      <c r="U191" s="103"/>
      <c r="V191" s="69"/>
      <c r="W191" s="104"/>
      <c r="X191" s="67">
        <f t="shared" ref="X191:Y191" si="197">(P191+R191+T191+V191)</f>
        <v>0</v>
      </c>
      <c r="Y191" s="67">
        <f t="shared" si="197"/>
        <v>0</v>
      </c>
      <c r="Z191" s="68">
        <f t="shared" si="3"/>
        <v>0</v>
      </c>
      <c r="AA191" s="69" t="str">
        <f t="shared" si="4"/>
        <v>8B</v>
      </c>
      <c r="AB191" s="70" t="s">
        <v>612</v>
      </c>
      <c r="AC191" s="70" t="s">
        <v>532</v>
      </c>
      <c r="AD191" s="70">
        <v>22</v>
      </c>
      <c r="AE191" s="70">
        <v>27</v>
      </c>
      <c r="AF191" s="70">
        <v>49</v>
      </c>
      <c r="AG191" s="72">
        <f t="shared" si="6"/>
        <v>0.44897959183673469</v>
      </c>
      <c r="AH191" s="73">
        <f t="shared" si="7"/>
        <v>-77.551020408163268</v>
      </c>
      <c r="AI191" s="74">
        <v>22</v>
      </c>
      <c r="AJ191" s="79" t="s">
        <v>396</v>
      </c>
      <c r="AK191" s="76" t="s">
        <v>442</v>
      </c>
      <c r="AL191" s="67"/>
      <c r="AM191" s="506"/>
      <c r="AN191" s="505"/>
      <c r="AO191" s="515"/>
    </row>
    <row r="192" spans="1:41" ht="14.5">
      <c r="A192" s="58">
        <v>41910</v>
      </c>
      <c r="B192" s="59" t="s">
        <v>428</v>
      </c>
      <c r="C192" s="60" t="s">
        <v>530</v>
      </c>
      <c r="D192" s="60" t="s">
        <v>613</v>
      </c>
      <c r="E192" s="107">
        <v>5</v>
      </c>
      <c r="F192" s="108">
        <v>2</v>
      </c>
      <c r="G192" s="106">
        <v>5</v>
      </c>
      <c r="H192" s="60">
        <v>12</v>
      </c>
      <c r="I192" s="60">
        <v>33</v>
      </c>
      <c r="J192" s="60">
        <v>45</v>
      </c>
      <c r="K192" s="60">
        <v>0.26669999999999999</v>
      </c>
      <c r="L192" s="60">
        <f t="shared" si="0"/>
        <v>-20.7333</v>
      </c>
      <c r="M192" s="64">
        <f t="shared" si="23"/>
        <v>30</v>
      </c>
      <c r="N192" s="65" t="s">
        <v>470</v>
      </c>
      <c r="O192" s="60" t="s">
        <v>590</v>
      </c>
      <c r="P192" s="103">
        <v>11</v>
      </c>
      <c r="Q192" s="103">
        <v>10</v>
      </c>
      <c r="R192" s="103">
        <v>5</v>
      </c>
      <c r="S192" s="103">
        <v>11</v>
      </c>
      <c r="T192" s="103"/>
      <c r="U192" s="103"/>
      <c r="V192" s="69"/>
      <c r="W192" s="104"/>
      <c r="X192" s="67">
        <f t="shared" ref="X192:Y192" si="198">(P192+R192+T192+V192)</f>
        <v>16</v>
      </c>
      <c r="Y192" s="67">
        <f t="shared" si="198"/>
        <v>21</v>
      </c>
      <c r="Z192" s="68">
        <f t="shared" si="3"/>
        <v>37</v>
      </c>
      <c r="AA192" s="69" t="str">
        <f t="shared" si="4"/>
        <v>8C</v>
      </c>
      <c r="AB192" s="70" t="s">
        <v>613</v>
      </c>
      <c r="AC192" s="70" t="s">
        <v>528</v>
      </c>
      <c r="AD192" s="70">
        <v>12</v>
      </c>
      <c r="AE192" s="70">
        <v>33</v>
      </c>
      <c r="AF192" s="70">
        <v>45</v>
      </c>
      <c r="AG192" s="72">
        <f t="shared" si="6"/>
        <v>0.26666666666666666</v>
      </c>
      <c r="AH192" s="73">
        <f t="shared" si="7"/>
        <v>-87.733333333333334</v>
      </c>
      <c r="AI192" s="74">
        <v>30</v>
      </c>
      <c r="AJ192" s="79" t="s">
        <v>614</v>
      </c>
      <c r="AK192" s="76" t="s">
        <v>447</v>
      </c>
      <c r="AL192" s="67"/>
      <c r="AM192" s="506"/>
      <c r="AN192" s="505"/>
      <c r="AO192" s="515"/>
    </row>
    <row r="193" spans="1:41" ht="14.5">
      <c r="A193" s="87">
        <v>41910</v>
      </c>
      <c r="B193" s="88" t="s">
        <v>428</v>
      </c>
      <c r="C193" s="89" t="s">
        <v>534</v>
      </c>
      <c r="D193" s="89" t="s">
        <v>610</v>
      </c>
      <c r="E193" s="109">
        <v>11</v>
      </c>
      <c r="F193" s="110">
        <v>11</v>
      </c>
      <c r="G193" s="111">
        <v>11</v>
      </c>
      <c r="H193" s="89">
        <v>33</v>
      </c>
      <c r="I193" s="89">
        <v>17</v>
      </c>
      <c r="J193" s="89">
        <v>50</v>
      </c>
      <c r="K193" s="89">
        <v>0.66</v>
      </c>
      <c r="L193" s="89">
        <f t="shared" si="0"/>
        <v>0.66</v>
      </c>
      <c r="M193" s="86">
        <f t="shared" si="23"/>
        <v>4</v>
      </c>
      <c r="N193" s="90"/>
      <c r="O193" s="89"/>
      <c r="P193" s="113"/>
      <c r="Q193" s="113"/>
      <c r="R193" s="113"/>
      <c r="S193" s="113"/>
      <c r="T193" s="113"/>
      <c r="U193" s="113"/>
      <c r="V193" s="93"/>
      <c r="W193" s="114"/>
      <c r="X193" s="92">
        <f t="shared" ref="X193:Y193" si="199">(P193+R193+T193+V193)</f>
        <v>0</v>
      </c>
      <c r="Y193" s="92">
        <f t="shared" si="199"/>
        <v>0</v>
      </c>
      <c r="Z193" s="84">
        <f t="shared" si="3"/>
        <v>0</v>
      </c>
      <c r="AA193" s="93" t="str">
        <f t="shared" si="4"/>
        <v>8D</v>
      </c>
      <c r="AB193" s="94" t="s">
        <v>610</v>
      </c>
      <c r="AC193" s="94" t="s">
        <v>524</v>
      </c>
      <c r="AD193" s="94">
        <v>43</v>
      </c>
      <c r="AE193" s="94">
        <v>28</v>
      </c>
      <c r="AF193" s="94">
        <v>71</v>
      </c>
      <c r="AG193" s="95">
        <f t="shared" si="6"/>
        <v>0.60563380281690138</v>
      </c>
      <c r="AH193" s="96">
        <f t="shared" si="7"/>
        <v>-56.394366197183096</v>
      </c>
      <c r="AI193" s="97">
        <v>9</v>
      </c>
      <c r="AJ193" s="98" t="s">
        <v>369</v>
      </c>
      <c r="AK193" s="81" t="s">
        <v>465</v>
      </c>
      <c r="AL193" s="67"/>
      <c r="AM193" s="506"/>
      <c r="AN193" s="505"/>
      <c r="AO193" s="515"/>
    </row>
    <row r="194" spans="1:41" ht="14.5">
      <c r="A194" s="58">
        <v>41923</v>
      </c>
      <c r="B194" s="59" t="s">
        <v>615</v>
      </c>
      <c r="C194" s="60" t="s">
        <v>205</v>
      </c>
      <c r="D194" s="60" t="s">
        <v>616</v>
      </c>
      <c r="E194" s="100">
        <v>11</v>
      </c>
      <c r="F194" s="101">
        <v>11</v>
      </c>
      <c r="G194" s="101">
        <v>11</v>
      </c>
      <c r="H194" s="60">
        <v>33</v>
      </c>
      <c r="I194" s="60">
        <v>16</v>
      </c>
      <c r="J194" s="60">
        <v>49</v>
      </c>
      <c r="K194" s="60">
        <v>0.67349999999999999</v>
      </c>
      <c r="L194" s="60">
        <f t="shared" si="0"/>
        <v>0.67349999999999999</v>
      </c>
      <c r="M194" s="64">
        <f t="shared" si="23"/>
        <v>2</v>
      </c>
      <c r="N194" s="65" t="s">
        <v>207</v>
      </c>
      <c r="O194" s="60" t="s">
        <v>616</v>
      </c>
      <c r="P194" s="102"/>
      <c r="Q194" s="66"/>
      <c r="R194" s="103">
        <v>10</v>
      </c>
      <c r="S194" s="103">
        <v>11</v>
      </c>
      <c r="T194" s="103"/>
      <c r="U194" s="103"/>
      <c r="V194" s="67"/>
      <c r="W194" s="104"/>
      <c r="X194" s="67">
        <f t="shared" ref="X194:Y194" si="200">(P194+R194+T194+V194)</f>
        <v>10</v>
      </c>
      <c r="Y194" s="67">
        <f t="shared" si="200"/>
        <v>11</v>
      </c>
      <c r="Z194" s="68">
        <f t="shared" si="3"/>
        <v>21</v>
      </c>
      <c r="AA194" s="69" t="str">
        <f t="shared" si="4"/>
        <v>1A</v>
      </c>
      <c r="AB194" s="70" t="s">
        <v>616</v>
      </c>
      <c r="AC194" s="70" t="s">
        <v>207</v>
      </c>
      <c r="AD194" s="70">
        <v>43</v>
      </c>
      <c r="AE194" s="70">
        <v>27</v>
      </c>
      <c r="AF194" s="70">
        <v>70</v>
      </c>
      <c r="AG194" s="72">
        <f t="shared" si="6"/>
        <v>0.61428571428571432</v>
      </c>
      <c r="AH194" s="73">
        <f t="shared" si="7"/>
        <v>-56.385714285714286</v>
      </c>
      <c r="AI194" s="74">
        <v>4</v>
      </c>
      <c r="AJ194" s="79" t="s">
        <v>617</v>
      </c>
      <c r="AK194" s="76" t="s">
        <v>525</v>
      </c>
      <c r="AL194" s="67"/>
      <c r="AM194" s="506"/>
      <c r="AN194" s="505"/>
      <c r="AO194" s="515"/>
    </row>
    <row r="195" spans="1:41" ht="14.5">
      <c r="A195" s="58">
        <v>41923</v>
      </c>
      <c r="B195" s="59" t="s">
        <v>615</v>
      </c>
      <c r="C195" s="60" t="s">
        <v>211</v>
      </c>
      <c r="D195" s="60" t="s">
        <v>618</v>
      </c>
      <c r="E195" s="105">
        <v>6</v>
      </c>
      <c r="F195" s="106">
        <v>11</v>
      </c>
      <c r="G195" s="106">
        <v>3</v>
      </c>
      <c r="H195" s="60">
        <v>20</v>
      </c>
      <c r="I195" s="60">
        <v>28</v>
      </c>
      <c r="J195" s="60">
        <v>48</v>
      </c>
      <c r="K195" s="60">
        <v>0.41670000000000001</v>
      </c>
      <c r="L195" s="60">
        <f t="shared" si="0"/>
        <v>-12.583299999999999</v>
      </c>
      <c r="M195" s="64">
        <f t="shared" si="23"/>
        <v>11</v>
      </c>
      <c r="N195" s="65"/>
      <c r="O195" s="60"/>
      <c r="P195" s="102"/>
      <c r="Q195" s="66"/>
      <c r="R195" s="103"/>
      <c r="S195" s="103"/>
      <c r="T195" s="103"/>
      <c r="U195" s="103"/>
      <c r="V195" s="67"/>
      <c r="W195" s="104"/>
      <c r="X195" s="67">
        <f t="shared" ref="X195:Y195" si="201">(P195+R195+T195+V195)</f>
        <v>0</v>
      </c>
      <c r="Y195" s="67">
        <f t="shared" si="201"/>
        <v>0</v>
      </c>
      <c r="Z195" s="68">
        <f t="shared" si="3"/>
        <v>0</v>
      </c>
      <c r="AA195" s="69" t="str">
        <f t="shared" si="4"/>
        <v>1B</v>
      </c>
      <c r="AB195" s="70" t="s">
        <v>618</v>
      </c>
      <c r="AC195" s="70" t="s">
        <v>208</v>
      </c>
      <c r="AD195" s="70">
        <v>20</v>
      </c>
      <c r="AE195" s="70">
        <v>28</v>
      </c>
      <c r="AF195" s="70">
        <v>48</v>
      </c>
      <c r="AG195" s="72">
        <f t="shared" si="6"/>
        <v>0.41666666666666669</v>
      </c>
      <c r="AH195" s="73">
        <f t="shared" si="7"/>
        <v>-79.583333333333329</v>
      </c>
      <c r="AI195" s="74">
        <v>11</v>
      </c>
      <c r="AJ195" s="79" t="s">
        <v>585</v>
      </c>
      <c r="AK195" s="76" t="s">
        <v>431</v>
      </c>
      <c r="AL195" s="67"/>
      <c r="AM195" s="506"/>
      <c r="AN195" s="505"/>
      <c r="AO195" s="515"/>
    </row>
    <row r="196" spans="1:41" ht="14.5">
      <c r="A196" s="58">
        <v>41923</v>
      </c>
      <c r="B196" s="59" t="s">
        <v>615</v>
      </c>
      <c r="C196" s="60" t="s">
        <v>216</v>
      </c>
      <c r="D196" s="60" t="s">
        <v>619</v>
      </c>
      <c r="E196" s="107">
        <v>11</v>
      </c>
      <c r="F196" s="108">
        <v>7</v>
      </c>
      <c r="G196" s="106">
        <v>11</v>
      </c>
      <c r="H196" s="60">
        <v>29</v>
      </c>
      <c r="I196" s="60">
        <v>17</v>
      </c>
      <c r="J196" s="60">
        <v>46</v>
      </c>
      <c r="K196" s="60">
        <v>0.63039999999999996</v>
      </c>
      <c r="L196" s="60">
        <f t="shared" si="0"/>
        <v>-3.3696000000000002</v>
      </c>
      <c r="M196" s="64">
        <f t="shared" si="23"/>
        <v>7</v>
      </c>
      <c r="N196" s="65" t="s">
        <v>265</v>
      </c>
      <c r="O196" s="60" t="s">
        <v>79</v>
      </c>
      <c r="P196" s="102"/>
      <c r="Q196" s="66"/>
      <c r="R196" s="103">
        <v>11</v>
      </c>
      <c r="S196" s="103">
        <v>10</v>
      </c>
      <c r="T196" s="103">
        <v>11</v>
      </c>
      <c r="U196" s="103">
        <v>6</v>
      </c>
      <c r="V196" s="67">
        <v>8</v>
      </c>
      <c r="W196" s="104">
        <v>12</v>
      </c>
      <c r="X196" s="67">
        <f t="shared" ref="X196:Y196" si="202">(P196+R196+T196+V196)</f>
        <v>30</v>
      </c>
      <c r="Y196" s="67">
        <f t="shared" si="202"/>
        <v>28</v>
      </c>
      <c r="Z196" s="68">
        <f t="shared" si="3"/>
        <v>58</v>
      </c>
      <c r="AA196" s="69" t="str">
        <f t="shared" si="4"/>
        <v>1C</v>
      </c>
      <c r="AB196" s="70" t="s">
        <v>619</v>
      </c>
      <c r="AC196" s="70" t="s">
        <v>218</v>
      </c>
      <c r="AD196" s="70">
        <v>38</v>
      </c>
      <c r="AE196" s="70">
        <v>28</v>
      </c>
      <c r="AF196" s="70">
        <v>66</v>
      </c>
      <c r="AG196" s="72">
        <f t="shared" si="6"/>
        <v>0.5757575757575758</v>
      </c>
      <c r="AH196" s="73">
        <f t="shared" si="7"/>
        <v>-61.424242424242422</v>
      </c>
      <c r="AI196" s="74">
        <v>7</v>
      </c>
      <c r="AJ196" s="79" t="s">
        <v>620</v>
      </c>
      <c r="AK196" s="76" t="s">
        <v>518</v>
      </c>
      <c r="AL196" s="67"/>
      <c r="AM196" s="506"/>
      <c r="AN196" s="505"/>
      <c r="AO196" s="515"/>
    </row>
    <row r="197" spans="1:41" ht="14.5">
      <c r="A197" s="58">
        <v>41923</v>
      </c>
      <c r="B197" s="59" t="s">
        <v>615</v>
      </c>
      <c r="C197" s="60" t="s">
        <v>221</v>
      </c>
      <c r="D197" s="60" t="s">
        <v>621</v>
      </c>
      <c r="E197" s="109">
        <v>3</v>
      </c>
      <c r="F197" s="110">
        <v>6</v>
      </c>
      <c r="G197" s="111">
        <v>3</v>
      </c>
      <c r="H197" s="60">
        <v>12</v>
      </c>
      <c r="I197" s="60">
        <v>33</v>
      </c>
      <c r="J197" s="60">
        <v>45</v>
      </c>
      <c r="K197" s="60">
        <v>0.26669999999999999</v>
      </c>
      <c r="L197" s="60">
        <f t="shared" si="0"/>
        <v>-20.7333</v>
      </c>
      <c r="M197" s="64">
        <f t="shared" si="23"/>
        <v>15</v>
      </c>
      <c r="N197" s="90"/>
      <c r="O197" s="89"/>
      <c r="P197" s="112"/>
      <c r="Q197" s="91"/>
      <c r="R197" s="113"/>
      <c r="S197" s="113"/>
      <c r="T197" s="103"/>
      <c r="U197" s="103"/>
      <c r="V197" s="67"/>
      <c r="W197" s="104"/>
      <c r="X197" s="67">
        <f t="shared" ref="X197:Y197" si="203">(P197+R197+T197+V197)</f>
        <v>0</v>
      </c>
      <c r="Y197" s="67">
        <f t="shared" si="203"/>
        <v>0</v>
      </c>
      <c r="Z197" s="68">
        <f t="shared" si="3"/>
        <v>0</v>
      </c>
      <c r="AA197" s="69" t="str">
        <f t="shared" si="4"/>
        <v>1D</v>
      </c>
      <c r="AB197" s="70" t="s">
        <v>621</v>
      </c>
      <c r="AC197" s="70" t="s">
        <v>213</v>
      </c>
      <c r="AD197" s="70">
        <v>12</v>
      </c>
      <c r="AE197" s="70">
        <v>33</v>
      </c>
      <c r="AF197" s="70">
        <v>45</v>
      </c>
      <c r="AG197" s="72">
        <f t="shared" si="6"/>
        <v>0.26666666666666666</v>
      </c>
      <c r="AH197" s="73">
        <f t="shared" si="7"/>
        <v>-87.733333333333334</v>
      </c>
      <c r="AI197" s="74">
        <v>15</v>
      </c>
      <c r="AJ197" s="79" t="s">
        <v>500</v>
      </c>
      <c r="AK197" s="76" t="s">
        <v>453</v>
      </c>
      <c r="AL197" s="67"/>
      <c r="AM197" s="506"/>
      <c r="AN197" s="505"/>
      <c r="AO197" s="515"/>
    </row>
    <row r="198" spans="1:41" ht="14.5">
      <c r="A198" s="58">
        <v>41923</v>
      </c>
      <c r="B198" s="59" t="s">
        <v>615</v>
      </c>
      <c r="C198" s="60" t="s">
        <v>224</v>
      </c>
      <c r="D198" s="60" t="s">
        <v>622</v>
      </c>
      <c r="E198" s="100">
        <v>2</v>
      </c>
      <c r="F198" s="101">
        <v>10</v>
      </c>
      <c r="G198" s="101">
        <v>11</v>
      </c>
      <c r="H198" s="60">
        <v>23</v>
      </c>
      <c r="I198" s="60">
        <v>25</v>
      </c>
      <c r="J198" s="60">
        <v>48</v>
      </c>
      <c r="K198" s="60">
        <v>0.47920000000000001</v>
      </c>
      <c r="L198" s="60">
        <f t="shared" si="0"/>
        <v>-9.5207999999999995</v>
      </c>
      <c r="M198" s="64">
        <f t="shared" si="23"/>
        <v>10</v>
      </c>
      <c r="N198" s="65" t="s">
        <v>225</v>
      </c>
      <c r="O198" s="60" t="s">
        <v>623</v>
      </c>
      <c r="P198" s="102"/>
      <c r="Q198" s="66"/>
      <c r="R198" s="103">
        <v>10</v>
      </c>
      <c r="S198" s="103">
        <v>11</v>
      </c>
      <c r="T198" s="103"/>
      <c r="U198" s="103"/>
      <c r="V198" s="67"/>
      <c r="W198" s="104"/>
      <c r="X198" s="67">
        <f t="shared" ref="X198:Y198" si="204">(P198+R198+T198+V198)</f>
        <v>10</v>
      </c>
      <c r="Y198" s="67">
        <f t="shared" si="204"/>
        <v>11</v>
      </c>
      <c r="Z198" s="68">
        <f t="shared" si="3"/>
        <v>21</v>
      </c>
      <c r="AA198" s="69" t="str">
        <f t="shared" si="4"/>
        <v>2A</v>
      </c>
      <c r="AB198" s="70" t="s">
        <v>622</v>
      </c>
      <c r="AC198" s="70" t="s">
        <v>239</v>
      </c>
      <c r="AD198" s="70">
        <v>23</v>
      </c>
      <c r="AE198" s="70">
        <v>25</v>
      </c>
      <c r="AF198" s="70">
        <v>48</v>
      </c>
      <c r="AG198" s="72">
        <f t="shared" si="6"/>
        <v>0.47916666666666669</v>
      </c>
      <c r="AH198" s="73">
        <f t="shared" si="7"/>
        <v>-76.520833333333329</v>
      </c>
      <c r="AI198" s="74">
        <v>10</v>
      </c>
      <c r="AJ198" s="79" t="s">
        <v>442</v>
      </c>
      <c r="AK198" s="76" t="s">
        <v>624</v>
      </c>
      <c r="AL198" s="67"/>
      <c r="AM198" s="506"/>
      <c r="AN198" s="505"/>
      <c r="AO198" s="515"/>
    </row>
    <row r="199" spans="1:41" ht="14.5">
      <c r="A199" s="58">
        <v>41923</v>
      </c>
      <c r="B199" s="59" t="s">
        <v>615</v>
      </c>
      <c r="C199" s="60" t="s">
        <v>228</v>
      </c>
      <c r="D199" s="60" t="s">
        <v>625</v>
      </c>
      <c r="E199" s="105">
        <v>11</v>
      </c>
      <c r="F199" s="106">
        <v>11</v>
      </c>
      <c r="G199" s="106">
        <v>9</v>
      </c>
      <c r="H199" s="60">
        <v>31</v>
      </c>
      <c r="I199" s="60">
        <v>17</v>
      </c>
      <c r="J199" s="60">
        <v>48</v>
      </c>
      <c r="K199" s="60">
        <v>0.64580000000000004</v>
      </c>
      <c r="L199" s="60">
        <f t="shared" si="0"/>
        <v>-1.3542000000000001</v>
      </c>
      <c r="M199" s="64">
        <f t="shared" si="23"/>
        <v>5</v>
      </c>
      <c r="N199" s="65"/>
      <c r="O199" s="60"/>
      <c r="P199" s="102"/>
      <c r="Q199" s="66"/>
      <c r="R199" s="103"/>
      <c r="S199" s="103"/>
      <c r="T199" s="103"/>
      <c r="U199" s="103"/>
      <c r="V199" s="67"/>
      <c r="W199" s="104"/>
      <c r="X199" s="67">
        <f t="shared" ref="X199:Y199" si="205">(P199+R199+T199+V199)</f>
        <v>0</v>
      </c>
      <c r="Y199" s="67">
        <f t="shared" si="205"/>
        <v>0</v>
      </c>
      <c r="Z199" s="68">
        <f t="shared" si="3"/>
        <v>0</v>
      </c>
      <c r="AA199" s="69" t="str">
        <f t="shared" si="4"/>
        <v>2B</v>
      </c>
      <c r="AB199" s="70" t="s">
        <v>625</v>
      </c>
      <c r="AC199" s="70" t="s">
        <v>230</v>
      </c>
      <c r="AD199" s="70">
        <v>38</v>
      </c>
      <c r="AE199" s="70">
        <v>28</v>
      </c>
      <c r="AF199" s="70">
        <v>66</v>
      </c>
      <c r="AG199" s="72">
        <f t="shared" si="6"/>
        <v>0.5757575757575758</v>
      </c>
      <c r="AH199" s="73">
        <f t="shared" si="7"/>
        <v>-61.424242424242422</v>
      </c>
      <c r="AI199" s="74">
        <v>8</v>
      </c>
      <c r="AJ199" s="79" t="s">
        <v>626</v>
      </c>
      <c r="AK199" s="76" t="s">
        <v>627</v>
      </c>
      <c r="AL199" s="67"/>
      <c r="AM199" s="506"/>
      <c r="AN199" s="505"/>
      <c r="AO199" s="515"/>
    </row>
    <row r="200" spans="1:41" ht="14.5">
      <c r="A200" s="58">
        <v>41923</v>
      </c>
      <c r="B200" s="59" t="s">
        <v>615</v>
      </c>
      <c r="C200" s="60" t="s">
        <v>232</v>
      </c>
      <c r="D200" s="60" t="s">
        <v>623</v>
      </c>
      <c r="E200" s="107">
        <v>11</v>
      </c>
      <c r="F200" s="108">
        <v>11</v>
      </c>
      <c r="G200" s="106">
        <v>11</v>
      </c>
      <c r="H200" s="60">
        <v>33</v>
      </c>
      <c r="I200" s="60">
        <v>26</v>
      </c>
      <c r="J200" s="60">
        <v>59</v>
      </c>
      <c r="K200" s="60">
        <v>0.55930000000000002</v>
      </c>
      <c r="L200" s="60">
        <f t="shared" si="0"/>
        <v>0.55930000000000002</v>
      </c>
      <c r="M200" s="64">
        <f t="shared" si="23"/>
        <v>4</v>
      </c>
      <c r="N200" s="65" t="s">
        <v>253</v>
      </c>
      <c r="O200" s="60" t="s">
        <v>628</v>
      </c>
      <c r="P200" s="102"/>
      <c r="Q200" s="66"/>
      <c r="R200" s="103">
        <v>11</v>
      </c>
      <c r="S200" s="103">
        <v>10</v>
      </c>
      <c r="T200" s="103">
        <v>6</v>
      </c>
      <c r="U200" s="103">
        <v>11</v>
      </c>
      <c r="V200" s="67"/>
      <c r="W200" s="104"/>
      <c r="X200" s="67">
        <f t="shared" ref="X200:Y200" si="206">(P200+R200+T200+V200)</f>
        <v>17</v>
      </c>
      <c r="Y200" s="67">
        <f t="shared" si="206"/>
        <v>21</v>
      </c>
      <c r="Z200" s="68">
        <f t="shared" si="3"/>
        <v>38</v>
      </c>
      <c r="AA200" s="69" t="str">
        <f t="shared" si="4"/>
        <v>2C</v>
      </c>
      <c r="AB200" s="70" t="s">
        <v>623</v>
      </c>
      <c r="AC200" s="70" t="s">
        <v>225</v>
      </c>
      <c r="AD200" s="70">
        <v>43</v>
      </c>
      <c r="AE200" s="70">
        <v>37</v>
      </c>
      <c r="AF200" s="70">
        <v>80</v>
      </c>
      <c r="AG200" s="72">
        <f t="shared" si="6"/>
        <v>0.53749999999999998</v>
      </c>
      <c r="AH200" s="73">
        <f t="shared" si="7"/>
        <v>-56.462499999999999</v>
      </c>
      <c r="AI200" s="74">
        <v>5</v>
      </c>
      <c r="AJ200" s="79" t="s">
        <v>629</v>
      </c>
      <c r="AK200" s="76" t="s">
        <v>630</v>
      </c>
      <c r="AL200" s="67"/>
      <c r="AM200" s="506"/>
      <c r="AN200" s="505"/>
      <c r="AO200" s="515"/>
    </row>
    <row r="201" spans="1:41" ht="14.5">
      <c r="A201" s="58">
        <v>41923</v>
      </c>
      <c r="B201" s="59" t="s">
        <v>615</v>
      </c>
      <c r="C201" s="60" t="s">
        <v>237</v>
      </c>
      <c r="D201" s="60" t="s">
        <v>631</v>
      </c>
      <c r="E201" s="109">
        <v>7</v>
      </c>
      <c r="F201" s="110">
        <v>4</v>
      </c>
      <c r="G201" s="111">
        <v>3</v>
      </c>
      <c r="H201" s="60">
        <v>14</v>
      </c>
      <c r="I201" s="60">
        <v>33</v>
      </c>
      <c r="J201" s="60">
        <v>47</v>
      </c>
      <c r="K201" s="60">
        <v>0.2979</v>
      </c>
      <c r="L201" s="60">
        <f t="shared" si="0"/>
        <v>-18.702100000000002</v>
      </c>
      <c r="M201" s="64">
        <f t="shared" si="23"/>
        <v>14</v>
      </c>
      <c r="N201" s="90"/>
      <c r="O201" s="89"/>
      <c r="P201" s="112"/>
      <c r="Q201" s="91"/>
      <c r="R201" s="113"/>
      <c r="S201" s="113"/>
      <c r="T201" s="113"/>
      <c r="U201" s="113"/>
      <c r="V201" s="67"/>
      <c r="W201" s="104"/>
      <c r="X201" s="67">
        <f t="shared" ref="X201:Y201" si="207">(P201+R201+T201+V201)</f>
        <v>0</v>
      </c>
      <c r="Y201" s="67">
        <f t="shared" si="207"/>
        <v>0</v>
      </c>
      <c r="Z201" s="68">
        <f t="shared" si="3"/>
        <v>0</v>
      </c>
      <c r="AA201" s="69" t="str">
        <f t="shared" si="4"/>
        <v>2D</v>
      </c>
      <c r="AB201" s="70" t="s">
        <v>631</v>
      </c>
      <c r="AC201" s="70" t="s">
        <v>234</v>
      </c>
      <c r="AD201" s="70">
        <v>14</v>
      </c>
      <c r="AE201" s="70">
        <v>33</v>
      </c>
      <c r="AF201" s="70">
        <v>47</v>
      </c>
      <c r="AG201" s="72">
        <f t="shared" si="6"/>
        <v>0.2978723404255319</v>
      </c>
      <c r="AH201" s="73">
        <f t="shared" si="7"/>
        <v>-85.702127659574472</v>
      </c>
      <c r="AI201" s="74">
        <v>14</v>
      </c>
      <c r="AJ201" s="79" t="s">
        <v>512</v>
      </c>
      <c r="AK201" s="76" t="s">
        <v>632</v>
      </c>
      <c r="AL201" s="67"/>
      <c r="AM201" s="506"/>
      <c r="AN201" s="505"/>
      <c r="AO201" s="515"/>
    </row>
    <row r="202" spans="1:41" ht="14.5">
      <c r="A202" s="58">
        <v>41923</v>
      </c>
      <c r="B202" s="59" t="s">
        <v>615</v>
      </c>
      <c r="C202" s="60" t="s">
        <v>241</v>
      </c>
      <c r="D202" s="60" t="s">
        <v>633</v>
      </c>
      <c r="E202" s="100">
        <v>4</v>
      </c>
      <c r="F202" s="101">
        <v>3</v>
      </c>
      <c r="G202" s="101">
        <v>4</v>
      </c>
      <c r="H202" s="60">
        <v>11</v>
      </c>
      <c r="I202" s="60">
        <v>33</v>
      </c>
      <c r="J202" s="60">
        <v>44</v>
      </c>
      <c r="K202" s="60">
        <v>0.25</v>
      </c>
      <c r="L202" s="60">
        <f t="shared" si="0"/>
        <v>-21.75</v>
      </c>
      <c r="M202" s="64">
        <f t="shared" si="23"/>
        <v>16</v>
      </c>
      <c r="N202" s="65" t="s">
        <v>243</v>
      </c>
      <c r="O202" s="60" t="s">
        <v>634</v>
      </c>
      <c r="P202" s="102"/>
      <c r="Q202" s="66"/>
      <c r="R202" s="103">
        <v>11</v>
      </c>
      <c r="S202" s="103">
        <v>7</v>
      </c>
      <c r="T202" s="103">
        <v>11</v>
      </c>
      <c r="U202" s="103">
        <v>8</v>
      </c>
      <c r="V202" s="67">
        <v>12</v>
      </c>
      <c r="W202" s="104">
        <v>8</v>
      </c>
      <c r="X202" s="67">
        <f t="shared" ref="X202:Y202" si="208">(P202+R202+T202+V202)</f>
        <v>34</v>
      </c>
      <c r="Y202" s="67">
        <f t="shared" si="208"/>
        <v>23</v>
      </c>
      <c r="Z202" s="68">
        <f t="shared" si="3"/>
        <v>57</v>
      </c>
      <c r="AA202" s="69" t="str">
        <f t="shared" si="4"/>
        <v>3A</v>
      </c>
      <c r="AB202" s="70" t="s">
        <v>633</v>
      </c>
      <c r="AC202" s="70" t="s">
        <v>258</v>
      </c>
      <c r="AD202" s="70">
        <v>11</v>
      </c>
      <c r="AE202" s="70">
        <v>33</v>
      </c>
      <c r="AF202" s="70">
        <v>44</v>
      </c>
      <c r="AG202" s="72">
        <f t="shared" si="6"/>
        <v>0.25</v>
      </c>
      <c r="AH202" s="73">
        <f t="shared" si="7"/>
        <v>-88.75</v>
      </c>
      <c r="AI202" s="74">
        <v>16</v>
      </c>
      <c r="AJ202" s="79" t="s">
        <v>635</v>
      </c>
      <c r="AK202" s="76" t="s">
        <v>636</v>
      </c>
      <c r="AL202" s="67"/>
      <c r="AM202" s="506"/>
      <c r="AN202" s="505"/>
      <c r="AO202" s="515"/>
    </row>
    <row r="203" spans="1:41" ht="14.5">
      <c r="A203" s="58">
        <v>41923</v>
      </c>
      <c r="B203" s="59" t="s">
        <v>615</v>
      </c>
      <c r="C203" s="60" t="s">
        <v>246</v>
      </c>
      <c r="D203" s="60" t="s">
        <v>628</v>
      </c>
      <c r="E203" s="105">
        <v>11</v>
      </c>
      <c r="F203" s="106">
        <v>11</v>
      </c>
      <c r="G203" s="106">
        <v>4</v>
      </c>
      <c r="H203" s="60">
        <v>26</v>
      </c>
      <c r="I203" s="60">
        <v>19</v>
      </c>
      <c r="J203" s="60">
        <v>45</v>
      </c>
      <c r="K203" s="60">
        <v>0.57779999999999998</v>
      </c>
      <c r="L203" s="60">
        <f t="shared" si="0"/>
        <v>-6.4222000000000001</v>
      </c>
      <c r="M203" s="64">
        <f t="shared" si="23"/>
        <v>8</v>
      </c>
      <c r="N203" s="65"/>
      <c r="O203" s="60"/>
      <c r="P203" s="102"/>
      <c r="Q203" s="66"/>
      <c r="R203" s="103"/>
      <c r="S203" s="103"/>
      <c r="T203" s="103"/>
      <c r="U203" s="103"/>
      <c r="V203" s="67"/>
      <c r="W203" s="104"/>
      <c r="X203" s="67">
        <f t="shared" ref="X203:Y203" si="209">(P203+R203+T203+V203)</f>
        <v>0</v>
      </c>
      <c r="Y203" s="67">
        <f t="shared" si="209"/>
        <v>0</v>
      </c>
      <c r="Z203" s="68">
        <f t="shared" si="3"/>
        <v>0</v>
      </c>
      <c r="AA203" s="69" t="str">
        <f t="shared" si="4"/>
        <v>3B</v>
      </c>
      <c r="AB203" s="70" t="s">
        <v>628</v>
      </c>
      <c r="AC203" s="70" t="s">
        <v>253</v>
      </c>
      <c r="AD203" s="70">
        <v>43</v>
      </c>
      <c r="AE203" s="70">
        <v>40</v>
      </c>
      <c r="AF203" s="70">
        <v>83</v>
      </c>
      <c r="AG203" s="72">
        <f t="shared" si="6"/>
        <v>0.51807228915662651</v>
      </c>
      <c r="AH203" s="73">
        <f t="shared" si="7"/>
        <v>-56.481927710843372</v>
      </c>
      <c r="AI203" s="74">
        <v>6</v>
      </c>
      <c r="AJ203" s="79" t="s">
        <v>637</v>
      </c>
      <c r="AK203" s="76" t="s">
        <v>638</v>
      </c>
      <c r="AL203" s="67"/>
      <c r="AM203" s="506"/>
      <c r="AN203" s="505"/>
      <c r="AO203" s="515"/>
    </row>
    <row r="204" spans="1:41" ht="14.5">
      <c r="A204" s="58">
        <v>41923</v>
      </c>
      <c r="B204" s="59" t="s">
        <v>615</v>
      </c>
      <c r="C204" s="60" t="s">
        <v>251</v>
      </c>
      <c r="D204" s="60" t="s">
        <v>634</v>
      </c>
      <c r="E204" s="107">
        <v>11</v>
      </c>
      <c r="F204" s="108">
        <v>11</v>
      </c>
      <c r="G204" s="106">
        <v>11</v>
      </c>
      <c r="H204" s="60">
        <v>33</v>
      </c>
      <c r="I204" s="60">
        <v>11</v>
      </c>
      <c r="J204" s="60">
        <v>44</v>
      </c>
      <c r="K204" s="60">
        <v>0.75</v>
      </c>
      <c r="L204" s="60">
        <f t="shared" si="0"/>
        <v>0.75</v>
      </c>
      <c r="M204" s="64">
        <f t="shared" si="23"/>
        <v>1</v>
      </c>
      <c r="N204" s="65" t="s">
        <v>230</v>
      </c>
      <c r="O204" s="60" t="s">
        <v>625</v>
      </c>
      <c r="P204" s="102"/>
      <c r="Q204" s="66"/>
      <c r="R204" s="103">
        <v>7</v>
      </c>
      <c r="S204" s="103">
        <v>11</v>
      </c>
      <c r="T204" s="103"/>
      <c r="U204" s="103"/>
      <c r="V204" s="67"/>
      <c r="W204" s="104"/>
      <c r="X204" s="67">
        <f t="shared" ref="X204:Y204" si="210">(P204+R204+T204+V204)</f>
        <v>7</v>
      </c>
      <c r="Y204" s="67">
        <f t="shared" si="210"/>
        <v>11</v>
      </c>
      <c r="Z204" s="68">
        <f t="shared" si="3"/>
        <v>18</v>
      </c>
      <c r="AA204" s="69" t="str">
        <f t="shared" si="4"/>
        <v>3C</v>
      </c>
      <c r="AB204" s="70" t="s">
        <v>634</v>
      </c>
      <c r="AC204" s="70" t="s">
        <v>243</v>
      </c>
      <c r="AD204" s="70">
        <v>67</v>
      </c>
      <c r="AE204" s="70">
        <v>34</v>
      </c>
      <c r="AF204" s="70">
        <v>101</v>
      </c>
      <c r="AG204" s="72">
        <f t="shared" si="6"/>
        <v>0.6633663366336634</v>
      </c>
      <c r="AH204" s="73">
        <f t="shared" si="7"/>
        <v>-32.336633663366335</v>
      </c>
      <c r="AI204" s="74">
        <v>1</v>
      </c>
      <c r="AJ204" s="79" t="s">
        <v>639</v>
      </c>
      <c r="AK204" s="76" t="s">
        <v>640</v>
      </c>
      <c r="AL204" s="67"/>
      <c r="AM204" s="506"/>
      <c r="AN204" s="505"/>
      <c r="AO204" s="515"/>
    </row>
    <row r="205" spans="1:41" ht="14.5">
      <c r="A205" s="58">
        <v>41923</v>
      </c>
      <c r="B205" s="59" t="s">
        <v>615</v>
      </c>
      <c r="C205" s="60" t="s">
        <v>256</v>
      </c>
      <c r="D205" s="60" t="s">
        <v>641</v>
      </c>
      <c r="E205" s="109">
        <v>4</v>
      </c>
      <c r="F205" s="110">
        <v>4</v>
      </c>
      <c r="G205" s="111">
        <v>11</v>
      </c>
      <c r="H205" s="60">
        <v>19</v>
      </c>
      <c r="I205" s="60">
        <v>26</v>
      </c>
      <c r="J205" s="60">
        <v>45</v>
      </c>
      <c r="K205" s="60">
        <v>0.42220000000000002</v>
      </c>
      <c r="L205" s="60">
        <f t="shared" si="0"/>
        <v>-13.5778</v>
      </c>
      <c r="M205" s="64">
        <f t="shared" si="23"/>
        <v>12</v>
      </c>
      <c r="N205" s="90"/>
      <c r="O205" s="89"/>
      <c r="P205" s="112"/>
      <c r="Q205" s="91"/>
      <c r="R205" s="113"/>
      <c r="S205" s="113"/>
      <c r="T205" s="103"/>
      <c r="U205" s="103"/>
      <c r="V205" s="67"/>
      <c r="W205" s="104"/>
      <c r="X205" s="67">
        <f t="shared" ref="X205:Y205" si="211">(P205+R205+T205+V205)</f>
        <v>0</v>
      </c>
      <c r="Y205" s="67">
        <f t="shared" si="211"/>
        <v>0</v>
      </c>
      <c r="Z205" s="68">
        <f t="shared" si="3"/>
        <v>0</v>
      </c>
      <c r="AA205" s="69" t="str">
        <f t="shared" si="4"/>
        <v>3D</v>
      </c>
      <c r="AB205" s="70" t="s">
        <v>641</v>
      </c>
      <c r="AC205" s="70" t="s">
        <v>248</v>
      </c>
      <c r="AD205" s="70">
        <v>19</v>
      </c>
      <c r="AE205" s="70">
        <v>26</v>
      </c>
      <c r="AF205" s="70">
        <v>45</v>
      </c>
      <c r="AG205" s="72">
        <f t="shared" si="6"/>
        <v>0.42222222222222222</v>
      </c>
      <c r="AH205" s="73">
        <f t="shared" si="7"/>
        <v>-80.577777777777783</v>
      </c>
      <c r="AI205" s="74">
        <v>12</v>
      </c>
      <c r="AJ205" s="79" t="s">
        <v>642</v>
      </c>
      <c r="AK205" s="76" t="s">
        <v>643</v>
      </c>
      <c r="AL205" s="67"/>
      <c r="AM205" s="506"/>
      <c r="AN205" s="505"/>
      <c r="AO205" s="515"/>
    </row>
    <row r="206" spans="1:41" ht="14.5">
      <c r="A206" s="58">
        <v>41923</v>
      </c>
      <c r="B206" s="59" t="s">
        <v>615</v>
      </c>
      <c r="C206" s="60" t="s">
        <v>261</v>
      </c>
      <c r="D206" s="60" t="s">
        <v>79</v>
      </c>
      <c r="E206" s="100">
        <v>11</v>
      </c>
      <c r="F206" s="101">
        <v>9</v>
      </c>
      <c r="G206" s="101">
        <v>11</v>
      </c>
      <c r="H206" s="60">
        <v>31</v>
      </c>
      <c r="I206" s="60">
        <v>29</v>
      </c>
      <c r="J206" s="60">
        <v>60</v>
      </c>
      <c r="K206" s="60">
        <v>0.51670000000000005</v>
      </c>
      <c r="L206" s="60">
        <f t="shared" si="0"/>
        <v>-1.4832999999999998</v>
      </c>
      <c r="M206" s="64">
        <f t="shared" si="23"/>
        <v>6</v>
      </c>
      <c r="N206" s="65" t="s">
        <v>263</v>
      </c>
      <c r="O206" s="60" t="s">
        <v>644</v>
      </c>
      <c r="P206" s="102"/>
      <c r="Q206" s="66"/>
      <c r="R206" s="103">
        <v>11</v>
      </c>
      <c r="S206" s="103">
        <v>9</v>
      </c>
      <c r="T206" s="103">
        <v>8</v>
      </c>
      <c r="U206" s="103">
        <v>11</v>
      </c>
      <c r="V206" s="67"/>
      <c r="W206" s="104"/>
      <c r="X206" s="67">
        <f t="shared" ref="X206:Y206" si="212">(P206+R206+T206+V206)</f>
        <v>19</v>
      </c>
      <c r="Y206" s="67">
        <f t="shared" si="212"/>
        <v>20</v>
      </c>
      <c r="Z206" s="68">
        <f t="shared" si="3"/>
        <v>39</v>
      </c>
      <c r="AA206" s="69" t="str">
        <f t="shared" si="4"/>
        <v>4A</v>
      </c>
      <c r="AB206" s="70" t="s">
        <v>79</v>
      </c>
      <c r="AC206" s="70" t="s">
        <v>265</v>
      </c>
      <c r="AD206" s="70">
        <v>61</v>
      </c>
      <c r="AE206" s="70">
        <v>57</v>
      </c>
      <c r="AF206" s="70">
        <v>118</v>
      </c>
      <c r="AG206" s="72">
        <f t="shared" si="6"/>
        <v>0.51694915254237284</v>
      </c>
      <c r="AH206" s="73">
        <f t="shared" si="7"/>
        <v>-38.483050847457626</v>
      </c>
      <c r="AI206" s="74">
        <v>2</v>
      </c>
      <c r="AJ206" s="79" t="s">
        <v>645</v>
      </c>
      <c r="AK206" s="76" t="s">
        <v>535</v>
      </c>
      <c r="AL206" s="67"/>
      <c r="AM206" s="506"/>
      <c r="AN206" s="505"/>
      <c r="AO206" s="515"/>
    </row>
    <row r="207" spans="1:41" ht="14.5">
      <c r="A207" s="58">
        <v>41923</v>
      </c>
      <c r="B207" s="59" t="s">
        <v>615</v>
      </c>
      <c r="C207" s="60" t="s">
        <v>268</v>
      </c>
      <c r="D207" s="60" t="s">
        <v>646</v>
      </c>
      <c r="E207" s="105">
        <v>8</v>
      </c>
      <c r="F207" s="106">
        <v>3</v>
      </c>
      <c r="G207" s="106">
        <v>5</v>
      </c>
      <c r="H207" s="60">
        <v>16</v>
      </c>
      <c r="I207" s="60">
        <v>33</v>
      </c>
      <c r="J207" s="60">
        <v>49</v>
      </c>
      <c r="K207" s="60">
        <v>0.32650000000000001</v>
      </c>
      <c r="L207" s="60">
        <f t="shared" si="0"/>
        <v>-16.673500000000001</v>
      </c>
      <c r="M207" s="64">
        <f t="shared" si="23"/>
        <v>13</v>
      </c>
      <c r="N207" s="65"/>
      <c r="O207" s="60"/>
      <c r="P207" s="102"/>
      <c r="Q207" s="66"/>
      <c r="R207" s="103"/>
      <c r="S207" s="103"/>
      <c r="T207" s="103"/>
      <c r="U207" s="103"/>
      <c r="V207" s="67"/>
      <c r="W207" s="104"/>
      <c r="X207" s="67">
        <f t="shared" ref="X207:Y207" si="213">(P207+R207+T207+V207)</f>
        <v>0</v>
      </c>
      <c r="Y207" s="67">
        <f t="shared" si="213"/>
        <v>0</v>
      </c>
      <c r="Z207" s="68">
        <f t="shared" si="3"/>
        <v>0</v>
      </c>
      <c r="AA207" s="69" t="str">
        <f t="shared" si="4"/>
        <v>4B</v>
      </c>
      <c r="AB207" s="70" t="s">
        <v>646</v>
      </c>
      <c r="AC207" s="70" t="s">
        <v>273</v>
      </c>
      <c r="AD207" s="70">
        <v>16</v>
      </c>
      <c r="AE207" s="70">
        <v>33</v>
      </c>
      <c r="AF207" s="70">
        <v>49</v>
      </c>
      <c r="AG207" s="72">
        <f t="shared" si="6"/>
        <v>0.32653061224489793</v>
      </c>
      <c r="AH207" s="73">
        <f t="shared" si="7"/>
        <v>-83.673469387755105</v>
      </c>
      <c r="AI207" s="74">
        <v>13</v>
      </c>
      <c r="AJ207" s="79" t="s">
        <v>436</v>
      </c>
      <c r="AK207" s="76" t="s">
        <v>647</v>
      </c>
      <c r="AL207" s="67"/>
      <c r="AM207" s="506"/>
      <c r="AN207" s="505"/>
      <c r="AO207" s="515"/>
    </row>
    <row r="208" spans="1:41" ht="14.5">
      <c r="A208" s="58">
        <v>41923</v>
      </c>
      <c r="B208" s="59" t="s">
        <v>615</v>
      </c>
      <c r="C208" s="60" t="s">
        <v>271</v>
      </c>
      <c r="D208" s="60" t="s">
        <v>644</v>
      </c>
      <c r="E208" s="107">
        <v>11</v>
      </c>
      <c r="F208" s="108">
        <v>11</v>
      </c>
      <c r="G208" s="106">
        <v>11</v>
      </c>
      <c r="H208" s="60">
        <v>33</v>
      </c>
      <c r="I208" s="60">
        <v>19</v>
      </c>
      <c r="J208" s="60">
        <v>52</v>
      </c>
      <c r="K208" s="60">
        <v>0.63460000000000005</v>
      </c>
      <c r="L208" s="60">
        <f t="shared" si="0"/>
        <v>0.63460000000000005</v>
      </c>
      <c r="M208" s="64">
        <f t="shared" si="23"/>
        <v>3</v>
      </c>
      <c r="N208" s="65" t="s">
        <v>218</v>
      </c>
      <c r="O208" s="60" t="s">
        <v>619</v>
      </c>
      <c r="P208" s="102"/>
      <c r="Q208" s="66"/>
      <c r="R208" s="103">
        <v>9</v>
      </c>
      <c r="S208" s="103">
        <v>11</v>
      </c>
      <c r="T208" s="103"/>
      <c r="U208" s="103"/>
      <c r="V208" s="67"/>
      <c r="W208" s="104"/>
      <c r="X208" s="67">
        <f t="shared" ref="X208:Y208" si="214">(P208+R208+T208+V208)</f>
        <v>9</v>
      </c>
      <c r="Y208" s="67">
        <f t="shared" si="214"/>
        <v>11</v>
      </c>
      <c r="Z208" s="68">
        <f t="shared" si="3"/>
        <v>20</v>
      </c>
      <c r="AA208" s="69" t="str">
        <f t="shared" si="4"/>
        <v>4C</v>
      </c>
      <c r="AB208" s="70" t="s">
        <v>644</v>
      </c>
      <c r="AC208" s="70" t="s">
        <v>263</v>
      </c>
      <c r="AD208" s="70">
        <v>52</v>
      </c>
      <c r="AE208" s="70">
        <v>39</v>
      </c>
      <c r="AF208" s="70">
        <v>91</v>
      </c>
      <c r="AG208" s="72">
        <f t="shared" si="6"/>
        <v>0.5714285714285714</v>
      </c>
      <c r="AH208" s="73">
        <f t="shared" si="7"/>
        <v>-47.428571428571431</v>
      </c>
      <c r="AI208" s="74">
        <v>3</v>
      </c>
      <c r="AJ208" s="79" t="s">
        <v>450</v>
      </c>
      <c r="AK208" s="76" t="s">
        <v>648</v>
      </c>
      <c r="AL208" s="67"/>
      <c r="AM208" s="506"/>
      <c r="AN208" s="505"/>
      <c r="AO208" s="515"/>
    </row>
    <row r="209" spans="1:41" ht="14.5">
      <c r="A209" s="87">
        <v>41923</v>
      </c>
      <c r="B209" s="88" t="s">
        <v>615</v>
      </c>
      <c r="C209" s="89" t="s">
        <v>276</v>
      </c>
      <c r="D209" s="89" t="s">
        <v>649</v>
      </c>
      <c r="E209" s="109">
        <v>5</v>
      </c>
      <c r="F209" s="110">
        <v>11</v>
      </c>
      <c r="G209" s="111">
        <v>10</v>
      </c>
      <c r="H209" s="89">
        <v>26</v>
      </c>
      <c r="I209" s="89">
        <v>25</v>
      </c>
      <c r="J209" s="89">
        <v>51</v>
      </c>
      <c r="K209" s="89">
        <v>0.50980000000000003</v>
      </c>
      <c r="L209" s="89">
        <f t="shared" si="0"/>
        <v>-6.4901999999999997</v>
      </c>
      <c r="M209" s="86">
        <f t="shared" si="23"/>
        <v>9</v>
      </c>
      <c r="N209" s="90"/>
      <c r="O209" s="89"/>
      <c r="P209" s="112"/>
      <c r="Q209" s="91"/>
      <c r="R209" s="113"/>
      <c r="S209" s="113"/>
      <c r="T209" s="113"/>
      <c r="U209" s="113"/>
      <c r="V209" s="92"/>
      <c r="W209" s="114"/>
      <c r="X209" s="92">
        <f t="shared" ref="X209:Y209" si="215">(P209+R209+T209+V209)</f>
        <v>0</v>
      </c>
      <c r="Y209" s="92">
        <f t="shared" si="215"/>
        <v>0</v>
      </c>
      <c r="Z209" s="84">
        <f t="shared" si="3"/>
        <v>0</v>
      </c>
      <c r="AA209" s="93" t="str">
        <f t="shared" si="4"/>
        <v>4D</v>
      </c>
      <c r="AB209" s="94" t="s">
        <v>649</v>
      </c>
      <c r="AC209" s="94" t="s">
        <v>278</v>
      </c>
      <c r="AD209" s="94">
        <v>26</v>
      </c>
      <c r="AE209" s="94">
        <v>25</v>
      </c>
      <c r="AF209" s="94">
        <v>51</v>
      </c>
      <c r="AG209" s="95">
        <f t="shared" si="6"/>
        <v>0.50980392156862742</v>
      </c>
      <c r="AH209" s="96">
        <f t="shared" si="7"/>
        <v>-73.490196078431367</v>
      </c>
      <c r="AI209" s="97">
        <v>9</v>
      </c>
      <c r="AJ209" s="98" t="s">
        <v>650</v>
      </c>
      <c r="AK209" s="81" t="s">
        <v>651</v>
      </c>
      <c r="AL209" s="67"/>
      <c r="AM209" s="506"/>
      <c r="AN209" s="505"/>
      <c r="AO209" s="515"/>
    </row>
    <row r="210" spans="1:41" ht="14.5">
      <c r="A210" s="58">
        <v>42155</v>
      </c>
      <c r="B210" s="59" t="s">
        <v>204</v>
      </c>
      <c r="C210" s="60" t="s">
        <v>205</v>
      </c>
      <c r="D210" s="60" t="s">
        <v>652</v>
      </c>
      <c r="E210" s="100">
        <v>7</v>
      </c>
      <c r="F210" s="101">
        <v>5</v>
      </c>
      <c r="G210" s="101">
        <v>10</v>
      </c>
      <c r="H210" s="60">
        <v>22</v>
      </c>
      <c r="I210" s="60">
        <v>33</v>
      </c>
      <c r="J210" s="60">
        <v>55</v>
      </c>
      <c r="K210" s="60">
        <v>0.4</v>
      </c>
      <c r="L210" s="60">
        <f t="shared" si="0"/>
        <v>-10.6</v>
      </c>
      <c r="M210" s="64">
        <f t="shared" si="23"/>
        <v>12</v>
      </c>
      <c r="N210" s="65" t="s">
        <v>207</v>
      </c>
      <c r="O210" s="60" t="s">
        <v>80</v>
      </c>
      <c r="P210" s="102"/>
      <c r="Q210" s="66"/>
      <c r="R210" s="103">
        <v>11</v>
      </c>
      <c r="S210" s="103">
        <v>7</v>
      </c>
      <c r="T210" s="103">
        <v>11</v>
      </c>
      <c r="U210" s="103">
        <v>5</v>
      </c>
      <c r="V210" s="67">
        <v>13</v>
      </c>
      <c r="W210" s="104">
        <v>8</v>
      </c>
      <c r="X210" s="67">
        <f t="shared" ref="X210:Y210" si="216">(P210+R210+T210+V210)</f>
        <v>35</v>
      </c>
      <c r="Y210" s="67">
        <f t="shared" si="216"/>
        <v>20</v>
      </c>
      <c r="Z210" s="68">
        <f t="shared" si="3"/>
        <v>55</v>
      </c>
      <c r="AA210" s="69" t="str">
        <f t="shared" si="4"/>
        <v>1A</v>
      </c>
      <c r="AB210" s="70" t="s">
        <v>652</v>
      </c>
      <c r="AC210" s="70" t="s">
        <v>213</v>
      </c>
      <c r="AD210" s="70">
        <v>22</v>
      </c>
      <c r="AE210" s="70">
        <v>33</v>
      </c>
      <c r="AF210" s="70">
        <v>55</v>
      </c>
      <c r="AG210" s="72">
        <f t="shared" si="6"/>
        <v>0.4</v>
      </c>
      <c r="AH210" s="73">
        <f t="shared" si="7"/>
        <v>-77.599999999999994</v>
      </c>
      <c r="AI210" s="74">
        <v>12</v>
      </c>
      <c r="AJ210" s="79" t="s">
        <v>653</v>
      </c>
      <c r="AK210" s="76" t="s">
        <v>476</v>
      </c>
      <c r="AL210" s="67"/>
      <c r="AM210" s="506"/>
      <c r="AN210" s="505"/>
      <c r="AO210" s="515"/>
    </row>
    <row r="211" spans="1:41" ht="14.5">
      <c r="A211" s="58">
        <v>42155</v>
      </c>
      <c r="B211" s="59" t="s">
        <v>204</v>
      </c>
      <c r="C211" s="60" t="s">
        <v>211</v>
      </c>
      <c r="D211" s="60" t="s">
        <v>654</v>
      </c>
      <c r="E211" s="105">
        <v>11</v>
      </c>
      <c r="F211" s="106">
        <v>5</v>
      </c>
      <c r="G211" s="106">
        <v>6</v>
      </c>
      <c r="H211" s="60">
        <v>22</v>
      </c>
      <c r="I211" s="60">
        <v>29</v>
      </c>
      <c r="J211" s="60">
        <v>51</v>
      </c>
      <c r="K211" s="60">
        <v>0.43140000000000001</v>
      </c>
      <c r="L211" s="60">
        <f t="shared" si="0"/>
        <v>-10.5686</v>
      </c>
      <c r="M211" s="64">
        <f t="shared" si="23"/>
        <v>11</v>
      </c>
      <c r="N211" s="65"/>
      <c r="O211" s="60"/>
      <c r="P211" s="102"/>
      <c r="Q211" s="66"/>
      <c r="R211" s="103"/>
      <c r="S211" s="103"/>
      <c r="T211" s="103"/>
      <c r="U211" s="103"/>
      <c r="V211" s="67"/>
      <c r="W211" s="104"/>
      <c r="X211" s="67">
        <f t="shared" ref="X211:Y211" si="217">(P211+R211+T211+V211)</f>
        <v>0</v>
      </c>
      <c r="Y211" s="67">
        <f t="shared" si="217"/>
        <v>0</v>
      </c>
      <c r="Z211" s="68">
        <f t="shared" si="3"/>
        <v>0</v>
      </c>
      <c r="AA211" s="69" t="str">
        <f t="shared" si="4"/>
        <v>1B</v>
      </c>
      <c r="AB211" s="70" t="s">
        <v>654</v>
      </c>
      <c r="AC211" s="70" t="s">
        <v>208</v>
      </c>
      <c r="AD211" s="70">
        <v>22</v>
      </c>
      <c r="AE211" s="70">
        <v>29</v>
      </c>
      <c r="AF211" s="70">
        <v>51</v>
      </c>
      <c r="AG211" s="72">
        <f t="shared" si="6"/>
        <v>0.43137254901960786</v>
      </c>
      <c r="AH211" s="73">
        <f t="shared" si="7"/>
        <v>-77.568627450980387</v>
      </c>
      <c r="AI211" s="74">
        <v>11</v>
      </c>
      <c r="AJ211" s="79" t="s">
        <v>655</v>
      </c>
      <c r="AK211" s="76" t="s">
        <v>227</v>
      </c>
      <c r="AL211" s="67"/>
      <c r="AM211" s="506"/>
      <c r="AN211" s="505"/>
      <c r="AO211" s="515"/>
    </row>
    <row r="212" spans="1:41" ht="14.5">
      <c r="A212" s="58">
        <v>42155</v>
      </c>
      <c r="B212" s="59" t="s">
        <v>204</v>
      </c>
      <c r="C212" s="60" t="s">
        <v>216</v>
      </c>
      <c r="D212" s="60" t="s">
        <v>81</v>
      </c>
      <c r="E212" s="107">
        <v>5</v>
      </c>
      <c r="F212" s="108">
        <v>11</v>
      </c>
      <c r="G212" s="106">
        <v>11</v>
      </c>
      <c r="H212" s="60">
        <v>27</v>
      </c>
      <c r="I212" s="60">
        <v>22</v>
      </c>
      <c r="J212" s="60">
        <v>49</v>
      </c>
      <c r="K212" s="60">
        <v>0.55100000000000005</v>
      </c>
      <c r="L212" s="60">
        <f t="shared" si="0"/>
        <v>-5.4489999999999998</v>
      </c>
      <c r="M212" s="64">
        <f t="shared" si="23"/>
        <v>8</v>
      </c>
      <c r="N212" s="65" t="s">
        <v>265</v>
      </c>
      <c r="O212" s="60" t="s">
        <v>656</v>
      </c>
      <c r="P212" s="102"/>
      <c r="Q212" s="66"/>
      <c r="R212" s="103">
        <v>7</v>
      </c>
      <c r="S212" s="103">
        <v>11</v>
      </c>
      <c r="T212" s="103"/>
      <c r="U212" s="103"/>
      <c r="V212" s="67"/>
      <c r="W212" s="104"/>
      <c r="X212" s="67">
        <f t="shared" ref="X212:Y212" si="218">(P212+R212+T212+V212)</f>
        <v>7</v>
      </c>
      <c r="Y212" s="67">
        <f t="shared" si="218"/>
        <v>11</v>
      </c>
      <c r="Z212" s="68">
        <f t="shared" si="3"/>
        <v>18</v>
      </c>
      <c r="AA212" s="69" t="str">
        <f t="shared" si="4"/>
        <v>1C</v>
      </c>
      <c r="AB212" s="70" t="s">
        <v>81</v>
      </c>
      <c r="AC212" s="70" t="s">
        <v>218</v>
      </c>
      <c r="AD212" s="70">
        <v>57</v>
      </c>
      <c r="AE212" s="70">
        <v>51</v>
      </c>
      <c r="AF212" s="70">
        <v>108</v>
      </c>
      <c r="AG212" s="72">
        <f t="shared" si="6"/>
        <v>0.52777777777777779</v>
      </c>
      <c r="AH212" s="73">
        <f t="shared" si="7"/>
        <v>-42.472222222222221</v>
      </c>
      <c r="AI212" s="74">
        <v>2</v>
      </c>
      <c r="AJ212" s="79" t="s">
        <v>226</v>
      </c>
      <c r="AK212" s="76" t="s">
        <v>462</v>
      </c>
      <c r="AL212" s="67"/>
      <c r="AM212" s="506"/>
      <c r="AN212" s="505"/>
      <c r="AO212" s="515"/>
    </row>
    <row r="213" spans="1:41" ht="14.5">
      <c r="A213" s="58">
        <v>42155</v>
      </c>
      <c r="B213" s="59" t="s">
        <v>204</v>
      </c>
      <c r="C213" s="60" t="s">
        <v>221</v>
      </c>
      <c r="D213" s="60" t="s">
        <v>80</v>
      </c>
      <c r="E213" s="109">
        <v>11</v>
      </c>
      <c r="F213" s="110">
        <v>11</v>
      </c>
      <c r="G213" s="111">
        <v>11</v>
      </c>
      <c r="H213" s="60">
        <v>33</v>
      </c>
      <c r="I213" s="60">
        <v>20</v>
      </c>
      <c r="J213" s="60">
        <v>53</v>
      </c>
      <c r="K213" s="60">
        <v>0.62260000000000004</v>
      </c>
      <c r="L213" s="60">
        <f t="shared" si="0"/>
        <v>0.62260000000000004</v>
      </c>
      <c r="M213" s="64">
        <f t="shared" si="23"/>
        <v>2</v>
      </c>
      <c r="N213" s="90"/>
      <c r="O213" s="89"/>
      <c r="P213" s="112"/>
      <c r="Q213" s="91"/>
      <c r="R213" s="113"/>
      <c r="S213" s="113"/>
      <c r="T213" s="103"/>
      <c r="U213" s="103"/>
      <c r="V213" s="67"/>
      <c r="W213" s="104"/>
      <c r="X213" s="67">
        <f t="shared" ref="X213:Y213" si="219">(P213+R213+T213+V213)</f>
        <v>0</v>
      </c>
      <c r="Y213" s="67">
        <f t="shared" si="219"/>
        <v>0</v>
      </c>
      <c r="Z213" s="68">
        <f t="shared" si="3"/>
        <v>0</v>
      </c>
      <c r="AA213" s="69" t="str">
        <f t="shared" si="4"/>
        <v>1D</v>
      </c>
      <c r="AB213" s="70" t="s">
        <v>80</v>
      </c>
      <c r="AC213" s="70" t="s">
        <v>207</v>
      </c>
      <c r="AD213" s="70">
        <v>68</v>
      </c>
      <c r="AE213" s="70">
        <v>40</v>
      </c>
      <c r="AF213" s="70">
        <v>108</v>
      </c>
      <c r="AG213" s="72">
        <f t="shared" si="6"/>
        <v>0.62962962962962965</v>
      </c>
      <c r="AH213" s="73">
        <f t="shared" si="7"/>
        <v>-31.37037037037037</v>
      </c>
      <c r="AI213" s="74">
        <v>1</v>
      </c>
      <c r="AJ213" s="79" t="s">
        <v>417</v>
      </c>
      <c r="AK213" s="76" t="s">
        <v>427</v>
      </c>
      <c r="AL213" s="67"/>
      <c r="AM213" s="506"/>
      <c r="AN213" s="505"/>
      <c r="AO213" s="515"/>
    </row>
    <row r="214" spans="1:41" ht="14.5">
      <c r="A214" s="58">
        <v>42155</v>
      </c>
      <c r="B214" s="59" t="s">
        <v>204</v>
      </c>
      <c r="C214" s="60" t="s">
        <v>224</v>
      </c>
      <c r="D214" s="60" t="s">
        <v>657</v>
      </c>
      <c r="E214" s="100">
        <v>11</v>
      </c>
      <c r="F214" s="101">
        <v>11</v>
      </c>
      <c r="G214" s="101">
        <v>11</v>
      </c>
      <c r="H214" s="60">
        <v>33</v>
      </c>
      <c r="I214" s="60">
        <v>7</v>
      </c>
      <c r="J214" s="60">
        <v>40</v>
      </c>
      <c r="K214" s="60">
        <v>0.82499999999999996</v>
      </c>
      <c r="L214" s="60">
        <f t="shared" si="0"/>
        <v>0.82499999999999996</v>
      </c>
      <c r="M214" s="64">
        <f t="shared" si="23"/>
        <v>1</v>
      </c>
      <c r="N214" s="65" t="s">
        <v>225</v>
      </c>
      <c r="O214" s="60" t="s">
        <v>657</v>
      </c>
      <c r="P214" s="102"/>
      <c r="Q214" s="66"/>
      <c r="R214" s="103">
        <v>10</v>
      </c>
      <c r="S214" s="103">
        <v>11</v>
      </c>
      <c r="T214" s="103"/>
      <c r="U214" s="103"/>
      <c r="V214" s="67"/>
      <c r="W214" s="104"/>
      <c r="X214" s="67">
        <f t="shared" ref="X214:Y214" si="220">(P214+R214+T214+V214)</f>
        <v>10</v>
      </c>
      <c r="Y214" s="67">
        <f t="shared" si="220"/>
        <v>11</v>
      </c>
      <c r="Z214" s="68">
        <f t="shared" si="3"/>
        <v>21</v>
      </c>
      <c r="AA214" s="69" t="str">
        <f t="shared" si="4"/>
        <v>2A</v>
      </c>
      <c r="AB214" s="70" t="s">
        <v>657</v>
      </c>
      <c r="AC214" s="70" t="s">
        <v>225</v>
      </c>
      <c r="AD214" s="70">
        <v>43</v>
      </c>
      <c r="AE214" s="70">
        <v>18</v>
      </c>
      <c r="AF214" s="70">
        <v>61</v>
      </c>
      <c r="AG214" s="72">
        <f t="shared" si="6"/>
        <v>0.70491803278688525</v>
      </c>
      <c r="AH214" s="73">
        <f t="shared" si="7"/>
        <v>-56.295081967213115</v>
      </c>
      <c r="AI214" s="74">
        <v>5</v>
      </c>
      <c r="AJ214" s="79" t="s">
        <v>396</v>
      </c>
      <c r="AK214" s="76" t="s">
        <v>658</v>
      </c>
      <c r="AL214" s="67"/>
      <c r="AM214" s="506"/>
      <c r="AN214" s="505"/>
      <c r="AO214" s="515"/>
    </row>
    <row r="215" spans="1:41" ht="14.5">
      <c r="A215" s="58">
        <v>42155</v>
      </c>
      <c r="B215" s="59" t="s">
        <v>204</v>
      </c>
      <c r="C215" s="60" t="s">
        <v>228</v>
      </c>
      <c r="D215" s="60" t="s">
        <v>659</v>
      </c>
      <c r="E215" s="105">
        <v>1</v>
      </c>
      <c r="F215" s="106">
        <v>9</v>
      </c>
      <c r="G215" s="106">
        <v>11</v>
      </c>
      <c r="H215" s="60">
        <v>21</v>
      </c>
      <c r="I215" s="60">
        <v>27</v>
      </c>
      <c r="J215" s="60">
        <v>48</v>
      </c>
      <c r="K215" s="60">
        <v>0.4375</v>
      </c>
      <c r="L215" s="60">
        <f t="shared" si="0"/>
        <v>-11.5625</v>
      </c>
      <c r="M215" s="64">
        <f t="shared" si="23"/>
        <v>13</v>
      </c>
      <c r="N215" s="65"/>
      <c r="O215" s="60"/>
      <c r="P215" s="102"/>
      <c r="Q215" s="66"/>
      <c r="R215" s="103"/>
      <c r="S215" s="103"/>
      <c r="T215" s="103"/>
      <c r="U215" s="103"/>
      <c r="V215" s="67"/>
      <c r="W215" s="104"/>
      <c r="X215" s="67">
        <f t="shared" ref="X215:Y215" si="221">(P215+R215+T215+V215)</f>
        <v>0</v>
      </c>
      <c r="Y215" s="67">
        <f t="shared" si="221"/>
        <v>0</v>
      </c>
      <c r="Z215" s="68">
        <f t="shared" si="3"/>
        <v>0</v>
      </c>
      <c r="AA215" s="69" t="str">
        <f t="shared" si="4"/>
        <v>2B</v>
      </c>
      <c r="AB215" s="70" t="s">
        <v>659</v>
      </c>
      <c r="AC215" s="70" t="s">
        <v>239</v>
      </c>
      <c r="AD215" s="70">
        <v>21</v>
      </c>
      <c r="AE215" s="70">
        <v>27</v>
      </c>
      <c r="AF215" s="70">
        <v>48</v>
      </c>
      <c r="AG215" s="72">
        <f t="shared" si="6"/>
        <v>0.4375</v>
      </c>
      <c r="AH215" s="73">
        <f t="shared" si="7"/>
        <v>-78.5625</v>
      </c>
      <c r="AI215" s="74">
        <v>13</v>
      </c>
      <c r="AJ215" s="79" t="s">
        <v>369</v>
      </c>
      <c r="AK215" s="76" t="s">
        <v>459</v>
      </c>
      <c r="AL215" s="67"/>
      <c r="AM215" s="506"/>
      <c r="AN215" s="505"/>
      <c r="AO215" s="515"/>
    </row>
    <row r="216" spans="1:41" ht="14.5">
      <c r="A216" s="58">
        <v>42155</v>
      </c>
      <c r="B216" s="59" t="s">
        <v>204</v>
      </c>
      <c r="C216" s="60" t="s">
        <v>232</v>
      </c>
      <c r="D216" s="60" t="s">
        <v>660</v>
      </c>
      <c r="E216" s="107">
        <v>11</v>
      </c>
      <c r="F216" s="108">
        <v>3</v>
      </c>
      <c r="G216" s="106">
        <v>5</v>
      </c>
      <c r="H216" s="60">
        <v>19</v>
      </c>
      <c r="I216" s="60">
        <v>32</v>
      </c>
      <c r="J216" s="60">
        <v>51</v>
      </c>
      <c r="K216" s="60">
        <v>0.3725</v>
      </c>
      <c r="L216" s="60">
        <f t="shared" si="0"/>
        <v>-13.6275</v>
      </c>
      <c r="M216" s="64">
        <f t="shared" si="23"/>
        <v>14</v>
      </c>
      <c r="N216" s="65" t="s">
        <v>253</v>
      </c>
      <c r="O216" s="60" t="s">
        <v>661</v>
      </c>
      <c r="P216" s="102"/>
      <c r="Q216" s="66"/>
      <c r="R216" s="103">
        <v>11</v>
      </c>
      <c r="S216" s="103">
        <v>10</v>
      </c>
      <c r="T216" s="103">
        <v>5</v>
      </c>
      <c r="U216" s="103">
        <v>11</v>
      </c>
      <c r="V216" s="67"/>
      <c r="W216" s="104"/>
      <c r="X216" s="67">
        <f t="shared" ref="X216:Y216" si="222">(P216+R216+T216+V216)</f>
        <v>16</v>
      </c>
      <c r="Y216" s="67">
        <f t="shared" si="222"/>
        <v>21</v>
      </c>
      <c r="Z216" s="68">
        <f t="shared" si="3"/>
        <v>37</v>
      </c>
      <c r="AA216" s="69" t="str">
        <f t="shared" si="4"/>
        <v>2C</v>
      </c>
      <c r="AB216" s="70" t="s">
        <v>660</v>
      </c>
      <c r="AC216" s="70" t="s">
        <v>234</v>
      </c>
      <c r="AD216" s="70">
        <v>19</v>
      </c>
      <c r="AE216" s="70">
        <v>32</v>
      </c>
      <c r="AF216" s="70">
        <v>51</v>
      </c>
      <c r="AG216" s="72">
        <f t="shared" si="6"/>
        <v>0.37254901960784315</v>
      </c>
      <c r="AH216" s="73">
        <f t="shared" si="7"/>
        <v>-80.627450980392155</v>
      </c>
      <c r="AI216" s="74">
        <v>14</v>
      </c>
      <c r="AJ216" s="79" t="s">
        <v>662</v>
      </c>
      <c r="AK216" s="76" t="s">
        <v>267</v>
      </c>
      <c r="AL216" s="67"/>
      <c r="AM216" s="506"/>
      <c r="AN216" s="505"/>
      <c r="AO216" s="515"/>
    </row>
    <row r="217" spans="1:41" ht="14.5">
      <c r="A217" s="58">
        <v>42155</v>
      </c>
      <c r="B217" s="59" t="s">
        <v>204</v>
      </c>
      <c r="C217" s="60" t="s">
        <v>237</v>
      </c>
      <c r="D217" s="60" t="s">
        <v>663</v>
      </c>
      <c r="E217" s="109">
        <v>10</v>
      </c>
      <c r="F217" s="110">
        <v>11</v>
      </c>
      <c r="G217" s="111">
        <v>3</v>
      </c>
      <c r="H217" s="60">
        <v>24</v>
      </c>
      <c r="I217" s="60">
        <v>31</v>
      </c>
      <c r="J217" s="60">
        <v>55</v>
      </c>
      <c r="K217" s="60">
        <v>0.43640000000000001</v>
      </c>
      <c r="L217" s="60">
        <f t="shared" si="0"/>
        <v>-8.5635999999999992</v>
      </c>
      <c r="M217" s="64">
        <f t="shared" si="23"/>
        <v>10</v>
      </c>
      <c r="N217" s="90"/>
      <c r="O217" s="89"/>
      <c r="P217" s="112"/>
      <c r="Q217" s="91"/>
      <c r="R217" s="113"/>
      <c r="S217" s="113"/>
      <c r="T217" s="113"/>
      <c r="U217" s="113"/>
      <c r="V217" s="67"/>
      <c r="W217" s="104"/>
      <c r="X217" s="67">
        <f t="shared" ref="X217:Y217" si="223">(P217+R217+T217+V217)</f>
        <v>0</v>
      </c>
      <c r="Y217" s="67">
        <f t="shared" si="223"/>
        <v>0</v>
      </c>
      <c r="Z217" s="68">
        <f t="shared" si="3"/>
        <v>0</v>
      </c>
      <c r="AA217" s="69" t="str">
        <f t="shared" si="4"/>
        <v>2D</v>
      </c>
      <c r="AB217" s="70" t="s">
        <v>663</v>
      </c>
      <c r="AC217" s="70" t="s">
        <v>230</v>
      </c>
      <c r="AD217" s="70">
        <v>44</v>
      </c>
      <c r="AE217" s="70">
        <v>49</v>
      </c>
      <c r="AF217" s="70">
        <v>93</v>
      </c>
      <c r="AG217" s="72">
        <f t="shared" si="6"/>
        <v>0.4731182795698925</v>
      </c>
      <c r="AH217" s="73">
        <f t="shared" si="7"/>
        <v>-55.526881720430104</v>
      </c>
      <c r="AI217" s="74">
        <v>4</v>
      </c>
      <c r="AJ217" s="79" t="s">
        <v>561</v>
      </c>
      <c r="AK217" s="76" t="s">
        <v>400</v>
      </c>
      <c r="AL217" s="67"/>
      <c r="AM217" s="506"/>
      <c r="AN217" s="505"/>
      <c r="AO217" s="515"/>
    </row>
    <row r="218" spans="1:41" ht="14.5">
      <c r="A218" s="58">
        <v>42155</v>
      </c>
      <c r="B218" s="59" t="s">
        <v>204</v>
      </c>
      <c r="C218" s="60" t="s">
        <v>241</v>
      </c>
      <c r="D218" s="60" t="s">
        <v>664</v>
      </c>
      <c r="E218" s="100">
        <v>6</v>
      </c>
      <c r="F218" s="101">
        <v>4</v>
      </c>
      <c r="G218" s="101">
        <v>4</v>
      </c>
      <c r="H218" s="60">
        <v>14</v>
      </c>
      <c r="I218" s="60">
        <v>33</v>
      </c>
      <c r="J218" s="60">
        <v>47</v>
      </c>
      <c r="K218" s="60">
        <v>0.2979</v>
      </c>
      <c r="L218" s="60">
        <f t="shared" si="0"/>
        <v>-18.702100000000002</v>
      </c>
      <c r="M218" s="64">
        <f t="shared" si="23"/>
        <v>15</v>
      </c>
      <c r="N218" s="65" t="s">
        <v>243</v>
      </c>
      <c r="O218" s="60" t="s">
        <v>665</v>
      </c>
      <c r="P218" s="102"/>
      <c r="Q218" s="66"/>
      <c r="R218" s="103">
        <v>7</v>
      </c>
      <c r="S218" s="103">
        <v>11</v>
      </c>
      <c r="T218" s="103"/>
      <c r="U218" s="103"/>
      <c r="V218" s="67"/>
      <c r="W218" s="104"/>
      <c r="X218" s="67">
        <f t="shared" ref="X218:Y218" si="224">(P218+R218+T218+V218)</f>
        <v>7</v>
      </c>
      <c r="Y218" s="67">
        <f t="shared" si="224"/>
        <v>11</v>
      </c>
      <c r="Z218" s="68">
        <f t="shared" si="3"/>
        <v>18</v>
      </c>
      <c r="AA218" s="69" t="str">
        <f t="shared" si="4"/>
        <v>3A</v>
      </c>
      <c r="AB218" s="70" t="s">
        <v>664</v>
      </c>
      <c r="AC218" s="70" t="s">
        <v>258</v>
      </c>
      <c r="AD218" s="70">
        <v>14</v>
      </c>
      <c r="AE218" s="70">
        <v>33</v>
      </c>
      <c r="AF218" s="70">
        <v>47</v>
      </c>
      <c r="AG218" s="72">
        <f t="shared" si="6"/>
        <v>0.2978723404255319</v>
      </c>
      <c r="AH218" s="73">
        <f t="shared" si="7"/>
        <v>-85.702127659574472</v>
      </c>
      <c r="AI218" s="74">
        <v>15</v>
      </c>
      <c r="AJ218" s="79" t="s">
        <v>210</v>
      </c>
      <c r="AK218" s="76" t="s">
        <v>329</v>
      </c>
      <c r="AL218" s="67"/>
      <c r="AM218" s="506"/>
      <c r="AN218" s="505"/>
      <c r="AO218" s="515"/>
    </row>
    <row r="219" spans="1:41" ht="14.5">
      <c r="A219" s="58">
        <v>42155</v>
      </c>
      <c r="B219" s="59" t="s">
        <v>204</v>
      </c>
      <c r="C219" s="60" t="s">
        <v>246</v>
      </c>
      <c r="D219" s="60" t="s">
        <v>661</v>
      </c>
      <c r="E219" s="105">
        <v>11</v>
      </c>
      <c r="F219" s="106">
        <v>9</v>
      </c>
      <c r="G219" s="106">
        <v>11</v>
      </c>
      <c r="H219" s="60">
        <v>31</v>
      </c>
      <c r="I219" s="60">
        <v>24</v>
      </c>
      <c r="J219" s="60">
        <v>55</v>
      </c>
      <c r="K219" s="60">
        <v>0.56359999999999999</v>
      </c>
      <c r="L219" s="60">
        <f t="shared" si="0"/>
        <v>-1.4363999999999999</v>
      </c>
      <c r="M219" s="64">
        <f t="shared" si="23"/>
        <v>6</v>
      </c>
      <c r="N219" s="65"/>
      <c r="O219" s="60"/>
      <c r="P219" s="102"/>
      <c r="Q219" s="66"/>
      <c r="R219" s="103"/>
      <c r="S219" s="103"/>
      <c r="T219" s="103"/>
      <c r="U219" s="103"/>
      <c r="V219" s="67"/>
      <c r="W219" s="104"/>
      <c r="X219" s="67">
        <f t="shared" ref="X219:Y219" si="225">(P219+R219+T219+V219)</f>
        <v>0</v>
      </c>
      <c r="Y219" s="67">
        <f t="shared" si="225"/>
        <v>0</v>
      </c>
      <c r="Z219" s="68">
        <f t="shared" si="3"/>
        <v>0</v>
      </c>
      <c r="AA219" s="69" t="str">
        <f t="shared" si="4"/>
        <v>3B</v>
      </c>
      <c r="AB219" s="70" t="s">
        <v>661</v>
      </c>
      <c r="AC219" s="70" t="s">
        <v>253</v>
      </c>
      <c r="AD219" s="70">
        <v>47</v>
      </c>
      <c r="AE219" s="70">
        <v>45</v>
      </c>
      <c r="AF219" s="70">
        <v>92</v>
      </c>
      <c r="AG219" s="72">
        <f t="shared" si="6"/>
        <v>0.51086956521739135</v>
      </c>
      <c r="AH219" s="73">
        <f t="shared" si="7"/>
        <v>-52.489130434782609</v>
      </c>
      <c r="AI219" s="74">
        <v>3</v>
      </c>
      <c r="AJ219" s="79" t="s">
        <v>666</v>
      </c>
      <c r="AK219" s="76" t="s">
        <v>667</v>
      </c>
      <c r="AL219" s="67"/>
      <c r="AM219" s="506"/>
      <c r="AN219" s="505"/>
      <c r="AO219" s="515"/>
    </row>
    <row r="220" spans="1:41" ht="14.5">
      <c r="A220" s="58">
        <v>42155</v>
      </c>
      <c r="B220" s="59" t="s">
        <v>204</v>
      </c>
      <c r="C220" s="60" t="s">
        <v>251</v>
      </c>
      <c r="D220" s="60" t="s">
        <v>668</v>
      </c>
      <c r="E220" s="107">
        <v>9</v>
      </c>
      <c r="F220" s="108">
        <v>11</v>
      </c>
      <c r="G220" s="106">
        <v>7</v>
      </c>
      <c r="H220" s="60">
        <v>27</v>
      </c>
      <c r="I220" s="60">
        <v>26</v>
      </c>
      <c r="J220" s="60">
        <v>53</v>
      </c>
      <c r="K220" s="60">
        <v>0.50939999999999996</v>
      </c>
      <c r="L220" s="60">
        <f t="shared" si="0"/>
        <v>-5.4905999999999997</v>
      </c>
      <c r="M220" s="64">
        <f t="shared" si="23"/>
        <v>9</v>
      </c>
      <c r="N220" s="65" t="s">
        <v>230</v>
      </c>
      <c r="O220" s="60" t="s">
        <v>663</v>
      </c>
      <c r="P220" s="102"/>
      <c r="Q220" s="66"/>
      <c r="R220" s="103">
        <v>11</v>
      </c>
      <c r="S220" s="103">
        <v>7</v>
      </c>
      <c r="T220" s="103">
        <v>9</v>
      </c>
      <c r="U220" s="103">
        <v>11</v>
      </c>
      <c r="V220" s="67"/>
      <c r="W220" s="104"/>
      <c r="X220" s="67">
        <f t="shared" ref="X220:Y220" si="226">(P220+R220+T220+V220)</f>
        <v>20</v>
      </c>
      <c r="Y220" s="67">
        <f t="shared" si="226"/>
        <v>18</v>
      </c>
      <c r="Z220" s="68">
        <f t="shared" si="3"/>
        <v>38</v>
      </c>
      <c r="AA220" s="69" t="str">
        <f t="shared" si="4"/>
        <v>3C</v>
      </c>
      <c r="AB220" s="70" t="s">
        <v>668</v>
      </c>
      <c r="AC220" s="70" t="s">
        <v>248</v>
      </c>
      <c r="AD220" s="70">
        <v>27</v>
      </c>
      <c r="AE220" s="70">
        <v>26</v>
      </c>
      <c r="AF220" s="70">
        <v>53</v>
      </c>
      <c r="AG220" s="72">
        <f t="shared" si="6"/>
        <v>0.50943396226415094</v>
      </c>
      <c r="AH220" s="73">
        <f t="shared" si="7"/>
        <v>-72.490566037735846</v>
      </c>
      <c r="AI220" s="74">
        <v>10</v>
      </c>
      <c r="AJ220" s="79" t="s">
        <v>669</v>
      </c>
      <c r="AK220" s="76" t="s">
        <v>548</v>
      </c>
      <c r="AL220" s="67"/>
      <c r="AM220" s="506"/>
      <c r="AN220" s="505"/>
      <c r="AO220" s="515"/>
    </row>
    <row r="221" spans="1:41" ht="14.5">
      <c r="A221" s="58">
        <v>42155</v>
      </c>
      <c r="B221" s="59" t="s">
        <v>204</v>
      </c>
      <c r="C221" s="60" t="s">
        <v>256</v>
      </c>
      <c r="D221" s="60" t="s">
        <v>665</v>
      </c>
      <c r="E221" s="109">
        <v>11</v>
      </c>
      <c r="F221" s="110">
        <v>11</v>
      </c>
      <c r="G221" s="111">
        <v>11</v>
      </c>
      <c r="H221" s="60">
        <v>33</v>
      </c>
      <c r="I221" s="60">
        <v>22</v>
      </c>
      <c r="J221" s="60">
        <v>55</v>
      </c>
      <c r="K221" s="60">
        <v>0.6</v>
      </c>
      <c r="L221" s="60">
        <f t="shared" si="0"/>
        <v>0.6</v>
      </c>
      <c r="M221" s="64">
        <f t="shared" si="23"/>
        <v>3</v>
      </c>
      <c r="N221" s="90"/>
      <c r="O221" s="89"/>
      <c r="P221" s="112"/>
      <c r="Q221" s="91"/>
      <c r="R221" s="113"/>
      <c r="S221" s="113"/>
      <c r="T221" s="103"/>
      <c r="U221" s="103"/>
      <c r="V221" s="67"/>
      <c r="W221" s="104"/>
      <c r="X221" s="67">
        <f t="shared" ref="X221:Y221" si="227">(P221+R221+T221+V221)</f>
        <v>0</v>
      </c>
      <c r="Y221" s="67">
        <f t="shared" si="227"/>
        <v>0</v>
      </c>
      <c r="Z221" s="68">
        <f t="shared" si="3"/>
        <v>0</v>
      </c>
      <c r="AA221" s="69" t="str">
        <f t="shared" si="4"/>
        <v>3D</v>
      </c>
      <c r="AB221" s="70" t="s">
        <v>665</v>
      </c>
      <c r="AC221" s="70" t="s">
        <v>243</v>
      </c>
      <c r="AD221" s="70">
        <v>40</v>
      </c>
      <c r="AE221" s="70">
        <v>33</v>
      </c>
      <c r="AF221" s="70">
        <v>73</v>
      </c>
      <c r="AG221" s="72">
        <f t="shared" si="6"/>
        <v>0.54794520547945202</v>
      </c>
      <c r="AH221" s="73">
        <f t="shared" si="7"/>
        <v>-59.452054794520549</v>
      </c>
      <c r="AI221" s="74">
        <v>6</v>
      </c>
      <c r="AJ221" s="79" t="s">
        <v>670</v>
      </c>
      <c r="AK221" s="76" t="s">
        <v>260</v>
      </c>
      <c r="AL221" s="67"/>
      <c r="AM221" s="506"/>
      <c r="AN221" s="505"/>
      <c r="AO221" s="515"/>
    </row>
    <row r="222" spans="1:41" ht="14.5">
      <c r="A222" s="58">
        <v>42155</v>
      </c>
      <c r="B222" s="59" t="s">
        <v>204</v>
      </c>
      <c r="C222" s="60" t="s">
        <v>261</v>
      </c>
      <c r="D222" s="60" t="s">
        <v>671</v>
      </c>
      <c r="E222" s="100">
        <v>7</v>
      </c>
      <c r="F222" s="101">
        <v>5</v>
      </c>
      <c r="G222" s="101">
        <v>1</v>
      </c>
      <c r="H222" s="60">
        <v>13</v>
      </c>
      <c r="I222" s="60">
        <v>33</v>
      </c>
      <c r="J222" s="60">
        <v>46</v>
      </c>
      <c r="K222" s="60">
        <v>0.28260000000000002</v>
      </c>
      <c r="L222" s="60">
        <f t="shared" si="0"/>
        <v>-19.717400000000001</v>
      </c>
      <c r="M222" s="64">
        <f t="shared" si="23"/>
        <v>16</v>
      </c>
      <c r="N222" s="65" t="s">
        <v>263</v>
      </c>
      <c r="O222" s="60" t="s">
        <v>672</v>
      </c>
      <c r="P222" s="102"/>
      <c r="Q222" s="66"/>
      <c r="R222" s="103">
        <v>7</v>
      </c>
      <c r="S222" s="103">
        <v>11</v>
      </c>
      <c r="T222" s="103"/>
      <c r="U222" s="103"/>
      <c r="V222" s="67"/>
      <c r="W222" s="104"/>
      <c r="X222" s="67">
        <f t="shared" ref="X222:Y222" si="228">(P222+R222+T222+V222)</f>
        <v>7</v>
      </c>
      <c r="Y222" s="67">
        <f t="shared" si="228"/>
        <v>11</v>
      </c>
      <c r="Z222" s="68">
        <f t="shared" si="3"/>
        <v>18</v>
      </c>
      <c r="AA222" s="69" t="str">
        <f t="shared" si="4"/>
        <v>4A</v>
      </c>
      <c r="AB222" s="70" t="s">
        <v>671</v>
      </c>
      <c r="AC222" s="70" t="s">
        <v>273</v>
      </c>
      <c r="AD222" s="70">
        <v>13</v>
      </c>
      <c r="AE222" s="70">
        <v>33</v>
      </c>
      <c r="AF222" s="70">
        <v>46</v>
      </c>
      <c r="AG222" s="72">
        <f t="shared" si="6"/>
        <v>0.28260869565217389</v>
      </c>
      <c r="AH222" s="73">
        <f t="shared" si="7"/>
        <v>-86.717391304347828</v>
      </c>
      <c r="AI222" s="74">
        <v>16</v>
      </c>
      <c r="AJ222" s="79" t="s">
        <v>303</v>
      </c>
      <c r="AK222" s="76" t="s">
        <v>673</v>
      </c>
      <c r="AL222" s="67"/>
      <c r="AM222" s="506"/>
      <c r="AN222" s="505"/>
      <c r="AO222" s="515"/>
    </row>
    <row r="223" spans="1:41" ht="14.5">
      <c r="A223" s="58">
        <v>42155</v>
      </c>
      <c r="B223" s="59" t="s">
        <v>204</v>
      </c>
      <c r="C223" s="60" t="s">
        <v>268</v>
      </c>
      <c r="D223" s="60" t="s">
        <v>674</v>
      </c>
      <c r="E223" s="105">
        <v>11</v>
      </c>
      <c r="F223" s="106">
        <v>6</v>
      </c>
      <c r="G223" s="106">
        <v>11</v>
      </c>
      <c r="H223" s="60">
        <v>28</v>
      </c>
      <c r="I223" s="60">
        <v>28</v>
      </c>
      <c r="J223" s="60">
        <v>56</v>
      </c>
      <c r="K223" s="60">
        <v>0.5</v>
      </c>
      <c r="L223" s="60">
        <f t="shared" si="0"/>
        <v>-4.5</v>
      </c>
      <c r="M223" s="64">
        <f t="shared" si="23"/>
        <v>7</v>
      </c>
      <c r="N223" s="65"/>
      <c r="O223" s="60"/>
      <c r="P223" s="102"/>
      <c r="Q223" s="66"/>
      <c r="R223" s="103"/>
      <c r="S223" s="103"/>
      <c r="T223" s="103"/>
      <c r="U223" s="103"/>
      <c r="V223" s="67"/>
      <c r="W223" s="104"/>
      <c r="X223" s="67">
        <f t="shared" ref="X223:Y223" si="229">(P223+R223+T223+V223)</f>
        <v>0</v>
      </c>
      <c r="Y223" s="67">
        <f t="shared" si="229"/>
        <v>0</v>
      </c>
      <c r="Z223" s="68">
        <f t="shared" si="3"/>
        <v>0</v>
      </c>
      <c r="AA223" s="69" t="str">
        <f t="shared" si="4"/>
        <v>4B</v>
      </c>
      <c r="AB223" s="70" t="s">
        <v>674</v>
      </c>
      <c r="AC223" s="70" t="s">
        <v>278</v>
      </c>
      <c r="AD223" s="70">
        <v>28</v>
      </c>
      <c r="AE223" s="70">
        <v>28</v>
      </c>
      <c r="AF223" s="70">
        <v>56</v>
      </c>
      <c r="AG223" s="72">
        <f t="shared" si="6"/>
        <v>0.5</v>
      </c>
      <c r="AH223" s="73">
        <f t="shared" si="7"/>
        <v>-71.5</v>
      </c>
      <c r="AI223" s="74">
        <v>9</v>
      </c>
      <c r="AJ223" s="79" t="s">
        <v>421</v>
      </c>
      <c r="AK223" s="76" t="s">
        <v>438</v>
      </c>
      <c r="AL223" s="67"/>
      <c r="AM223" s="506"/>
      <c r="AN223" s="505"/>
      <c r="AO223" s="515"/>
    </row>
    <row r="224" spans="1:41" ht="14.5">
      <c r="A224" s="58">
        <v>42155</v>
      </c>
      <c r="B224" s="59" t="s">
        <v>204</v>
      </c>
      <c r="C224" s="60" t="s">
        <v>271</v>
      </c>
      <c r="D224" s="60" t="s">
        <v>656</v>
      </c>
      <c r="E224" s="107">
        <v>11</v>
      </c>
      <c r="F224" s="108">
        <v>11</v>
      </c>
      <c r="G224" s="106">
        <v>10</v>
      </c>
      <c r="H224" s="60">
        <v>32</v>
      </c>
      <c r="I224" s="60">
        <v>26</v>
      </c>
      <c r="J224" s="60">
        <v>58</v>
      </c>
      <c r="K224" s="60">
        <v>0.55169999999999997</v>
      </c>
      <c r="L224" s="60">
        <f t="shared" si="0"/>
        <v>-0.44830000000000003</v>
      </c>
      <c r="M224" s="64">
        <f t="shared" si="23"/>
        <v>5</v>
      </c>
      <c r="N224" s="65" t="s">
        <v>218</v>
      </c>
      <c r="O224" s="60" t="s">
        <v>81</v>
      </c>
      <c r="P224" s="102"/>
      <c r="Q224" s="66"/>
      <c r="R224" s="103">
        <v>11</v>
      </c>
      <c r="S224" s="103">
        <v>7</v>
      </c>
      <c r="T224" s="103">
        <v>11</v>
      </c>
      <c r="U224" s="103">
        <v>9</v>
      </c>
      <c r="V224" s="67">
        <v>8</v>
      </c>
      <c r="W224" s="104">
        <v>13</v>
      </c>
      <c r="X224" s="67">
        <f t="shared" ref="X224:Y224" si="230">(P224+R224+T224+V224)</f>
        <v>30</v>
      </c>
      <c r="Y224" s="67">
        <f t="shared" si="230"/>
        <v>29</v>
      </c>
      <c r="Z224" s="68">
        <f t="shared" si="3"/>
        <v>59</v>
      </c>
      <c r="AA224" s="69" t="str">
        <f t="shared" si="4"/>
        <v>4C</v>
      </c>
      <c r="AB224" s="70" t="s">
        <v>656</v>
      </c>
      <c r="AC224" s="70" t="s">
        <v>265</v>
      </c>
      <c r="AD224" s="70">
        <v>39</v>
      </c>
      <c r="AE224" s="70">
        <v>37</v>
      </c>
      <c r="AF224" s="70">
        <v>76</v>
      </c>
      <c r="AG224" s="72">
        <f t="shared" si="6"/>
        <v>0.51315789473684215</v>
      </c>
      <c r="AH224" s="73">
        <f t="shared" si="7"/>
        <v>-60.486842105263158</v>
      </c>
      <c r="AI224" s="74">
        <v>8</v>
      </c>
      <c r="AJ224" s="79" t="s">
        <v>23</v>
      </c>
      <c r="AK224" s="76" t="s">
        <v>675</v>
      </c>
      <c r="AL224" s="67"/>
      <c r="AM224" s="506"/>
      <c r="AN224" s="505"/>
      <c r="AO224" s="515"/>
    </row>
    <row r="225" spans="1:41" ht="14.5">
      <c r="A225" s="87">
        <v>42155</v>
      </c>
      <c r="B225" s="88" t="s">
        <v>204</v>
      </c>
      <c r="C225" s="89" t="s">
        <v>276</v>
      </c>
      <c r="D225" s="89" t="s">
        <v>672</v>
      </c>
      <c r="E225" s="109">
        <v>10</v>
      </c>
      <c r="F225" s="110">
        <v>11</v>
      </c>
      <c r="G225" s="111">
        <v>11</v>
      </c>
      <c r="H225" s="89">
        <v>32</v>
      </c>
      <c r="I225" s="89">
        <v>18</v>
      </c>
      <c r="J225" s="89">
        <v>50</v>
      </c>
      <c r="K225" s="89">
        <v>0.64</v>
      </c>
      <c r="L225" s="89">
        <f t="shared" si="0"/>
        <v>-0.36</v>
      </c>
      <c r="M225" s="86">
        <f t="shared" si="23"/>
        <v>4</v>
      </c>
      <c r="N225" s="90"/>
      <c r="O225" s="89"/>
      <c r="P225" s="112"/>
      <c r="Q225" s="91"/>
      <c r="R225" s="113"/>
      <c r="S225" s="113"/>
      <c r="T225" s="113"/>
      <c r="U225" s="113"/>
      <c r="V225" s="92"/>
      <c r="W225" s="114"/>
      <c r="X225" s="92">
        <f t="shared" ref="X225:Y225" si="231">(P225+R225+T225+V225)</f>
        <v>0</v>
      </c>
      <c r="Y225" s="92">
        <f t="shared" si="231"/>
        <v>0</v>
      </c>
      <c r="Z225" s="84">
        <f t="shared" si="3"/>
        <v>0</v>
      </c>
      <c r="AA225" s="93" t="str">
        <f t="shared" si="4"/>
        <v>4D</v>
      </c>
      <c r="AB225" s="94" t="s">
        <v>672</v>
      </c>
      <c r="AC225" s="94" t="s">
        <v>263</v>
      </c>
      <c r="AD225" s="94">
        <v>39</v>
      </c>
      <c r="AE225" s="94">
        <v>29</v>
      </c>
      <c r="AF225" s="94">
        <v>68</v>
      </c>
      <c r="AG225" s="95">
        <f t="shared" si="6"/>
        <v>0.57352941176470584</v>
      </c>
      <c r="AH225" s="96">
        <f t="shared" si="7"/>
        <v>-60.426470588235297</v>
      </c>
      <c r="AI225" s="97">
        <v>7</v>
      </c>
      <c r="AJ225" s="98" t="s">
        <v>676</v>
      </c>
      <c r="AK225" s="81" t="s">
        <v>677</v>
      </c>
      <c r="AL225" s="67"/>
      <c r="AM225" s="506"/>
      <c r="AN225" s="505"/>
      <c r="AO225" s="515"/>
    </row>
    <row r="226" spans="1:41" ht="14.5">
      <c r="A226" s="58">
        <v>42287</v>
      </c>
      <c r="B226" s="59" t="s">
        <v>428</v>
      </c>
      <c r="C226" s="60" t="s">
        <v>205</v>
      </c>
      <c r="D226" s="60" t="s">
        <v>84</v>
      </c>
      <c r="E226" s="100">
        <v>11</v>
      </c>
      <c r="F226" s="101">
        <v>11</v>
      </c>
      <c r="G226" s="101">
        <v>11</v>
      </c>
      <c r="H226" s="60">
        <v>33</v>
      </c>
      <c r="I226" s="60">
        <v>6</v>
      </c>
      <c r="J226" s="60">
        <v>39</v>
      </c>
      <c r="K226" s="60">
        <v>0.84619999999999995</v>
      </c>
      <c r="L226" s="60">
        <f t="shared" si="0"/>
        <v>0.84619999999999995</v>
      </c>
      <c r="M226" s="64">
        <f t="shared" si="23"/>
        <v>1</v>
      </c>
      <c r="N226" s="65" t="s">
        <v>207</v>
      </c>
      <c r="O226" s="60" t="s">
        <v>84</v>
      </c>
      <c r="P226" s="102"/>
      <c r="Q226" s="66"/>
      <c r="R226" s="103">
        <v>11</v>
      </c>
      <c r="S226" s="103">
        <v>3</v>
      </c>
      <c r="T226" s="103">
        <v>11</v>
      </c>
      <c r="U226" s="103">
        <v>4</v>
      </c>
      <c r="V226" s="67">
        <v>10</v>
      </c>
      <c r="W226" s="104">
        <v>16</v>
      </c>
      <c r="X226" s="67">
        <f t="shared" ref="X226:Y226" si="232">(P226+R226+T226+V226)</f>
        <v>32</v>
      </c>
      <c r="Y226" s="67">
        <f t="shared" si="232"/>
        <v>23</v>
      </c>
      <c r="Z226" s="68">
        <f t="shared" si="3"/>
        <v>55</v>
      </c>
      <c r="AA226" s="69" t="str">
        <f t="shared" si="4"/>
        <v>1A</v>
      </c>
      <c r="AB226" s="70" t="s">
        <v>84</v>
      </c>
      <c r="AC226" s="70" t="s">
        <v>207</v>
      </c>
      <c r="AD226" s="70">
        <v>65</v>
      </c>
      <c r="AE226" s="70">
        <v>29</v>
      </c>
      <c r="AF226" s="70">
        <v>94</v>
      </c>
      <c r="AG226" s="72">
        <f t="shared" si="6"/>
        <v>0.69148936170212771</v>
      </c>
      <c r="AH226" s="73">
        <f t="shared" si="7"/>
        <v>-34.308510638297875</v>
      </c>
      <c r="AI226" s="74">
        <v>2</v>
      </c>
      <c r="AJ226" s="79" t="s">
        <v>462</v>
      </c>
      <c r="AK226" s="76" t="s">
        <v>566</v>
      </c>
      <c r="AL226" s="67"/>
      <c r="AM226" s="506"/>
      <c r="AN226" s="505"/>
      <c r="AO226" s="515"/>
    </row>
    <row r="227" spans="1:41" ht="14.5">
      <c r="A227" s="58">
        <v>42287</v>
      </c>
      <c r="B227" s="59" t="s">
        <v>428</v>
      </c>
      <c r="C227" s="60" t="s">
        <v>211</v>
      </c>
      <c r="D227" s="60" t="s">
        <v>678</v>
      </c>
      <c r="E227" s="105">
        <v>3</v>
      </c>
      <c r="F227" s="106">
        <v>11</v>
      </c>
      <c r="G227" s="106">
        <v>11</v>
      </c>
      <c r="H227" s="60">
        <v>25</v>
      </c>
      <c r="I227" s="60">
        <v>23</v>
      </c>
      <c r="J227" s="60">
        <v>48</v>
      </c>
      <c r="K227" s="60">
        <v>0.52080000000000004</v>
      </c>
      <c r="L227" s="60">
        <f t="shared" si="0"/>
        <v>-7.4791999999999996</v>
      </c>
      <c r="M227" s="64">
        <f t="shared" si="23"/>
        <v>10</v>
      </c>
      <c r="N227" s="65"/>
      <c r="O227" s="60"/>
      <c r="P227" s="102"/>
      <c r="Q227" s="66"/>
      <c r="R227" s="103"/>
      <c r="S227" s="103"/>
      <c r="T227" s="103"/>
      <c r="U227" s="103"/>
      <c r="V227" s="67"/>
      <c r="W227" s="104"/>
      <c r="X227" s="67">
        <f t="shared" ref="X227:Y227" si="233">(P227+R227+T227+V227)</f>
        <v>0</v>
      </c>
      <c r="Y227" s="67">
        <f t="shared" si="233"/>
        <v>0</v>
      </c>
      <c r="Z227" s="68">
        <f t="shared" si="3"/>
        <v>0</v>
      </c>
      <c r="AA227" s="69" t="str">
        <f t="shared" si="4"/>
        <v>1B</v>
      </c>
      <c r="AB227" s="70" t="s">
        <v>678</v>
      </c>
      <c r="AC227" s="70" t="s">
        <v>218</v>
      </c>
      <c r="AD227" s="70">
        <v>28</v>
      </c>
      <c r="AE227" s="70">
        <v>34</v>
      </c>
      <c r="AF227" s="70">
        <v>62</v>
      </c>
      <c r="AG227" s="72">
        <f t="shared" si="6"/>
        <v>0.45161290322580644</v>
      </c>
      <c r="AH227" s="73">
        <f t="shared" si="7"/>
        <v>-71.548387096774192</v>
      </c>
      <c r="AI227" s="74">
        <v>8</v>
      </c>
      <c r="AJ227" s="79" t="s">
        <v>369</v>
      </c>
      <c r="AK227" s="76" t="s">
        <v>518</v>
      </c>
      <c r="AL227" s="67"/>
      <c r="AM227" s="506"/>
      <c r="AN227" s="505"/>
      <c r="AO227" s="515"/>
    </row>
    <row r="228" spans="1:41" ht="14.5">
      <c r="A228" s="58">
        <v>42287</v>
      </c>
      <c r="B228" s="59" t="s">
        <v>428</v>
      </c>
      <c r="C228" s="60" t="s">
        <v>216</v>
      </c>
      <c r="D228" s="60" t="s">
        <v>679</v>
      </c>
      <c r="E228" s="107">
        <v>11</v>
      </c>
      <c r="F228" s="108">
        <v>3</v>
      </c>
      <c r="G228" s="106">
        <v>10</v>
      </c>
      <c r="H228" s="60">
        <v>24</v>
      </c>
      <c r="I228" s="60">
        <v>31</v>
      </c>
      <c r="J228" s="60">
        <v>55</v>
      </c>
      <c r="K228" s="60">
        <v>0.43640000000000001</v>
      </c>
      <c r="L228" s="60">
        <f t="shared" si="0"/>
        <v>-8.5635999999999992</v>
      </c>
      <c r="M228" s="64">
        <f t="shared" si="23"/>
        <v>11</v>
      </c>
      <c r="N228" s="65" t="s">
        <v>265</v>
      </c>
      <c r="O228" s="60" t="s">
        <v>680</v>
      </c>
      <c r="P228" s="102"/>
      <c r="Q228" s="66"/>
      <c r="R228" s="103">
        <v>3</v>
      </c>
      <c r="S228" s="103">
        <v>11</v>
      </c>
      <c r="T228" s="103"/>
      <c r="U228" s="103"/>
      <c r="V228" s="67"/>
      <c r="W228" s="104"/>
      <c r="X228" s="67">
        <f t="shared" ref="X228:Y228" si="234">(P228+R228+T228+V228)</f>
        <v>3</v>
      </c>
      <c r="Y228" s="67">
        <f t="shared" si="234"/>
        <v>11</v>
      </c>
      <c r="Z228" s="68">
        <f t="shared" si="3"/>
        <v>14</v>
      </c>
      <c r="AA228" s="69" t="str">
        <f t="shared" si="4"/>
        <v>1C</v>
      </c>
      <c r="AB228" s="70" t="s">
        <v>679</v>
      </c>
      <c r="AC228" s="70" t="s">
        <v>208</v>
      </c>
      <c r="AD228" s="70">
        <v>24</v>
      </c>
      <c r="AE228" s="70">
        <v>31</v>
      </c>
      <c r="AF228" s="70">
        <v>55</v>
      </c>
      <c r="AG228" s="72">
        <f t="shared" si="6"/>
        <v>0.43636363636363634</v>
      </c>
      <c r="AH228" s="73">
        <f t="shared" si="7"/>
        <v>-75.563636363636363</v>
      </c>
      <c r="AI228" s="74">
        <v>11</v>
      </c>
      <c r="AJ228" s="79" t="s">
        <v>561</v>
      </c>
      <c r="AK228" s="76" t="s">
        <v>681</v>
      </c>
      <c r="AL228" s="67"/>
      <c r="AM228" s="506"/>
      <c r="AN228" s="505"/>
      <c r="AO228" s="515"/>
    </row>
    <row r="229" spans="1:41" ht="14.5">
      <c r="A229" s="58">
        <v>42287</v>
      </c>
      <c r="B229" s="59" t="s">
        <v>428</v>
      </c>
      <c r="C229" s="60" t="s">
        <v>221</v>
      </c>
      <c r="D229" s="60" t="s">
        <v>682</v>
      </c>
      <c r="E229" s="109">
        <v>9</v>
      </c>
      <c r="F229" s="110">
        <v>2</v>
      </c>
      <c r="G229" s="111">
        <v>0</v>
      </c>
      <c r="H229" s="60">
        <v>11</v>
      </c>
      <c r="I229" s="60">
        <v>33</v>
      </c>
      <c r="J229" s="60">
        <v>44</v>
      </c>
      <c r="K229" s="60">
        <v>0.25</v>
      </c>
      <c r="L229" s="60">
        <f t="shared" si="0"/>
        <v>-21.75</v>
      </c>
      <c r="M229" s="64">
        <f t="shared" si="23"/>
        <v>16</v>
      </c>
      <c r="N229" s="90"/>
      <c r="O229" s="89"/>
      <c r="P229" s="112"/>
      <c r="Q229" s="91"/>
      <c r="R229" s="113"/>
      <c r="S229" s="113"/>
      <c r="T229" s="103"/>
      <c r="U229" s="103"/>
      <c r="V229" s="67"/>
      <c r="W229" s="104"/>
      <c r="X229" s="67">
        <f t="shared" ref="X229:Y229" si="235">(P229+R229+T229+V229)</f>
        <v>0</v>
      </c>
      <c r="Y229" s="67">
        <f t="shared" si="235"/>
        <v>0</v>
      </c>
      <c r="Z229" s="68">
        <f t="shared" si="3"/>
        <v>0</v>
      </c>
      <c r="AA229" s="69" t="str">
        <f t="shared" si="4"/>
        <v>1D</v>
      </c>
      <c r="AB229" s="70" t="s">
        <v>682</v>
      </c>
      <c r="AC229" s="70" t="s">
        <v>213</v>
      </c>
      <c r="AD229" s="70">
        <v>11</v>
      </c>
      <c r="AE229" s="70">
        <v>33</v>
      </c>
      <c r="AF229" s="70">
        <v>44</v>
      </c>
      <c r="AG229" s="72">
        <f t="shared" si="6"/>
        <v>0.25</v>
      </c>
      <c r="AH229" s="73">
        <f t="shared" si="7"/>
        <v>-88.75</v>
      </c>
      <c r="AI229" s="74">
        <v>16</v>
      </c>
      <c r="AJ229" s="79" t="s">
        <v>267</v>
      </c>
      <c r="AK229" s="76" t="s">
        <v>465</v>
      </c>
      <c r="AL229" s="67"/>
      <c r="AM229" s="506"/>
      <c r="AN229" s="505"/>
      <c r="AO229" s="515"/>
    </row>
    <row r="230" spans="1:41" ht="14.5">
      <c r="A230" s="58">
        <v>42287</v>
      </c>
      <c r="B230" s="59" t="s">
        <v>428</v>
      </c>
      <c r="C230" s="60" t="s">
        <v>224</v>
      </c>
      <c r="D230" s="60" t="s">
        <v>683</v>
      </c>
      <c r="E230" s="100">
        <v>11</v>
      </c>
      <c r="F230" s="101">
        <v>11</v>
      </c>
      <c r="G230" s="101">
        <v>11</v>
      </c>
      <c r="H230" s="60">
        <v>33</v>
      </c>
      <c r="I230" s="60">
        <v>18</v>
      </c>
      <c r="J230" s="60">
        <v>51</v>
      </c>
      <c r="K230" s="60">
        <v>0.64710000000000001</v>
      </c>
      <c r="L230" s="60">
        <f t="shared" si="0"/>
        <v>0.64710000000000001</v>
      </c>
      <c r="M230" s="64">
        <f t="shared" si="23"/>
        <v>3</v>
      </c>
      <c r="N230" s="65" t="s">
        <v>225</v>
      </c>
      <c r="O230" s="60" t="s">
        <v>683</v>
      </c>
      <c r="P230" s="102"/>
      <c r="Q230" s="66"/>
      <c r="R230" s="103">
        <v>6</v>
      </c>
      <c r="S230" s="103">
        <v>11</v>
      </c>
      <c r="T230" s="103"/>
      <c r="U230" s="103"/>
      <c r="V230" s="67"/>
      <c r="W230" s="104"/>
      <c r="X230" s="67">
        <f t="shared" ref="X230:Y230" si="236">(P230+R230+T230+V230)</f>
        <v>6</v>
      </c>
      <c r="Y230" s="67">
        <f t="shared" si="236"/>
        <v>11</v>
      </c>
      <c r="Z230" s="68">
        <f t="shared" si="3"/>
        <v>17</v>
      </c>
      <c r="AA230" s="69" t="str">
        <f t="shared" si="4"/>
        <v>2A</v>
      </c>
      <c r="AB230" s="70" t="s">
        <v>683</v>
      </c>
      <c r="AC230" s="70" t="s">
        <v>225</v>
      </c>
      <c r="AD230" s="70">
        <v>39</v>
      </c>
      <c r="AE230" s="70">
        <v>29</v>
      </c>
      <c r="AF230" s="70">
        <v>68</v>
      </c>
      <c r="AG230" s="72">
        <f t="shared" si="6"/>
        <v>0.57352941176470584</v>
      </c>
      <c r="AH230" s="73">
        <f t="shared" si="7"/>
        <v>-60.426470588235297</v>
      </c>
      <c r="AI230" s="74">
        <v>5</v>
      </c>
      <c r="AJ230" s="79" t="s">
        <v>29</v>
      </c>
      <c r="AK230" s="76" t="s">
        <v>608</v>
      </c>
      <c r="AL230" s="67"/>
      <c r="AM230" s="506"/>
      <c r="AN230" s="505"/>
      <c r="AO230" s="515"/>
    </row>
    <row r="231" spans="1:41" ht="14.5">
      <c r="A231" s="58">
        <v>42287</v>
      </c>
      <c r="B231" s="59" t="s">
        <v>428</v>
      </c>
      <c r="C231" s="60" t="s">
        <v>228</v>
      </c>
      <c r="D231" s="60" t="s">
        <v>684</v>
      </c>
      <c r="E231" s="105">
        <v>5</v>
      </c>
      <c r="F231" s="106">
        <v>11</v>
      </c>
      <c r="G231" s="106">
        <v>11</v>
      </c>
      <c r="H231" s="60">
        <v>27</v>
      </c>
      <c r="I231" s="60">
        <v>24</v>
      </c>
      <c r="J231" s="60">
        <v>51</v>
      </c>
      <c r="K231" s="60">
        <v>0.52939999999999998</v>
      </c>
      <c r="L231" s="60">
        <f t="shared" si="0"/>
        <v>-5.4706000000000001</v>
      </c>
      <c r="M231" s="64">
        <f t="shared" si="23"/>
        <v>7</v>
      </c>
      <c r="N231" s="65"/>
      <c r="O231" s="60"/>
      <c r="P231" s="102"/>
      <c r="Q231" s="66"/>
      <c r="R231" s="103"/>
      <c r="S231" s="103"/>
      <c r="T231" s="103"/>
      <c r="U231" s="103"/>
      <c r="V231" s="67"/>
      <c r="W231" s="104"/>
      <c r="X231" s="67">
        <f t="shared" ref="X231:Y231" si="237">(P231+R231+T231+V231)</f>
        <v>0</v>
      </c>
      <c r="Y231" s="67">
        <f t="shared" si="237"/>
        <v>0</v>
      </c>
      <c r="Z231" s="68">
        <f t="shared" si="3"/>
        <v>0</v>
      </c>
      <c r="AA231" s="69" t="str">
        <f t="shared" si="4"/>
        <v>2B</v>
      </c>
      <c r="AB231" s="70" t="s">
        <v>684</v>
      </c>
      <c r="AC231" s="70" t="s">
        <v>230</v>
      </c>
      <c r="AD231" s="70">
        <v>44</v>
      </c>
      <c r="AE231" s="70">
        <v>42</v>
      </c>
      <c r="AF231" s="70">
        <v>86</v>
      </c>
      <c r="AG231" s="72">
        <f t="shared" si="6"/>
        <v>0.51162790697674421</v>
      </c>
      <c r="AH231" s="73">
        <f t="shared" si="7"/>
        <v>-55.488372093023258</v>
      </c>
      <c r="AI231" s="74">
        <v>3</v>
      </c>
      <c r="AJ231" s="79" t="s">
        <v>438</v>
      </c>
      <c r="AK231" s="76" t="s">
        <v>650</v>
      </c>
      <c r="AL231" s="67"/>
      <c r="AM231" s="506"/>
      <c r="AN231" s="505"/>
      <c r="AO231" s="515"/>
    </row>
    <row r="232" spans="1:41" ht="14.5">
      <c r="A232" s="58">
        <v>42287</v>
      </c>
      <c r="B232" s="59" t="s">
        <v>428</v>
      </c>
      <c r="C232" s="60" t="s">
        <v>232</v>
      </c>
      <c r="D232" s="60" t="s">
        <v>685</v>
      </c>
      <c r="E232" s="107">
        <v>7</v>
      </c>
      <c r="F232" s="108">
        <v>7</v>
      </c>
      <c r="G232" s="106">
        <v>7</v>
      </c>
      <c r="H232" s="60">
        <v>21</v>
      </c>
      <c r="I232" s="60">
        <v>33</v>
      </c>
      <c r="J232" s="60">
        <v>54</v>
      </c>
      <c r="K232" s="60">
        <v>0.38890000000000002</v>
      </c>
      <c r="L232" s="60">
        <f t="shared" si="0"/>
        <v>-11.6111</v>
      </c>
      <c r="M232" s="64">
        <f t="shared" si="23"/>
        <v>13</v>
      </c>
      <c r="N232" s="65" t="s">
        <v>253</v>
      </c>
      <c r="O232" s="60" t="s">
        <v>686</v>
      </c>
      <c r="P232" s="102"/>
      <c r="Q232" s="66"/>
      <c r="R232" s="103">
        <v>11</v>
      </c>
      <c r="S232" s="103">
        <v>6</v>
      </c>
      <c r="T232" s="103">
        <v>4</v>
      </c>
      <c r="U232" s="103">
        <v>11</v>
      </c>
      <c r="V232" s="67"/>
      <c r="W232" s="104"/>
      <c r="X232" s="67">
        <f t="shared" ref="X232:Y232" si="238">(P232+R232+T232+V232)</f>
        <v>15</v>
      </c>
      <c r="Y232" s="67">
        <f t="shared" si="238"/>
        <v>17</v>
      </c>
      <c r="Z232" s="68">
        <f t="shared" si="3"/>
        <v>32</v>
      </c>
      <c r="AA232" s="69" t="str">
        <f t="shared" si="4"/>
        <v>2C</v>
      </c>
      <c r="AB232" s="70" t="s">
        <v>685</v>
      </c>
      <c r="AC232" s="70" t="s">
        <v>234</v>
      </c>
      <c r="AD232" s="70">
        <v>21</v>
      </c>
      <c r="AE232" s="70">
        <v>33</v>
      </c>
      <c r="AF232" s="70">
        <v>54</v>
      </c>
      <c r="AG232" s="72">
        <f t="shared" si="6"/>
        <v>0.3888888888888889</v>
      </c>
      <c r="AH232" s="73">
        <f t="shared" si="7"/>
        <v>-78.611111111111114</v>
      </c>
      <c r="AI232" s="74">
        <v>13</v>
      </c>
      <c r="AJ232" s="79" t="s">
        <v>476</v>
      </c>
      <c r="AK232" s="76" t="s">
        <v>687</v>
      </c>
      <c r="AL232" s="67"/>
      <c r="AM232" s="506"/>
      <c r="AN232" s="505"/>
      <c r="AO232" s="515"/>
    </row>
    <row r="233" spans="1:41" ht="14.5">
      <c r="A233" s="58">
        <v>42287</v>
      </c>
      <c r="B233" s="59" t="s">
        <v>428</v>
      </c>
      <c r="C233" s="60" t="s">
        <v>237</v>
      </c>
      <c r="D233" s="60" t="s">
        <v>688</v>
      </c>
      <c r="E233" s="109">
        <v>11</v>
      </c>
      <c r="F233" s="110">
        <v>6</v>
      </c>
      <c r="G233" s="111">
        <v>6</v>
      </c>
      <c r="H233" s="60">
        <v>23</v>
      </c>
      <c r="I233" s="60">
        <v>29</v>
      </c>
      <c r="J233" s="60">
        <v>52</v>
      </c>
      <c r="K233" s="60">
        <v>0.44230000000000003</v>
      </c>
      <c r="L233" s="60">
        <f t="shared" si="0"/>
        <v>-9.5577000000000005</v>
      </c>
      <c r="M233" s="64">
        <f t="shared" si="23"/>
        <v>12</v>
      </c>
      <c r="N233" s="90"/>
      <c r="O233" s="89"/>
      <c r="P233" s="112"/>
      <c r="Q233" s="91"/>
      <c r="R233" s="113"/>
      <c r="S233" s="113"/>
      <c r="T233" s="113"/>
      <c r="U233" s="113"/>
      <c r="V233" s="67"/>
      <c r="W233" s="104"/>
      <c r="X233" s="67">
        <f t="shared" ref="X233:Y233" si="239">(P233+R233+T233+V233)</f>
        <v>0</v>
      </c>
      <c r="Y233" s="67">
        <f t="shared" si="239"/>
        <v>0</v>
      </c>
      <c r="Z233" s="68">
        <f t="shared" si="3"/>
        <v>0</v>
      </c>
      <c r="AA233" s="69" t="str">
        <f t="shared" si="4"/>
        <v>2D</v>
      </c>
      <c r="AB233" s="70" t="s">
        <v>688</v>
      </c>
      <c r="AC233" s="70" t="s">
        <v>239</v>
      </c>
      <c r="AD233" s="70">
        <v>23</v>
      </c>
      <c r="AE233" s="70">
        <v>29</v>
      </c>
      <c r="AF233" s="70">
        <v>52</v>
      </c>
      <c r="AG233" s="72">
        <f t="shared" si="6"/>
        <v>0.44230769230769229</v>
      </c>
      <c r="AH233" s="73">
        <f t="shared" si="7"/>
        <v>-76.557692307692307</v>
      </c>
      <c r="AI233" s="74">
        <v>12</v>
      </c>
      <c r="AJ233" s="79" t="s">
        <v>303</v>
      </c>
      <c r="AK233" s="76" t="s">
        <v>689</v>
      </c>
      <c r="AL233" s="67"/>
      <c r="AM233" s="506"/>
      <c r="AN233" s="505"/>
      <c r="AO233" s="515"/>
    </row>
    <row r="234" spans="1:41" ht="14.5">
      <c r="A234" s="58">
        <v>42287</v>
      </c>
      <c r="B234" s="59" t="s">
        <v>428</v>
      </c>
      <c r="C234" s="60" t="s">
        <v>241</v>
      </c>
      <c r="D234" s="60" t="s">
        <v>690</v>
      </c>
      <c r="E234" s="100">
        <v>11</v>
      </c>
      <c r="F234" s="101">
        <v>5</v>
      </c>
      <c r="G234" s="101">
        <v>11</v>
      </c>
      <c r="H234" s="60">
        <v>27</v>
      </c>
      <c r="I234" s="60">
        <v>25</v>
      </c>
      <c r="J234" s="60">
        <v>52</v>
      </c>
      <c r="K234" s="60">
        <v>0.51919999999999999</v>
      </c>
      <c r="L234" s="60">
        <f t="shared" si="0"/>
        <v>-5.4808000000000003</v>
      </c>
      <c r="M234" s="64">
        <f t="shared" si="23"/>
        <v>8</v>
      </c>
      <c r="N234" s="65" t="s">
        <v>243</v>
      </c>
      <c r="O234" s="60" t="s">
        <v>691</v>
      </c>
      <c r="P234" s="102"/>
      <c r="Q234" s="66"/>
      <c r="R234" s="103">
        <v>7</v>
      </c>
      <c r="S234" s="103">
        <v>11</v>
      </c>
      <c r="T234" s="103"/>
      <c r="U234" s="103"/>
      <c r="V234" s="67"/>
      <c r="W234" s="104"/>
      <c r="X234" s="67">
        <f t="shared" ref="X234:Y234" si="240">(P234+R234+T234+V234)</f>
        <v>7</v>
      </c>
      <c r="Y234" s="67">
        <f t="shared" si="240"/>
        <v>11</v>
      </c>
      <c r="Z234" s="68">
        <f t="shared" si="3"/>
        <v>18</v>
      </c>
      <c r="AA234" s="69" t="str">
        <f t="shared" si="4"/>
        <v>3A</v>
      </c>
      <c r="AB234" s="70" t="s">
        <v>690</v>
      </c>
      <c r="AC234" s="70" t="s">
        <v>248</v>
      </c>
      <c r="AD234" s="70">
        <v>27</v>
      </c>
      <c r="AE234" s="70">
        <v>25</v>
      </c>
      <c r="AF234" s="70">
        <v>52</v>
      </c>
      <c r="AG234" s="72">
        <f t="shared" si="6"/>
        <v>0.51923076923076927</v>
      </c>
      <c r="AH234" s="73">
        <f t="shared" si="7"/>
        <v>-72.480769230769226</v>
      </c>
      <c r="AI234" s="74">
        <v>9</v>
      </c>
      <c r="AJ234" s="79" t="s">
        <v>676</v>
      </c>
      <c r="AK234" s="76" t="s">
        <v>535</v>
      </c>
      <c r="AL234" s="67"/>
      <c r="AM234" s="506"/>
      <c r="AN234" s="505"/>
      <c r="AO234" s="515"/>
    </row>
    <row r="235" spans="1:41" ht="14.5">
      <c r="A235" s="58">
        <v>42287</v>
      </c>
      <c r="B235" s="59" t="s">
        <v>428</v>
      </c>
      <c r="C235" s="60" t="s">
        <v>246</v>
      </c>
      <c r="D235" s="60" t="s">
        <v>692</v>
      </c>
      <c r="E235" s="105">
        <v>5</v>
      </c>
      <c r="F235" s="106">
        <v>11</v>
      </c>
      <c r="G235" s="106">
        <v>10</v>
      </c>
      <c r="H235" s="60">
        <v>26</v>
      </c>
      <c r="I235" s="60">
        <v>30</v>
      </c>
      <c r="J235" s="60">
        <v>56</v>
      </c>
      <c r="K235" s="60">
        <v>0.46429999999999999</v>
      </c>
      <c r="L235" s="60">
        <f t="shared" si="0"/>
        <v>-6.5357000000000003</v>
      </c>
      <c r="M235" s="64">
        <f t="shared" si="23"/>
        <v>9</v>
      </c>
      <c r="N235" s="65"/>
      <c r="O235" s="60"/>
      <c r="P235" s="102"/>
      <c r="Q235" s="66"/>
      <c r="R235" s="103"/>
      <c r="S235" s="103"/>
      <c r="T235" s="103"/>
      <c r="U235" s="103"/>
      <c r="V235" s="67"/>
      <c r="W235" s="104"/>
      <c r="X235" s="67">
        <f t="shared" ref="X235:Y235" si="241">(P235+R235+T235+V235)</f>
        <v>0</v>
      </c>
      <c r="Y235" s="67">
        <f t="shared" si="241"/>
        <v>0</v>
      </c>
      <c r="Z235" s="68">
        <f t="shared" si="3"/>
        <v>0</v>
      </c>
      <c r="AA235" s="69" t="str">
        <f t="shared" si="4"/>
        <v>3B</v>
      </c>
      <c r="AB235" s="70" t="s">
        <v>692</v>
      </c>
      <c r="AC235" s="70" t="s">
        <v>258</v>
      </c>
      <c r="AD235" s="70">
        <v>26</v>
      </c>
      <c r="AE235" s="70">
        <v>30</v>
      </c>
      <c r="AF235" s="70">
        <v>56</v>
      </c>
      <c r="AG235" s="72">
        <f t="shared" si="6"/>
        <v>0.4642857142857143</v>
      </c>
      <c r="AH235" s="73">
        <f t="shared" si="7"/>
        <v>-73.535714285714292</v>
      </c>
      <c r="AI235" s="74">
        <v>10</v>
      </c>
      <c r="AJ235" s="79" t="s">
        <v>275</v>
      </c>
      <c r="AK235" s="76" t="s">
        <v>442</v>
      </c>
      <c r="AL235" s="67"/>
      <c r="AM235" s="506"/>
      <c r="AN235" s="505"/>
      <c r="AO235" s="515"/>
    </row>
    <row r="236" spans="1:41" ht="14.5">
      <c r="A236" s="58">
        <v>42287</v>
      </c>
      <c r="B236" s="59" t="s">
        <v>428</v>
      </c>
      <c r="C236" s="60" t="s">
        <v>251</v>
      </c>
      <c r="D236" s="60" t="s">
        <v>691</v>
      </c>
      <c r="E236" s="107">
        <v>6</v>
      </c>
      <c r="F236" s="108">
        <v>11</v>
      </c>
      <c r="G236" s="106">
        <v>11</v>
      </c>
      <c r="H236" s="60">
        <v>28</v>
      </c>
      <c r="I236" s="60">
        <v>26</v>
      </c>
      <c r="J236" s="60">
        <v>54</v>
      </c>
      <c r="K236" s="60">
        <v>0.51849999999999996</v>
      </c>
      <c r="L236" s="60">
        <f t="shared" si="0"/>
        <v>-4.4815000000000005</v>
      </c>
      <c r="M236" s="64">
        <f t="shared" si="23"/>
        <v>5</v>
      </c>
      <c r="N236" s="65" t="s">
        <v>230</v>
      </c>
      <c r="O236" s="60" t="s">
        <v>693</v>
      </c>
      <c r="P236" s="102"/>
      <c r="Q236" s="66"/>
      <c r="R236" s="103">
        <v>11</v>
      </c>
      <c r="S236" s="103">
        <v>7</v>
      </c>
      <c r="T236" s="103">
        <v>6</v>
      </c>
      <c r="U236" s="103">
        <v>11</v>
      </c>
      <c r="V236" s="67"/>
      <c r="W236" s="104"/>
      <c r="X236" s="67">
        <f t="shared" ref="X236:Y236" si="242">(P236+R236+T236+V236)</f>
        <v>17</v>
      </c>
      <c r="Y236" s="67">
        <f t="shared" si="242"/>
        <v>18</v>
      </c>
      <c r="Z236" s="68">
        <f t="shared" si="3"/>
        <v>35</v>
      </c>
      <c r="AA236" s="69" t="str">
        <f t="shared" si="4"/>
        <v>3C</v>
      </c>
      <c r="AB236" s="70" t="s">
        <v>691</v>
      </c>
      <c r="AC236" s="70" t="s">
        <v>243</v>
      </c>
      <c r="AD236" s="70">
        <v>35</v>
      </c>
      <c r="AE236" s="70">
        <v>37</v>
      </c>
      <c r="AF236" s="70">
        <v>72</v>
      </c>
      <c r="AG236" s="72">
        <f t="shared" si="6"/>
        <v>0.4861111111111111</v>
      </c>
      <c r="AH236" s="73">
        <f t="shared" si="7"/>
        <v>-64.513888888888886</v>
      </c>
      <c r="AI236" s="74">
        <v>6</v>
      </c>
      <c r="AJ236" s="79" t="s">
        <v>329</v>
      </c>
      <c r="AK236" s="76" t="s">
        <v>525</v>
      </c>
      <c r="AL236" s="67"/>
      <c r="AM236" s="506"/>
      <c r="AN236" s="505"/>
      <c r="AO236" s="515"/>
    </row>
    <row r="237" spans="1:41" ht="14.5">
      <c r="A237" s="58">
        <v>42287</v>
      </c>
      <c r="B237" s="59" t="s">
        <v>428</v>
      </c>
      <c r="C237" s="60" t="s">
        <v>256</v>
      </c>
      <c r="D237" s="60" t="s">
        <v>686</v>
      </c>
      <c r="E237" s="109">
        <v>11</v>
      </c>
      <c r="F237" s="110">
        <v>8</v>
      </c>
      <c r="G237" s="111">
        <v>9</v>
      </c>
      <c r="H237" s="60">
        <v>28</v>
      </c>
      <c r="I237" s="60">
        <v>28</v>
      </c>
      <c r="J237" s="60">
        <v>56</v>
      </c>
      <c r="K237" s="60">
        <v>0.5</v>
      </c>
      <c r="L237" s="60">
        <f t="shared" si="0"/>
        <v>-4.5</v>
      </c>
      <c r="M237" s="64">
        <f t="shared" si="23"/>
        <v>6</v>
      </c>
      <c r="N237" s="90"/>
      <c r="O237" s="89"/>
      <c r="P237" s="112"/>
      <c r="Q237" s="91"/>
      <c r="R237" s="113"/>
      <c r="S237" s="113"/>
      <c r="T237" s="103"/>
      <c r="U237" s="103"/>
      <c r="V237" s="67"/>
      <c r="W237" s="104"/>
      <c r="X237" s="67">
        <f t="shared" ref="X237:Y237" si="243">(P237+R237+T237+V237)</f>
        <v>0</v>
      </c>
      <c r="Y237" s="67">
        <f t="shared" si="243"/>
        <v>0</v>
      </c>
      <c r="Z237" s="68">
        <f t="shared" si="3"/>
        <v>0</v>
      </c>
      <c r="AA237" s="69" t="str">
        <f t="shared" si="4"/>
        <v>3D</v>
      </c>
      <c r="AB237" s="70" t="s">
        <v>686</v>
      </c>
      <c r="AC237" s="70" t="s">
        <v>253</v>
      </c>
      <c r="AD237" s="70">
        <v>43</v>
      </c>
      <c r="AE237" s="70">
        <v>45</v>
      </c>
      <c r="AF237" s="70">
        <v>88</v>
      </c>
      <c r="AG237" s="72">
        <f t="shared" si="6"/>
        <v>0.48863636363636365</v>
      </c>
      <c r="AH237" s="73">
        <f t="shared" si="7"/>
        <v>-56.511363636363633</v>
      </c>
      <c r="AI237" s="74">
        <v>4</v>
      </c>
      <c r="AJ237" s="79" t="s">
        <v>421</v>
      </c>
      <c r="AK237" s="76" t="s">
        <v>648</v>
      </c>
      <c r="AL237" s="67"/>
      <c r="AM237" s="506"/>
      <c r="AN237" s="505"/>
      <c r="AO237" s="515"/>
    </row>
    <row r="238" spans="1:41" ht="14.5">
      <c r="A238" s="58">
        <v>42287</v>
      </c>
      <c r="B238" s="59" t="s">
        <v>428</v>
      </c>
      <c r="C238" s="60" t="s">
        <v>261</v>
      </c>
      <c r="D238" s="60" t="s">
        <v>694</v>
      </c>
      <c r="E238" s="100">
        <v>4</v>
      </c>
      <c r="F238" s="101">
        <v>11</v>
      </c>
      <c r="G238" s="101">
        <v>4</v>
      </c>
      <c r="H238" s="60">
        <v>19</v>
      </c>
      <c r="I238" s="60">
        <v>29</v>
      </c>
      <c r="J238" s="60">
        <v>48</v>
      </c>
      <c r="K238" s="60">
        <v>0.39579999999999999</v>
      </c>
      <c r="L238" s="60">
        <f t="shared" si="0"/>
        <v>-13.604200000000001</v>
      </c>
      <c r="M238" s="64">
        <f t="shared" si="23"/>
        <v>14</v>
      </c>
      <c r="N238" s="65" t="s">
        <v>263</v>
      </c>
      <c r="O238" s="60" t="s">
        <v>83</v>
      </c>
      <c r="P238" s="102"/>
      <c r="Q238" s="66"/>
      <c r="R238" s="103">
        <v>11</v>
      </c>
      <c r="S238" s="103">
        <v>3</v>
      </c>
      <c r="T238" s="103">
        <v>11</v>
      </c>
      <c r="U238" s="103">
        <v>6</v>
      </c>
      <c r="V238" s="67">
        <v>16</v>
      </c>
      <c r="W238" s="104">
        <v>10</v>
      </c>
      <c r="X238" s="67">
        <f t="shared" ref="X238:Y238" si="244">(P238+R238+T238+V238)</f>
        <v>38</v>
      </c>
      <c r="Y238" s="67">
        <f t="shared" si="244"/>
        <v>19</v>
      </c>
      <c r="Z238" s="68">
        <f t="shared" si="3"/>
        <v>57</v>
      </c>
      <c r="AA238" s="69" t="str">
        <f t="shared" si="4"/>
        <v>4A</v>
      </c>
      <c r="AB238" s="70" t="s">
        <v>694</v>
      </c>
      <c r="AC238" s="70" t="s">
        <v>278</v>
      </c>
      <c r="AD238" s="70">
        <v>19</v>
      </c>
      <c r="AE238" s="70">
        <v>29</v>
      </c>
      <c r="AF238" s="70">
        <v>48</v>
      </c>
      <c r="AG238" s="72">
        <f t="shared" si="6"/>
        <v>0.39583333333333331</v>
      </c>
      <c r="AH238" s="73">
        <f t="shared" si="7"/>
        <v>-80.604166666666671</v>
      </c>
      <c r="AI238" s="74">
        <v>14</v>
      </c>
      <c r="AJ238" s="79" t="s">
        <v>23</v>
      </c>
      <c r="AK238" s="76" t="s">
        <v>585</v>
      </c>
      <c r="AL238" s="67"/>
      <c r="AM238" s="506"/>
      <c r="AN238" s="505"/>
      <c r="AO238" s="515"/>
    </row>
    <row r="239" spans="1:41" ht="14.5">
      <c r="A239" s="58">
        <v>42287</v>
      </c>
      <c r="B239" s="59" t="s">
        <v>428</v>
      </c>
      <c r="C239" s="60" t="s">
        <v>268</v>
      </c>
      <c r="D239" s="60" t="s">
        <v>680</v>
      </c>
      <c r="E239" s="105">
        <v>11</v>
      </c>
      <c r="F239" s="106">
        <v>9</v>
      </c>
      <c r="G239" s="106">
        <v>11</v>
      </c>
      <c r="H239" s="60">
        <v>31</v>
      </c>
      <c r="I239" s="60">
        <v>19</v>
      </c>
      <c r="J239" s="60">
        <v>50</v>
      </c>
      <c r="K239" s="60">
        <v>0.62</v>
      </c>
      <c r="L239" s="60">
        <f t="shared" si="0"/>
        <v>-1.38</v>
      </c>
      <c r="M239" s="64">
        <f t="shared" si="23"/>
        <v>4</v>
      </c>
      <c r="N239" s="65"/>
      <c r="O239" s="60"/>
      <c r="P239" s="102"/>
      <c r="Q239" s="66"/>
      <c r="R239" s="103"/>
      <c r="S239" s="103"/>
      <c r="T239" s="103"/>
      <c r="U239" s="103"/>
      <c r="V239" s="67"/>
      <c r="W239" s="104"/>
      <c r="X239" s="67">
        <f t="shared" ref="X239:Y239" si="245">(P239+R239+T239+V239)</f>
        <v>0</v>
      </c>
      <c r="Y239" s="67">
        <f t="shared" si="245"/>
        <v>0</v>
      </c>
      <c r="Z239" s="68">
        <f t="shared" si="3"/>
        <v>0</v>
      </c>
      <c r="AA239" s="69" t="str">
        <f t="shared" si="4"/>
        <v>4B</v>
      </c>
      <c r="AB239" s="70" t="s">
        <v>680</v>
      </c>
      <c r="AC239" s="70" t="s">
        <v>265</v>
      </c>
      <c r="AD239" s="70">
        <v>34</v>
      </c>
      <c r="AE239" s="70">
        <v>30</v>
      </c>
      <c r="AF239" s="70">
        <v>64</v>
      </c>
      <c r="AG239" s="72">
        <f t="shared" si="6"/>
        <v>0.53125</v>
      </c>
      <c r="AH239" s="73">
        <f t="shared" si="7"/>
        <v>-65.46875</v>
      </c>
      <c r="AI239" s="74">
        <v>7</v>
      </c>
      <c r="AJ239" s="79" t="s">
        <v>260</v>
      </c>
      <c r="AK239" s="76" t="s">
        <v>642</v>
      </c>
      <c r="AL239" s="67"/>
      <c r="AM239" s="506"/>
      <c r="AN239" s="505"/>
      <c r="AO239" s="515"/>
    </row>
    <row r="240" spans="1:41" ht="14.5">
      <c r="A240" s="58">
        <v>42287</v>
      </c>
      <c r="B240" s="59" t="s">
        <v>428</v>
      </c>
      <c r="C240" s="60" t="s">
        <v>271</v>
      </c>
      <c r="D240" s="60" t="s">
        <v>695</v>
      </c>
      <c r="E240" s="107">
        <v>3</v>
      </c>
      <c r="F240" s="108">
        <v>7</v>
      </c>
      <c r="G240" s="106">
        <v>4</v>
      </c>
      <c r="H240" s="60">
        <v>14</v>
      </c>
      <c r="I240" s="60">
        <v>33</v>
      </c>
      <c r="J240" s="60">
        <v>47</v>
      </c>
      <c r="K240" s="60">
        <v>0.2979</v>
      </c>
      <c r="L240" s="60">
        <f t="shared" si="0"/>
        <v>-18.702100000000002</v>
      </c>
      <c r="M240" s="64">
        <f t="shared" si="23"/>
        <v>15</v>
      </c>
      <c r="N240" s="65" t="s">
        <v>218</v>
      </c>
      <c r="O240" s="60" t="s">
        <v>678</v>
      </c>
      <c r="P240" s="102"/>
      <c r="Q240" s="66"/>
      <c r="R240" s="103">
        <v>3</v>
      </c>
      <c r="S240" s="103">
        <v>11</v>
      </c>
      <c r="T240" s="103"/>
      <c r="U240" s="103"/>
      <c r="V240" s="67"/>
      <c r="W240" s="104"/>
      <c r="X240" s="67">
        <f t="shared" ref="X240:Y240" si="246">(P240+R240+T240+V240)</f>
        <v>3</v>
      </c>
      <c r="Y240" s="67">
        <f t="shared" si="246"/>
        <v>11</v>
      </c>
      <c r="Z240" s="68">
        <f t="shared" si="3"/>
        <v>14</v>
      </c>
      <c r="AA240" s="69" t="str">
        <f t="shared" si="4"/>
        <v>4C</v>
      </c>
      <c r="AB240" s="70" t="s">
        <v>695</v>
      </c>
      <c r="AC240" s="70" t="s">
        <v>273</v>
      </c>
      <c r="AD240" s="70">
        <v>14</v>
      </c>
      <c r="AE240" s="70">
        <v>33</v>
      </c>
      <c r="AF240" s="70">
        <v>47</v>
      </c>
      <c r="AG240" s="72">
        <f t="shared" si="6"/>
        <v>0.2978723404255319</v>
      </c>
      <c r="AH240" s="73">
        <f t="shared" si="7"/>
        <v>-85.702127659574472</v>
      </c>
      <c r="AI240" s="74">
        <v>15</v>
      </c>
      <c r="AJ240" s="79" t="s">
        <v>670</v>
      </c>
      <c r="AK240" s="76" t="s">
        <v>640</v>
      </c>
      <c r="AL240" s="67"/>
      <c r="AM240" s="506"/>
      <c r="AN240" s="505"/>
      <c r="AO240" s="515"/>
    </row>
    <row r="241" spans="1:41" ht="14.5">
      <c r="A241" s="87">
        <v>42287</v>
      </c>
      <c r="B241" s="88" t="s">
        <v>428</v>
      </c>
      <c r="C241" s="89" t="s">
        <v>276</v>
      </c>
      <c r="D241" s="89" t="s">
        <v>83</v>
      </c>
      <c r="E241" s="109">
        <v>11</v>
      </c>
      <c r="F241" s="110">
        <v>11</v>
      </c>
      <c r="G241" s="111">
        <v>11</v>
      </c>
      <c r="H241" s="89">
        <v>33</v>
      </c>
      <c r="I241" s="89">
        <v>16</v>
      </c>
      <c r="J241" s="89">
        <v>49</v>
      </c>
      <c r="K241" s="89">
        <v>0.67349999999999999</v>
      </c>
      <c r="L241" s="89">
        <f t="shared" si="0"/>
        <v>0.67349999999999999</v>
      </c>
      <c r="M241" s="86">
        <f t="shared" si="23"/>
        <v>2</v>
      </c>
      <c r="N241" s="90"/>
      <c r="O241" s="89"/>
      <c r="P241" s="112"/>
      <c r="Q241" s="91"/>
      <c r="R241" s="113"/>
      <c r="S241" s="113"/>
      <c r="T241" s="113"/>
      <c r="U241" s="113"/>
      <c r="V241" s="92"/>
      <c r="W241" s="114"/>
      <c r="X241" s="92">
        <f t="shared" ref="X241:Y241" si="247">(P241+R241+T241+V241)</f>
        <v>0</v>
      </c>
      <c r="Y241" s="92">
        <f t="shared" si="247"/>
        <v>0</v>
      </c>
      <c r="Z241" s="84">
        <f t="shared" si="3"/>
        <v>0</v>
      </c>
      <c r="AA241" s="93" t="str">
        <f t="shared" si="4"/>
        <v>4D</v>
      </c>
      <c r="AB241" s="94" t="s">
        <v>83</v>
      </c>
      <c r="AC241" s="94" t="s">
        <v>263</v>
      </c>
      <c r="AD241" s="94">
        <v>71</v>
      </c>
      <c r="AE241" s="94">
        <v>35</v>
      </c>
      <c r="AF241" s="94">
        <v>106</v>
      </c>
      <c r="AG241" s="95">
        <f t="shared" si="6"/>
        <v>0.66981132075471694</v>
      </c>
      <c r="AH241" s="96">
        <f t="shared" si="7"/>
        <v>-28.330188679245282</v>
      </c>
      <c r="AI241" s="97">
        <v>1</v>
      </c>
      <c r="AJ241" s="98" t="s">
        <v>541</v>
      </c>
      <c r="AK241" s="81" t="s">
        <v>696</v>
      </c>
      <c r="AL241" s="67"/>
      <c r="AM241" s="506"/>
      <c r="AN241" s="505"/>
      <c r="AO241" s="515"/>
    </row>
    <row r="242" spans="1:41" ht="14.5">
      <c r="A242" s="58">
        <v>42553</v>
      </c>
      <c r="B242" s="59" t="s">
        <v>204</v>
      </c>
      <c r="C242" s="60" t="s">
        <v>205</v>
      </c>
      <c r="D242" s="60" t="s">
        <v>697</v>
      </c>
      <c r="E242" s="100">
        <v>1</v>
      </c>
      <c r="F242" s="101">
        <v>9</v>
      </c>
      <c r="G242" s="101">
        <v>11</v>
      </c>
      <c r="H242" s="60">
        <v>21</v>
      </c>
      <c r="I242" s="60">
        <v>28</v>
      </c>
      <c r="J242" s="60">
        <v>49</v>
      </c>
      <c r="K242" s="60">
        <v>0.42859999999999998</v>
      </c>
      <c r="L242" s="60">
        <f t="shared" si="0"/>
        <v>-11.571400000000001</v>
      </c>
      <c r="M242" s="64">
        <f t="shared" si="23"/>
        <v>13</v>
      </c>
      <c r="N242" s="65" t="s">
        <v>207</v>
      </c>
      <c r="O242" s="60" t="s">
        <v>698</v>
      </c>
      <c r="P242" s="102"/>
      <c r="Q242" s="66"/>
      <c r="R242" s="103">
        <v>10</v>
      </c>
      <c r="S242" s="103">
        <v>11</v>
      </c>
      <c r="T242" s="103"/>
      <c r="U242" s="103"/>
      <c r="V242" s="67"/>
      <c r="W242" s="104"/>
      <c r="X242" s="67">
        <f t="shared" ref="X242:Y242" si="248">(P242+R242+T242+V242)</f>
        <v>10</v>
      </c>
      <c r="Y242" s="67">
        <f t="shared" si="248"/>
        <v>11</v>
      </c>
      <c r="Z242" s="68">
        <f t="shared" si="3"/>
        <v>21</v>
      </c>
      <c r="AA242" s="69" t="str">
        <f t="shared" si="4"/>
        <v>1A</v>
      </c>
      <c r="AB242" s="70" t="s">
        <v>697</v>
      </c>
      <c r="AC242" s="70" t="s">
        <v>213</v>
      </c>
      <c r="AD242" s="70">
        <v>21</v>
      </c>
      <c r="AE242" s="70">
        <v>28</v>
      </c>
      <c r="AF242" s="70">
        <v>49</v>
      </c>
      <c r="AG242" s="72">
        <f t="shared" si="6"/>
        <v>0.42857142857142855</v>
      </c>
      <c r="AH242" s="73">
        <f t="shared" si="7"/>
        <v>-78.571428571428569</v>
      </c>
      <c r="AI242" s="74">
        <v>13</v>
      </c>
      <c r="AJ242" s="79" t="s">
        <v>699</v>
      </c>
      <c r="AK242" s="76" t="s">
        <v>700</v>
      </c>
      <c r="AL242" s="67"/>
      <c r="AM242" s="506"/>
      <c r="AN242" s="505"/>
      <c r="AO242" s="515"/>
    </row>
    <row r="243" spans="1:41" ht="14.5">
      <c r="A243" s="58">
        <v>42553</v>
      </c>
      <c r="B243" s="59" t="s">
        <v>204</v>
      </c>
      <c r="C243" s="60" t="s">
        <v>211</v>
      </c>
      <c r="D243" s="60" t="s">
        <v>698</v>
      </c>
      <c r="E243" s="105">
        <v>11</v>
      </c>
      <c r="F243" s="106">
        <v>11</v>
      </c>
      <c r="G243" s="106">
        <v>11</v>
      </c>
      <c r="H243" s="60">
        <v>33</v>
      </c>
      <c r="I243" s="60">
        <v>13</v>
      </c>
      <c r="J243" s="60">
        <v>46</v>
      </c>
      <c r="K243" s="60">
        <v>0.71740000000000004</v>
      </c>
      <c r="L243" s="60">
        <f t="shared" si="0"/>
        <v>0.71740000000000004</v>
      </c>
      <c r="M243" s="64">
        <f t="shared" si="23"/>
        <v>2</v>
      </c>
      <c r="N243" s="65"/>
      <c r="O243" s="60"/>
      <c r="P243" s="102"/>
      <c r="Q243" s="66"/>
      <c r="R243" s="103"/>
      <c r="S243" s="103"/>
      <c r="T243" s="103"/>
      <c r="U243" s="103"/>
      <c r="V243" s="67"/>
      <c r="W243" s="104"/>
      <c r="X243" s="67">
        <f t="shared" ref="X243:Y243" si="249">(P243+R243+T243+V243)</f>
        <v>0</v>
      </c>
      <c r="Y243" s="67">
        <f t="shared" si="249"/>
        <v>0</v>
      </c>
      <c r="Z243" s="68">
        <f t="shared" si="3"/>
        <v>0</v>
      </c>
      <c r="AA243" s="69" t="str">
        <f t="shared" si="4"/>
        <v>1B</v>
      </c>
      <c r="AB243" s="70" t="s">
        <v>698</v>
      </c>
      <c r="AC243" s="70" t="s">
        <v>207</v>
      </c>
      <c r="AD243" s="70">
        <v>43</v>
      </c>
      <c r="AE243" s="70">
        <v>24</v>
      </c>
      <c r="AF243" s="70">
        <v>67</v>
      </c>
      <c r="AG243" s="72">
        <f t="shared" si="6"/>
        <v>0.64179104477611937</v>
      </c>
      <c r="AH243" s="73">
        <f t="shared" si="7"/>
        <v>-56.35820895522388</v>
      </c>
      <c r="AI243" s="74">
        <v>4</v>
      </c>
      <c r="AJ243" s="79" t="s">
        <v>227</v>
      </c>
      <c r="AK243" s="76" t="s">
        <v>289</v>
      </c>
      <c r="AL243" s="67"/>
      <c r="AM243" s="506"/>
      <c r="AN243" s="505"/>
      <c r="AO243" s="515"/>
    </row>
    <row r="244" spans="1:41" ht="14.5">
      <c r="A244" s="58">
        <v>42553</v>
      </c>
      <c r="B244" s="59" t="s">
        <v>204</v>
      </c>
      <c r="C244" s="60" t="s">
        <v>216</v>
      </c>
      <c r="D244" s="60" t="s">
        <v>701</v>
      </c>
      <c r="E244" s="107">
        <v>8</v>
      </c>
      <c r="F244" s="108">
        <v>11</v>
      </c>
      <c r="G244" s="106">
        <v>6</v>
      </c>
      <c r="H244" s="60">
        <v>25</v>
      </c>
      <c r="I244" s="60">
        <v>31</v>
      </c>
      <c r="J244" s="60">
        <v>56</v>
      </c>
      <c r="K244" s="60">
        <v>0.44640000000000002</v>
      </c>
      <c r="L244" s="60">
        <f t="shared" si="0"/>
        <v>-7.5536000000000003</v>
      </c>
      <c r="M244" s="64">
        <f t="shared" si="23"/>
        <v>10</v>
      </c>
      <c r="N244" s="65" t="s">
        <v>265</v>
      </c>
      <c r="O244" s="60" t="s">
        <v>702</v>
      </c>
      <c r="P244" s="102"/>
      <c r="Q244" s="66"/>
      <c r="R244" s="103">
        <v>11</v>
      </c>
      <c r="S244" s="103">
        <v>10</v>
      </c>
      <c r="T244" s="103">
        <v>10</v>
      </c>
      <c r="U244" s="103">
        <v>11</v>
      </c>
      <c r="V244" s="67"/>
      <c r="W244" s="104"/>
      <c r="X244" s="67">
        <f t="shared" ref="X244:Y244" si="250">(P244+R244+T244+V244)</f>
        <v>21</v>
      </c>
      <c r="Y244" s="67">
        <f t="shared" si="250"/>
        <v>21</v>
      </c>
      <c r="Z244" s="68">
        <f t="shared" si="3"/>
        <v>42</v>
      </c>
      <c r="AA244" s="69" t="str">
        <f t="shared" si="4"/>
        <v>1C</v>
      </c>
      <c r="AB244" s="70" t="s">
        <v>701</v>
      </c>
      <c r="AC244" s="70" t="s">
        <v>218</v>
      </c>
      <c r="AD244" s="70">
        <v>41</v>
      </c>
      <c r="AE244" s="70">
        <v>49</v>
      </c>
      <c r="AF244" s="70">
        <v>90</v>
      </c>
      <c r="AG244" s="72">
        <f t="shared" si="6"/>
        <v>0.45555555555555555</v>
      </c>
      <c r="AH244" s="73">
        <f t="shared" si="7"/>
        <v>-58.544444444444444</v>
      </c>
      <c r="AI244" s="74">
        <v>5</v>
      </c>
      <c r="AJ244" s="79" t="s">
        <v>266</v>
      </c>
      <c r="AK244" s="76" t="s">
        <v>23</v>
      </c>
      <c r="AL244" s="67"/>
      <c r="AM244" s="506"/>
      <c r="AN244" s="505"/>
      <c r="AO244" s="515"/>
    </row>
    <row r="245" spans="1:41" ht="14.5">
      <c r="A245" s="58">
        <v>42553</v>
      </c>
      <c r="B245" s="59" t="s">
        <v>204</v>
      </c>
      <c r="C245" s="60" t="s">
        <v>221</v>
      </c>
      <c r="D245" s="60" t="s">
        <v>703</v>
      </c>
      <c r="E245" s="109">
        <v>11</v>
      </c>
      <c r="F245" s="110">
        <v>6</v>
      </c>
      <c r="G245" s="111">
        <v>6</v>
      </c>
      <c r="H245" s="60">
        <v>23</v>
      </c>
      <c r="I245" s="60">
        <v>30</v>
      </c>
      <c r="J245" s="60">
        <v>53</v>
      </c>
      <c r="K245" s="60">
        <v>0.434</v>
      </c>
      <c r="L245" s="60">
        <f t="shared" si="0"/>
        <v>-9.5660000000000007</v>
      </c>
      <c r="M245" s="64">
        <f t="shared" si="23"/>
        <v>12</v>
      </c>
      <c r="N245" s="90"/>
      <c r="O245" s="89"/>
      <c r="P245" s="112"/>
      <c r="Q245" s="91"/>
      <c r="R245" s="113"/>
      <c r="S245" s="113"/>
      <c r="T245" s="103"/>
      <c r="U245" s="103"/>
      <c r="V245" s="67"/>
      <c r="W245" s="104"/>
      <c r="X245" s="67">
        <f t="shared" ref="X245:Y245" si="251">(P245+R245+T245+V245)</f>
        <v>0</v>
      </c>
      <c r="Y245" s="67">
        <f t="shared" si="251"/>
        <v>0</v>
      </c>
      <c r="Z245" s="68">
        <f t="shared" si="3"/>
        <v>0</v>
      </c>
      <c r="AA245" s="69" t="str">
        <f t="shared" si="4"/>
        <v>1D</v>
      </c>
      <c r="AB245" s="70" t="s">
        <v>703</v>
      </c>
      <c r="AC245" s="70" t="s">
        <v>208</v>
      </c>
      <c r="AD245" s="70">
        <v>23</v>
      </c>
      <c r="AE245" s="70">
        <v>30</v>
      </c>
      <c r="AF245" s="70">
        <v>53</v>
      </c>
      <c r="AG245" s="72">
        <f t="shared" si="6"/>
        <v>0.43396226415094341</v>
      </c>
      <c r="AH245" s="73">
        <f t="shared" si="7"/>
        <v>-76.566037735849051</v>
      </c>
      <c r="AI245" s="74">
        <v>12</v>
      </c>
      <c r="AJ245" s="79" t="s">
        <v>358</v>
      </c>
      <c r="AK245" s="76" t="s">
        <v>438</v>
      </c>
      <c r="AL245" s="67"/>
      <c r="AM245" s="506"/>
      <c r="AN245" s="505"/>
      <c r="AO245" s="515"/>
    </row>
    <row r="246" spans="1:41" ht="14.5">
      <c r="A246" s="58">
        <v>42553</v>
      </c>
      <c r="B246" s="59" t="s">
        <v>204</v>
      </c>
      <c r="C246" s="60" t="s">
        <v>224</v>
      </c>
      <c r="D246" s="60" t="s">
        <v>704</v>
      </c>
      <c r="E246" s="100">
        <v>11</v>
      </c>
      <c r="F246" s="101">
        <v>7</v>
      </c>
      <c r="G246" s="101">
        <v>5</v>
      </c>
      <c r="H246" s="60">
        <v>23</v>
      </c>
      <c r="I246" s="60">
        <v>29</v>
      </c>
      <c r="J246" s="60">
        <v>52</v>
      </c>
      <c r="K246" s="60">
        <v>0.44230000000000003</v>
      </c>
      <c r="L246" s="60">
        <f t="shared" si="0"/>
        <v>-9.5577000000000005</v>
      </c>
      <c r="M246" s="64">
        <f t="shared" si="23"/>
        <v>11</v>
      </c>
      <c r="N246" s="65" t="s">
        <v>225</v>
      </c>
      <c r="O246" s="60" t="s">
        <v>705</v>
      </c>
      <c r="P246" s="102"/>
      <c r="Q246" s="66"/>
      <c r="R246" s="103">
        <v>5</v>
      </c>
      <c r="S246" s="103">
        <v>11</v>
      </c>
      <c r="T246" s="103"/>
      <c r="U246" s="103"/>
      <c r="V246" s="67"/>
      <c r="W246" s="104"/>
      <c r="X246" s="67">
        <f t="shared" ref="X246:Y246" si="252">(P246+R246+T246+V246)</f>
        <v>5</v>
      </c>
      <c r="Y246" s="67">
        <f t="shared" si="252"/>
        <v>11</v>
      </c>
      <c r="Z246" s="68">
        <f t="shared" si="3"/>
        <v>16</v>
      </c>
      <c r="AA246" s="69" t="str">
        <f t="shared" si="4"/>
        <v>2A</v>
      </c>
      <c r="AB246" s="70" t="s">
        <v>704</v>
      </c>
      <c r="AC246" s="70" t="s">
        <v>239</v>
      </c>
      <c r="AD246" s="70">
        <v>23</v>
      </c>
      <c r="AE246" s="70">
        <v>29</v>
      </c>
      <c r="AF246" s="70">
        <v>52</v>
      </c>
      <c r="AG246" s="72">
        <f t="shared" si="6"/>
        <v>0.44230769230769229</v>
      </c>
      <c r="AH246" s="73">
        <f t="shared" si="7"/>
        <v>-76.557692307692307</v>
      </c>
      <c r="AI246" s="74">
        <v>11</v>
      </c>
      <c r="AJ246" s="79" t="s">
        <v>706</v>
      </c>
      <c r="AK246" s="76" t="s">
        <v>707</v>
      </c>
      <c r="AL246" s="67"/>
      <c r="AM246" s="506"/>
      <c r="AN246" s="505"/>
      <c r="AO246" s="515"/>
    </row>
    <row r="247" spans="1:41" ht="14.5">
      <c r="A247" s="58">
        <v>42553</v>
      </c>
      <c r="B247" s="59" t="s">
        <v>204</v>
      </c>
      <c r="C247" s="60" t="s">
        <v>228</v>
      </c>
      <c r="D247" s="60" t="s">
        <v>708</v>
      </c>
      <c r="E247" s="105">
        <v>7</v>
      </c>
      <c r="F247" s="106">
        <v>6</v>
      </c>
      <c r="G247" s="106">
        <v>8</v>
      </c>
      <c r="H247" s="60">
        <v>21</v>
      </c>
      <c r="I247" s="60">
        <v>33</v>
      </c>
      <c r="J247" s="60">
        <v>54</v>
      </c>
      <c r="K247" s="60">
        <v>0.38890000000000002</v>
      </c>
      <c r="L247" s="60">
        <f t="shared" si="0"/>
        <v>-11.6111</v>
      </c>
      <c r="M247" s="64">
        <f t="shared" si="23"/>
        <v>14</v>
      </c>
      <c r="N247" s="65"/>
      <c r="O247" s="60"/>
      <c r="P247" s="102"/>
      <c r="Q247" s="66"/>
      <c r="R247" s="103"/>
      <c r="S247" s="103"/>
      <c r="T247" s="103"/>
      <c r="U247" s="103"/>
      <c r="V247" s="67"/>
      <c r="W247" s="104"/>
      <c r="X247" s="67">
        <f t="shared" ref="X247:Y247" si="253">(P247+R247+T247+V247)</f>
        <v>0</v>
      </c>
      <c r="Y247" s="67">
        <f t="shared" si="253"/>
        <v>0</v>
      </c>
      <c r="Z247" s="68">
        <f t="shared" si="3"/>
        <v>0</v>
      </c>
      <c r="AA247" s="69" t="str">
        <f t="shared" si="4"/>
        <v>2B</v>
      </c>
      <c r="AB247" s="70" t="s">
        <v>708</v>
      </c>
      <c r="AC247" s="70" t="s">
        <v>234</v>
      </c>
      <c r="AD247" s="70">
        <v>21</v>
      </c>
      <c r="AE247" s="70">
        <v>33</v>
      </c>
      <c r="AF247" s="70">
        <v>54</v>
      </c>
      <c r="AG247" s="72">
        <f t="shared" si="6"/>
        <v>0.3888888888888889</v>
      </c>
      <c r="AH247" s="73">
        <f t="shared" si="7"/>
        <v>-78.611111111111114</v>
      </c>
      <c r="AI247" s="74">
        <v>14</v>
      </c>
      <c r="AJ247" s="79" t="s">
        <v>380</v>
      </c>
      <c r="AK247" s="76" t="s">
        <v>240</v>
      </c>
      <c r="AL247" s="67"/>
      <c r="AM247" s="506"/>
      <c r="AN247" s="505"/>
      <c r="AO247" s="515"/>
    </row>
    <row r="248" spans="1:41" ht="14.5">
      <c r="A248" s="58">
        <v>42553</v>
      </c>
      <c r="B248" s="59" t="s">
        <v>204</v>
      </c>
      <c r="C248" s="60" t="s">
        <v>232</v>
      </c>
      <c r="D248" s="60" t="s">
        <v>705</v>
      </c>
      <c r="E248" s="107">
        <v>11</v>
      </c>
      <c r="F248" s="108">
        <v>11</v>
      </c>
      <c r="G248" s="106">
        <v>11</v>
      </c>
      <c r="H248" s="60">
        <v>33</v>
      </c>
      <c r="I248" s="60">
        <v>23</v>
      </c>
      <c r="J248" s="60">
        <v>56</v>
      </c>
      <c r="K248" s="60">
        <v>0.58930000000000005</v>
      </c>
      <c r="L248" s="60">
        <f t="shared" si="0"/>
        <v>0.58930000000000005</v>
      </c>
      <c r="M248" s="64">
        <f t="shared" si="23"/>
        <v>4</v>
      </c>
      <c r="N248" s="65" t="s">
        <v>253</v>
      </c>
      <c r="O248" s="60" t="s">
        <v>87</v>
      </c>
      <c r="P248" s="102"/>
      <c r="Q248" s="66"/>
      <c r="R248" s="103">
        <v>11</v>
      </c>
      <c r="S248" s="103">
        <v>5</v>
      </c>
      <c r="T248" s="103">
        <v>11</v>
      </c>
      <c r="U248" s="103">
        <v>10</v>
      </c>
      <c r="V248" s="67">
        <v>8</v>
      </c>
      <c r="W248" s="104">
        <v>11</v>
      </c>
      <c r="X248" s="67">
        <f t="shared" ref="X248:Y248" si="254">(P248+R248+T248+V248)</f>
        <v>30</v>
      </c>
      <c r="Y248" s="67">
        <f t="shared" si="254"/>
        <v>26</v>
      </c>
      <c r="Z248" s="68">
        <f t="shared" si="3"/>
        <v>56</v>
      </c>
      <c r="AA248" s="69" t="str">
        <f t="shared" si="4"/>
        <v>2C</v>
      </c>
      <c r="AB248" s="70" t="s">
        <v>705</v>
      </c>
      <c r="AC248" s="70" t="s">
        <v>225</v>
      </c>
      <c r="AD248" s="70">
        <v>38</v>
      </c>
      <c r="AE248" s="70">
        <v>34</v>
      </c>
      <c r="AF248" s="70">
        <v>72</v>
      </c>
      <c r="AG248" s="72">
        <f t="shared" si="6"/>
        <v>0.52777777777777779</v>
      </c>
      <c r="AH248" s="73">
        <f t="shared" si="7"/>
        <v>-61.472222222222221</v>
      </c>
      <c r="AI248" s="74">
        <v>8</v>
      </c>
      <c r="AJ248" s="79" t="s">
        <v>452</v>
      </c>
      <c r="AK248" s="85" t="s">
        <v>561</v>
      </c>
      <c r="AL248" s="67"/>
      <c r="AM248" s="506"/>
      <c r="AN248" s="505"/>
      <c r="AO248" s="515"/>
    </row>
    <row r="249" spans="1:41" ht="14.5">
      <c r="A249" s="58">
        <v>42553</v>
      </c>
      <c r="B249" s="59" t="s">
        <v>204</v>
      </c>
      <c r="C249" s="60" t="s">
        <v>237</v>
      </c>
      <c r="D249" s="60" t="s">
        <v>709</v>
      </c>
      <c r="E249" s="109">
        <v>8</v>
      </c>
      <c r="F249" s="110">
        <v>11</v>
      </c>
      <c r="G249" s="111">
        <v>11</v>
      </c>
      <c r="H249" s="60">
        <v>30</v>
      </c>
      <c r="I249" s="60">
        <v>22</v>
      </c>
      <c r="J249" s="60">
        <v>52</v>
      </c>
      <c r="K249" s="60">
        <v>0.57689999999999997</v>
      </c>
      <c r="L249" s="60">
        <f t="shared" si="0"/>
        <v>-2.4230999999999998</v>
      </c>
      <c r="M249" s="64">
        <f t="shared" si="23"/>
        <v>5</v>
      </c>
      <c r="N249" s="90"/>
      <c r="O249" s="89"/>
      <c r="P249" s="112"/>
      <c r="Q249" s="91"/>
      <c r="R249" s="113"/>
      <c r="S249" s="113"/>
      <c r="T249" s="113"/>
      <c r="U249" s="113"/>
      <c r="V249" s="67"/>
      <c r="W249" s="104"/>
      <c r="X249" s="67">
        <f t="shared" ref="X249:Y249" si="255">(P249+R249+T249+V249)</f>
        <v>0</v>
      </c>
      <c r="Y249" s="67">
        <f t="shared" si="255"/>
        <v>0</v>
      </c>
      <c r="Z249" s="68">
        <f t="shared" si="3"/>
        <v>0</v>
      </c>
      <c r="AA249" s="69" t="str">
        <f t="shared" si="4"/>
        <v>2D</v>
      </c>
      <c r="AB249" s="70" t="s">
        <v>709</v>
      </c>
      <c r="AC249" s="70" t="s">
        <v>230</v>
      </c>
      <c r="AD249" s="70">
        <v>39</v>
      </c>
      <c r="AE249" s="70">
        <v>33</v>
      </c>
      <c r="AF249" s="70">
        <v>72</v>
      </c>
      <c r="AG249" s="72">
        <f t="shared" si="6"/>
        <v>0.54166666666666663</v>
      </c>
      <c r="AH249" s="73">
        <f t="shared" si="7"/>
        <v>-60.458333333333336</v>
      </c>
      <c r="AI249" s="74">
        <v>7</v>
      </c>
      <c r="AJ249" s="79" t="s">
        <v>260</v>
      </c>
      <c r="AK249" s="76" t="s">
        <v>421</v>
      </c>
      <c r="AL249" s="67"/>
      <c r="AM249" s="506"/>
      <c r="AN249" s="505"/>
      <c r="AO249" s="515"/>
    </row>
    <row r="250" spans="1:41" ht="14.5">
      <c r="A250" s="58">
        <v>42553</v>
      </c>
      <c r="B250" s="59" t="s">
        <v>204</v>
      </c>
      <c r="C250" s="60" t="s">
        <v>241</v>
      </c>
      <c r="D250" s="60" t="s">
        <v>710</v>
      </c>
      <c r="E250" s="100">
        <v>11</v>
      </c>
      <c r="F250" s="101">
        <v>9</v>
      </c>
      <c r="G250" s="101">
        <v>5</v>
      </c>
      <c r="H250" s="60">
        <v>25</v>
      </c>
      <c r="I250" s="60">
        <v>29</v>
      </c>
      <c r="J250" s="60">
        <v>54</v>
      </c>
      <c r="K250" s="60">
        <v>0.46300000000000002</v>
      </c>
      <c r="L250" s="60">
        <f t="shared" si="0"/>
        <v>-7.5369999999999999</v>
      </c>
      <c r="M250" s="64">
        <f t="shared" si="23"/>
        <v>9</v>
      </c>
      <c r="N250" s="65" t="s">
        <v>243</v>
      </c>
      <c r="O250" s="60" t="s">
        <v>711</v>
      </c>
      <c r="P250" s="102"/>
      <c r="Q250" s="66"/>
      <c r="R250" s="103">
        <v>11</v>
      </c>
      <c r="S250" s="103">
        <v>9</v>
      </c>
      <c r="T250" s="103">
        <v>11</v>
      </c>
      <c r="U250" s="103">
        <v>5</v>
      </c>
      <c r="V250" s="67">
        <v>11</v>
      </c>
      <c r="W250" s="104">
        <v>8</v>
      </c>
      <c r="X250" s="67">
        <f t="shared" ref="X250:Y250" si="256">(P250+R250+T250+V250)</f>
        <v>33</v>
      </c>
      <c r="Y250" s="67">
        <f t="shared" si="256"/>
        <v>22</v>
      </c>
      <c r="Z250" s="68">
        <f t="shared" si="3"/>
        <v>55</v>
      </c>
      <c r="AA250" s="69" t="str">
        <f t="shared" si="4"/>
        <v>3A</v>
      </c>
      <c r="AB250" s="70" t="s">
        <v>710</v>
      </c>
      <c r="AC250" s="70" t="s">
        <v>248</v>
      </c>
      <c r="AD250" s="70">
        <v>25</v>
      </c>
      <c r="AE250" s="70">
        <v>29</v>
      </c>
      <c r="AF250" s="70">
        <v>54</v>
      </c>
      <c r="AG250" s="72">
        <f t="shared" si="6"/>
        <v>0.46296296296296297</v>
      </c>
      <c r="AH250" s="73">
        <f t="shared" si="7"/>
        <v>-74.537037037037038</v>
      </c>
      <c r="AI250" s="74">
        <v>10</v>
      </c>
      <c r="AJ250" s="79" t="s">
        <v>658</v>
      </c>
      <c r="AK250" s="76" t="s">
        <v>231</v>
      </c>
      <c r="AL250" s="67"/>
      <c r="AM250" s="506"/>
      <c r="AN250" s="505"/>
      <c r="AO250" s="515"/>
    </row>
    <row r="251" spans="1:41" ht="14.5">
      <c r="A251" s="58">
        <v>42553</v>
      </c>
      <c r="B251" s="59" t="s">
        <v>204</v>
      </c>
      <c r="C251" s="60" t="s">
        <v>246</v>
      </c>
      <c r="D251" s="60" t="s">
        <v>712</v>
      </c>
      <c r="E251" s="105">
        <v>7</v>
      </c>
      <c r="F251" s="106">
        <v>2</v>
      </c>
      <c r="G251" s="106">
        <v>2</v>
      </c>
      <c r="H251" s="60">
        <v>11</v>
      </c>
      <c r="I251" s="60">
        <v>33</v>
      </c>
      <c r="J251" s="60">
        <v>44</v>
      </c>
      <c r="K251" s="60">
        <v>0.25</v>
      </c>
      <c r="L251" s="60">
        <f t="shared" si="0"/>
        <v>-21.75</v>
      </c>
      <c r="M251" s="64">
        <f t="shared" si="23"/>
        <v>16</v>
      </c>
      <c r="N251" s="65"/>
      <c r="O251" s="60"/>
      <c r="P251" s="102"/>
      <c r="Q251" s="66"/>
      <c r="R251" s="103"/>
      <c r="S251" s="103"/>
      <c r="T251" s="103"/>
      <c r="U251" s="103"/>
      <c r="V251" s="67"/>
      <c r="W251" s="104"/>
      <c r="X251" s="67">
        <f t="shared" ref="X251:Y251" si="257">(P251+R251+T251+V251)</f>
        <v>0</v>
      </c>
      <c r="Y251" s="67">
        <f t="shared" si="257"/>
        <v>0</v>
      </c>
      <c r="Z251" s="68">
        <f t="shared" si="3"/>
        <v>0</v>
      </c>
      <c r="AA251" s="69" t="str">
        <f t="shared" si="4"/>
        <v>3B</v>
      </c>
      <c r="AB251" s="70" t="s">
        <v>712</v>
      </c>
      <c r="AC251" s="70" t="s">
        <v>258</v>
      </c>
      <c r="AD251" s="70">
        <v>11</v>
      </c>
      <c r="AE251" s="70">
        <v>33</v>
      </c>
      <c r="AF251" s="70">
        <v>44</v>
      </c>
      <c r="AG251" s="72">
        <f t="shared" si="6"/>
        <v>0.25</v>
      </c>
      <c r="AH251" s="73">
        <f t="shared" si="7"/>
        <v>-88.75</v>
      </c>
      <c r="AI251" s="74">
        <v>16</v>
      </c>
      <c r="AJ251" s="79" t="s">
        <v>713</v>
      </c>
      <c r="AK251" s="76" t="s">
        <v>459</v>
      </c>
      <c r="AL251" s="67"/>
      <c r="AM251" s="506"/>
      <c r="AN251" s="505"/>
      <c r="AO251" s="515"/>
    </row>
    <row r="252" spans="1:41" ht="14.5">
      <c r="A252" s="58">
        <v>42553</v>
      </c>
      <c r="B252" s="59" t="s">
        <v>204</v>
      </c>
      <c r="C252" s="60" t="s">
        <v>251</v>
      </c>
      <c r="D252" s="60" t="s">
        <v>87</v>
      </c>
      <c r="E252" s="107">
        <v>5</v>
      </c>
      <c r="F252" s="108">
        <v>11</v>
      </c>
      <c r="G252" s="106">
        <v>11</v>
      </c>
      <c r="H252" s="60">
        <v>27</v>
      </c>
      <c r="I252" s="60">
        <v>22</v>
      </c>
      <c r="J252" s="60">
        <v>49</v>
      </c>
      <c r="K252" s="60">
        <v>0.55100000000000005</v>
      </c>
      <c r="L252" s="60">
        <f t="shared" si="0"/>
        <v>-5.4489999999999998</v>
      </c>
      <c r="M252" s="64">
        <f t="shared" si="23"/>
        <v>7</v>
      </c>
      <c r="N252" s="65" t="s">
        <v>230</v>
      </c>
      <c r="O252" s="60" t="s">
        <v>714</v>
      </c>
      <c r="P252" s="102"/>
      <c r="Q252" s="66"/>
      <c r="R252" s="103">
        <v>9</v>
      </c>
      <c r="S252" s="103">
        <v>11</v>
      </c>
      <c r="T252" s="103"/>
      <c r="U252" s="103"/>
      <c r="V252" s="67"/>
      <c r="W252" s="104"/>
      <c r="X252" s="67">
        <f t="shared" ref="X252:Y252" si="258">(P252+R252+T252+V252)</f>
        <v>9</v>
      </c>
      <c r="Y252" s="67">
        <f t="shared" si="258"/>
        <v>11</v>
      </c>
      <c r="Z252" s="68">
        <f t="shared" si="3"/>
        <v>20</v>
      </c>
      <c r="AA252" s="69" t="str">
        <f t="shared" si="4"/>
        <v>3C</v>
      </c>
      <c r="AB252" s="70" t="s">
        <v>87</v>
      </c>
      <c r="AC252" s="70" t="s">
        <v>253</v>
      </c>
      <c r="AD252" s="70">
        <v>57</v>
      </c>
      <c r="AE252" s="70">
        <v>48</v>
      </c>
      <c r="AF252" s="70">
        <v>105</v>
      </c>
      <c r="AG252" s="72">
        <f t="shared" si="6"/>
        <v>0.54285714285714282</v>
      </c>
      <c r="AH252" s="73">
        <f t="shared" si="7"/>
        <v>-42.457142857142856</v>
      </c>
      <c r="AI252" s="74">
        <v>2</v>
      </c>
      <c r="AJ252" s="79" t="s">
        <v>715</v>
      </c>
      <c r="AK252" s="76" t="s">
        <v>329</v>
      </c>
      <c r="AL252" s="67"/>
      <c r="AM252" s="506"/>
      <c r="AN252" s="505"/>
      <c r="AO252" s="515"/>
    </row>
    <row r="253" spans="1:41" ht="14.5">
      <c r="A253" s="58">
        <v>42553</v>
      </c>
      <c r="B253" s="59" t="s">
        <v>204</v>
      </c>
      <c r="C253" s="60" t="s">
        <v>256</v>
      </c>
      <c r="D253" s="60" t="s">
        <v>711</v>
      </c>
      <c r="E253" s="109">
        <v>11</v>
      </c>
      <c r="F253" s="110">
        <v>11</v>
      </c>
      <c r="G253" s="111">
        <v>11</v>
      </c>
      <c r="H253" s="60">
        <v>33</v>
      </c>
      <c r="I253" s="60">
        <v>12</v>
      </c>
      <c r="J253" s="60">
        <v>45</v>
      </c>
      <c r="K253" s="60">
        <v>0.73329999999999995</v>
      </c>
      <c r="L253" s="60">
        <f t="shared" si="0"/>
        <v>0.73329999999999995</v>
      </c>
      <c r="M253" s="64">
        <f t="shared" si="23"/>
        <v>1</v>
      </c>
      <c r="N253" s="90"/>
      <c r="O253" s="89"/>
      <c r="P253" s="112"/>
      <c r="Q253" s="91"/>
      <c r="R253" s="113"/>
      <c r="S253" s="113"/>
      <c r="T253" s="103"/>
      <c r="U253" s="103"/>
      <c r="V253" s="67"/>
      <c r="W253" s="104"/>
      <c r="X253" s="67">
        <f t="shared" ref="X253:Y253" si="259">(P253+R253+T253+V253)</f>
        <v>0</v>
      </c>
      <c r="Y253" s="67">
        <f t="shared" si="259"/>
        <v>0</v>
      </c>
      <c r="Z253" s="68">
        <f t="shared" si="3"/>
        <v>0</v>
      </c>
      <c r="AA253" s="69" t="str">
        <f t="shared" si="4"/>
        <v>3D</v>
      </c>
      <c r="AB253" s="70" t="s">
        <v>711</v>
      </c>
      <c r="AC253" s="70" t="s">
        <v>243</v>
      </c>
      <c r="AD253" s="70">
        <v>66</v>
      </c>
      <c r="AE253" s="70">
        <v>34</v>
      </c>
      <c r="AF253" s="70">
        <v>100</v>
      </c>
      <c r="AG253" s="72">
        <f t="shared" si="6"/>
        <v>0.66</v>
      </c>
      <c r="AH253" s="73">
        <f t="shared" si="7"/>
        <v>-33.340000000000003</v>
      </c>
      <c r="AI253" s="74">
        <v>1</v>
      </c>
      <c r="AJ253" s="79" t="s">
        <v>716</v>
      </c>
      <c r="AK253" s="76" t="s">
        <v>375</v>
      </c>
      <c r="AL253" s="67"/>
      <c r="AM253" s="506"/>
      <c r="AN253" s="505"/>
      <c r="AO253" s="515"/>
    </row>
    <row r="254" spans="1:41" ht="14.5">
      <c r="A254" s="58">
        <v>42553</v>
      </c>
      <c r="B254" s="59" t="s">
        <v>204</v>
      </c>
      <c r="C254" s="60" t="s">
        <v>261</v>
      </c>
      <c r="D254" s="60" t="s">
        <v>717</v>
      </c>
      <c r="E254" s="100">
        <v>3</v>
      </c>
      <c r="F254" s="101">
        <v>6</v>
      </c>
      <c r="G254" s="101">
        <v>8</v>
      </c>
      <c r="H254" s="60">
        <v>17</v>
      </c>
      <c r="I254" s="60">
        <v>33</v>
      </c>
      <c r="J254" s="60">
        <v>50</v>
      </c>
      <c r="K254" s="60">
        <v>0.34</v>
      </c>
      <c r="L254" s="60">
        <f t="shared" si="0"/>
        <v>-15.66</v>
      </c>
      <c r="M254" s="64">
        <f t="shared" si="23"/>
        <v>15</v>
      </c>
      <c r="N254" s="65" t="s">
        <v>263</v>
      </c>
      <c r="O254" s="60" t="s">
        <v>718</v>
      </c>
      <c r="P254" s="102"/>
      <c r="Q254" s="66"/>
      <c r="R254" s="103">
        <v>7</v>
      </c>
      <c r="S254" s="103">
        <v>11</v>
      </c>
      <c r="T254" s="103"/>
      <c r="U254" s="103"/>
      <c r="V254" s="67"/>
      <c r="W254" s="104"/>
      <c r="X254" s="67">
        <f t="shared" ref="X254:Y254" si="260">(P254+R254+T254+V254)</f>
        <v>7</v>
      </c>
      <c r="Y254" s="67">
        <f t="shared" si="260"/>
        <v>11</v>
      </c>
      <c r="Z254" s="68">
        <f t="shared" si="3"/>
        <v>18</v>
      </c>
      <c r="AA254" s="69" t="str">
        <f t="shared" si="4"/>
        <v>4A</v>
      </c>
      <c r="AB254" s="70" t="s">
        <v>717</v>
      </c>
      <c r="AC254" s="70" t="s">
        <v>273</v>
      </c>
      <c r="AD254" s="70">
        <v>17</v>
      </c>
      <c r="AE254" s="70">
        <v>33</v>
      </c>
      <c r="AF254" s="70">
        <v>50</v>
      </c>
      <c r="AG254" s="72">
        <f t="shared" si="6"/>
        <v>0.34</v>
      </c>
      <c r="AH254" s="73">
        <f t="shared" si="7"/>
        <v>-82.66</v>
      </c>
      <c r="AI254" s="74">
        <v>15</v>
      </c>
      <c r="AJ254" s="79" t="s">
        <v>369</v>
      </c>
      <c r="AK254" s="76" t="s">
        <v>548</v>
      </c>
      <c r="AL254" s="67"/>
      <c r="AM254" s="506"/>
      <c r="AN254" s="505"/>
      <c r="AO254" s="515"/>
    </row>
    <row r="255" spans="1:41" ht="14.5">
      <c r="A255" s="58">
        <v>42553</v>
      </c>
      <c r="B255" s="59" t="s">
        <v>204</v>
      </c>
      <c r="C255" s="60" t="s">
        <v>268</v>
      </c>
      <c r="D255" s="60" t="s">
        <v>702</v>
      </c>
      <c r="E255" s="105">
        <v>11</v>
      </c>
      <c r="F255" s="106">
        <v>11</v>
      </c>
      <c r="G255" s="106">
        <v>6</v>
      </c>
      <c r="H255" s="60">
        <v>28</v>
      </c>
      <c r="I255" s="60">
        <v>24</v>
      </c>
      <c r="J255" s="60">
        <v>52</v>
      </c>
      <c r="K255" s="60">
        <v>0.53849999999999998</v>
      </c>
      <c r="L255" s="60">
        <f t="shared" si="0"/>
        <v>-4.4615</v>
      </c>
      <c r="M255" s="64">
        <f t="shared" si="23"/>
        <v>6</v>
      </c>
      <c r="N255" s="65"/>
      <c r="O255" s="60"/>
      <c r="P255" s="102"/>
      <c r="Q255" s="66"/>
      <c r="R255" s="103"/>
      <c r="S255" s="103"/>
      <c r="T255" s="103"/>
      <c r="U255" s="103"/>
      <c r="V255" s="67"/>
      <c r="W255" s="104"/>
      <c r="X255" s="67">
        <f t="shared" ref="X255:Y255" si="261">(P255+R255+T255+V255)</f>
        <v>0</v>
      </c>
      <c r="Y255" s="67">
        <f t="shared" si="261"/>
        <v>0</v>
      </c>
      <c r="Z255" s="68">
        <f t="shared" si="3"/>
        <v>0</v>
      </c>
      <c r="AA255" s="69" t="str">
        <f t="shared" si="4"/>
        <v>4B</v>
      </c>
      <c r="AB255" s="70" t="s">
        <v>702</v>
      </c>
      <c r="AC255" s="70" t="s">
        <v>265</v>
      </c>
      <c r="AD255" s="70">
        <v>49</v>
      </c>
      <c r="AE255" s="70">
        <v>45</v>
      </c>
      <c r="AF255" s="70">
        <v>94</v>
      </c>
      <c r="AG255" s="72">
        <f t="shared" si="6"/>
        <v>0.52127659574468088</v>
      </c>
      <c r="AH255" s="73">
        <f t="shared" si="7"/>
        <v>-50.478723404255319</v>
      </c>
      <c r="AI255" s="74">
        <v>3</v>
      </c>
      <c r="AJ255" s="79" t="s">
        <v>299</v>
      </c>
      <c r="AK255" s="76" t="s">
        <v>719</v>
      </c>
      <c r="AL255" s="67"/>
      <c r="AM255" s="506"/>
      <c r="AN255" s="505"/>
      <c r="AO255" s="515"/>
    </row>
    <row r="256" spans="1:41" ht="14.5">
      <c r="A256" s="58">
        <v>42553</v>
      </c>
      <c r="B256" s="59" t="s">
        <v>204</v>
      </c>
      <c r="C256" s="60" t="s">
        <v>271</v>
      </c>
      <c r="D256" s="60" t="s">
        <v>718</v>
      </c>
      <c r="E256" s="107">
        <v>11</v>
      </c>
      <c r="F256" s="108">
        <v>11</v>
      </c>
      <c r="G256" s="106">
        <v>11</v>
      </c>
      <c r="H256" s="60">
        <v>33</v>
      </c>
      <c r="I256" s="60">
        <v>17</v>
      </c>
      <c r="J256" s="60">
        <v>50</v>
      </c>
      <c r="K256" s="60">
        <v>0.66</v>
      </c>
      <c r="L256" s="60">
        <f t="shared" si="0"/>
        <v>0.66</v>
      </c>
      <c r="M256" s="64">
        <f t="shared" si="23"/>
        <v>3</v>
      </c>
      <c r="N256" s="65" t="s">
        <v>218</v>
      </c>
      <c r="O256" s="60" t="s">
        <v>701</v>
      </c>
      <c r="P256" s="102"/>
      <c r="Q256" s="66"/>
      <c r="R256" s="103">
        <v>11</v>
      </c>
      <c r="S256" s="103">
        <v>7</v>
      </c>
      <c r="T256" s="103">
        <v>5</v>
      </c>
      <c r="U256" s="103">
        <v>11</v>
      </c>
      <c r="V256" s="67"/>
      <c r="W256" s="104"/>
      <c r="X256" s="67">
        <f t="shared" ref="X256:Y256" si="262">(P256+R256+T256+V256)</f>
        <v>16</v>
      </c>
      <c r="Y256" s="67">
        <f t="shared" si="262"/>
        <v>18</v>
      </c>
      <c r="Z256" s="68">
        <f t="shared" si="3"/>
        <v>34</v>
      </c>
      <c r="AA256" s="69" t="str">
        <f t="shared" si="4"/>
        <v>4C</v>
      </c>
      <c r="AB256" s="70" t="s">
        <v>718</v>
      </c>
      <c r="AC256" s="70" t="s">
        <v>263</v>
      </c>
      <c r="AD256" s="70">
        <v>40</v>
      </c>
      <c r="AE256" s="70">
        <v>28</v>
      </c>
      <c r="AF256" s="70">
        <v>68</v>
      </c>
      <c r="AG256" s="72">
        <f t="shared" si="6"/>
        <v>0.58823529411764708</v>
      </c>
      <c r="AH256" s="73">
        <f t="shared" si="7"/>
        <v>-59.411764705882355</v>
      </c>
      <c r="AI256" s="74">
        <v>6</v>
      </c>
      <c r="AJ256" s="79" t="s">
        <v>546</v>
      </c>
      <c r="AK256" s="76" t="s">
        <v>662</v>
      </c>
      <c r="AL256" s="67"/>
      <c r="AM256" s="506"/>
      <c r="AN256" s="505"/>
      <c r="AO256" s="515"/>
    </row>
    <row r="257" spans="1:41" ht="14.5">
      <c r="A257" s="87">
        <v>42553</v>
      </c>
      <c r="B257" s="88" t="s">
        <v>204</v>
      </c>
      <c r="C257" s="89" t="s">
        <v>276</v>
      </c>
      <c r="D257" s="89" t="s">
        <v>720</v>
      </c>
      <c r="E257" s="109">
        <v>5</v>
      </c>
      <c r="F257" s="110">
        <v>10</v>
      </c>
      <c r="G257" s="111">
        <v>11</v>
      </c>
      <c r="H257" s="89">
        <v>26</v>
      </c>
      <c r="I257" s="89">
        <v>30</v>
      </c>
      <c r="J257" s="89">
        <v>56</v>
      </c>
      <c r="K257" s="89">
        <v>0.46429999999999999</v>
      </c>
      <c r="L257" s="89">
        <f t="shared" ref="L257:L511" si="263">IF(J257&gt;0,K257-(33-H257),)</f>
        <v>-6.5357000000000003</v>
      </c>
      <c r="M257" s="86">
        <f t="shared" si="23"/>
        <v>8</v>
      </c>
      <c r="N257" s="90"/>
      <c r="O257" s="89"/>
      <c r="P257" s="112"/>
      <c r="Q257" s="91"/>
      <c r="R257" s="113"/>
      <c r="S257" s="113"/>
      <c r="T257" s="113"/>
      <c r="U257" s="113"/>
      <c r="V257" s="92"/>
      <c r="W257" s="114"/>
      <c r="X257" s="92">
        <f t="shared" ref="X257:Y257" si="264">(P257+R257+T257+V257)</f>
        <v>0</v>
      </c>
      <c r="Y257" s="92">
        <f t="shared" si="264"/>
        <v>0</v>
      </c>
      <c r="Z257" s="84">
        <f t="shared" ref="Z257:Z511" si="265">X257+Y257</f>
        <v>0</v>
      </c>
      <c r="AA257" s="93" t="str">
        <f t="shared" ref="AA257:AA331" si="266">INDEX(A:D, MATCH(AB257,D:D,0),3)</f>
        <v>4D</v>
      </c>
      <c r="AB257" s="94" t="s">
        <v>720</v>
      </c>
      <c r="AC257" s="94" t="s">
        <v>278</v>
      </c>
      <c r="AD257" s="94">
        <v>26</v>
      </c>
      <c r="AE257" s="94">
        <v>30</v>
      </c>
      <c r="AF257" s="94">
        <v>56</v>
      </c>
      <c r="AG257" s="95">
        <f t="shared" ref="AG257:AG511" si="267">AD257/AF257</f>
        <v>0.4642857142857143</v>
      </c>
      <c r="AH257" s="96">
        <f t="shared" ref="AH257:AH401" si="268">AG257-(100-AD257)</f>
        <v>-73.535714285714292</v>
      </c>
      <c r="AI257" s="97">
        <v>9</v>
      </c>
      <c r="AJ257" s="98" t="s">
        <v>338</v>
      </c>
      <c r="AK257" s="81" t="s">
        <v>267</v>
      </c>
      <c r="AL257" s="67"/>
      <c r="AM257" s="506"/>
      <c r="AN257" s="505"/>
      <c r="AO257" s="515"/>
    </row>
    <row r="258" spans="1:41" ht="14.5">
      <c r="A258" s="58">
        <v>42659</v>
      </c>
      <c r="B258" s="59" t="s">
        <v>428</v>
      </c>
      <c r="C258" s="60" t="s">
        <v>205</v>
      </c>
      <c r="D258" s="60" t="s">
        <v>721</v>
      </c>
      <c r="E258" s="100">
        <v>11</v>
      </c>
      <c r="F258" s="101">
        <v>11</v>
      </c>
      <c r="G258" s="101">
        <v>11</v>
      </c>
      <c r="H258" s="60">
        <v>33</v>
      </c>
      <c r="I258" s="60">
        <v>19</v>
      </c>
      <c r="J258" s="60">
        <v>52</v>
      </c>
      <c r="K258" s="60">
        <v>0.63460000000000005</v>
      </c>
      <c r="L258" s="60">
        <f t="shared" si="263"/>
        <v>0.63460000000000005</v>
      </c>
      <c r="M258" s="64">
        <f t="shared" si="23"/>
        <v>5</v>
      </c>
      <c r="N258" s="65" t="s">
        <v>207</v>
      </c>
      <c r="O258" s="60" t="s">
        <v>721</v>
      </c>
      <c r="P258" s="115">
        <v>11</v>
      </c>
      <c r="Q258" s="115">
        <v>10</v>
      </c>
      <c r="R258" s="115">
        <v>8</v>
      </c>
      <c r="S258" s="115">
        <v>11</v>
      </c>
      <c r="T258" s="115"/>
      <c r="U258" s="115"/>
      <c r="V258" s="116"/>
      <c r="W258" s="117"/>
      <c r="X258" s="67">
        <f t="shared" ref="X258:Y258" si="269">(P258+R258+T258+V258)</f>
        <v>19</v>
      </c>
      <c r="Y258" s="67">
        <f t="shared" si="269"/>
        <v>21</v>
      </c>
      <c r="Z258" s="68">
        <f t="shared" si="265"/>
        <v>40</v>
      </c>
      <c r="AA258" s="69" t="str">
        <f t="shared" si="266"/>
        <v>1A</v>
      </c>
      <c r="AB258" s="70" t="s">
        <v>721</v>
      </c>
      <c r="AC258" s="70" t="s">
        <v>207</v>
      </c>
      <c r="AD258" s="70">
        <v>52</v>
      </c>
      <c r="AE258" s="70">
        <v>40</v>
      </c>
      <c r="AF258" s="70">
        <v>92</v>
      </c>
      <c r="AG258" s="72">
        <f t="shared" si="267"/>
        <v>0.56521739130434778</v>
      </c>
      <c r="AH258" s="73">
        <f t="shared" si="268"/>
        <v>-47.434782608695649</v>
      </c>
      <c r="AI258" s="74">
        <v>5</v>
      </c>
      <c r="AJ258" s="79" t="s">
        <v>608</v>
      </c>
      <c r="AK258" s="76" t="s">
        <v>722</v>
      </c>
      <c r="AL258" s="67"/>
      <c r="AM258" s="506"/>
      <c r="AN258" s="505"/>
      <c r="AO258" s="515"/>
    </row>
    <row r="259" spans="1:41" ht="14.5">
      <c r="A259" s="58">
        <v>42659</v>
      </c>
      <c r="B259" s="59" t="s">
        <v>428</v>
      </c>
      <c r="C259" s="60" t="s">
        <v>211</v>
      </c>
      <c r="D259" s="60" t="s">
        <v>723</v>
      </c>
      <c r="E259" s="105">
        <v>8</v>
      </c>
      <c r="F259" s="106">
        <v>11</v>
      </c>
      <c r="G259" s="106">
        <v>11</v>
      </c>
      <c r="H259" s="60">
        <v>30</v>
      </c>
      <c r="I259" s="60">
        <v>22</v>
      </c>
      <c r="J259" s="60">
        <v>52</v>
      </c>
      <c r="K259" s="60">
        <v>0.57689999999999997</v>
      </c>
      <c r="L259" s="60">
        <f t="shared" si="263"/>
        <v>-2.4230999999999998</v>
      </c>
      <c r="M259" s="64">
        <f t="shared" si="23"/>
        <v>10</v>
      </c>
      <c r="N259" s="65"/>
      <c r="O259" s="60"/>
      <c r="P259" s="103"/>
      <c r="Q259" s="103"/>
      <c r="R259" s="103"/>
      <c r="S259" s="103"/>
      <c r="T259" s="103"/>
      <c r="U259" s="103"/>
      <c r="V259" s="69"/>
      <c r="W259" s="104"/>
      <c r="X259" s="67">
        <f t="shared" ref="X259:Y259" si="270">(P259+R259+T259+V259)</f>
        <v>0</v>
      </c>
      <c r="Y259" s="67">
        <f t="shared" si="270"/>
        <v>0</v>
      </c>
      <c r="Z259" s="68">
        <f t="shared" si="265"/>
        <v>0</v>
      </c>
      <c r="AA259" s="69" t="str">
        <f t="shared" si="266"/>
        <v>1B</v>
      </c>
      <c r="AB259" s="70" t="s">
        <v>723</v>
      </c>
      <c r="AC259" s="70" t="s">
        <v>218</v>
      </c>
      <c r="AD259" s="70">
        <v>40</v>
      </c>
      <c r="AE259" s="70">
        <v>33</v>
      </c>
      <c r="AF259" s="70">
        <v>73</v>
      </c>
      <c r="AG259" s="72">
        <f t="shared" si="267"/>
        <v>0.54794520547945202</v>
      </c>
      <c r="AH259" s="73">
        <f t="shared" si="268"/>
        <v>-59.452054794520549</v>
      </c>
      <c r="AI259" s="74">
        <v>10</v>
      </c>
      <c r="AJ259" s="79" t="s">
        <v>696</v>
      </c>
      <c r="AK259" s="76" t="s">
        <v>658</v>
      </c>
      <c r="AL259" s="67"/>
      <c r="AM259" s="506"/>
      <c r="AN259" s="505"/>
      <c r="AO259" s="515"/>
    </row>
    <row r="260" spans="1:41" ht="14.5">
      <c r="A260" s="58">
        <v>42659</v>
      </c>
      <c r="B260" s="59" t="s">
        <v>428</v>
      </c>
      <c r="C260" s="60" t="s">
        <v>216</v>
      </c>
      <c r="D260" s="60" t="s">
        <v>724</v>
      </c>
      <c r="E260" s="107">
        <v>9</v>
      </c>
      <c r="F260" s="108">
        <v>5</v>
      </c>
      <c r="G260" s="106">
        <v>5</v>
      </c>
      <c r="H260" s="60">
        <v>19</v>
      </c>
      <c r="I260" s="60">
        <v>33</v>
      </c>
      <c r="J260" s="60">
        <v>52</v>
      </c>
      <c r="K260" s="60">
        <v>0.3654</v>
      </c>
      <c r="L260" s="60">
        <f t="shared" si="263"/>
        <v>-13.634600000000001</v>
      </c>
      <c r="M260" s="64">
        <f t="shared" si="23"/>
        <v>30</v>
      </c>
      <c r="N260" s="65" t="s">
        <v>265</v>
      </c>
      <c r="O260" s="60" t="s">
        <v>725</v>
      </c>
      <c r="P260" s="103">
        <v>10</v>
      </c>
      <c r="Q260" s="103">
        <v>11</v>
      </c>
      <c r="R260" s="103"/>
      <c r="S260" s="103"/>
      <c r="T260" s="103"/>
      <c r="U260" s="103"/>
      <c r="V260" s="69"/>
      <c r="W260" s="104"/>
      <c r="X260" s="67">
        <f t="shared" ref="X260:Y260" si="271">(P260+R260+T260+V260)</f>
        <v>10</v>
      </c>
      <c r="Y260" s="67">
        <f t="shared" si="271"/>
        <v>11</v>
      </c>
      <c r="Z260" s="68">
        <f t="shared" si="265"/>
        <v>21</v>
      </c>
      <c r="AA260" s="69" t="str">
        <f t="shared" si="266"/>
        <v>1C</v>
      </c>
      <c r="AB260" s="70" t="s">
        <v>724</v>
      </c>
      <c r="AC260" s="70" t="s">
        <v>213</v>
      </c>
      <c r="AD260" s="70">
        <v>19</v>
      </c>
      <c r="AE260" s="70">
        <v>33</v>
      </c>
      <c r="AF260" s="70">
        <v>52</v>
      </c>
      <c r="AG260" s="72">
        <f t="shared" si="267"/>
        <v>0.36538461538461536</v>
      </c>
      <c r="AH260" s="73">
        <f t="shared" si="268"/>
        <v>-80.634615384615387</v>
      </c>
      <c r="AI260" s="74">
        <v>30</v>
      </c>
      <c r="AJ260" s="79" t="s">
        <v>726</v>
      </c>
      <c r="AK260" s="76" t="s">
        <v>727</v>
      </c>
      <c r="AL260" s="67"/>
      <c r="AM260" s="506"/>
      <c r="AN260" s="505"/>
      <c r="AO260" s="515"/>
    </row>
    <row r="261" spans="1:41" ht="14.5">
      <c r="A261" s="58">
        <v>42659</v>
      </c>
      <c r="B261" s="59" t="s">
        <v>428</v>
      </c>
      <c r="C261" s="60" t="s">
        <v>221</v>
      </c>
      <c r="D261" s="60" t="s">
        <v>728</v>
      </c>
      <c r="E261" s="109">
        <v>11</v>
      </c>
      <c r="F261" s="110">
        <v>6</v>
      </c>
      <c r="G261" s="111">
        <v>6</v>
      </c>
      <c r="H261" s="60">
        <v>23</v>
      </c>
      <c r="I261" s="60">
        <v>31</v>
      </c>
      <c r="J261" s="60">
        <v>54</v>
      </c>
      <c r="K261" s="60">
        <v>0.4259</v>
      </c>
      <c r="L261" s="60">
        <f t="shared" si="263"/>
        <v>-9.5740999999999996</v>
      </c>
      <c r="M261" s="64">
        <f t="shared" si="23"/>
        <v>21</v>
      </c>
      <c r="N261" s="90"/>
      <c r="O261" s="89"/>
      <c r="P261" s="113"/>
      <c r="Q261" s="113"/>
      <c r="R261" s="103"/>
      <c r="S261" s="103"/>
      <c r="T261" s="103"/>
      <c r="U261" s="103"/>
      <c r="V261" s="69"/>
      <c r="W261" s="104"/>
      <c r="X261" s="67">
        <f t="shared" ref="X261:Y261" si="272">(P261+R261+T261+V261)</f>
        <v>0</v>
      </c>
      <c r="Y261" s="67">
        <f t="shared" si="272"/>
        <v>0</v>
      </c>
      <c r="Z261" s="68">
        <f t="shared" si="265"/>
        <v>0</v>
      </c>
      <c r="AA261" s="69" t="str">
        <f t="shared" si="266"/>
        <v>1D</v>
      </c>
      <c r="AB261" s="70" t="s">
        <v>728</v>
      </c>
      <c r="AC261" s="70" t="s">
        <v>208</v>
      </c>
      <c r="AD261" s="70">
        <v>23</v>
      </c>
      <c r="AE261" s="70">
        <v>31</v>
      </c>
      <c r="AF261" s="70">
        <v>54</v>
      </c>
      <c r="AG261" s="72">
        <f t="shared" si="267"/>
        <v>0.42592592592592593</v>
      </c>
      <c r="AH261" s="73">
        <f t="shared" si="268"/>
        <v>-76.574074074074076</v>
      </c>
      <c r="AI261" s="74">
        <v>21</v>
      </c>
      <c r="AJ261" s="79" t="s">
        <v>729</v>
      </c>
      <c r="AK261" s="76" t="s">
        <v>715</v>
      </c>
      <c r="AL261" s="67"/>
      <c r="AM261" s="506"/>
      <c r="AN261" s="505"/>
      <c r="AO261" s="515"/>
    </row>
    <row r="262" spans="1:41" ht="14.5">
      <c r="A262" s="58">
        <v>42659</v>
      </c>
      <c r="B262" s="59" t="s">
        <v>428</v>
      </c>
      <c r="C262" s="60" t="s">
        <v>224</v>
      </c>
      <c r="D262" s="60" t="s">
        <v>730</v>
      </c>
      <c r="E262" s="100">
        <v>4</v>
      </c>
      <c r="F262" s="101">
        <v>11</v>
      </c>
      <c r="G262" s="101">
        <v>4</v>
      </c>
      <c r="H262" s="60">
        <v>19</v>
      </c>
      <c r="I262" s="60">
        <v>27</v>
      </c>
      <c r="J262" s="60">
        <v>46</v>
      </c>
      <c r="K262" s="60">
        <v>0.41299999999999998</v>
      </c>
      <c r="L262" s="60">
        <f t="shared" si="263"/>
        <v>-13.587</v>
      </c>
      <c r="M262" s="64">
        <f t="shared" si="23"/>
        <v>27</v>
      </c>
      <c r="N262" s="65" t="s">
        <v>225</v>
      </c>
      <c r="O262" s="60" t="s">
        <v>92</v>
      </c>
      <c r="P262" s="103">
        <v>11</v>
      </c>
      <c r="Q262" s="103">
        <v>4</v>
      </c>
      <c r="R262" s="103">
        <v>11</v>
      </c>
      <c r="S262" s="103">
        <v>8</v>
      </c>
      <c r="T262" s="103">
        <v>11</v>
      </c>
      <c r="U262" s="103">
        <v>9</v>
      </c>
      <c r="V262" s="69">
        <v>7</v>
      </c>
      <c r="W262" s="104">
        <v>13</v>
      </c>
      <c r="X262" s="67">
        <f t="shared" ref="X262:Y262" si="273">(P262+R262+T262+V262)</f>
        <v>40</v>
      </c>
      <c r="Y262" s="67">
        <f t="shared" si="273"/>
        <v>34</v>
      </c>
      <c r="Z262" s="68">
        <f t="shared" si="265"/>
        <v>74</v>
      </c>
      <c r="AA262" s="69" t="str">
        <f t="shared" si="266"/>
        <v>2A</v>
      </c>
      <c r="AB262" s="70" t="s">
        <v>730</v>
      </c>
      <c r="AC262" s="70" t="s">
        <v>234</v>
      </c>
      <c r="AD262" s="70">
        <v>19</v>
      </c>
      <c r="AE262" s="70">
        <v>27</v>
      </c>
      <c r="AF262" s="70">
        <v>46</v>
      </c>
      <c r="AG262" s="72">
        <f t="shared" si="267"/>
        <v>0.41304347826086957</v>
      </c>
      <c r="AH262" s="73">
        <f t="shared" si="268"/>
        <v>-80.586956521739125</v>
      </c>
      <c r="AI262" s="74">
        <v>27</v>
      </c>
      <c r="AJ262" s="79" t="s">
        <v>475</v>
      </c>
      <c r="AK262" s="76" t="s">
        <v>548</v>
      </c>
      <c r="AL262" s="67"/>
      <c r="AM262" s="506"/>
      <c r="AN262" s="505"/>
      <c r="AO262" s="515"/>
    </row>
    <row r="263" spans="1:41" ht="14.5">
      <c r="A263" s="58">
        <v>42659</v>
      </c>
      <c r="B263" s="59" t="s">
        <v>428</v>
      </c>
      <c r="C263" s="60" t="s">
        <v>228</v>
      </c>
      <c r="D263" s="60" t="s">
        <v>731</v>
      </c>
      <c r="E263" s="105">
        <v>11</v>
      </c>
      <c r="F263" s="106">
        <v>8</v>
      </c>
      <c r="G263" s="106">
        <v>9</v>
      </c>
      <c r="H263" s="60">
        <v>28</v>
      </c>
      <c r="I263" s="60">
        <v>26</v>
      </c>
      <c r="J263" s="60">
        <v>54</v>
      </c>
      <c r="K263" s="60">
        <v>0.51849999999999996</v>
      </c>
      <c r="L263" s="60">
        <f t="shared" si="263"/>
        <v>-4.4815000000000005</v>
      </c>
      <c r="M263" s="64">
        <f t="shared" si="23"/>
        <v>16</v>
      </c>
      <c r="N263" s="65"/>
      <c r="O263" s="60"/>
      <c r="P263" s="103"/>
      <c r="Q263" s="103"/>
      <c r="R263" s="103"/>
      <c r="S263" s="103"/>
      <c r="T263" s="103"/>
      <c r="U263" s="103"/>
      <c r="V263" s="69"/>
      <c r="W263" s="104"/>
      <c r="X263" s="67">
        <f t="shared" ref="X263:Y263" si="274">(P263+R263+T263+V263)</f>
        <v>0</v>
      </c>
      <c r="Y263" s="67">
        <f t="shared" si="274"/>
        <v>0</v>
      </c>
      <c r="Z263" s="68">
        <f t="shared" si="265"/>
        <v>0</v>
      </c>
      <c r="AA263" s="69" t="str">
        <f t="shared" si="266"/>
        <v>2B</v>
      </c>
      <c r="AB263" s="70" t="s">
        <v>731</v>
      </c>
      <c r="AC263" s="70" t="s">
        <v>230</v>
      </c>
      <c r="AD263" s="70">
        <v>59</v>
      </c>
      <c r="AE263" s="70">
        <v>50</v>
      </c>
      <c r="AF263" s="70">
        <v>109</v>
      </c>
      <c r="AG263" s="72">
        <f t="shared" si="267"/>
        <v>0.54128440366972475</v>
      </c>
      <c r="AH263" s="73">
        <f t="shared" si="268"/>
        <v>-40.458715596330272</v>
      </c>
      <c r="AI263" s="74">
        <v>4</v>
      </c>
      <c r="AJ263" s="79" t="s">
        <v>648</v>
      </c>
      <c r="AK263" s="76" t="s">
        <v>421</v>
      </c>
      <c r="AL263" s="67"/>
      <c r="AM263" s="506"/>
      <c r="AN263" s="505"/>
      <c r="AO263" s="515"/>
    </row>
    <row r="264" spans="1:41" ht="14.5">
      <c r="A264" s="58">
        <v>42659</v>
      </c>
      <c r="B264" s="59" t="s">
        <v>428</v>
      </c>
      <c r="C264" s="60" t="s">
        <v>232</v>
      </c>
      <c r="D264" s="60" t="s">
        <v>732</v>
      </c>
      <c r="E264" s="107">
        <v>11</v>
      </c>
      <c r="F264" s="108">
        <v>5</v>
      </c>
      <c r="G264" s="106">
        <v>11</v>
      </c>
      <c r="H264" s="60">
        <v>27</v>
      </c>
      <c r="I264" s="60">
        <v>30</v>
      </c>
      <c r="J264" s="60">
        <v>57</v>
      </c>
      <c r="K264" s="60">
        <v>0.47370000000000001</v>
      </c>
      <c r="L264" s="60">
        <f t="shared" si="263"/>
        <v>-5.5263</v>
      </c>
      <c r="M264" s="64">
        <f t="shared" si="23"/>
        <v>18</v>
      </c>
      <c r="N264" s="65" t="s">
        <v>253</v>
      </c>
      <c r="O264" s="60" t="s">
        <v>733</v>
      </c>
      <c r="P264" s="103">
        <v>4</v>
      </c>
      <c r="Q264" s="103">
        <v>11</v>
      </c>
      <c r="R264" s="103"/>
      <c r="S264" s="103"/>
      <c r="T264" s="103"/>
      <c r="U264" s="103"/>
      <c r="V264" s="69"/>
      <c r="W264" s="104"/>
      <c r="X264" s="67">
        <f t="shared" ref="X264:Y264" si="275">(P264+R264+T264+V264)</f>
        <v>4</v>
      </c>
      <c r="Y264" s="67">
        <f t="shared" si="275"/>
        <v>11</v>
      </c>
      <c r="Z264" s="68">
        <f t="shared" si="265"/>
        <v>15</v>
      </c>
      <c r="AA264" s="69" t="str">
        <f t="shared" si="266"/>
        <v>2C</v>
      </c>
      <c r="AB264" s="70" t="s">
        <v>732</v>
      </c>
      <c r="AC264" s="70" t="s">
        <v>239</v>
      </c>
      <c r="AD264" s="70">
        <v>27</v>
      </c>
      <c r="AE264" s="70">
        <v>30</v>
      </c>
      <c r="AF264" s="70">
        <v>57</v>
      </c>
      <c r="AG264" s="72">
        <f t="shared" si="267"/>
        <v>0.47368421052631576</v>
      </c>
      <c r="AH264" s="73">
        <f t="shared" si="268"/>
        <v>-72.526315789473685</v>
      </c>
      <c r="AI264" s="74">
        <v>19</v>
      </c>
      <c r="AJ264" s="79" t="s">
        <v>734</v>
      </c>
      <c r="AK264" s="76" t="s">
        <v>369</v>
      </c>
      <c r="AL264" s="67"/>
      <c r="AM264" s="506"/>
      <c r="AN264" s="505"/>
      <c r="AO264" s="515"/>
    </row>
    <row r="265" spans="1:41" ht="14.5">
      <c r="A265" s="58">
        <v>42659</v>
      </c>
      <c r="B265" s="59" t="s">
        <v>428</v>
      </c>
      <c r="C265" s="60" t="s">
        <v>237</v>
      </c>
      <c r="D265" s="60" t="s">
        <v>92</v>
      </c>
      <c r="E265" s="109">
        <v>10</v>
      </c>
      <c r="F265" s="110">
        <v>11</v>
      </c>
      <c r="G265" s="111">
        <v>11</v>
      </c>
      <c r="H265" s="60">
        <v>32</v>
      </c>
      <c r="I265" s="60">
        <v>23</v>
      </c>
      <c r="J265" s="60">
        <v>55</v>
      </c>
      <c r="K265" s="60">
        <v>0.58179999999999998</v>
      </c>
      <c r="L265" s="60">
        <f t="shared" si="263"/>
        <v>-0.41820000000000002</v>
      </c>
      <c r="M265" s="64">
        <f t="shared" si="23"/>
        <v>7</v>
      </c>
      <c r="N265" s="90"/>
      <c r="O265" s="89"/>
      <c r="P265" s="113"/>
      <c r="Q265" s="113"/>
      <c r="R265" s="113"/>
      <c r="S265" s="113"/>
      <c r="T265" s="103"/>
      <c r="U265" s="103"/>
      <c r="V265" s="69"/>
      <c r="W265" s="104"/>
      <c r="X265" s="67">
        <f t="shared" ref="X265:Y265" si="276">(P265+R265+T265+V265)</f>
        <v>0</v>
      </c>
      <c r="Y265" s="67">
        <f t="shared" si="276"/>
        <v>0</v>
      </c>
      <c r="Z265" s="68">
        <f t="shared" si="265"/>
        <v>0</v>
      </c>
      <c r="AA265" s="69" t="str">
        <f t="shared" si="266"/>
        <v>2D</v>
      </c>
      <c r="AB265" s="70" t="s">
        <v>92</v>
      </c>
      <c r="AC265" s="70" t="s">
        <v>225</v>
      </c>
      <c r="AD265" s="70">
        <v>72</v>
      </c>
      <c r="AE265" s="70">
        <v>57</v>
      </c>
      <c r="AF265" s="70">
        <v>129</v>
      </c>
      <c r="AG265" s="72">
        <f t="shared" si="267"/>
        <v>0.55813953488372092</v>
      </c>
      <c r="AH265" s="73">
        <f t="shared" si="268"/>
        <v>-27.441860465116278</v>
      </c>
      <c r="AI265" s="74">
        <v>2</v>
      </c>
      <c r="AJ265" s="79" t="s">
        <v>450</v>
      </c>
      <c r="AK265" s="76" t="s">
        <v>655</v>
      </c>
      <c r="AL265" s="67"/>
      <c r="AM265" s="506"/>
      <c r="AN265" s="505"/>
      <c r="AO265" s="515"/>
    </row>
    <row r="266" spans="1:41" ht="14.5">
      <c r="A266" s="58">
        <v>42659</v>
      </c>
      <c r="B266" s="59" t="s">
        <v>428</v>
      </c>
      <c r="C266" s="60" t="s">
        <v>241</v>
      </c>
      <c r="D266" s="60" t="s">
        <v>735</v>
      </c>
      <c r="E266" s="100">
        <v>3</v>
      </c>
      <c r="F266" s="101">
        <v>11</v>
      </c>
      <c r="G266" s="101">
        <v>6</v>
      </c>
      <c r="H266" s="60">
        <v>20</v>
      </c>
      <c r="I266" s="60">
        <v>31</v>
      </c>
      <c r="J266" s="60">
        <v>51</v>
      </c>
      <c r="K266" s="60">
        <v>0.39219999999999999</v>
      </c>
      <c r="L266" s="60">
        <f t="shared" si="263"/>
        <v>-12.607799999999999</v>
      </c>
      <c r="M266" s="64">
        <f t="shared" si="23"/>
        <v>25</v>
      </c>
      <c r="N266" s="65" t="s">
        <v>243</v>
      </c>
      <c r="O266" s="60" t="s">
        <v>736</v>
      </c>
      <c r="P266" s="103">
        <v>8</v>
      </c>
      <c r="Q266" s="103">
        <v>11</v>
      </c>
      <c r="R266" s="103"/>
      <c r="S266" s="103"/>
      <c r="T266" s="103"/>
      <c r="U266" s="103"/>
      <c r="V266" s="69"/>
      <c r="W266" s="104"/>
      <c r="X266" s="67">
        <f t="shared" ref="X266:Y266" si="277">(P266+R266+T266+V266)</f>
        <v>8</v>
      </c>
      <c r="Y266" s="67">
        <f t="shared" si="277"/>
        <v>11</v>
      </c>
      <c r="Z266" s="68">
        <f t="shared" si="265"/>
        <v>19</v>
      </c>
      <c r="AA266" s="69" t="str">
        <f t="shared" si="266"/>
        <v>3A</v>
      </c>
      <c r="AB266" s="70" t="s">
        <v>735</v>
      </c>
      <c r="AC266" s="70" t="s">
        <v>258</v>
      </c>
      <c r="AD266" s="70">
        <v>20</v>
      </c>
      <c r="AE266" s="70">
        <v>31</v>
      </c>
      <c r="AF266" s="70">
        <v>51</v>
      </c>
      <c r="AG266" s="72">
        <f t="shared" si="267"/>
        <v>0.39215686274509803</v>
      </c>
      <c r="AH266" s="73">
        <f t="shared" si="268"/>
        <v>-79.607843137254903</v>
      </c>
      <c r="AI266" s="74">
        <v>25</v>
      </c>
      <c r="AJ266" s="79" t="s">
        <v>639</v>
      </c>
      <c r="AK266" s="76" t="s">
        <v>737</v>
      </c>
      <c r="AL266" s="67"/>
      <c r="AM266" s="506"/>
      <c r="AN266" s="505"/>
      <c r="AO266" s="515"/>
    </row>
    <row r="267" spans="1:41" ht="14.5">
      <c r="A267" s="58">
        <v>42659</v>
      </c>
      <c r="B267" s="59" t="s">
        <v>428</v>
      </c>
      <c r="C267" s="60" t="s">
        <v>246</v>
      </c>
      <c r="D267" s="60" t="s">
        <v>736</v>
      </c>
      <c r="E267" s="105">
        <v>11</v>
      </c>
      <c r="F267" s="106">
        <v>11</v>
      </c>
      <c r="G267" s="106">
        <v>11</v>
      </c>
      <c r="H267" s="60">
        <v>33</v>
      </c>
      <c r="I267" s="60">
        <v>16</v>
      </c>
      <c r="J267" s="60">
        <v>49</v>
      </c>
      <c r="K267" s="60">
        <v>0.67349999999999999</v>
      </c>
      <c r="L267" s="60">
        <f t="shared" si="263"/>
        <v>0.67349999999999999</v>
      </c>
      <c r="M267" s="64">
        <f t="shared" si="23"/>
        <v>3</v>
      </c>
      <c r="N267" s="65"/>
      <c r="O267" s="60"/>
      <c r="P267" s="103"/>
      <c r="Q267" s="103"/>
      <c r="R267" s="103"/>
      <c r="S267" s="103"/>
      <c r="T267" s="103"/>
      <c r="U267" s="103"/>
      <c r="V267" s="69"/>
      <c r="W267" s="104"/>
      <c r="X267" s="67">
        <f t="shared" ref="X267:Y267" si="278">(P267+R267+T267+V267)</f>
        <v>0</v>
      </c>
      <c r="Y267" s="67">
        <f t="shared" si="278"/>
        <v>0</v>
      </c>
      <c r="Z267" s="68">
        <f t="shared" si="265"/>
        <v>0</v>
      </c>
      <c r="AA267" s="69" t="str">
        <f t="shared" si="266"/>
        <v>3B</v>
      </c>
      <c r="AB267" s="70" t="s">
        <v>736</v>
      </c>
      <c r="AC267" s="70" t="s">
        <v>243</v>
      </c>
      <c r="AD267" s="70">
        <v>41</v>
      </c>
      <c r="AE267" s="70">
        <v>27</v>
      </c>
      <c r="AF267" s="70">
        <v>68</v>
      </c>
      <c r="AG267" s="72">
        <f t="shared" si="267"/>
        <v>0.6029411764705882</v>
      </c>
      <c r="AH267" s="73">
        <f t="shared" si="268"/>
        <v>-58.397058823529413</v>
      </c>
      <c r="AI267" s="74">
        <v>9</v>
      </c>
      <c r="AJ267" s="79" t="s">
        <v>442</v>
      </c>
      <c r="AK267" s="76" t="s">
        <v>738</v>
      </c>
      <c r="AL267" s="67"/>
      <c r="AM267" s="506"/>
      <c r="AN267" s="505"/>
      <c r="AO267" s="515"/>
    </row>
    <row r="268" spans="1:41" ht="14.5">
      <c r="A268" s="58">
        <v>42659</v>
      </c>
      <c r="B268" s="59" t="s">
        <v>428</v>
      </c>
      <c r="C268" s="60" t="s">
        <v>251</v>
      </c>
      <c r="D268" s="60" t="s">
        <v>739</v>
      </c>
      <c r="E268" s="107">
        <v>9</v>
      </c>
      <c r="F268" s="108">
        <v>9</v>
      </c>
      <c r="G268" s="106">
        <v>5</v>
      </c>
      <c r="H268" s="60">
        <v>23</v>
      </c>
      <c r="I268" s="60">
        <v>33</v>
      </c>
      <c r="J268" s="60">
        <v>56</v>
      </c>
      <c r="K268" s="60">
        <v>0.41070000000000001</v>
      </c>
      <c r="L268" s="60">
        <f t="shared" si="263"/>
        <v>-9.5892999999999997</v>
      </c>
      <c r="M268" s="64">
        <f t="shared" si="23"/>
        <v>22</v>
      </c>
      <c r="N268" s="65" t="s">
        <v>230</v>
      </c>
      <c r="O268" s="60" t="s">
        <v>731</v>
      </c>
      <c r="P268" s="103">
        <v>11</v>
      </c>
      <c r="Q268" s="103">
        <v>8</v>
      </c>
      <c r="R268" s="103">
        <v>11</v>
      </c>
      <c r="S268" s="103">
        <v>5</v>
      </c>
      <c r="T268" s="103">
        <v>9</v>
      </c>
      <c r="U268" s="103">
        <v>11</v>
      </c>
      <c r="V268" s="69"/>
      <c r="W268" s="104"/>
      <c r="X268" s="67">
        <f t="shared" ref="X268:Y268" si="279">(P268+R268+T268+V268)</f>
        <v>31</v>
      </c>
      <c r="Y268" s="67">
        <f t="shared" si="279"/>
        <v>24</v>
      </c>
      <c r="Z268" s="68">
        <f t="shared" si="265"/>
        <v>55</v>
      </c>
      <c r="AA268" s="69" t="str">
        <f t="shared" si="266"/>
        <v>3C</v>
      </c>
      <c r="AB268" s="70" t="s">
        <v>739</v>
      </c>
      <c r="AC268" s="70" t="s">
        <v>248</v>
      </c>
      <c r="AD268" s="70">
        <v>23</v>
      </c>
      <c r="AE268" s="70">
        <v>33</v>
      </c>
      <c r="AF268" s="70">
        <v>56</v>
      </c>
      <c r="AG268" s="72">
        <f t="shared" si="267"/>
        <v>0.4107142857142857</v>
      </c>
      <c r="AH268" s="73">
        <f t="shared" si="268"/>
        <v>-76.589285714285708</v>
      </c>
      <c r="AI268" s="74">
        <v>22</v>
      </c>
      <c r="AJ268" s="79" t="s">
        <v>638</v>
      </c>
      <c r="AK268" s="76" t="s">
        <v>740</v>
      </c>
      <c r="AL268" s="67"/>
      <c r="AM268" s="506"/>
      <c r="AN268" s="505"/>
      <c r="AO268" s="515"/>
    </row>
    <row r="269" spans="1:41" ht="14.5">
      <c r="A269" s="58">
        <v>42659</v>
      </c>
      <c r="B269" s="59" t="s">
        <v>428</v>
      </c>
      <c r="C269" s="60" t="s">
        <v>256</v>
      </c>
      <c r="D269" s="60" t="s">
        <v>733</v>
      </c>
      <c r="E269" s="109">
        <v>11</v>
      </c>
      <c r="F269" s="110">
        <v>8</v>
      </c>
      <c r="G269" s="111">
        <v>11</v>
      </c>
      <c r="H269" s="60">
        <v>30</v>
      </c>
      <c r="I269" s="60">
        <v>26</v>
      </c>
      <c r="J269" s="60">
        <v>56</v>
      </c>
      <c r="K269" s="60">
        <v>0.53569999999999995</v>
      </c>
      <c r="L269" s="60">
        <f t="shared" si="263"/>
        <v>-2.4643000000000002</v>
      </c>
      <c r="M269" s="64">
        <f t="shared" si="23"/>
        <v>11</v>
      </c>
      <c r="N269" s="90"/>
      <c r="O269" s="89"/>
      <c r="P269" s="113"/>
      <c r="Q269" s="113"/>
      <c r="R269" s="103"/>
      <c r="S269" s="103"/>
      <c r="T269" s="103"/>
      <c r="U269" s="103"/>
      <c r="V269" s="69"/>
      <c r="W269" s="104"/>
      <c r="X269" s="67">
        <f t="shared" ref="X269:Y269" si="280">(P269+R269+T269+V269)</f>
        <v>0</v>
      </c>
      <c r="Y269" s="67">
        <f t="shared" si="280"/>
        <v>0</v>
      </c>
      <c r="Z269" s="68">
        <f t="shared" si="265"/>
        <v>0</v>
      </c>
      <c r="AA269" s="69" t="str">
        <f t="shared" si="266"/>
        <v>3D</v>
      </c>
      <c r="AB269" s="70" t="s">
        <v>733</v>
      </c>
      <c r="AC269" s="70" t="s">
        <v>253</v>
      </c>
      <c r="AD269" s="70">
        <v>34</v>
      </c>
      <c r="AE269" s="70">
        <v>37</v>
      </c>
      <c r="AF269" s="70">
        <v>71</v>
      </c>
      <c r="AG269" s="72">
        <f t="shared" si="267"/>
        <v>0.47887323943661969</v>
      </c>
      <c r="AH269" s="73">
        <f t="shared" si="268"/>
        <v>-65.521126760563376</v>
      </c>
      <c r="AI269" s="74">
        <v>13</v>
      </c>
      <c r="AJ269" s="79" t="s">
        <v>741</v>
      </c>
      <c r="AK269" s="76" t="s">
        <v>438</v>
      </c>
      <c r="AL269" s="67"/>
      <c r="AM269" s="506"/>
      <c r="AN269" s="505"/>
      <c r="AO269" s="515"/>
    </row>
    <row r="270" spans="1:41" ht="14.5">
      <c r="A270" s="58">
        <v>42659</v>
      </c>
      <c r="B270" s="59" t="s">
        <v>428</v>
      </c>
      <c r="C270" s="60" t="s">
        <v>261</v>
      </c>
      <c r="D270" s="60" t="s">
        <v>742</v>
      </c>
      <c r="E270" s="100">
        <v>1</v>
      </c>
      <c r="F270" s="101">
        <v>11</v>
      </c>
      <c r="G270" s="101">
        <v>8</v>
      </c>
      <c r="H270" s="60">
        <v>20</v>
      </c>
      <c r="I270" s="60">
        <v>31</v>
      </c>
      <c r="J270" s="60">
        <v>51</v>
      </c>
      <c r="K270" s="60">
        <v>0.39219999999999999</v>
      </c>
      <c r="L270" s="60">
        <f t="shared" si="263"/>
        <v>-12.607799999999999</v>
      </c>
      <c r="M270" s="64">
        <f t="shared" si="23"/>
        <v>25</v>
      </c>
      <c r="N270" s="65" t="s">
        <v>263</v>
      </c>
      <c r="O270" s="60" t="s">
        <v>743</v>
      </c>
      <c r="P270" s="103">
        <v>11</v>
      </c>
      <c r="Q270" s="103">
        <v>10</v>
      </c>
      <c r="R270" s="103">
        <v>5</v>
      </c>
      <c r="S270" s="103">
        <v>11</v>
      </c>
      <c r="T270" s="103"/>
      <c r="U270" s="103"/>
      <c r="V270" s="69"/>
      <c r="W270" s="104"/>
      <c r="X270" s="67">
        <f t="shared" ref="X270:Y270" si="281">(P270+R270+T270+V270)</f>
        <v>16</v>
      </c>
      <c r="Y270" s="67">
        <f t="shared" si="281"/>
        <v>21</v>
      </c>
      <c r="Z270" s="68">
        <f t="shared" si="265"/>
        <v>37</v>
      </c>
      <c r="AA270" s="69" t="str">
        <f t="shared" si="266"/>
        <v>4A</v>
      </c>
      <c r="AB270" s="70" t="s">
        <v>742</v>
      </c>
      <c r="AC270" s="70" t="s">
        <v>273</v>
      </c>
      <c r="AD270" s="70">
        <v>20</v>
      </c>
      <c r="AE270" s="70">
        <v>31</v>
      </c>
      <c r="AF270" s="70">
        <v>51</v>
      </c>
      <c r="AG270" s="72">
        <f t="shared" si="267"/>
        <v>0.39215686274509803</v>
      </c>
      <c r="AH270" s="73">
        <f t="shared" si="268"/>
        <v>-79.607843137254903</v>
      </c>
      <c r="AI270" s="74">
        <v>26</v>
      </c>
      <c r="AJ270" s="79" t="s">
        <v>535</v>
      </c>
      <c r="AK270" s="76" t="s">
        <v>260</v>
      </c>
      <c r="AL270" s="67"/>
      <c r="AM270" s="506"/>
      <c r="AN270" s="505"/>
      <c r="AO270" s="515"/>
    </row>
    <row r="271" spans="1:41" ht="14.5">
      <c r="A271" s="58">
        <v>42659</v>
      </c>
      <c r="B271" s="59" t="s">
        <v>428</v>
      </c>
      <c r="C271" s="60" t="s">
        <v>268</v>
      </c>
      <c r="D271" s="60" t="s">
        <v>743</v>
      </c>
      <c r="E271" s="105">
        <v>11</v>
      </c>
      <c r="F271" s="106">
        <v>11</v>
      </c>
      <c r="G271" s="106">
        <v>11</v>
      </c>
      <c r="H271" s="60">
        <v>33</v>
      </c>
      <c r="I271" s="60">
        <v>18</v>
      </c>
      <c r="J271" s="60">
        <v>51</v>
      </c>
      <c r="K271" s="60">
        <v>0.64710000000000001</v>
      </c>
      <c r="L271" s="60">
        <f t="shared" si="263"/>
        <v>0.64710000000000001</v>
      </c>
      <c r="M271" s="64">
        <f t="shared" si="23"/>
        <v>4</v>
      </c>
      <c r="N271" s="65"/>
      <c r="O271" s="60"/>
      <c r="P271" s="103"/>
      <c r="Q271" s="103"/>
      <c r="R271" s="103"/>
      <c r="S271" s="103"/>
      <c r="T271" s="103"/>
      <c r="U271" s="103"/>
      <c r="V271" s="69"/>
      <c r="W271" s="104"/>
      <c r="X271" s="67">
        <f t="shared" ref="X271:Y271" si="282">(P271+R271+T271+V271)</f>
        <v>0</v>
      </c>
      <c r="Y271" s="67">
        <f t="shared" si="282"/>
        <v>0</v>
      </c>
      <c r="Z271" s="68">
        <f t="shared" si="265"/>
        <v>0</v>
      </c>
      <c r="AA271" s="69" t="str">
        <f t="shared" si="266"/>
        <v>4B</v>
      </c>
      <c r="AB271" s="70" t="s">
        <v>743</v>
      </c>
      <c r="AC271" s="70" t="s">
        <v>263</v>
      </c>
      <c r="AD271" s="70">
        <v>49</v>
      </c>
      <c r="AE271" s="70">
        <v>39</v>
      </c>
      <c r="AF271" s="70">
        <v>88</v>
      </c>
      <c r="AG271" s="72">
        <f t="shared" si="267"/>
        <v>0.55681818181818177</v>
      </c>
      <c r="AH271" s="73">
        <f t="shared" si="268"/>
        <v>-50.44318181818182</v>
      </c>
      <c r="AI271" s="74">
        <v>8</v>
      </c>
      <c r="AJ271" s="79" t="s">
        <v>525</v>
      </c>
      <c r="AK271" s="76" t="s">
        <v>561</v>
      </c>
      <c r="AL271" s="67"/>
      <c r="AM271" s="506"/>
      <c r="AN271" s="505"/>
      <c r="AO271" s="515"/>
    </row>
    <row r="272" spans="1:41" ht="14.5">
      <c r="A272" s="58">
        <v>42659</v>
      </c>
      <c r="B272" s="59" t="s">
        <v>428</v>
      </c>
      <c r="C272" s="60" t="s">
        <v>271</v>
      </c>
      <c r="D272" s="60" t="s">
        <v>744</v>
      </c>
      <c r="E272" s="107">
        <v>11</v>
      </c>
      <c r="F272" s="108">
        <v>9</v>
      </c>
      <c r="G272" s="106">
        <v>9</v>
      </c>
      <c r="H272" s="60">
        <v>29</v>
      </c>
      <c r="I272" s="60">
        <v>32</v>
      </c>
      <c r="J272" s="60">
        <v>61</v>
      </c>
      <c r="K272" s="60">
        <v>0.47539999999999999</v>
      </c>
      <c r="L272" s="60">
        <f t="shared" si="263"/>
        <v>-3.5246</v>
      </c>
      <c r="M272" s="64">
        <f t="shared" si="23"/>
        <v>14</v>
      </c>
      <c r="N272" s="65" t="s">
        <v>218</v>
      </c>
      <c r="O272" s="60" t="s">
        <v>723</v>
      </c>
      <c r="P272" s="103">
        <v>10</v>
      </c>
      <c r="Q272" s="103">
        <v>11</v>
      </c>
      <c r="R272" s="103"/>
      <c r="S272" s="103"/>
      <c r="T272" s="103"/>
      <c r="U272" s="103"/>
      <c r="V272" s="69"/>
      <c r="W272" s="104"/>
      <c r="X272" s="67">
        <f t="shared" ref="X272:Y272" si="283">(P272+R272+T272+V272)</f>
        <v>10</v>
      </c>
      <c r="Y272" s="67">
        <f t="shared" si="283"/>
        <v>11</v>
      </c>
      <c r="Z272" s="68">
        <f t="shared" si="265"/>
        <v>21</v>
      </c>
      <c r="AA272" s="69" t="str">
        <f t="shared" si="266"/>
        <v>4C</v>
      </c>
      <c r="AB272" s="70" t="s">
        <v>744</v>
      </c>
      <c r="AC272" s="70" t="s">
        <v>278</v>
      </c>
      <c r="AD272" s="70">
        <v>29</v>
      </c>
      <c r="AE272" s="70">
        <v>32</v>
      </c>
      <c r="AF272" s="70">
        <v>61</v>
      </c>
      <c r="AG272" s="72">
        <f t="shared" si="267"/>
        <v>0.47540983606557374</v>
      </c>
      <c r="AH272" s="73">
        <f t="shared" si="268"/>
        <v>-70.52459016393442</v>
      </c>
      <c r="AI272" s="74">
        <v>18</v>
      </c>
      <c r="AJ272" s="79" t="s">
        <v>745</v>
      </c>
      <c r="AK272" s="76" t="s">
        <v>267</v>
      </c>
      <c r="AL272" s="67"/>
      <c r="AM272" s="506"/>
      <c r="AN272" s="505"/>
      <c r="AO272" s="515"/>
    </row>
    <row r="273" spans="1:41" ht="14.5">
      <c r="A273" s="58">
        <v>42659</v>
      </c>
      <c r="B273" s="59" t="s">
        <v>428</v>
      </c>
      <c r="C273" s="60" t="s">
        <v>276</v>
      </c>
      <c r="D273" s="60" t="s">
        <v>746</v>
      </c>
      <c r="E273" s="109">
        <v>10</v>
      </c>
      <c r="F273" s="110">
        <v>8</v>
      </c>
      <c r="G273" s="111">
        <v>11</v>
      </c>
      <c r="H273" s="60">
        <v>29</v>
      </c>
      <c r="I273" s="60">
        <v>30</v>
      </c>
      <c r="J273" s="60">
        <v>59</v>
      </c>
      <c r="K273" s="60">
        <v>0.49149999999999999</v>
      </c>
      <c r="L273" s="60">
        <f t="shared" si="263"/>
        <v>-3.5085000000000002</v>
      </c>
      <c r="M273" s="64">
        <f t="shared" ref="M273:M401" si="284">IF(A273&lt;&gt;"", 1+SUMPRODUCT((A$2:A$1000=A273)*(L$2:L$1000&gt;L273)), "")</f>
        <v>13</v>
      </c>
      <c r="N273" s="90"/>
      <c r="O273" s="89"/>
      <c r="P273" s="113"/>
      <c r="Q273" s="113"/>
      <c r="R273" s="113"/>
      <c r="S273" s="113"/>
      <c r="T273" s="113"/>
      <c r="U273" s="113"/>
      <c r="V273" s="69"/>
      <c r="W273" s="104"/>
      <c r="X273" s="67">
        <f t="shared" ref="X273:Y273" si="285">(P273+R273+T273+V273)</f>
        <v>0</v>
      </c>
      <c r="Y273" s="67">
        <f t="shared" si="285"/>
        <v>0</v>
      </c>
      <c r="Z273" s="68">
        <f t="shared" si="265"/>
        <v>0</v>
      </c>
      <c r="AA273" s="69" t="str">
        <f t="shared" si="266"/>
        <v>4D</v>
      </c>
      <c r="AB273" s="70" t="s">
        <v>746</v>
      </c>
      <c r="AC273" s="70" t="s">
        <v>265</v>
      </c>
      <c r="AD273" s="70">
        <v>39</v>
      </c>
      <c r="AE273" s="70">
        <v>41</v>
      </c>
      <c r="AF273" s="70">
        <v>80</v>
      </c>
      <c r="AG273" s="72">
        <f t="shared" si="267"/>
        <v>0.48749999999999999</v>
      </c>
      <c r="AH273" s="73">
        <f t="shared" si="268"/>
        <v>-60.512500000000003</v>
      </c>
      <c r="AI273" s="74">
        <v>11</v>
      </c>
      <c r="AJ273" s="79" t="s">
        <v>747</v>
      </c>
      <c r="AK273" s="76" t="s">
        <v>748</v>
      </c>
      <c r="AL273" s="67"/>
      <c r="AM273" s="506"/>
      <c r="AN273" s="505"/>
      <c r="AO273" s="515"/>
    </row>
    <row r="274" spans="1:41" ht="14.5">
      <c r="A274" s="58">
        <v>42659</v>
      </c>
      <c r="B274" s="59" t="s">
        <v>428</v>
      </c>
      <c r="C274" s="60" t="s">
        <v>466</v>
      </c>
      <c r="D274" s="60" t="s">
        <v>749</v>
      </c>
      <c r="E274" s="100">
        <v>11</v>
      </c>
      <c r="F274" s="101">
        <v>5</v>
      </c>
      <c r="G274" s="101">
        <v>3</v>
      </c>
      <c r="H274" s="60">
        <v>19</v>
      </c>
      <c r="I274" s="60">
        <v>27</v>
      </c>
      <c r="J274" s="60">
        <v>46</v>
      </c>
      <c r="K274" s="60">
        <v>0.41299999999999998</v>
      </c>
      <c r="L274" s="60">
        <f t="shared" si="263"/>
        <v>-13.587</v>
      </c>
      <c r="M274" s="64">
        <f t="shared" si="284"/>
        <v>27</v>
      </c>
      <c r="N274" s="65" t="s">
        <v>468</v>
      </c>
      <c r="O274" s="60" t="s">
        <v>750</v>
      </c>
      <c r="P274" s="103">
        <v>11</v>
      </c>
      <c r="Q274" s="103">
        <v>3</v>
      </c>
      <c r="R274" s="103">
        <v>11</v>
      </c>
      <c r="S274" s="103">
        <v>7</v>
      </c>
      <c r="T274" s="103">
        <v>4</v>
      </c>
      <c r="U274" s="103">
        <v>11</v>
      </c>
      <c r="V274" s="69"/>
      <c r="W274" s="104"/>
      <c r="X274" s="67">
        <f t="shared" ref="X274:Y274" si="286">(P274+R274+T274+V274)</f>
        <v>26</v>
      </c>
      <c r="Y274" s="67">
        <f t="shared" si="286"/>
        <v>21</v>
      </c>
      <c r="Z274" s="68">
        <f t="shared" si="265"/>
        <v>47</v>
      </c>
      <c r="AA274" s="69" t="str">
        <f t="shared" si="266"/>
        <v>5A</v>
      </c>
      <c r="AB274" s="70" t="s">
        <v>749</v>
      </c>
      <c r="AC274" s="70" t="s">
        <v>474</v>
      </c>
      <c r="AD274" s="70">
        <v>19</v>
      </c>
      <c r="AE274" s="70">
        <v>27</v>
      </c>
      <c r="AF274" s="70">
        <v>46</v>
      </c>
      <c r="AG274" s="72">
        <f t="shared" si="267"/>
        <v>0.41304347826086957</v>
      </c>
      <c r="AH274" s="73">
        <f t="shared" si="268"/>
        <v>-80.586956521739125</v>
      </c>
      <c r="AI274" s="74">
        <v>28</v>
      </c>
      <c r="AJ274" s="79" t="s">
        <v>751</v>
      </c>
      <c r="AK274" s="76" t="s">
        <v>375</v>
      </c>
      <c r="AL274" s="67"/>
      <c r="AM274" s="506"/>
      <c r="AN274" s="505"/>
      <c r="AO274" s="515"/>
    </row>
    <row r="275" spans="1:41" ht="14.5">
      <c r="A275" s="58">
        <v>42659</v>
      </c>
      <c r="B275" s="59" t="s">
        <v>428</v>
      </c>
      <c r="C275" s="60" t="s">
        <v>472</v>
      </c>
      <c r="D275" s="60" t="s">
        <v>752</v>
      </c>
      <c r="E275" s="105">
        <v>5</v>
      </c>
      <c r="F275" s="106">
        <v>5</v>
      </c>
      <c r="G275" s="106">
        <v>9</v>
      </c>
      <c r="H275" s="60">
        <v>19</v>
      </c>
      <c r="I275" s="60">
        <v>30</v>
      </c>
      <c r="J275" s="60">
        <v>49</v>
      </c>
      <c r="K275" s="60">
        <v>0.38779999999999998</v>
      </c>
      <c r="L275" s="60">
        <f t="shared" si="263"/>
        <v>-13.6122</v>
      </c>
      <c r="M275" s="64">
        <f t="shared" si="284"/>
        <v>29</v>
      </c>
      <c r="N275" s="65"/>
      <c r="O275" s="60"/>
      <c r="P275" s="103"/>
      <c r="Q275" s="103"/>
      <c r="R275" s="103"/>
      <c r="S275" s="103"/>
      <c r="T275" s="103"/>
      <c r="U275" s="103"/>
      <c r="V275" s="69"/>
      <c r="W275" s="104"/>
      <c r="X275" s="67">
        <f t="shared" ref="X275:Y275" si="287">(P275+R275+T275+V275)</f>
        <v>0</v>
      </c>
      <c r="Y275" s="67">
        <f t="shared" si="287"/>
        <v>0</v>
      </c>
      <c r="Z275" s="68">
        <f t="shared" si="265"/>
        <v>0</v>
      </c>
      <c r="AA275" s="69" t="str">
        <f t="shared" si="266"/>
        <v>5B</v>
      </c>
      <c r="AB275" s="70" t="s">
        <v>752</v>
      </c>
      <c r="AC275" s="70" t="s">
        <v>481</v>
      </c>
      <c r="AD275" s="70">
        <v>19</v>
      </c>
      <c r="AE275" s="70">
        <v>30</v>
      </c>
      <c r="AF275" s="70">
        <v>49</v>
      </c>
      <c r="AG275" s="72">
        <f t="shared" si="267"/>
        <v>0.38775510204081631</v>
      </c>
      <c r="AH275" s="73">
        <f t="shared" si="268"/>
        <v>-80.612244897959187</v>
      </c>
      <c r="AI275" s="74">
        <v>29</v>
      </c>
      <c r="AJ275" s="79" t="s">
        <v>753</v>
      </c>
      <c r="AK275" s="76" t="s">
        <v>240</v>
      </c>
      <c r="AL275" s="67"/>
      <c r="AM275" s="506"/>
      <c r="AN275" s="505"/>
      <c r="AO275" s="515"/>
    </row>
    <row r="276" spans="1:41" ht="14.5">
      <c r="A276" s="58">
        <v>42659</v>
      </c>
      <c r="B276" s="59" t="s">
        <v>428</v>
      </c>
      <c r="C276" s="60" t="s">
        <v>477</v>
      </c>
      <c r="D276" s="60" t="s">
        <v>754</v>
      </c>
      <c r="E276" s="107">
        <v>4</v>
      </c>
      <c r="F276" s="108">
        <v>11</v>
      </c>
      <c r="G276" s="106">
        <v>8</v>
      </c>
      <c r="H276" s="60">
        <v>23</v>
      </c>
      <c r="I276" s="60">
        <v>25</v>
      </c>
      <c r="J276" s="60">
        <v>48</v>
      </c>
      <c r="K276" s="60">
        <v>0.47920000000000001</v>
      </c>
      <c r="L276" s="60">
        <f t="shared" si="263"/>
        <v>-9.5207999999999995</v>
      </c>
      <c r="M276" s="64">
        <f t="shared" si="284"/>
        <v>20</v>
      </c>
      <c r="N276" s="65" t="s">
        <v>479</v>
      </c>
      <c r="O276" s="60" t="s">
        <v>755</v>
      </c>
      <c r="P276" s="103">
        <v>3</v>
      </c>
      <c r="Q276" s="103">
        <v>11</v>
      </c>
      <c r="R276" s="103"/>
      <c r="S276" s="103"/>
      <c r="T276" s="103"/>
      <c r="U276" s="103"/>
      <c r="V276" s="69"/>
      <c r="W276" s="104"/>
      <c r="X276" s="67">
        <f t="shared" ref="X276:Y276" si="288">(P276+R276+T276+V276)</f>
        <v>3</v>
      </c>
      <c r="Y276" s="67">
        <f t="shared" si="288"/>
        <v>11</v>
      </c>
      <c r="Z276" s="68">
        <f t="shared" si="265"/>
        <v>14</v>
      </c>
      <c r="AA276" s="69" t="str">
        <f t="shared" si="266"/>
        <v>5C</v>
      </c>
      <c r="AB276" s="70" t="s">
        <v>754</v>
      </c>
      <c r="AC276" s="70" t="s">
        <v>470</v>
      </c>
      <c r="AD276" s="70">
        <v>32</v>
      </c>
      <c r="AE276" s="70">
        <v>36</v>
      </c>
      <c r="AF276" s="70">
        <v>68</v>
      </c>
      <c r="AG276" s="72">
        <f t="shared" si="267"/>
        <v>0.47058823529411764</v>
      </c>
      <c r="AH276" s="73">
        <f t="shared" si="268"/>
        <v>-67.529411764705884</v>
      </c>
      <c r="AI276" s="74">
        <v>15</v>
      </c>
      <c r="AJ276" s="79" t="s">
        <v>756</v>
      </c>
      <c r="AK276" s="76" t="s">
        <v>476</v>
      </c>
      <c r="AL276" s="67"/>
      <c r="AM276" s="506"/>
      <c r="AN276" s="505"/>
      <c r="AO276" s="515"/>
    </row>
    <row r="277" spans="1:41" ht="14.5">
      <c r="A277" s="58">
        <v>42659</v>
      </c>
      <c r="B277" s="59" t="s">
        <v>428</v>
      </c>
      <c r="C277" s="60" t="s">
        <v>483</v>
      </c>
      <c r="D277" s="60" t="s">
        <v>750</v>
      </c>
      <c r="E277" s="109">
        <v>11</v>
      </c>
      <c r="F277" s="110">
        <v>11</v>
      </c>
      <c r="G277" s="111">
        <v>11</v>
      </c>
      <c r="H277" s="60">
        <v>33</v>
      </c>
      <c r="I277" s="60">
        <v>12</v>
      </c>
      <c r="J277" s="60">
        <v>45</v>
      </c>
      <c r="K277" s="60">
        <v>0.73329999999999995</v>
      </c>
      <c r="L277" s="60">
        <f t="shared" si="263"/>
        <v>0.73329999999999995</v>
      </c>
      <c r="M277" s="64">
        <f t="shared" si="284"/>
        <v>1</v>
      </c>
      <c r="N277" s="90"/>
      <c r="O277" s="89"/>
      <c r="P277" s="113"/>
      <c r="Q277" s="113"/>
      <c r="R277" s="103"/>
      <c r="S277" s="103"/>
      <c r="T277" s="103"/>
      <c r="U277" s="103"/>
      <c r="V277" s="69"/>
      <c r="W277" s="104"/>
      <c r="X277" s="67">
        <f t="shared" ref="X277:Y277" si="289">(P277+R277+T277+V277)</f>
        <v>0</v>
      </c>
      <c r="Y277" s="67">
        <f t="shared" si="289"/>
        <v>0</v>
      </c>
      <c r="Z277" s="68">
        <f t="shared" si="265"/>
        <v>0</v>
      </c>
      <c r="AA277" s="69" t="str">
        <f t="shared" si="266"/>
        <v>5D</v>
      </c>
      <c r="AB277" s="70" t="s">
        <v>750</v>
      </c>
      <c r="AC277" s="70" t="s">
        <v>468</v>
      </c>
      <c r="AD277" s="70">
        <v>59</v>
      </c>
      <c r="AE277" s="70">
        <v>33</v>
      </c>
      <c r="AF277" s="70">
        <v>92</v>
      </c>
      <c r="AG277" s="72">
        <f t="shared" si="267"/>
        <v>0.64130434782608692</v>
      </c>
      <c r="AH277" s="73">
        <f t="shared" si="268"/>
        <v>-40.358695652173914</v>
      </c>
      <c r="AI277" s="74">
        <v>3</v>
      </c>
      <c r="AJ277" s="79" t="s">
        <v>681</v>
      </c>
      <c r="AK277" s="76" t="s">
        <v>464</v>
      </c>
      <c r="AL277" s="67"/>
      <c r="AM277" s="506"/>
      <c r="AN277" s="505"/>
      <c r="AO277" s="515"/>
    </row>
    <row r="278" spans="1:41" ht="14.5">
      <c r="A278" s="58">
        <v>42659</v>
      </c>
      <c r="B278" s="59" t="s">
        <v>428</v>
      </c>
      <c r="C278" s="60" t="s">
        <v>486</v>
      </c>
      <c r="D278" s="60" t="s">
        <v>757</v>
      </c>
      <c r="E278" s="100">
        <v>11</v>
      </c>
      <c r="F278" s="101">
        <v>11</v>
      </c>
      <c r="G278" s="101">
        <v>11</v>
      </c>
      <c r="H278" s="60">
        <v>33</v>
      </c>
      <c r="I278" s="60">
        <v>20</v>
      </c>
      <c r="J278" s="60">
        <v>53</v>
      </c>
      <c r="K278" s="60">
        <v>0.62260000000000004</v>
      </c>
      <c r="L278" s="60">
        <f t="shared" si="263"/>
        <v>0.62260000000000004</v>
      </c>
      <c r="M278" s="64">
        <f t="shared" si="284"/>
        <v>6</v>
      </c>
      <c r="N278" s="65" t="s">
        <v>488</v>
      </c>
      <c r="O278" s="60" t="s">
        <v>757</v>
      </c>
      <c r="P278" s="103">
        <v>11</v>
      </c>
      <c r="Q278" s="103">
        <v>5</v>
      </c>
      <c r="R278" s="103">
        <v>7</v>
      </c>
      <c r="S278" s="103">
        <v>11</v>
      </c>
      <c r="T278" s="103"/>
      <c r="U278" s="103"/>
      <c r="V278" s="69"/>
      <c r="W278" s="104"/>
      <c r="X278" s="67">
        <f t="shared" ref="X278:Y278" si="290">(P278+R278+T278+V278)</f>
        <v>18</v>
      </c>
      <c r="Y278" s="67">
        <f t="shared" si="290"/>
        <v>16</v>
      </c>
      <c r="Z278" s="68">
        <f t="shared" si="265"/>
        <v>34</v>
      </c>
      <c r="AA278" s="69" t="str">
        <f t="shared" si="266"/>
        <v>6A</v>
      </c>
      <c r="AB278" s="70" t="s">
        <v>757</v>
      </c>
      <c r="AC278" s="70" t="s">
        <v>488</v>
      </c>
      <c r="AD278" s="70">
        <v>51</v>
      </c>
      <c r="AE278" s="70">
        <v>36</v>
      </c>
      <c r="AF278" s="70">
        <v>87</v>
      </c>
      <c r="AG278" s="72">
        <f t="shared" si="267"/>
        <v>0.58620689655172409</v>
      </c>
      <c r="AH278" s="73">
        <f t="shared" si="268"/>
        <v>-48.413793103448278</v>
      </c>
      <c r="AI278" s="74">
        <v>6</v>
      </c>
      <c r="AJ278" s="79" t="s">
        <v>521</v>
      </c>
      <c r="AK278" s="76" t="s">
        <v>275</v>
      </c>
      <c r="AL278" s="67"/>
      <c r="AM278" s="506"/>
      <c r="AN278" s="505"/>
      <c r="AO278" s="515"/>
    </row>
    <row r="279" spans="1:41" ht="14.5">
      <c r="A279" s="58">
        <v>42659</v>
      </c>
      <c r="B279" s="59" t="s">
        <v>428</v>
      </c>
      <c r="C279" s="60" t="s">
        <v>492</v>
      </c>
      <c r="D279" s="60" t="s">
        <v>758</v>
      </c>
      <c r="E279" s="105">
        <v>5</v>
      </c>
      <c r="F279" s="106">
        <v>8</v>
      </c>
      <c r="G279" s="106">
        <v>1</v>
      </c>
      <c r="H279" s="60">
        <v>14</v>
      </c>
      <c r="I279" s="60">
        <v>33</v>
      </c>
      <c r="J279" s="60">
        <v>47</v>
      </c>
      <c r="K279" s="60">
        <v>0.2979</v>
      </c>
      <c r="L279" s="60">
        <f t="shared" si="263"/>
        <v>-18.702100000000002</v>
      </c>
      <c r="M279" s="64">
        <f t="shared" si="284"/>
        <v>32</v>
      </c>
      <c r="N279" s="65"/>
      <c r="O279" s="60"/>
      <c r="P279" s="103"/>
      <c r="Q279" s="103"/>
      <c r="R279" s="103"/>
      <c r="S279" s="103"/>
      <c r="T279" s="103"/>
      <c r="U279" s="103"/>
      <c r="V279" s="69"/>
      <c r="W279" s="104"/>
      <c r="X279" s="67">
        <f t="shared" ref="X279:Y279" si="291">(P279+R279+T279+V279)</f>
        <v>0</v>
      </c>
      <c r="Y279" s="67">
        <f t="shared" si="291"/>
        <v>0</v>
      </c>
      <c r="Z279" s="68">
        <f t="shared" si="265"/>
        <v>0</v>
      </c>
      <c r="AA279" s="69" t="str">
        <f t="shared" si="266"/>
        <v>6B</v>
      </c>
      <c r="AB279" s="70" t="s">
        <v>758</v>
      </c>
      <c r="AC279" s="70" t="s">
        <v>494</v>
      </c>
      <c r="AD279" s="70">
        <v>14</v>
      </c>
      <c r="AE279" s="70">
        <v>33</v>
      </c>
      <c r="AF279" s="70">
        <v>47</v>
      </c>
      <c r="AG279" s="72">
        <f t="shared" si="267"/>
        <v>0.2978723404255319</v>
      </c>
      <c r="AH279" s="73">
        <f t="shared" si="268"/>
        <v>-85.702127659574472</v>
      </c>
      <c r="AI279" s="74">
        <v>32</v>
      </c>
      <c r="AJ279" s="79" t="s">
        <v>512</v>
      </c>
      <c r="AK279" s="76" t="s">
        <v>394</v>
      </c>
      <c r="AL279" s="67"/>
      <c r="AM279" s="506"/>
      <c r="AN279" s="505"/>
      <c r="AO279" s="515"/>
    </row>
    <row r="280" spans="1:41" ht="14.5">
      <c r="A280" s="58">
        <v>42659</v>
      </c>
      <c r="B280" s="59" t="s">
        <v>428</v>
      </c>
      <c r="C280" s="60" t="s">
        <v>496</v>
      </c>
      <c r="D280" s="60" t="s">
        <v>759</v>
      </c>
      <c r="E280" s="107">
        <v>2</v>
      </c>
      <c r="F280" s="108">
        <v>9</v>
      </c>
      <c r="G280" s="106">
        <v>11</v>
      </c>
      <c r="H280" s="60">
        <v>22</v>
      </c>
      <c r="I280" s="60">
        <v>23</v>
      </c>
      <c r="J280" s="60">
        <v>45</v>
      </c>
      <c r="K280" s="60">
        <v>0.4889</v>
      </c>
      <c r="L280" s="60">
        <f t="shared" si="263"/>
        <v>-10.511100000000001</v>
      </c>
      <c r="M280" s="64">
        <f t="shared" si="284"/>
        <v>23</v>
      </c>
      <c r="N280" s="65" t="s">
        <v>497</v>
      </c>
      <c r="O280" s="60" t="s">
        <v>760</v>
      </c>
      <c r="P280" s="103">
        <v>5</v>
      </c>
      <c r="Q280" s="103">
        <v>11</v>
      </c>
      <c r="R280" s="103"/>
      <c r="S280" s="103"/>
      <c r="T280" s="103"/>
      <c r="U280" s="103"/>
      <c r="V280" s="69"/>
      <c r="W280" s="104"/>
      <c r="X280" s="67">
        <f t="shared" ref="X280:Y280" si="292">(P280+R280+T280+V280)</f>
        <v>5</v>
      </c>
      <c r="Y280" s="67">
        <f t="shared" si="292"/>
        <v>11</v>
      </c>
      <c r="Z280" s="68">
        <f t="shared" si="265"/>
        <v>16</v>
      </c>
      <c r="AA280" s="69" t="str">
        <f t="shared" si="266"/>
        <v>6C</v>
      </c>
      <c r="AB280" s="70" t="s">
        <v>759</v>
      </c>
      <c r="AC280" s="70" t="s">
        <v>503</v>
      </c>
      <c r="AD280" s="70">
        <v>22</v>
      </c>
      <c r="AE280" s="70">
        <v>23</v>
      </c>
      <c r="AF280" s="70">
        <v>45</v>
      </c>
      <c r="AG280" s="72">
        <f t="shared" si="267"/>
        <v>0.48888888888888887</v>
      </c>
      <c r="AH280" s="73">
        <f t="shared" si="268"/>
        <v>-77.511111111111106</v>
      </c>
      <c r="AI280" s="74">
        <v>23</v>
      </c>
      <c r="AJ280" s="79" t="s">
        <v>585</v>
      </c>
      <c r="AK280" s="76" t="s">
        <v>662</v>
      </c>
      <c r="AL280" s="67"/>
      <c r="AM280" s="506"/>
      <c r="AN280" s="505"/>
      <c r="AO280" s="515"/>
    </row>
    <row r="281" spans="1:41" ht="14.5">
      <c r="A281" s="58">
        <v>42659</v>
      </c>
      <c r="B281" s="59" t="s">
        <v>428</v>
      </c>
      <c r="C281" s="60" t="s">
        <v>501</v>
      </c>
      <c r="D281" s="60" t="s">
        <v>761</v>
      </c>
      <c r="E281" s="109">
        <v>11</v>
      </c>
      <c r="F281" s="110">
        <v>11</v>
      </c>
      <c r="G281" s="111">
        <v>6</v>
      </c>
      <c r="H281" s="60">
        <v>28</v>
      </c>
      <c r="I281" s="60">
        <v>21</v>
      </c>
      <c r="J281" s="60">
        <v>49</v>
      </c>
      <c r="K281" s="60">
        <v>0.57140000000000002</v>
      </c>
      <c r="L281" s="60">
        <f t="shared" si="263"/>
        <v>-4.4286000000000003</v>
      </c>
      <c r="M281" s="64">
        <f t="shared" si="284"/>
        <v>15</v>
      </c>
      <c r="N281" s="90"/>
      <c r="O281" s="89"/>
      <c r="P281" s="113"/>
      <c r="Q281" s="113"/>
      <c r="R281" s="113"/>
      <c r="S281" s="113"/>
      <c r="T281" s="103"/>
      <c r="U281" s="103"/>
      <c r="V281" s="69"/>
      <c r="W281" s="104"/>
      <c r="X281" s="67">
        <f t="shared" ref="X281:Y281" si="293">(P281+R281+T281+V281)</f>
        <v>0</v>
      </c>
      <c r="Y281" s="67">
        <f t="shared" si="293"/>
        <v>0</v>
      </c>
      <c r="Z281" s="68">
        <f t="shared" si="265"/>
        <v>0</v>
      </c>
      <c r="AA281" s="69" t="str">
        <f t="shared" si="266"/>
        <v>6D</v>
      </c>
      <c r="AB281" s="70" t="s">
        <v>761</v>
      </c>
      <c r="AC281" s="70" t="s">
        <v>490</v>
      </c>
      <c r="AD281" s="70">
        <v>31</v>
      </c>
      <c r="AE281" s="70">
        <v>32</v>
      </c>
      <c r="AF281" s="70">
        <v>63</v>
      </c>
      <c r="AG281" s="72">
        <f t="shared" si="267"/>
        <v>0.49206349206349204</v>
      </c>
      <c r="AH281" s="73">
        <f t="shared" si="268"/>
        <v>-68.507936507936506</v>
      </c>
      <c r="AI281" s="74">
        <v>16</v>
      </c>
      <c r="AJ281" s="79" t="s">
        <v>762</v>
      </c>
      <c r="AK281" s="76" t="s">
        <v>555</v>
      </c>
      <c r="AL281" s="67"/>
      <c r="AM281" s="506"/>
      <c r="AN281" s="505"/>
      <c r="AO281" s="515"/>
    </row>
    <row r="282" spans="1:41" ht="14.5">
      <c r="A282" s="58">
        <v>42659</v>
      </c>
      <c r="B282" s="59" t="s">
        <v>428</v>
      </c>
      <c r="C282" s="60" t="s">
        <v>506</v>
      </c>
      <c r="D282" s="60" t="s">
        <v>763</v>
      </c>
      <c r="E282" s="100">
        <v>6</v>
      </c>
      <c r="F282" s="101">
        <v>8</v>
      </c>
      <c r="G282" s="101">
        <v>5</v>
      </c>
      <c r="H282" s="60">
        <v>19</v>
      </c>
      <c r="I282" s="60">
        <v>33</v>
      </c>
      <c r="J282" s="60">
        <v>52</v>
      </c>
      <c r="K282" s="60">
        <v>0.3654</v>
      </c>
      <c r="L282" s="60">
        <f t="shared" si="263"/>
        <v>-13.634600000000001</v>
      </c>
      <c r="M282" s="64">
        <f t="shared" si="284"/>
        <v>30</v>
      </c>
      <c r="N282" s="65" t="s">
        <v>508</v>
      </c>
      <c r="O282" s="60" t="s">
        <v>91</v>
      </c>
      <c r="P282" s="103">
        <v>11</v>
      </c>
      <c r="Q282" s="103">
        <v>3</v>
      </c>
      <c r="R282" s="103">
        <v>11</v>
      </c>
      <c r="S282" s="103">
        <v>7</v>
      </c>
      <c r="T282" s="103">
        <v>11</v>
      </c>
      <c r="U282" s="103">
        <v>4</v>
      </c>
      <c r="V282" s="69">
        <v>13</v>
      </c>
      <c r="W282" s="104">
        <v>7</v>
      </c>
      <c r="X282" s="67">
        <f t="shared" ref="X282:Y282" si="294">(P282+R282+T282+V282)</f>
        <v>46</v>
      </c>
      <c r="Y282" s="67">
        <f t="shared" si="294"/>
        <v>21</v>
      </c>
      <c r="Z282" s="68">
        <f t="shared" si="265"/>
        <v>67</v>
      </c>
      <c r="AA282" s="69" t="str">
        <f t="shared" si="266"/>
        <v>7A</v>
      </c>
      <c r="AB282" s="70" t="s">
        <v>763</v>
      </c>
      <c r="AC282" s="70" t="s">
        <v>510</v>
      </c>
      <c r="AD282" s="70">
        <v>19</v>
      </c>
      <c r="AE282" s="70">
        <v>33</v>
      </c>
      <c r="AF282" s="70">
        <v>52</v>
      </c>
      <c r="AG282" s="72">
        <f t="shared" si="267"/>
        <v>0.36538461538461536</v>
      </c>
      <c r="AH282" s="73">
        <f t="shared" si="268"/>
        <v>-80.634615384615387</v>
      </c>
      <c r="AI282" s="74">
        <v>31</v>
      </c>
      <c r="AJ282" s="79" t="s">
        <v>764</v>
      </c>
      <c r="AK282" s="76" t="s">
        <v>765</v>
      </c>
      <c r="AL282" s="67"/>
      <c r="AM282" s="506"/>
      <c r="AN282" s="505"/>
      <c r="AO282" s="515"/>
    </row>
    <row r="283" spans="1:41" ht="14.5">
      <c r="A283" s="58">
        <v>42659</v>
      </c>
      <c r="B283" s="59" t="s">
        <v>428</v>
      </c>
      <c r="C283" s="60" t="s">
        <v>513</v>
      </c>
      <c r="D283" s="60" t="s">
        <v>766</v>
      </c>
      <c r="E283" s="105">
        <v>11</v>
      </c>
      <c r="F283" s="106">
        <v>2</v>
      </c>
      <c r="G283" s="106">
        <v>8</v>
      </c>
      <c r="H283" s="60">
        <v>21</v>
      </c>
      <c r="I283" s="60">
        <v>28</v>
      </c>
      <c r="J283" s="60">
        <v>49</v>
      </c>
      <c r="K283" s="60">
        <v>0.42859999999999998</v>
      </c>
      <c r="L283" s="60">
        <f t="shared" si="263"/>
        <v>-11.571400000000001</v>
      </c>
      <c r="M283" s="64">
        <f t="shared" si="284"/>
        <v>24</v>
      </c>
      <c r="N283" s="65"/>
      <c r="O283" s="60"/>
      <c r="P283" s="103"/>
      <c r="Q283" s="103"/>
      <c r="R283" s="103"/>
      <c r="S283" s="103"/>
      <c r="T283" s="103"/>
      <c r="U283" s="103"/>
      <c r="V283" s="69"/>
      <c r="W283" s="104"/>
      <c r="X283" s="67">
        <f t="shared" ref="X283:Y283" si="295">(P283+R283+T283+V283)</f>
        <v>0</v>
      </c>
      <c r="Y283" s="67">
        <f t="shared" si="295"/>
        <v>0</v>
      </c>
      <c r="Z283" s="68">
        <f t="shared" si="265"/>
        <v>0</v>
      </c>
      <c r="AA283" s="69" t="str">
        <f t="shared" si="266"/>
        <v>7B</v>
      </c>
      <c r="AB283" s="70" t="s">
        <v>766</v>
      </c>
      <c r="AC283" s="70" t="s">
        <v>517</v>
      </c>
      <c r="AD283" s="70">
        <v>21</v>
      </c>
      <c r="AE283" s="70">
        <v>28</v>
      </c>
      <c r="AF283" s="70">
        <v>49</v>
      </c>
      <c r="AG283" s="72">
        <f t="shared" si="267"/>
        <v>0.42857142857142855</v>
      </c>
      <c r="AH283" s="73">
        <f t="shared" si="268"/>
        <v>-78.571428571428569</v>
      </c>
      <c r="AI283" s="74">
        <v>24</v>
      </c>
      <c r="AJ283" s="79" t="s">
        <v>767</v>
      </c>
      <c r="AK283" s="76" t="s">
        <v>282</v>
      </c>
      <c r="AL283" s="67"/>
      <c r="AM283" s="506"/>
      <c r="AN283" s="505"/>
      <c r="AO283" s="515"/>
    </row>
    <row r="284" spans="1:41" ht="14.5">
      <c r="A284" s="58">
        <v>42659</v>
      </c>
      <c r="B284" s="59" t="s">
        <v>428</v>
      </c>
      <c r="C284" s="60" t="s">
        <v>515</v>
      </c>
      <c r="D284" s="60" t="s">
        <v>760</v>
      </c>
      <c r="E284" s="107">
        <v>6</v>
      </c>
      <c r="F284" s="108">
        <v>11</v>
      </c>
      <c r="G284" s="106">
        <v>11</v>
      </c>
      <c r="H284" s="60">
        <v>28</v>
      </c>
      <c r="I284" s="60">
        <v>27</v>
      </c>
      <c r="J284" s="60">
        <v>55</v>
      </c>
      <c r="K284" s="60">
        <v>0.5091</v>
      </c>
      <c r="L284" s="60">
        <f t="shared" si="263"/>
        <v>-4.4908999999999999</v>
      </c>
      <c r="M284" s="64">
        <f t="shared" si="284"/>
        <v>17</v>
      </c>
      <c r="N284" s="65" t="s">
        <v>490</v>
      </c>
      <c r="O284" s="60" t="s">
        <v>761</v>
      </c>
      <c r="P284" s="103">
        <v>3</v>
      </c>
      <c r="Q284" s="103">
        <v>11</v>
      </c>
      <c r="R284" s="103"/>
      <c r="S284" s="103"/>
      <c r="T284" s="103"/>
      <c r="U284" s="103"/>
      <c r="V284" s="69"/>
      <c r="W284" s="104"/>
      <c r="X284" s="67">
        <f t="shared" ref="X284:Y284" si="296">(P284+R284+T284+V284)</f>
        <v>3</v>
      </c>
      <c r="Y284" s="67">
        <f t="shared" si="296"/>
        <v>11</v>
      </c>
      <c r="Z284" s="68">
        <f t="shared" si="265"/>
        <v>14</v>
      </c>
      <c r="AA284" s="69" t="str">
        <f t="shared" si="266"/>
        <v>7C</v>
      </c>
      <c r="AB284" s="70" t="s">
        <v>760</v>
      </c>
      <c r="AC284" s="70" t="s">
        <v>497</v>
      </c>
      <c r="AD284" s="70">
        <v>33</v>
      </c>
      <c r="AE284" s="70">
        <v>38</v>
      </c>
      <c r="AF284" s="70">
        <v>71</v>
      </c>
      <c r="AG284" s="72">
        <f t="shared" si="267"/>
        <v>0.46478873239436619</v>
      </c>
      <c r="AH284" s="73">
        <f t="shared" si="268"/>
        <v>-66.535211267605632</v>
      </c>
      <c r="AI284" s="74">
        <v>14</v>
      </c>
      <c r="AJ284" s="79" t="s">
        <v>624</v>
      </c>
      <c r="AK284" s="76" t="s">
        <v>768</v>
      </c>
      <c r="AL284" s="67"/>
      <c r="AM284" s="506"/>
      <c r="AN284" s="505"/>
      <c r="AO284" s="515"/>
    </row>
    <row r="285" spans="1:41" ht="14.5">
      <c r="A285" s="58">
        <v>42659</v>
      </c>
      <c r="B285" s="59" t="s">
        <v>428</v>
      </c>
      <c r="C285" s="60" t="s">
        <v>519</v>
      </c>
      <c r="D285" s="60" t="s">
        <v>91</v>
      </c>
      <c r="E285" s="109">
        <v>11</v>
      </c>
      <c r="F285" s="110">
        <v>11</v>
      </c>
      <c r="G285" s="111">
        <v>11</v>
      </c>
      <c r="H285" s="60">
        <v>33</v>
      </c>
      <c r="I285" s="60">
        <v>13</v>
      </c>
      <c r="J285" s="60">
        <v>46</v>
      </c>
      <c r="K285" s="60">
        <v>0.71740000000000004</v>
      </c>
      <c r="L285" s="60">
        <f t="shared" si="263"/>
        <v>0.71740000000000004</v>
      </c>
      <c r="M285" s="64">
        <f t="shared" si="284"/>
        <v>2</v>
      </c>
      <c r="N285" s="90"/>
      <c r="O285" s="89"/>
      <c r="P285" s="113"/>
      <c r="Q285" s="113"/>
      <c r="R285" s="103"/>
      <c r="S285" s="103"/>
      <c r="T285" s="103"/>
      <c r="U285" s="103"/>
      <c r="V285" s="69"/>
      <c r="W285" s="104"/>
      <c r="X285" s="67">
        <f t="shared" ref="X285:Y285" si="297">(P285+R285+T285+V285)</f>
        <v>0</v>
      </c>
      <c r="Y285" s="67">
        <f t="shared" si="297"/>
        <v>0</v>
      </c>
      <c r="Z285" s="68">
        <f t="shared" si="265"/>
        <v>0</v>
      </c>
      <c r="AA285" s="69" t="str">
        <f t="shared" si="266"/>
        <v>7D</v>
      </c>
      <c r="AB285" s="70" t="s">
        <v>91</v>
      </c>
      <c r="AC285" s="70" t="s">
        <v>508</v>
      </c>
      <c r="AD285" s="70">
        <v>79</v>
      </c>
      <c r="AE285" s="70">
        <v>34</v>
      </c>
      <c r="AF285" s="70">
        <v>113</v>
      </c>
      <c r="AG285" s="72">
        <f t="shared" si="267"/>
        <v>0.69911504424778759</v>
      </c>
      <c r="AH285" s="73">
        <f t="shared" si="268"/>
        <v>-20.300884955752213</v>
      </c>
      <c r="AI285" s="74">
        <v>1</v>
      </c>
      <c r="AJ285" s="79" t="s">
        <v>650</v>
      </c>
      <c r="AK285" s="76" t="s">
        <v>462</v>
      </c>
      <c r="AL285" s="67"/>
      <c r="AM285" s="506"/>
      <c r="AN285" s="505"/>
      <c r="AO285" s="515"/>
    </row>
    <row r="286" spans="1:41" ht="14.5">
      <c r="A286" s="58">
        <v>42659</v>
      </c>
      <c r="B286" s="59" t="s">
        <v>428</v>
      </c>
      <c r="C286" s="60" t="s">
        <v>522</v>
      </c>
      <c r="D286" s="60" t="s">
        <v>769</v>
      </c>
      <c r="E286" s="100">
        <v>11</v>
      </c>
      <c r="F286" s="101">
        <v>11</v>
      </c>
      <c r="G286" s="101">
        <v>7</v>
      </c>
      <c r="H286" s="60">
        <v>29</v>
      </c>
      <c r="I286" s="60">
        <v>29</v>
      </c>
      <c r="J286" s="60">
        <v>58</v>
      </c>
      <c r="K286" s="60">
        <v>0.5</v>
      </c>
      <c r="L286" s="60">
        <f t="shared" si="263"/>
        <v>-3.5</v>
      </c>
      <c r="M286" s="64">
        <f t="shared" si="284"/>
        <v>12</v>
      </c>
      <c r="N286" s="65" t="s">
        <v>524</v>
      </c>
      <c r="O286" s="60" t="s">
        <v>770</v>
      </c>
      <c r="P286" s="103">
        <v>11</v>
      </c>
      <c r="Q286" s="103">
        <v>9</v>
      </c>
      <c r="R286" s="103">
        <v>7</v>
      </c>
      <c r="S286" s="103">
        <v>11</v>
      </c>
      <c r="T286" s="103"/>
      <c r="U286" s="103"/>
      <c r="V286" s="69"/>
      <c r="W286" s="104"/>
      <c r="X286" s="67">
        <f t="shared" ref="X286:Y286" si="298">(P286+R286+T286+V286)</f>
        <v>18</v>
      </c>
      <c r="Y286" s="67">
        <f t="shared" si="298"/>
        <v>20</v>
      </c>
      <c r="Z286" s="68">
        <f t="shared" si="265"/>
        <v>38</v>
      </c>
      <c r="AA286" s="69" t="str">
        <f t="shared" si="266"/>
        <v>8A</v>
      </c>
      <c r="AB286" s="70" t="s">
        <v>769</v>
      </c>
      <c r="AC286" s="70" t="s">
        <v>532</v>
      </c>
      <c r="AD286" s="70">
        <v>29</v>
      </c>
      <c r="AE286" s="70">
        <v>29</v>
      </c>
      <c r="AF286" s="70">
        <v>58</v>
      </c>
      <c r="AG286" s="72">
        <f t="shared" si="267"/>
        <v>0.5</v>
      </c>
      <c r="AH286" s="73">
        <f t="shared" si="268"/>
        <v>-70.5</v>
      </c>
      <c r="AI286" s="74">
        <v>17</v>
      </c>
      <c r="AJ286" s="79" t="s">
        <v>640</v>
      </c>
      <c r="AK286" s="76" t="s">
        <v>771</v>
      </c>
      <c r="AL286" s="67"/>
      <c r="AM286" s="506"/>
      <c r="AN286" s="505"/>
      <c r="AO286" s="515"/>
    </row>
    <row r="287" spans="1:41" ht="14.5">
      <c r="A287" s="58">
        <v>42659</v>
      </c>
      <c r="B287" s="59" t="s">
        <v>428</v>
      </c>
      <c r="C287" s="60" t="s">
        <v>526</v>
      </c>
      <c r="D287" s="60" t="s">
        <v>755</v>
      </c>
      <c r="E287" s="105">
        <v>10</v>
      </c>
      <c r="F287" s="106">
        <v>11</v>
      </c>
      <c r="G287" s="106">
        <v>11</v>
      </c>
      <c r="H287" s="60">
        <v>32</v>
      </c>
      <c r="I287" s="60">
        <v>31</v>
      </c>
      <c r="J287" s="60">
        <v>63</v>
      </c>
      <c r="K287" s="60">
        <v>0.50790000000000002</v>
      </c>
      <c r="L287" s="60">
        <f t="shared" si="263"/>
        <v>-0.49209999999999998</v>
      </c>
      <c r="M287" s="64">
        <f t="shared" si="284"/>
        <v>9</v>
      </c>
      <c r="N287" s="65"/>
      <c r="O287" s="60"/>
      <c r="P287" s="103"/>
      <c r="Q287" s="103"/>
      <c r="R287" s="103"/>
      <c r="S287" s="103"/>
      <c r="T287" s="103"/>
      <c r="U287" s="103"/>
      <c r="V287" s="69"/>
      <c r="W287" s="104"/>
      <c r="X287" s="67">
        <f t="shared" ref="X287:Y287" si="299">(P287+R287+T287+V287)</f>
        <v>0</v>
      </c>
      <c r="Y287" s="67">
        <f t="shared" si="299"/>
        <v>0</v>
      </c>
      <c r="Z287" s="68">
        <f t="shared" si="265"/>
        <v>0</v>
      </c>
      <c r="AA287" s="69" t="str">
        <f t="shared" si="266"/>
        <v>8B</v>
      </c>
      <c r="AB287" s="118" t="s">
        <v>755</v>
      </c>
      <c r="AC287" s="70" t="s">
        <v>479</v>
      </c>
      <c r="AD287" s="70">
        <v>35</v>
      </c>
      <c r="AE287" s="70">
        <v>42</v>
      </c>
      <c r="AF287" s="70">
        <v>77</v>
      </c>
      <c r="AG287" s="72">
        <f t="shared" si="267"/>
        <v>0.45454545454545453</v>
      </c>
      <c r="AH287" s="73">
        <f t="shared" si="268"/>
        <v>-64.545454545454547</v>
      </c>
      <c r="AI287" s="74">
        <v>12</v>
      </c>
      <c r="AJ287" s="79" t="s">
        <v>687</v>
      </c>
      <c r="AK287" s="76" t="s">
        <v>772</v>
      </c>
      <c r="AL287" s="67"/>
      <c r="AM287" s="506"/>
      <c r="AN287" s="505"/>
      <c r="AO287" s="515"/>
    </row>
    <row r="288" spans="1:41" ht="14.5">
      <c r="A288" s="58">
        <v>42659</v>
      </c>
      <c r="B288" s="59" t="s">
        <v>428</v>
      </c>
      <c r="C288" s="60" t="s">
        <v>530</v>
      </c>
      <c r="D288" s="60" t="s">
        <v>773</v>
      </c>
      <c r="E288" s="107">
        <v>9</v>
      </c>
      <c r="F288" s="108">
        <v>8</v>
      </c>
      <c r="G288" s="106">
        <v>10</v>
      </c>
      <c r="H288" s="60">
        <v>27</v>
      </c>
      <c r="I288" s="60">
        <v>33</v>
      </c>
      <c r="J288" s="60">
        <v>60</v>
      </c>
      <c r="K288" s="60">
        <v>0.45</v>
      </c>
      <c r="L288" s="60">
        <f t="shared" si="263"/>
        <v>-5.55</v>
      </c>
      <c r="M288" s="64">
        <f t="shared" si="284"/>
        <v>19</v>
      </c>
      <c r="N288" s="65" t="s">
        <v>470</v>
      </c>
      <c r="O288" s="60" t="s">
        <v>754</v>
      </c>
      <c r="P288" s="103">
        <v>9</v>
      </c>
      <c r="Q288" s="103">
        <v>11</v>
      </c>
      <c r="R288" s="103"/>
      <c r="S288" s="103"/>
      <c r="T288" s="103"/>
      <c r="U288" s="103"/>
      <c r="V288" s="69"/>
      <c r="W288" s="104"/>
      <c r="X288" s="67">
        <f t="shared" ref="X288:Y288" si="300">(P288+R288+T288+V288)</f>
        <v>9</v>
      </c>
      <c r="Y288" s="67">
        <f t="shared" si="300"/>
        <v>11</v>
      </c>
      <c r="Z288" s="68">
        <f t="shared" si="265"/>
        <v>20</v>
      </c>
      <c r="AA288" s="69" t="str">
        <f t="shared" si="266"/>
        <v>8C</v>
      </c>
      <c r="AB288" s="70" t="s">
        <v>773</v>
      </c>
      <c r="AC288" s="70" t="s">
        <v>528</v>
      </c>
      <c r="AD288" s="70">
        <v>27</v>
      </c>
      <c r="AE288" s="70">
        <v>33</v>
      </c>
      <c r="AF288" s="70">
        <v>60</v>
      </c>
      <c r="AG288" s="72">
        <f t="shared" si="267"/>
        <v>0.45</v>
      </c>
      <c r="AH288" s="73">
        <f t="shared" si="268"/>
        <v>-72.55</v>
      </c>
      <c r="AI288" s="74">
        <v>20</v>
      </c>
      <c r="AJ288" s="79" t="s">
        <v>566</v>
      </c>
      <c r="AK288" s="76" t="s">
        <v>667</v>
      </c>
      <c r="AL288" s="67"/>
      <c r="AM288" s="506"/>
      <c r="AN288" s="505"/>
      <c r="AO288" s="515"/>
    </row>
    <row r="289" spans="1:41" ht="14.5">
      <c r="A289" s="87">
        <v>42659</v>
      </c>
      <c r="B289" s="88" t="s">
        <v>428</v>
      </c>
      <c r="C289" s="89" t="s">
        <v>534</v>
      </c>
      <c r="D289" s="89" t="s">
        <v>770</v>
      </c>
      <c r="E289" s="109">
        <v>11</v>
      </c>
      <c r="F289" s="110">
        <v>10</v>
      </c>
      <c r="G289" s="111">
        <v>11</v>
      </c>
      <c r="H289" s="89">
        <v>32</v>
      </c>
      <c r="I289" s="89">
        <v>27</v>
      </c>
      <c r="J289" s="89">
        <v>59</v>
      </c>
      <c r="K289" s="89">
        <v>0.54239999999999999</v>
      </c>
      <c r="L289" s="89">
        <f t="shared" si="263"/>
        <v>-0.45760000000000001</v>
      </c>
      <c r="M289" s="86">
        <f t="shared" si="284"/>
        <v>8</v>
      </c>
      <c r="N289" s="90"/>
      <c r="O289" s="89"/>
      <c r="P289" s="113"/>
      <c r="Q289" s="113"/>
      <c r="R289" s="113"/>
      <c r="S289" s="113"/>
      <c r="T289" s="113"/>
      <c r="U289" s="113"/>
      <c r="V289" s="93"/>
      <c r="W289" s="114"/>
      <c r="X289" s="92">
        <f t="shared" ref="X289:Y289" si="301">(P289+R289+T289+V289)</f>
        <v>0</v>
      </c>
      <c r="Y289" s="92">
        <f t="shared" si="301"/>
        <v>0</v>
      </c>
      <c r="Z289" s="84">
        <f t="shared" si="265"/>
        <v>0</v>
      </c>
      <c r="AA289" s="93" t="str">
        <f t="shared" si="266"/>
        <v>8D</v>
      </c>
      <c r="AB289" s="94" t="s">
        <v>770</v>
      </c>
      <c r="AC289" s="94" t="s">
        <v>524</v>
      </c>
      <c r="AD289" s="94">
        <v>50</v>
      </c>
      <c r="AE289" s="94">
        <v>47</v>
      </c>
      <c r="AF289" s="94">
        <v>97</v>
      </c>
      <c r="AG289" s="95">
        <f t="shared" si="267"/>
        <v>0.51546391752577314</v>
      </c>
      <c r="AH289" s="96">
        <f t="shared" si="268"/>
        <v>-49.484536082474229</v>
      </c>
      <c r="AI289" s="97">
        <v>7</v>
      </c>
      <c r="AJ289" s="98" t="s">
        <v>774</v>
      </c>
      <c r="AK289" s="81" t="s">
        <v>775</v>
      </c>
      <c r="AL289" s="67"/>
      <c r="AM289" s="506"/>
      <c r="AN289" s="505"/>
      <c r="AO289" s="515"/>
    </row>
    <row r="290" spans="1:41" ht="14.5">
      <c r="A290" s="58">
        <v>43001</v>
      </c>
      <c r="B290" s="59" t="s">
        <v>615</v>
      </c>
      <c r="C290" s="60" t="s">
        <v>205</v>
      </c>
      <c r="D290" s="60" t="s">
        <v>776</v>
      </c>
      <c r="E290" s="100">
        <v>11</v>
      </c>
      <c r="F290" s="101">
        <v>5</v>
      </c>
      <c r="G290" s="101">
        <v>11</v>
      </c>
      <c r="H290" s="60">
        <v>27</v>
      </c>
      <c r="I290" s="60">
        <v>23</v>
      </c>
      <c r="J290" s="60">
        <v>50</v>
      </c>
      <c r="K290" s="60">
        <v>0.54</v>
      </c>
      <c r="L290" s="60">
        <f t="shared" si="263"/>
        <v>-5.46</v>
      </c>
      <c r="M290" s="64">
        <f t="shared" si="284"/>
        <v>9</v>
      </c>
      <c r="N290" s="65" t="s">
        <v>207</v>
      </c>
      <c r="O290" s="60" t="s">
        <v>95</v>
      </c>
      <c r="P290" s="102"/>
      <c r="Q290" s="66"/>
      <c r="R290" s="103">
        <v>11</v>
      </c>
      <c r="S290" s="103">
        <v>3</v>
      </c>
      <c r="T290" s="103">
        <v>11</v>
      </c>
      <c r="U290" s="103">
        <v>6</v>
      </c>
      <c r="V290" s="67">
        <v>18</v>
      </c>
      <c r="W290" s="104">
        <v>17</v>
      </c>
      <c r="X290" s="67">
        <f t="shared" ref="X290:Y290" si="302">(P290+R290+T290+V290)</f>
        <v>40</v>
      </c>
      <c r="Y290" s="67">
        <f t="shared" si="302"/>
        <v>26</v>
      </c>
      <c r="Z290" s="68">
        <f t="shared" si="265"/>
        <v>66</v>
      </c>
      <c r="AA290" s="69" t="str">
        <f t="shared" si="266"/>
        <v>1A</v>
      </c>
      <c r="AB290" s="70" t="s">
        <v>776</v>
      </c>
      <c r="AC290" s="70" t="s">
        <v>218</v>
      </c>
      <c r="AD290" s="70">
        <v>46</v>
      </c>
      <c r="AE290" s="70">
        <v>41</v>
      </c>
      <c r="AF290" s="70">
        <v>87</v>
      </c>
      <c r="AG290" s="72">
        <f t="shared" si="267"/>
        <v>0.52873563218390807</v>
      </c>
      <c r="AH290" s="73">
        <f t="shared" si="268"/>
        <v>-53.47126436781609</v>
      </c>
      <c r="AI290" s="74">
        <v>4</v>
      </c>
      <c r="AJ290" s="79" t="s">
        <v>687</v>
      </c>
      <c r="AK290" s="76" t="s">
        <v>585</v>
      </c>
      <c r="AL290" s="67"/>
      <c r="AM290" s="506"/>
      <c r="AN290" s="505"/>
      <c r="AO290" s="515"/>
    </row>
    <row r="291" spans="1:41" ht="14.5">
      <c r="A291" s="58">
        <v>43001</v>
      </c>
      <c r="B291" s="59" t="s">
        <v>615</v>
      </c>
      <c r="C291" s="60" t="s">
        <v>211</v>
      </c>
      <c r="D291" s="60" t="s">
        <v>777</v>
      </c>
      <c r="E291" s="105">
        <v>6</v>
      </c>
      <c r="F291" s="106">
        <v>10</v>
      </c>
      <c r="G291" s="106">
        <v>1</v>
      </c>
      <c r="H291" s="60">
        <v>17</v>
      </c>
      <c r="I291" s="60">
        <v>33</v>
      </c>
      <c r="J291" s="60">
        <v>50</v>
      </c>
      <c r="K291" s="60">
        <v>0.34</v>
      </c>
      <c r="L291" s="60">
        <f t="shared" si="263"/>
        <v>-15.66</v>
      </c>
      <c r="M291" s="64">
        <f t="shared" si="284"/>
        <v>15</v>
      </c>
      <c r="N291" s="65"/>
      <c r="O291" s="60"/>
      <c r="P291" s="102"/>
      <c r="Q291" s="66"/>
      <c r="R291" s="103"/>
      <c r="S291" s="103"/>
      <c r="T291" s="103"/>
      <c r="U291" s="103"/>
      <c r="V291" s="67"/>
      <c r="W291" s="104"/>
      <c r="X291" s="67">
        <f t="shared" ref="X291:Y291" si="303">(P291+R291+T291+V291)</f>
        <v>0</v>
      </c>
      <c r="Y291" s="67">
        <f t="shared" si="303"/>
        <v>0</v>
      </c>
      <c r="Z291" s="68">
        <f t="shared" si="265"/>
        <v>0</v>
      </c>
      <c r="AA291" s="69" t="str">
        <f t="shared" si="266"/>
        <v>1B</v>
      </c>
      <c r="AB291" s="70" t="s">
        <v>777</v>
      </c>
      <c r="AC291" s="70" t="s">
        <v>213</v>
      </c>
      <c r="AD291" s="70">
        <v>17</v>
      </c>
      <c r="AE291" s="70">
        <v>33</v>
      </c>
      <c r="AF291" s="70">
        <v>50</v>
      </c>
      <c r="AG291" s="72">
        <f t="shared" si="267"/>
        <v>0.34</v>
      </c>
      <c r="AH291" s="73">
        <f t="shared" si="268"/>
        <v>-82.66</v>
      </c>
      <c r="AI291" s="74">
        <v>15</v>
      </c>
      <c r="AJ291" s="79" t="s">
        <v>525</v>
      </c>
      <c r="AK291" s="76" t="s">
        <v>512</v>
      </c>
      <c r="AL291" s="67"/>
      <c r="AM291" s="506"/>
      <c r="AN291" s="505"/>
      <c r="AO291" s="515"/>
    </row>
    <row r="292" spans="1:41" ht="14.5">
      <c r="A292" s="58">
        <v>43001</v>
      </c>
      <c r="B292" s="59" t="s">
        <v>615</v>
      </c>
      <c r="C292" s="60" t="s">
        <v>216</v>
      </c>
      <c r="D292" s="60" t="s">
        <v>95</v>
      </c>
      <c r="E292" s="107">
        <v>11</v>
      </c>
      <c r="F292" s="108">
        <v>11</v>
      </c>
      <c r="G292" s="106">
        <v>11</v>
      </c>
      <c r="H292" s="60">
        <v>33</v>
      </c>
      <c r="I292" s="60">
        <v>12</v>
      </c>
      <c r="J292" s="60">
        <v>45</v>
      </c>
      <c r="K292" s="60">
        <v>0.73329999999999995</v>
      </c>
      <c r="L292" s="60">
        <f t="shared" si="263"/>
        <v>0.73329999999999995</v>
      </c>
      <c r="M292" s="64">
        <f t="shared" si="284"/>
        <v>1</v>
      </c>
      <c r="N292" s="65" t="s">
        <v>265</v>
      </c>
      <c r="O292" s="60" t="s">
        <v>778</v>
      </c>
      <c r="P292" s="102"/>
      <c r="Q292" s="66"/>
      <c r="R292" s="103">
        <v>3</v>
      </c>
      <c r="S292" s="103">
        <v>11</v>
      </c>
      <c r="T292" s="103"/>
      <c r="U292" s="103"/>
      <c r="V292" s="67"/>
      <c r="W292" s="104"/>
      <c r="X292" s="67">
        <f t="shared" ref="X292:Y292" si="304">(P292+R292+T292+V292)</f>
        <v>3</v>
      </c>
      <c r="Y292" s="67">
        <f t="shared" si="304"/>
        <v>11</v>
      </c>
      <c r="Z292" s="68">
        <f t="shared" si="265"/>
        <v>14</v>
      </c>
      <c r="AA292" s="69" t="str">
        <f t="shared" si="266"/>
        <v>1C</v>
      </c>
      <c r="AB292" s="70" t="s">
        <v>95</v>
      </c>
      <c r="AC292" s="70" t="s">
        <v>207</v>
      </c>
      <c r="AD292" s="70">
        <v>73</v>
      </c>
      <c r="AE292" s="70">
        <v>38</v>
      </c>
      <c r="AF292" s="70">
        <v>111</v>
      </c>
      <c r="AG292" s="72">
        <f t="shared" si="267"/>
        <v>0.65765765765765771</v>
      </c>
      <c r="AH292" s="73">
        <f t="shared" si="268"/>
        <v>-26.342342342342342</v>
      </c>
      <c r="AI292" s="74">
        <v>1</v>
      </c>
      <c r="AJ292" s="79" t="s">
        <v>629</v>
      </c>
      <c r="AK292" s="76" t="s">
        <v>681</v>
      </c>
      <c r="AL292" s="67"/>
      <c r="AM292" s="506"/>
      <c r="AN292" s="505"/>
      <c r="AO292" s="515"/>
    </row>
    <row r="293" spans="1:41" ht="14.5">
      <c r="A293" s="58">
        <v>43001</v>
      </c>
      <c r="B293" s="59" t="s">
        <v>615</v>
      </c>
      <c r="C293" s="60" t="s">
        <v>221</v>
      </c>
      <c r="D293" s="60" t="s">
        <v>779</v>
      </c>
      <c r="E293" s="109">
        <v>6</v>
      </c>
      <c r="F293" s="110">
        <v>11</v>
      </c>
      <c r="G293" s="111">
        <v>6</v>
      </c>
      <c r="H293" s="60">
        <v>23</v>
      </c>
      <c r="I293" s="60">
        <v>32</v>
      </c>
      <c r="J293" s="60">
        <v>55</v>
      </c>
      <c r="K293" s="60">
        <v>0.41820000000000002</v>
      </c>
      <c r="L293" s="60">
        <f t="shared" si="263"/>
        <v>-9.5817999999999994</v>
      </c>
      <c r="M293" s="64">
        <f t="shared" si="284"/>
        <v>11</v>
      </c>
      <c r="N293" s="90"/>
      <c r="O293" s="89"/>
      <c r="P293" s="112"/>
      <c r="Q293" s="91"/>
      <c r="R293" s="113"/>
      <c r="S293" s="113"/>
      <c r="T293" s="103"/>
      <c r="U293" s="103"/>
      <c r="V293" s="67"/>
      <c r="W293" s="104"/>
      <c r="X293" s="67">
        <f t="shared" ref="X293:Y293" si="305">(P293+R293+T293+V293)</f>
        <v>0</v>
      </c>
      <c r="Y293" s="67">
        <f t="shared" si="305"/>
        <v>0</v>
      </c>
      <c r="Z293" s="68">
        <f t="shared" si="265"/>
        <v>0</v>
      </c>
      <c r="AA293" s="69" t="str">
        <f t="shared" si="266"/>
        <v>1D</v>
      </c>
      <c r="AB293" s="70" t="s">
        <v>779</v>
      </c>
      <c r="AC293" s="70" t="s">
        <v>208</v>
      </c>
      <c r="AD293" s="70">
        <v>23</v>
      </c>
      <c r="AE293" s="70">
        <v>32</v>
      </c>
      <c r="AF293" s="70">
        <v>55</v>
      </c>
      <c r="AG293" s="72">
        <f t="shared" si="267"/>
        <v>0.41818181818181815</v>
      </c>
      <c r="AH293" s="73">
        <f t="shared" si="268"/>
        <v>-76.581818181818178</v>
      </c>
      <c r="AI293" s="74">
        <v>11</v>
      </c>
      <c r="AJ293" s="79" t="s">
        <v>780</v>
      </c>
      <c r="AK293" s="76" t="s">
        <v>781</v>
      </c>
      <c r="AL293" s="67"/>
      <c r="AM293" s="506"/>
      <c r="AN293" s="505"/>
      <c r="AO293" s="515"/>
    </row>
    <row r="294" spans="1:41" ht="14.5">
      <c r="A294" s="58">
        <v>43001</v>
      </c>
      <c r="B294" s="59" t="s">
        <v>615</v>
      </c>
      <c r="C294" s="60" t="s">
        <v>224</v>
      </c>
      <c r="D294" s="60" t="s">
        <v>782</v>
      </c>
      <c r="E294" s="100">
        <v>5</v>
      </c>
      <c r="F294" s="101">
        <v>11</v>
      </c>
      <c r="G294" s="101">
        <v>11</v>
      </c>
      <c r="H294" s="60">
        <v>27</v>
      </c>
      <c r="I294" s="60">
        <v>23</v>
      </c>
      <c r="J294" s="60">
        <v>50</v>
      </c>
      <c r="K294" s="60">
        <v>0.54</v>
      </c>
      <c r="L294" s="60">
        <f t="shared" si="263"/>
        <v>-5.46</v>
      </c>
      <c r="M294" s="64">
        <f t="shared" si="284"/>
        <v>9</v>
      </c>
      <c r="N294" s="65" t="s">
        <v>225</v>
      </c>
      <c r="O294" s="60" t="s">
        <v>783</v>
      </c>
      <c r="P294" s="102"/>
      <c r="Q294" s="66"/>
      <c r="R294" s="103">
        <v>11</v>
      </c>
      <c r="S294" s="103">
        <v>9</v>
      </c>
      <c r="T294" s="103">
        <v>6</v>
      </c>
      <c r="U294" s="103">
        <v>11</v>
      </c>
      <c r="V294" s="67"/>
      <c r="W294" s="104"/>
      <c r="X294" s="67">
        <f t="shared" ref="X294:Y294" si="306">(P294+R294+T294+V294)</f>
        <v>17</v>
      </c>
      <c r="Y294" s="67">
        <f t="shared" si="306"/>
        <v>20</v>
      </c>
      <c r="Z294" s="68">
        <f t="shared" si="265"/>
        <v>37</v>
      </c>
      <c r="AA294" s="69" t="str">
        <f t="shared" si="266"/>
        <v>2A</v>
      </c>
      <c r="AB294" s="70" t="s">
        <v>782</v>
      </c>
      <c r="AC294" s="70" t="s">
        <v>239</v>
      </c>
      <c r="AD294" s="70">
        <v>27</v>
      </c>
      <c r="AE294" s="70">
        <v>23</v>
      </c>
      <c r="AF294" s="70">
        <v>50</v>
      </c>
      <c r="AG294" s="72">
        <f t="shared" si="267"/>
        <v>0.54</v>
      </c>
      <c r="AH294" s="73">
        <f t="shared" si="268"/>
        <v>-72.459999999999994</v>
      </c>
      <c r="AI294" s="74">
        <v>10</v>
      </c>
      <c r="AJ294" s="79" t="s">
        <v>784</v>
      </c>
      <c r="AK294" s="85" t="s">
        <v>785</v>
      </c>
      <c r="AL294" s="67"/>
      <c r="AM294" s="506"/>
      <c r="AN294" s="505"/>
      <c r="AO294" s="515"/>
    </row>
    <row r="295" spans="1:41" ht="14.5">
      <c r="A295" s="58">
        <v>43001</v>
      </c>
      <c r="B295" s="59" t="s">
        <v>615</v>
      </c>
      <c r="C295" s="60" t="s">
        <v>228</v>
      </c>
      <c r="D295" s="60" t="s">
        <v>783</v>
      </c>
      <c r="E295" s="105">
        <v>11</v>
      </c>
      <c r="F295" s="106">
        <v>11</v>
      </c>
      <c r="G295" s="106">
        <v>11</v>
      </c>
      <c r="H295" s="60">
        <v>33</v>
      </c>
      <c r="I295" s="60">
        <v>19</v>
      </c>
      <c r="J295" s="60">
        <v>52</v>
      </c>
      <c r="K295" s="60">
        <v>0.63460000000000005</v>
      </c>
      <c r="L295" s="60">
        <f t="shared" si="263"/>
        <v>0.63460000000000005</v>
      </c>
      <c r="M295" s="64">
        <f t="shared" si="284"/>
        <v>2</v>
      </c>
      <c r="N295" s="65"/>
      <c r="O295" s="60"/>
      <c r="P295" s="102"/>
      <c r="Q295" s="66"/>
      <c r="R295" s="103"/>
      <c r="S295" s="103"/>
      <c r="T295" s="103"/>
      <c r="U295" s="103"/>
      <c r="V295" s="67"/>
      <c r="W295" s="104"/>
      <c r="X295" s="67">
        <f t="shared" ref="X295:Y295" si="307">(P295+R295+T295+V295)</f>
        <v>0</v>
      </c>
      <c r="Y295" s="67">
        <f t="shared" si="307"/>
        <v>0</v>
      </c>
      <c r="Z295" s="68">
        <f t="shared" si="265"/>
        <v>0</v>
      </c>
      <c r="AA295" s="69" t="str">
        <f t="shared" si="266"/>
        <v>2B</v>
      </c>
      <c r="AB295" s="70" t="s">
        <v>783</v>
      </c>
      <c r="AC295" s="70" t="s">
        <v>225</v>
      </c>
      <c r="AD295" s="70">
        <v>50</v>
      </c>
      <c r="AE295" s="70">
        <v>39</v>
      </c>
      <c r="AF295" s="70">
        <v>89</v>
      </c>
      <c r="AG295" s="72">
        <f t="shared" si="267"/>
        <v>0.5617977528089888</v>
      </c>
      <c r="AH295" s="73">
        <f t="shared" si="268"/>
        <v>-49.438202247191015</v>
      </c>
      <c r="AI295" s="74">
        <v>3</v>
      </c>
      <c r="AJ295" s="79" t="s">
        <v>786</v>
      </c>
      <c r="AK295" s="76" t="s">
        <v>624</v>
      </c>
      <c r="AL295" s="67"/>
      <c r="AM295" s="506"/>
      <c r="AN295" s="505"/>
      <c r="AO295" s="515"/>
    </row>
    <row r="296" spans="1:41" ht="14.5">
      <c r="A296" s="58">
        <v>43001</v>
      </c>
      <c r="B296" s="59" t="s">
        <v>615</v>
      </c>
      <c r="C296" s="60" t="s">
        <v>232</v>
      </c>
      <c r="D296" s="60" t="s">
        <v>787</v>
      </c>
      <c r="E296" s="107">
        <v>7</v>
      </c>
      <c r="F296" s="108">
        <v>5</v>
      </c>
      <c r="G296" s="106">
        <v>4</v>
      </c>
      <c r="H296" s="60">
        <v>16</v>
      </c>
      <c r="I296" s="60">
        <v>33</v>
      </c>
      <c r="J296" s="60">
        <v>49</v>
      </c>
      <c r="K296" s="60">
        <v>0.32650000000000001</v>
      </c>
      <c r="L296" s="60">
        <f t="shared" si="263"/>
        <v>-16.673500000000001</v>
      </c>
      <c r="M296" s="64">
        <f t="shared" si="284"/>
        <v>16</v>
      </c>
      <c r="N296" s="65" t="s">
        <v>253</v>
      </c>
      <c r="O296" s="60" t="s">
        <v>788</v>
      </c>
      <c r="P296" s="102"/>
      <c r="Q296" s="66"/>
      <c r="R296" s="103">
        <v>9</v>
      </c>
      <c r="S296" s="103">
        <v>11</v>
      </c>
      <c r="T296" s="103"/>
      <c r="U296" s="103"/>
      <c r="V296" s="67"/>
      <c r="W296" s="104"/>
      <c r="X296" s="67">
        <f t="shared" ref="X296:Y296" si="308">(P296+R296+T296+V296)</f>
        <v>9</v>
      </c>
      <c r="Y296" s="67">
        <f t="shared" si="308"/>
        <v>11</v>
      </c>
      <c r="Z296" s="68">
        <f t="shared" si="265"/>
        <v>20</v>
      </c>
      <c r="AA296" s="69" t="str">
        <f t="shared" si="266"/>
        <v>2C</v>
      </c>
      <c r="AB296" s="70" t="s">
        <v>787</v>
      </c>
      <c r="AC296" s="70" t="s">
        <v>234</v>
      </c>
      <c r="AD296" s="70">
        <v>16</v>
      </c>
      <c r="AE296" s="70">
        <v>33</v>
      </c>
      <c r="AF296" s="70">
        <v>49</v>
      </c>
      <c r="AG296" s="72">
        <f t="shared" si="267"/>
        <v>0.32653061224489793</v>
      </c>
      <c r="AH296" s="73">
        <f t="shared" si="268"/>
        <v>-83.673469387755105</v>
      </c>
      <c r="AI296" s="74">
        <v>16</v>
      </c>
      <c r="AJ296" s="79" t="s">
        <v>485</v>
      </c>
      <c r="AK296" s="76" t="s">
        <v>640</v>
      </c>
      <c r="AL296" s="67"/>
      <c r="AM296" s="506"/>
      <c r="AN296" s="505"/>
      <c r="AO296" s="515"/>
    </row>
    <row r="297" spans="1:41" ht="14.5">
      <c r="A297" s="58">
        <v>43001</v>
      </c>
      <c r="B297" s="59" t="s">
        <v>615</v>
      </c>
      <c r="C297" s="60" t="s">
        <v>237</v>
      </c>
      <c r="D297" s="60" t="s">
        <v>96</v>
      </c>
      <c r="E297" s="109">
        <v>11</v>
      </c>
      <c r="F297" s="110">
        <v>10</v>
      </c>
      <c r="G297" s="111">
        <v>7</v>
      </c>
      <c r="H297" s="60">
        <v>28</v>
      </c>
      <c r="I297" s="60">
        <v>29</v>
      </c>
      <c r="J297" s="60">
        <v>57</v>
      </c>
      <c r="K297" s="60">
        <v>0.49120000000000003</v>
      </c>
      <c r="L297" s="60">
        <f t="shared" si="263"/>
        <v>-4.5087999999999999</v>
      </c>
      <c r="M297" s="64">
        <f t="shared" si="284"/>
        <v>8</v>
      </c>
      <c r="N297" s="90"/>
      <c r="O297" s="89"/>
      <c r="P297" s="112"/>
      <c r="Q297" s="91"/>
      <c r="R297" s="113"/>
      <c r="S297" s="113"/>
      <c r="T297" s="113"/>
      <c r="U297" s="113"/>
      <c r="V297" s="67"/>
      <c r="W297" s="104"/>
      <c r="X297" s="67">
        <f t="shared" ref="X297:Y297" si="309">(P297+R297+T297+V297)</f>
        <v>0</v>
      </c>
      <c r="Y297" s="67">
        <f t="shared" si="309"/>
        <v>0</v>
      </c>
      <c r="Z297" s="68">
        <f t="shared" si="265"/>
        <v>0</v>
      </c>
      <c r="AA297" s="69" t="str">
        <f t="shared" si="266"/>
        <v>2D</v>
      </c>
      <c r="AB297" s="70" t="s">
        <v>96</v>
      </c>
      <c r="AC297" s="70" t="s">
        <v>230</v>
      </c>
      <c r="AD297" s="70">
        <v>67</v>
      </c>
      <c r="AE297" s="70">
        <v>62</v>
      </c>
      <c r="AF297" s="70">
        <v>129</v>
      </c>
      <c r="AG297" s="72">
        <f t="shared" si="267"/>
        <v>0.51937984496124034</v>
      </c>
      <c r="AH297" s="73">
        <f t="shared" si="268"/>
        <v>-32.480620155038757</v>
      </c>
      <c r="AI297" s="74">
        <v>2</v>
      </c>
      <c r="AJ297" s="79" t="s">
        <v>645</v>
      </c>
      <c r="AK297" s="76" t="s">
        <v>753</v>
      </c>
      <c r="AL297" s="67"/>
      <c r="AM297" s="506"/>
      <c r="AN297" s="505"/>
      <c r="AO297" s="515"/>
    </row>
    <row r="298" spans="1:41" ht="14.5">
      <c r="A298" s="58">
        <v>43001</v>
      </c>
      <c r="B298" s="59" t="s">
        <v>615</v>
      </c>
      <c r="C298" s="60" t="s">
        <v>241</v>
      </c>
      <c r="D298" s="60" t="s">
        <v>789</v>
      </c>
      <c r="E298" s="100">
        <v>5</v>
      </c>
      <c r="F298" s="101">
        <v>3</v>
      </c>
      <c r="G298" s="101">
        <v>11</v>
      </c>
      <c r="H298" s="60">
        <v>19</v>
      </c>
      <c r="I298" s="60">
        <v>30</v>
      </c>
      <c r="J298" s="60">
        <v>49</v>
      </c>
      <c r="K298" s="60">
        <v>0.38779999999999998</v>
      </c>
      <c r="L298" s="60">
        <f t="shared" si="263"/>
        <v>-13.6122</v>
      </c>
      <c r="M298" s="64">
        <f t="shared" si="284"/>
        <v>13</v>
      </c>
      <c r="N298" s="65" t="s">
        <v>243</v>
      </c>
      <c r="O298" s="60" t="s">
        <v>790</v>
      </c>
      <c r="P298" s="102"/>
      <c r="Q298" s="66"/>
      <c r="R298" s="103">
        <v>7</v>
      </c>
      <c r="S298" s="103">
        <v>11</v>
      </c>
      <c r="T298" s="103"/>
      <c r="U298" s="103"/>
      <c r="V298" s="67"/>
      <c r="W298" s="104"/>
      <c r="X298" s="67">
        <f t="shared" ref="X298:Y298" si="310">(P298+R298+T298+V298)</f>
        <v>7</v>
      </c>
      <c r="Y298" s="67">
        <f t="shared" si="310"/>
        <v>11</v>
      </c>
      <c r="Z298" s="68">
        <f t="shared" si="265"/>
        <v>18</v>
      </c>
      <c r="AA298" s="69" t="str">
        <f t="shared" si="266"/>
        <v>3A</v>
      </c>
      <c r="AB298" s="70" t="s">
        <v>789</v>
      </c>
      <c r="AC298" s="70" t="s">
        <v>248</v>
      </c>
      <c r="AD298" s="70">
        <v>19</v>
      </c>
      <c r="AE298" s="70">
        <v>30</v>
      </c>
      <c r="AF298" s="70">
        <v>49</v>
      </c>
      <c r="AG298" s="72">
        <f t="shared" si="267"/>
        <v>0.38775510204081631</v>
      </c>
      <c r="AH298" s="73">
        <f t="shared" si="268"/>
        <v>-80.612244897959187</v>
      </c>
      <c r="AI298" s="74">
        <v>13</v>
      </c>
      <c r="AJ298" s="79" t="s">
        <v>774</v>
      </c>
      <c r="AK298" s="76" t="s">
        <v>791</v>
      </c>
      <c r="AL298" s="67"/>
      <c r="AM298" s="506"/>
      <c r="AN298" s="505"/>
      <c r="AO298" s="515"/>
    </row>
    <row r="299" spans="1:41" ht="14.5">
      <c r="A299" s="58">
        <v>43001</v>
      </c>
      <c r="B299" s="59" t="s">
        <v>615</v>
      </c>
      <c r="C299" s="60" t="s">
        <v>246</v>
      </c>
      <c r="D299" s="60" t="s">
        <v>790</v>
      </c>
      <c r="E299" s="105">
        <v>11</v>
      </c>
      <c r="F299" s="106">
        <v>11</v>
      </c>
      <c r="G299" s="106">
        <v>11</v>
      </c>
      <c r="H299" s="60">
        <v>33</v>
      </c>
      <c r="I299" s="60">
        <v>21</v>
      </c>
      <c r="J299" s="60">
        <v>54</v>
      </c>
      <c r="K299" s="60">
        <v>0.61109999999999998</v>
      </c>
      <c r="L299" s="60">
        <f t="shared" si="263"/>
        <v>0.61109999999999998</v>
      </c>
      <c r="M299" s="64">
        <f t="shared" si="284"/>
        <v>3</v>
      </c>
      <c r="N299" s="65"/>
      <c r="O299" s="60"/>
      <c r="P299" s="102"/>
      <c r="Q299" s="66"/>
      <c r="R299" s="103"/>
      <c r="S299" s="103"/>
      <c r="T299" s="103"/>
      <c r="U299" s="103"/>
      <c r="V299" s="67"/>
      <c r="W299" s="104"/>
      <c r="X299" s="67">
        <f t="shared" ref="X299:Y299" si="311">(P299+R299+T299+V299)</f>
        <v>0</v>
      </c>
      <c r="Y299" s="67">
        <f t="shared" si="311"/>
        <v>0</v>
      </c>
      <c r="Z299" s="68">
        <f t="shared" si="265"/>
        <v>0</v>
      </c>
      <c r="AA299" s="69" t="str">
        <f t="shared" si="266"/>
        <v>3B</v>
      </c>
      <c r="AB299" s="70" t="s">
        <v>790</v>
      </c>
      <c r="AC299" s="70" t="s">
        <v>243</v>
      </c>
      <c r="AD299" s="70">
        <v>40</v>
      </c>
      <c r="AE299" s="70">
        <v>32</v>
      </c>
      <c r="AF299" s="70">
        <v>72</v>
      </c>
      <c r="AG299" s="72">
        <f t="shared" si="267"/>
        <v>0.55555555555555558</v>
      </c>
      <c r="AH299" s="73">
        <f t="shared" si="268"/>
        <v>-59.444444444444443</v>
      </c>
      <c r="AI299" s="74">
        <v>6</v>
      </c>
      <c r="AJ299" s="79" t="s">
        <v>639</v>
      </c>
      <c r="AK299" s="76" t="s">
        <v>747</v>
      </c>
      <c r="AL299" s="67"/>
      <c r="AM299" s="506"/>
      <c r="AN299" s="505"/>
      <c r="AO299" s="515"/>
    </row>
    <row r="300" spans="1:41" ht="14.5">
      <c r="A300" s="58">
        <v>43001</v>
      </c>
      <c r="B300" s="59" t="s">
        <v>615</v>
      </c>
      <c r="C300" s="60" t="s">
        <v>251</v>
      </c>
      <c r="D300" s="60" t="s">
        <v>788</v>
      </c>
      <c r="E300" s="107">
        <v>11</v>
      </c>
      <c r="F300" s="108">
        <v>11</v>
      </c>
      <c r="G300" s="106">
        <v>9</v>
      </c>
      <c r="H300" s="60">
        <v>31</v>
      </c>
      <c r="I300" s="60">
        <v>17</v>
      </c>
      <c r="J300" s="60">
        <v>48</v>
      </c>
      <c r="K300" s="60">
        <v>0.64580000000000004</v>
      </c>
      <c r="L300" s="60">
        <f t="shared" si="263"/>
        <v>-1.3542000000000001</v>
      </c>
      <c r="M300" s="64">
        <f t="shared" si="284"/>
        <v>4</v>
      </c>
      <c r="N300" s="65" t="s">
        <v>230</v>
      </c>
      <c r="O300" s="60" t="s">
        <v>96</v>
      </c>
      <c r="P300" s="102"/>
      <c r="Q300" s="66"/>
      <c r="R300" s="103">
        <v>11</v>
      </c>
      <c r="S300" s="103">
        <v>7</v>
      </c>
      <c r="T300" s="103">
        <v>11</v>
      </c>
      <c r="U300" s="103">
        <v>8</v>
      </c>
      <c r="V300" s="67">
        <v>17</v>
      </c>
      <c r="W300" s="104">
        <v>18</v>
      </c>
      <c r="X300" s="67">
        <f t="shared" ref="X300:Y300" si="312">(P300+R300+T300+V300)</f>
        <v>39</v>
      </c>
      <c r="Y300" s="67">
        <f t="shared" si="312"/>
        <v>33</v>
      </c>
      <c r="Z300" s="68">
        <f t="shared" si="265"/>
        <v>72</v>
      </c>
      <c r="AA300" s="69" t="str">
        <f t="shared" si="266"/>
        <v>3C</v>
      </c>
      <c r="AB300" s="70" t="s">
        <v>788</v>
      </c>
      <c r="AC300" s="70" t="s">
        <v>253</v>
      </c>
      <c r="AD300" s="70">
        <v>40</v>
      </c>
      <c r="AE300" s="70">
        <v>28</v>
      </c>
      <c r="AF300" s="70">
        <v>68</v>
      </c>
      <c r="AG300" s="72">
        <f t="shared" si="267"/>
        <v>0.58823529411764708</v>
      </c>
      <c r="AH300" s="73">
        <f t="shared" si="268"/>
        <v>-59.411764705882355</v>
      </c>
      <c r="AI300" s="74">
        <v>5</v>
      </c>
      <c r="AJ300" s="79" t="s">
        <v>792</v>
      </c>
      <c r="AK300" s="76" t="s">
        <v>793</v>
      </c>
      <c r="AL300" s="67"/>
      <c r="AM300" s="506"/>
      <c r="AN300" s="505"/>
      <c r="AO300" s="515"/>
    </row>
    <row r="301" spans="1:41" ht="14.5">
      <c r="A301" s="58">
        <v>43001</v>
      </c>
      <c r="B301" s="59" t="s">
        <v>615</v>
      </c>
      <c r="C301" s="60" t="s">
        <v>256</v>
      </c>
      <c r="D301" s="60" t="s">
        <v>794</v>
      </c>
      <c r="E301" s="109">
        <v>3</v>
      </c>
      <c r="F301" s="110">
        <v>7</v>
      </c>
      <c r="G301" s="111">
        <v>8</v>
      </c>
      <c r="H301" s="60">
        <v>18</v>
      </c>
      <c r="I301" s="60">
        <v>33</v>
      </c>
      <c r="J301" s="60">
        <v>51</v>
      </c>
      <c r="K301" s="60">
        <v>0.35289999999999999</v>
      </c>
      <c r="L301" s="60">
        <f t="shared" si="263"/>
        <v>-14.6471</v>
      </c>
      <c r="M301" s="64">
        <f t="shared" si="284"/>
        <v>14</v>
      </c>
      <c r="N301" s="90"/>
      <c r="O301" s="89"/>
      <c r="P301" s="112"/>
      <c r="Q301" s="91"/>
      <c r="R301" s="113"/>
      <c r="S301" s="113"/>
      <c r="T301" s="103"/>
      <c r="U301" s="103"/>
      <c r="V301" s="67"/>
      <c r="W301" s="104"/>
      <c r="X301" s="67">
        <f t="shared" ref="X301:Y301" si="313">(P301+R301+T301+V301)</f>
        <v>0</v>
      </c>
      <c r="Y301" s="67">
        <f t="shared" si="313"/>
        <v>0</v>
      </c>
      <c r="Z301" s="68">
        <f t="shared" si="265"/>
        <v>0</v>
      </c>
      <c r="AA301" s="69" t="str">
        <f t="shared" si="266"/>
        <v>3D</v>
      </c>
      <c r="AB301" s="70" t="s">
        <v>794</v>
      </c>
      <c r="AC301" s="70" t="s">
        <v>258</v>
      </c>
      <c r="AD301" s="70">
        <v>18</v>
      </c>
      <c r="AE301" s="70">
        <v>33</v>
      </c>
      <c r="AF301" s="70">
        <v>51</v>
      </c>
      <c r="AG301" s="72">
        <f t="shared" si="267"/>
        <v>0.35294117647058826</v>
      </c>
      <c r="AH301" s="73">
        <f t="shared" si="268"/>
        <v>-81.647058823529406</v>
      </c>
      <c r="AI301" s="74">
        <v>14</v>
      </c>
      <c r="AJ301" s="79" t="s">
        <v>795</v>
      </c>
      <c r="AK301" s="76" t="s">
        <v>796</v>
      </c>
      <c r="AL301" s="67"/>
      <c r="AM301" s="506"/>
      <c r="AN301" s="505"/>
      <c r="AO301" s="515"/>
    </row>
    <row r="302" spans="1:41" ht="14.5">
      <c r="A302" s="58">
        <v>43001</v>
      </c>
      <c r="B302" s="59" t="s">
        <v>615</v>
      </c>
      <c r="C302" s="60" t="s">
        <v>261</v>
      </c>
      <c r="D302" s="60" t="s">
        <v>797</v>
      </c>
      <c r="E302" s="100">
        <v>9</v>
      </c>
      <c r="F302" s="101">
        <v>9</v>
      </c>
      <c r="G302" s="101">
        <v>11</v>
      </c>
      <c r="H302" s="60">
        <v>29</v>
      </c>
      <c r="I302" s="60">
        <v>31</v>
      </c>
      <c r="J302" s="60">
        <v>60</v>
      </c>
      <c r="K302" s="60">
        <v>0.48330000000000001</v>
      </c>
      <c r="L302" s="60">
        <f t="shared" si="263"/>
        <v>-3.5167000000000002</v>
      </c>
      <c r="M302" s="64">
        <f t="shared" si="284"/>
        <v>7</v>
      </c>
      <c r="N302" s="65" t="s">
        <v>263</v>
      </c>
      <c r="O302" s="60" t="s">
        <v>798</v>
      </c>
      <c r="P302" s="102"/>
      <c r="Q302" s="66"/>
      <c r="R302" s="103">
        <v>7</v>
      </c>
      <c r="S302" s="103">
        <v>11</v>
      </c>
      <c r="T302" s="103"/>
      <c r="U302" s="103"/>
      <c r="V302" s="67"/>
      <c r="W302" s="104"/>
      <c r="X302" s="67">
        <f t="shared" ref="X302:Y302" si="314">(P302+R302+T302+V302)</f>
        <v>7</v>
      </c>
      <c r="Y302" s="67">
        <f t="shared" si="314"/>
        <v>11</v>
      </c>
      <c r="Z302" s="68">
        <f t="shared" si="265"/>
        <v>18</v>
      </c>
      <c r="AA302" s="69" t="str">
        <f t="shared" si="266"/>
        <v>4A</v>
      </c>
      <c r="AB302" s="70" t="s">
        <v>797</v>
      </c>
      <c r="AC302" s="70" t="s">
        <v>278</v>
      </c>
      <c r="AD302" s="70">
        <v>29</v>
      </c>
      <c r="AE302" s="70">
        <v>31</v>
      </c>
      <c r="AF302" s="70">
        <v>60</v>
      </c>
      <c r="AG302" s="72">
        <f t="shared" si="267"/>
        <v>0.48333333333333334</v>
      </c>
      <c r="AH302" s="73">
        <f t="shared" si="268"/>
        <v>-70.516666666666666</v>
      </c>
      <c r="AI302" s="74">
        <v>9</v>
      </c>
      <c r="AJ302" s="79" t="s">
        <v>608</v>
      </c>
      <c r="AK302" s="76" t="s">
        <v>535</v>
      </c>
      <c r="AL302" s="67"/>
      <c r="AM302" s="506"/>
      <c r="AN302" s="505"/>
      <c r="AO302" s="515"/>
    </row>
    <row r="303" spans="1:41" ht="14.5">
      <c r="A303" s="58">
        <v>43001</v>
      </c>
      <c r="B303" s="59" t="s">
        <v>615</v>
      </c>
      <c r="C303" s="60" t="s">
        <v>268</v>
      </c>
      <c r="D303" s="60" t="s">
        <v>778</v>
      </c>
      <c r="E303" s="105">
        <v>11</v>
      </c>
      <c r="F303" s="106">
        <v>8</v>
      </c>
      <c r="G303" s="106">
        <v>11</v>
      </c>
      <c r="H303" s="60">
        <v>30</v>
      </c>
      <c r="I303" s="60">
        <v>26</v>
      </c>
      <c r="J303" s="60">
        <v>56</v>
      </c>
      <c r="K303" s="60">
        <v>0.53569999999999995</v>
      </c>
      <c r="L303" s="60">
        <f t="shared" si="263"/>
        <v>-2.4643000000000002</v>
      </c>
      <c r="M303" s="64">
        <f t="shared" si="284"/>
        <v>6</v>
      </c>
      <c r="N303" s="65"/>
      <c r="O303" s="60"/>
      <c r="P303" s="102"/>
      <c r="Q303" s="66"/>
      <c r="R303" s="103"/>
      <c r="S303" s="103"/>
      <c r="T303" s="103"/>
      <c r="U303" s="103"/>
      <c r="V303" s="67"/>
      <c r="W303" s="104"/>
      <c r="X303" s="67">
        <f t="shared" ref="X303:Y303" si="315">(P303+R303+T303+V303)</f>
        <v>0</v>
      </c>
      <c r="Y303" s="67">
        <f t="shared" si="315"/>
        <v>0</v>
      </c>
      <c r="Z303" s="68">
        <f t="shared" si="265"/>
        <v>0</v>
      </c>
      <c r="AA303" s="69" t="str">
        <f t="shared" si="266"/>
        <v>4B</v>
      </c>
      <c r="AB303" s="70" t="s">
        <v>778</v>
      </c>
      <c r="AC303" s="70" t="s">
        <v>265</v>
      </c>
      <c r="AD303" s="70">
        <v>33</v>
      </c>
      <c r="AE303" s="70">
        <v>37</v>
      </c>
      <c r="AF303" s="70">
        <v>70</v>
      </c>
      <c r="AG303" s="72">
        <f t="shared" si="267"/>
        <v>0.47142857142857142</v>
      </c>
      <c r="AH303" s="73">
        <f t="shared" si="268"/>
        <v>-66.528571428571425</v>
      </c>
      <c r="AI303" s="74">
        <v>8</v>
      </c>
      <c r="AJ303" s="79" t="s">
        <v>799</v>
      </c>
      <c r="AK303" s="76" t="s">
        <v>471</v>
      </c>
      <c r="AL303" s="67"/>
      <c r="AM303" s="506"/>
      <c r="AN303" s="505"/>
      <c r="AO303" s="515"/>
    </row>
    <row r="304" spans="1:41" ht="14.5">
      <c r="A304" s="58">
        <v>43001</v>
      </c>
      <c r="B304" s="59" t="s">
        <v>615</v>
      </c>
      <c r="C304" s="60" t="s">
        <v>271</v>
      </c>
      <c r="D304" s="60" t="s">
        <v>800</v>
      </c>
      <c r="E304" s="107">
        <v>4</v>
      </c>
      <c r="F304" s="108">
        <v>11</v>
      </c>
      <c r="G304" s="106">
        <v>6</v>
      </c>
      <c r="H304" s="60">
        <v>21</v>
      </c>
      <c r="I304" s="60">
        <v>31</v>
      </c>
      <c r="J304" s="60">
        <v>52</v>
      </c>
      <c r="K304" s="60">
        <v>0.40379999999999999</v>
      </c>
      <c r="L304" s="60">
        <f t="shared" si="263"/>
        <v>-11.5962</v>
      </c>
      <c r="M304" s="64">
        <f t="shared" si="284"/>
        <v>12</v>
      </c>
      <c r="N304" s="65" t="s">
        <v>218</v>
      </c>
      <c r="O304" s="60" t="s">
        <v>801</v>
      </c>
      <c r="P304" s="102"/>
      <c r="Q304" s="66"/>
      <c r="R304" s="103">
        <v>11</v>
      </c>
      <c r="S304" s="103">
        <v>7</v>
      </c>
      <c r="T304" s="103">
        <v>8</v>
      </c>
      <c r="U304" s="103">
        <v>11</v>
      </c>
      <c r="V304" s="67"/>
      <c r="W304" s="104"/>
      <c r="X304" s="67">
        <f t="shared" ref="X304:Y304" si="316">(P304+R304+T304+V304)</f>
        <v>19</v>
      </c>
      <c r="Y304" s="67">
        <f t="shared" si="316"/>
        <v>18</v>
      </c>
      <c r="Z304" s="68">
        <f t="shared" si="265"/>
        <v>37</v>
      </c>
      <c r="AA304" s="69" t="str">
        <f t="shared" si="266"/>
        <v>4C</v>
      </c>
      <c r="AB304" s="70" t="s">
        <v>800</v>
      </c>
      <c r="AC304" s="70" t="s">
        <v>273</v>
      </c>
      <c r="AD304" s="70">
        <v>21</v>
      </c>
      <c r="AE304" s="70">
        <v>31</v>
      </c>
      <c r="AF304" s="70">
        <v>52</v>
      </c>
      <c r="AG304" s="72">
        <f t="shared" si="267"/>
        <v>0.40384615384615385</v>
      </c>
      <c r="AH304" s="73">
        <f t="shared" si="268"/>
        <v>-78.59615384615384</v>
      </c>
      <c r="AI304" s="74">
        <v>12</v>
      </c>
      <c r="AJ304" s="79" t="s">
        <v>650</v>
      </c>
      <c r="AK304" s="76" t="s">
        <v>802</v>
      </c>
      <c r="AL304" s="67"/>
      <c r="AM304" s="506"/>
      <c r="AN304" s="505"/>
      <c r="AO304" s="515"/>
    </row>
    <row r="305" spans="1:41" ht="14.5">
      <c r="A305" s="87">
        <v>43001</v>
      </c>
      <c r="B305" s="88" t="s">
        <v>615</v>
      </c>
      <c r="C305" s="89" t="s">
        <v>276</v>
      </c>
      <c r="D305" s="89" t="s">
        <v>798</v>
      </c>
      <c r="E305" s="109">
        <v>11</v>
      </c>
      <c r="F305" s="110">
        <v>11</v>
      </c>
      <c r="G305" s="111">
        <v>9</v>
      </c>
      <c r="H305" s="89">
        <v>31</v>
      </c>
      <c r="I305" s="89">
        <v>23</v>
      </c>
      <c r="J305" s="89">
        <v>54</v>
      </c>
      <c r="K305" s="89">
        <v>0.57410000000000005</v>
      </c>
      <c r="L305" s="89">
        <f t="shared" si="263"/>
        <v>-1.4258999999999999</v>
      </c>
      <c r="M305" s="86">
        <f t="shared" si="284"/>
        <v>5</v>
      </c>
      <c r="N305" s="90"/>
      <c r="O305" s="89"/>
      <c r="P305" s="112"/>
      <c r="Q305" s="91"/>
      <c r="R305" s="113"/>
      <c r="S305" s="113"/>
      <c r="T305" s="113"/>
      <c r="U305" s="113"/>
      <c r="V305" s="92"/>
      <c r="W305" s="114"/>
      <c r="X305" s="92">
        <f t="shared" ref="X305:Y305" si="317">(P305+R305+T305+V305)</f>
        <v>0</v>
      </c>
      <c r="Y305" s="92">
        <f t="shared" si="317"/>
        <v>0</v>
      </c>
      <c r="Z305" s="84">
        <f t="shared" si="265"/>
        <v>0</v>
      </c>
      <c r="AA305" s="93" t="str">
        <f t="shared" si="266"/>
        <v>4D</v>
      </c>
      <c r="AB305" s="94" t="s">
        <v>798</v>
      </c>
      <c r="AC305" s="94" t="s">
        <v>263</v>
      </c>
      <c r="AD305" s="94">
        <v>38</v>
      </c>
      <c r="AE305" s="94">
        <v>34</v>
      </c>
      <c r="AF305" s="94">
        <v>72</v>
      </c>
      <c r="AG305" s="95">
        <f t="shared" si="267"/>
        <v>0.52777777777777779</v>
      </c>
      <c r="AH305" s="96">
        <f t="shared" si="268"/>
        <v>-61.472222222222221</v>
      </c>
      <c r="AI305" s="97">
        <v>7</v>
      </c>
      <c r="AJ305" s="98" t="s">
        <v>756</v>
      </c>
      <c r="AK305" s="81" t="s">
        <v>803</v>
      </c>
      <c r="AL305" s="67"/>
      <c r="AM305" s="506"/>
      <c r="AN305" s="505"/>
      <c r="AO305" s="515"/>
    </row>
    <row r="306" spans="1:41" ht="14.5">
      <c r="A306" s="58">
        <v>43002</v>
      </c>
      <c r="B306" s="59" t="s">
        <v>204</v>
      </c>
      <c r="C306" s="60" t="s">
        <v>205</v>
      </c>
      <c r="D306" s="60" t="s">
        <v>804</v>
      </c>
      <c r="E306" s="100">
        <v>11</v>
      </c>
      <c r="F306" s="101">
        <v>7</v>
      </c>
      <c r="G306" s="101">
        <v>4</v>
      </c>
      <c r="H306" s="60">
        <v>22</v>
      </c>
      <c r="I306" s="60">
        <v>24</v>
      </c>
      <c r="J306" s="60">
        <v>46</v>
      </c>
      <c r="K306" s="60">
        <v>0.4783</v>
      </c>
      <c r="L306" s="60">
        <f t="shared" si="263"/>
        <v>-10.521699999999999</v>
      </c>
      <c r="M306" s="64">
        <f t="shared" si="284"/>
        <v>9</v>
      </c>
      <c r="N306" s="65" t="s">
        <v>207</v>
      </c>
      <c r="O306" s="60" t="s">
        <v>805</v>
      </c>
      <c r="P306" s="102"/>
      <c r="Q306" s="66"/>
      <c r="R306" s="103">
        <v>11</v>
      </c>
      <c r="S306" s="103">
        <v>5</v>
      </c>
      <c r="T306" s="103">
        <v>8</v>
      </c>
      <c r="U306" s="103">
        <v>11</v>
      </c>
      <c r="V306" s="67"/>
      <c r="W306" s="104"/>
      <c r="X306" s="67">
        <f t="shared" ref="X306:Y306" si="318">(P306+R306+T306+V306)</f>
        <v>19</v>
      </c>
      <c r="Y306" s="67">
        <f t="shared" si="318"/>
        <v>16</v>
      </c>
      <c r="Z306" s="68">
        <f t="shared" si="265"/>
        <v>35</v>
      </c>
      <c r="AA306" s="69" t="str">
        <f t="shared" si="266"/>
        <v>1A</v>
      </c>
      <c r="AB306" s="70" t="s">
        <v>804</v>
      </c>
      <c r="AC306" s="70" t="s">
        <v>208</v>
      </c>
      <c r="AD306" s="70">
        <v>22</v>
      </c>
      <c r="AE306" s="70">
        <v>24</v>
      </c>
      <c r="AF306" s="70">
        <v>46</v>
      </c>
      <c r="AG306" s="72">
        <f t="shared" si="267"/>
        <v>0.47826086956521741</v>
      </c>
      <c r="AH306" s="73">
        <f t="shared" si="268"/>
        <v>-77.521739130434781</v>
      </c>
      <c r="AI306" s="74">
        <v>9</v>
      </c>
      <c r="AJ306" s="75" t="s">
        <v>748</v>
      </c>
      <c r="AK306" s="76" t="s">
        <v>23</v>
      </c>
      <c r="AL306" s="67"/>
      <c r="AM306" s="506"/>
      <c r="AN306" s="505"/>
      <c r="AO306" s="515"/>
    </row>
    <row r="307" spans="1:41" ht="14.5">
      <c r="A307" s="58">
        <v>43002</v>
      </c>
      <c r="B307" s="59" t="s">
        <v>204</v>
      </c>
      <c r="C307" s="60" t="s">
        <v>211</v>
      </c>
      <c r="D307" s="60" t="s">
        <v>806</v>
      </c>
      <c r="E307" s="105">
        <v>2</v>
      </c>
      <c r="F307" s="106">
        <v>4</v>
      </c>
      <c r="G307" s="106">
        <v>9</v>
      </c>
      <c r="H307" s="60">
        <v>15</v>
      </c>
      <c r="I307" s="60">
        <v>33</v>
      </c>
      <c r="J307" s="60">
        <v>48</v>
      </c>
      <c r="K307" s="60">
        <v>0.3125</v>
      </c>
      <c r="L307" s="60">
        <f t="shared" si="263"/>
        <v>-17.6875</v>
      </c>
      <c r="M307" s="64">
        <f t="shared" si="284"/>
        <v>15</v>
      </c>
      <c r="N307" s="65"/>
      <c r="O307" s="60"/>
      <c r="P307" s="102"/>
      <c r="Q307" s="66"/>
      <c r="R307" s="103"/>
      <c r="S307" s="103"/>
      <c r="T307" s="103"/>
      <c r="U307" s="103"/>
      <c r="V307" s="67"/>
      <c r="W307" s="104"/>
      <c r="X307" s="67">
        <f t="shared" ref="X307:Y307" si="319">(P307+R307+T307+V307)</f>
        <v>0</v>
      </c>
      <c r="Y307" s="67">
        <f t="shared" si="319"/>
        <v>0</v>
      </c>
      <c r="Z307" s="68">
        <f t="shared" si="265"/>
        <v>0</v>
      </c>
      <c r="AA307" s="69" t="str">
        <f t="shared" si="266"/>
        <v>1B</v>
      </c>
      <c r="AB307" s="70" t="s">
        <v>806</v>
      </c>
      <c r="AC307" s="70" t="s">
        <v>213</v>
      </c>
      <c r="AD307" s="70">
        <v>15</v>
      </c>
      <c r="AE307" s="70">
        <v>33</v>
      </c>
      <c r="AF307" s="70">
        <v>48</v>
      </c>
      <c r="AG307" s="72">
        <f t="shared" si="267"/>
        <v>0.3125</v>
      </c>
      <c r="AH307" s="73">
        <f t="shared" si="268"/>
        <v>-84.6875</v>
      </c>
      <c r="AI307" s="74">
        <v>15</v>
      </c>
      <c r="AJ307" s="79" t="s">
        <v>662</v>
      </c>
      <c r="AK307" s="76" t="s">
        <v>459</v>
      </c>
      <c r="AL307" s="67"/>
      <c r="AM307" s="506"/>
      <c r="AN307" s="505"/>
      <c r="AO307" s="515"/>
    </row>
    <row r="308" spans="1:41" ht="14.5">
      <c r="A308" s="58">
        <v>43002</v>
      </c>
      <c r="B308" s="59" t="s">
        <v>204</v>
      </c>
      <c r="C308" s="60" t="s">
        <v>216</v>
      </c>
      <c r="D308" s="60" t="s">
        <v>805</v>
      </c>
      <c r="E308" s="107">
        <v>11</v>
      </c>
      <c r="F308" s="108">
        <v>11</v>
      </c>
      <c r="G308" s="106">
        <v>11</v>
      </c>
      <c r="H308" s="60">
        <v>33</v>
      </c>
      <c r="I308" s="60">
        <v>24</v>
      </c>
      <c r="J308" s="60">
        <v>57</v>
      </c>
      <c r="K308" s="60">
        <v>0.57889999999999997</v>
      </c>
      <c r="L308" s="60">
        <f t="shared" si="263"/>
        <v>0.57889999999999997</v>
      </c>
      <c r="M308" s="64">
        <f t="shared" si="284"/>
        <v>4</v>
      </c>
      <c r="N308" s="65" t="s">
        <v>265</v>
      </c>
      <c r="O308" s="60" t="s">
        <v>807</v>
      </c>
      <c r="P308" s="102"/>
      <c r="Q308" s="66"/>
      <c r="R308" s="103">
        <v>5</v>
      </c>
      <c r="S308" s="103">
        <v>11</v>
      </c>
      <c r="T308" s="103"/>
      <c r="U308" s="103"/>
      <c r="V308" s="67"/>
      <c r="W308" s="104"/>
      <c r="X308" s="67">
        <f t="shared" ref="X308:Y308" si="320">(P308+R308+T308+V308)</f>
        <v>5</v>
      </c>
      <c r="Y308" s="67">
        <f t="shared" si="320"/>
        <v>11</v>
      </c>
      <c r="Z308" s="68">
        <f t="shared" si="265"/>
        <v>16</v>
      </c>
      <c r="AA308" s="69" t="str">
        <f t="shared" si="266"/>
        <v>1C</v>
      </c>
      <c r="AB308" s="70" t="s">
        <v>805</v>
      </c>
      <c r="AC308" s="70" t="s">
        <v>207</v>
      </c>
      <c r="AD308" s="70">
        <v>52</v>
      </c>
      <c r="AE308" s="70">
        <v>40</v>
      </c>
      <c r="AF308" s="70">
        <v>92</v>
      </c>
      <c r="AG308" s="72">
        <f t="shared" si="267"/>
        <v>0.56521739130434778</v>
      </c>
      <c r="AH308" s="73">
        <f t="shared" si="268"/>
        <v>-47.434782608695649</v>
      </c>
      <c r="AI308" s="74">
        <v>4</v>
      </c>
      <c r="AJ308" s="79" t="s">
        <v>421</v>
      </c>
      <c r="AK308" s="76" t="s">
        <v>808</v>
      </c>
      <c r="AL308" s="67"/>
      <c r="AM308" s="506"/>
      <c r="AN308" s="505"/>
      <c r="AO308" s="515"/>
    </row>
    <row r="309" spans="1:41" ht="14.5">
      <c r="A309" s="58">
        <v>43002</v>
      </c>
      <c r="B309" s="59" t="s">
        <v>204</v>
      </c>
      <c r="C309" s="60" t="s">
        <v>221</v>
      </c>
      <c r="D309" s="60" t="s">
        <v>809</v>
      </c>
      <c r="E309" s="109">
        <v>8</v>
      </c>
      <c r="F309" s="110">
        <v>11</v>
      </c>
      <c r="G309" s="111">
        <v>11</v>
      </c>
      <c r="H309" s="60">
        <v>30</v>
      </c>
      <c r="I309" s="60">
        <v>19</v>
      </c>
      <c r="J309" s="60">
        <v>49</v>
      </c>
      <c r="K309" s="60">
        <v>0.61219999999999997</v>
      </c>
      <c r="L309" s="60">
        <f t="shared" si="263"/>
        <v>-2.3877999999999999</v>
      </c>
      <c r="M309" s="64">
        <f t="shared" si="284"/>
        <v>6</v>
      </c>
      <c r="N309" s="90"/>
      <c r="O309" s="89"/>
      <c r="P309" s="112"/>
      <c r="Q309" s="91"/>
      <c r="R309" s="113"/>
      <c r="S309" s="113"/>
      <c r="T309" s="103"/>
      <c r="U309" s="103"/>
      <c r="V309" s="67"/>
      <c r="W309" s="104"/>
      <c r="X309" s="67">
        <f t="shared" ref="X309:Y309" si="321">(P309+R309+T309+V309)</f>
        <v>0</v>
      </c>
      <c r="Y309" s="67">
        <f t="shared" si="321"/>
        <v>0</v>
      </c>
      <c r="Z309" s="68">
        <f t="shared" si="265"/>
        <v>0</v>
      </c>
      <c r="AA309" s="69" t="str">
        <f t="shared" si="266"/>
        <v>1D</v>
      </c>
      <c r="AB309" s="70" t="s">
        <v>809</v>
      </c>
      <c r="AC309" s="70" t="s">
        <v>218</v>
      </c>
      <c r="AD309" s="70">
        <v>39</v>
      </c>
      <c r="AE309" s="70">
        <v>30</v>
      </c>
      <c r="AF309" s="70">
        <v>69</v>
      </c>
      <c r="AG309" s="72">
        <f t="shared" si="267"/>
        <v>0.56521739130434778</v>
      </c>
      <c r="AH309" s="73">
        <f t="shared" si="268"/>
        <v>-60.434782608695649</v>
      </c>
      <c r="AI309" s="74">
        <v>5</v>
      </c>
      <c r="AJ309" s="79" t="s">
        <v>227</v>
      </c>
      <c r="AK309" s="76" t="s">
        <v>810</v>
      </c>
      <c r="AL309" s="67"/>
      <c r="AM309" s="506"/>
      <c r="AN309" s="505"/>
      <c r="AO309" s="515"/>
    </row>
    <row r="310" spans="1:41" ht="14.5">
      <c r="A310" s="58">
        <v>43002</v>
      </c>
      <c r="B310" s="59" t="s">
        <v>204</v>
      </c>
      <c r="C310" s="60" t="s">
        <v>224</v>
      </c>
      <c r="D310" s="60" t="s">
        <v>811</v>
      </c>
      <c r="E310" s="100">
        <v>5</v>
      </c>
      <c r="F310" s="101">
        <v>5</v>
      </c>
      <c r="G310" s="101">
        <v>11</v>
      </c>
      <c r="H310" s="60">
        <v>21</v>
      </c>
      <c r="I310" s="60">
        <v>30</v>
      </c>
      <c r="J310" s="60">
        <v>51</v>
      </c>
      <c r="K310" s="60">
        <v>0.4118</v>
      </c>
      <c r="L310" s="60">
        <f t="shared" si="263"/>
        <v>-11.588200000000001</v>
      </c>
      <c r="M310" s="64">
        <f t="shared" si="284"/>
        <v>10</v>
      </c>
      <c r="N310" s="65" t="s">
        <v>225</v>
      </c>
      <c r="O310" s="60" t="s">
        <v>99</v>
      </c>
      <c r="P310" s="102"/>
      <c r="Q310" s="66"/>
      <c r="R310" s="103">
        <v>11</v>
      </c>
      <c r="S310" s="103">
        <v>4</v>
      </c>
      <c r="T310" s="103">
        <v>11</v>
      </c>
      <c r="U310" s="103">
        <v>8</v>
      </c>
      <c r="V310" s="67">
        <v>14</v>
      </c>
      <c r="W310" s="104">
        <v>12</v>
      </c>
      <c r="X310" s="67">
        <f t="shared" ref="X310:Y310" si="322">(P310+R310+T310+V310)</f>
        <v>36</v>
      </c>
      <c r="Y310" s="67">
        <f t="shared" si="322"/>
        <v>24</v>
      </c>
      <c r="Z310" s="68">
        <f t="shared" si="265"/>
        <v>60</v>
      </c>
      <c r="AA310" s="69" t="str">
        <f t="shared" si="266"/>
        <v>2A</v>
      </c>
      <c r="AB310" s="70" t="s">
        <v>811</v>
      </c>
      <c r="AC310" s="70" t="s">
        <v>239</v>
      </c>
      <c r="AD310" s="70">
        <v>21</v>
      </c>
      <c r="AE310" s="70">
        <v>30</v>
      </c>
      <c r="AF310" s="70">
        <v>51</v>
      </c>
      <c r="AG310" s="72">
        <f t="shared" si="267"/>
        <v>0.41176470588235292</v>
      </c>
      <c r="AH310" s="73">
        <f t="shared" si="268"/>
        <v>-78.588235294117652</v>
      </c>
      <c r="AI310" s="74">
        <v>10</v>
      </c>
      <c r="AJ310" s="79" t="s">
        <v>812</v>
      </c>
      <c r="AK310" s="76" t="s">
        <v>658</v>
      </c>
      <c r="AL310" s="67"/>
      <c r="AM310" s="506"/>
      <c r="AN310" s="505"/>
      <c r="AO310" s="515"/>
    </row>
    <row r="311" spans="1:41" ht="14.5">
      <c r="A311" s="58">
        <v>43002</v>
      </c>
      <c r="B311" s="59" t="s">
        <v>204</v>
      </c>
      <c r="C311" s="60" t="s">
        <v>228</v>
      </c>
      <c r="D311" s="60" t="s">
        <v>99</v>
      </c>
      <c r="E311" s="105">
        <v>11</v>
      </c>
      <c r="F311" s="106">
        <v>11</v>
      </c>
      <c r="G311" s="106">
        <v>11</v>
      </c>
      <c r="H311" s="60">
        <v>33</v>
      </c>
      <c r="I311" s="60">
        <v>17</v>
      </c>
      <c r="J311" s="60">
        <v>50</v>
      </c>
      <c r="K311" s="60">
        <v>0.66</v>
      </c>
      <c r="L311" s="60">
        <f t="shared" si="263"/>
        <v>0.66</v>
      </c>
      <c r="M311" s="64">
        <f t="shared" si="284"/>
        <v>3</v>
      </c>
      <c r="N311" s="65"/>
      <c r="O311" s="60"/>
      <c r="P311" s="102"/>
      <c r="Q311" s="66"/>
      <c r="R311" s="103"/>
      <c r="S311" s="103"/>
      <c r="T311" s="103"/>
      <c r="U311" s="103"/>
      <c r="V311" s="67"/>
      <c r="W311" s="104"/>
      <c r="X311" s="67">
        <f t="shared" ref="X311:Y311" si="323">(P311+R311+T311+V311)</f>
        <v>0</v>
      </c>
      <c r="Y311" s="67">
        <f t="shared" si="323"/>
        <v>0</v>
      </c>
      <c r="Z311" s="68">
        <f t="shared" si="265"/>
        <v>0</v>
      </c>
      <c r="AA311" s="69" t="str">
        <f t="shared" si="266"/>
        <v>2B</v>
      </c>
      <c r="AB311" s="70" t="s">
        <v>99</v>
      </c>
      <c r="AC311" s="70" t="s">
        <v>225</v>
      </c>
      <c r="AD311" s="70">
        <v>69</v>
      </c>
      <c r="AE311" s="70">
        <v>41</v>
      </c>
      <c r="AF311" s="70">
        <v>110</v>
      </c>
      <c r="AG311" s="72">
        <f t="shared" si="267"/>
        <v>0.62727272727272732</v>
      </c>
      <c r="AH311" s="73">
        <f t="shared" si="268"/>
        <v>-30.372727272727271</v>
      </c>
      <c r="AI311" s="74">
        <v>1</v>
      </c>
      <c r="AJ311" s="79" t="s">
        <v>543</v>
      </c>
      <c r="AK311" s="76" t="s">
        <v>438</v>
      </c>
      <c r="AL311" s="67"/>
      <c r="AM311" s="506"/>
      <c r="AN311" s="505"/>
      <c r="AO311" s="515"/>
    </row>
    <row r="312" spans="1:41" ht="14.5">
      <c r="A312" s="58">
        <v>43002</v>
      </c>
      <c r="B312" s="59" t="s">
        <v>204</v>
      </c>
      <c r="C312" s="60" t="s">
        <v>232</v>
      </c>
      <c r="D312" s="60" t="s">
        <v>813</v>
      </c>
      <c r="E312" s="107">
        <v>11</v>
      </c>
      <c r="F312" s="108">
        <v>11</v>
      </c>
      <c r="G312" s="106">
        <v>6</v>
      </c>
      <c r="H312" s="60">
        <v>28</v>
      </c>
      <c r="I312" s="60">
        <v>21</v>
      </c>
      <c r="J312" s="60">
        <v>49</v>
      </c>
      <c r="K312" s="60">
        <v>0.57140000000000002</v>
      </c>
      <c r="L312" s="60">
        <f t="shared" si="263"/>
        <v>-4.4286000000000003</v>
      </c>
      <c r="M312" s="64">
        <f t="shared" si="284"/>
        <v>7</v>
      </c>
      <c r="N312" s="65" t="s">
        <v>253</v>
      </c>
      <c r="O312" s="60" t="s">
        <v>814</v>
      </c>
      <c r="P312" s="102"/>
      <c r="Q312" s="66"/>
      <c r="R312" s="103">
        <v>4</v>
      </c>
      <c r="S312" s="103">
        <v>11</v>
      </c>
      <c r="T312" s="103"/>
      <c r="U312" s="103"/>
      <c r="V312" s="67"/>
      <c r="W312" s="104"/>
      <c r="X312" s="67">
        <f t="shared" ref="X312:Y312" si="324">(P312+R312+T312+V312)</f>
        <v>4</v>
      </c>
      <c r="Y312" s="67">
        <f t="shared" si="324"/>
        <v>11</v>
      </c>
      <c r="Z312" s="68">
        <f t="shared" si="265"/>
        <v>15</v>
      </c>
      <c r="AA312" s="69" t="str">
        <f t="shared" si="266"/>
        <v>2C</v>
      </c>
      <c r="AB312" s="70" t="s">
        <v>813</v>
      </c>
      <c r="AC312" s="70" t="s">
        <v>230</v>
      </c>
      <c r="AD312" s="70">
        <v>37</v>
      </c>
      <c r="AE312" s="70">
        <v>32</v>
      </c>
      <c r="AF312" s="70">
        <v>69</v>
      </c>
      <c r="AG312" s="72">
        <f t="shared" si="267"/>
        <v>0.53623188405797106</v>
      </c>
      <c r="AH312" s="73">
        <f t="shared" si="268"/>
        <v>-62.463768115942031</v>
      </c>
      <c r="AI312" s="74">
        <v>7</v>
      </c>
      <c r="AJ312" s="79" t="s">
        <v>282</v>
      </c>
      <c r="AK312" s="76" t="s">
        <v>815</v>
      </c>
      <c r="AL312" s="67"/>
      <c r="AM312" s="506"/>
      <c r="AN312" s="505"/>
      <c r="AO312" s="515"/>
    </row>
    <row r="313" spans="1:41" ht="14.5">
      <c r="A313" s="58">
        <v>43002</v>
      </c>
      <c r="B313" s="59" t="s">
        <v>204</v>
      </c>
      <c r="C313" s="60" t="s">
        <v>237</v>
      </c>
      <c r="D313" s="60" t="s">
        <v>816</v>
      </c>
      <c r="E313" s="109">
        <v>5</v>
      </c>
      <c r="F313" s="110">
        <v>6</v>
      </c>
      <c r="G313" s="111">
        <v>8</v>
      </c>
      <c r="H313" s="60">
        <v>19</v>
      </c>
      <c r="I313" s="60">
        <v>33</v>
      </c>
      <c r="J313" s="60">
        <v>52</v>
      </c>
      <c r="K313" s="60">
        <v>0.3654</v>
      </c>
      <c r="L313" s="60">
        <f t="shared" si="263"/>
        <v>-13.634600000000001</v>
      </c>
      <c r="M313" s="64">
        <f t="shared" si="284"/>
        <v>12</v>
      </c>
      <c r="N313" s="90"/>
      <c r="O313" s="89"/>
      <c r="P313" s="112"/>
      <c r="Q313" s="91"/>
      <c r="R313" s="113"/>
      <c r="S313" s="113"/>
      <c r="T313" s="113"/>
      <c r="U313" s="113"/>
      <c r="V313" s="67"/>
      <c r="W313" s="104"/>
      <c r="X313" s="67">
        <f t="shared" ref="X313:Y313" si="325">(P313+R313+T313+V313)</f>
        <v>0</v>
      </c>
      <c r="Y313" s="67">
        <f t="shared" si="325"/>
        <v>0</v>
      </c>
      <c r="Z313" s="68">
        <f t="shared" si="265"/>
        <v>0</v>
      </c>
      <c r="AA313" s="69" t="str">
        <f t="shared" si="266"/>
        <v>2D</v>
      </c>
      <c r="AB313" s="70" t="s">
        <v>816</v>
      </c>
      <c r="AC313" s="70" t="s">
        <v>234</v>
      </c>
      <c r="AD313" s="70">
        <v>19</v>
      </c>
      <c r="AE313" s="70">
        <v>33</v>
      </c>
      <c r="AF313" s="70">
        <v>52</v>
      </c>
      <c r="AG313" s="72">
        <f t="shared" si="267"/>
        <v>0.36538461538461536</v>
      </c>
      <c r="AH313" s="73">
        <f t="shared" si="268"/>
        <v>-80.634615384615387</v>
      </c>
      <c r="AI313" s="74">
        <v>12</v>
      </c>
      <c r="AJ313" s="79" t="s">
        <v>505</v>
      </c>
      <c r="AK313" s="76" t="s">
        <v>817</v>
      </c>
      <c r="AL313" s="67"/>
      <c r="AM313" s="506"/>
      <c r="AN313" s="505"/>
      <c r="AO313" s="515"/>
    </row>
    <row r="314" spans="1:41" ht="14.5">
      <c r="A314" s="58">
        <v>43002</v>
      </c>
      <c r="B314" s="59" t="s">
        <v>204</v>
      </c>
      <c r="C314" s="60" t="s">
        <v>241</v>
      </c>
      <c r="D314" s="60" t="s">
        <v>818</v>
      </c>
      <c r="E314" s="100">
        <v>11</v>
      </c>
      <c r="F314" s="101">
        <v>2</v>
      </c>
      <c r="G314" s="101">
        <v>5</v>
      </c>
      <c r="H314" s="60">
        <v>18</v>
      </c>
      <c r="I314" s="60">
        <v>31</v>
      </c>
      <c r="J314" s="60">
        <v>49</v>
      </c>
      <c r="K314" s="60">
        <v>0.36730000000000002</v>
      </c>
      <c r="L314" s="60">
        <f t="shared" si="263"/>
        <v>-14.6327</v>
      </c>
      <c r="M314" s="64">
        <f t="shared" si="284"/>
        <v>13</v>
      </c>
      <c r="N314" s="65" t="s">
        <v>243</v>
      </c>
      <c r="O314" s="60" t="s">
        <v>819</v>
      </c>
      <c r="P314" s="102"/>
      <c r="Q314" s="66"/>
      <c r="R314" s="103">
        <v>11</v>
      </c>
      <c r="S314" s="103">
        <v>9</v>
      </c>
      <c r="T314" s="103">
        <v>8</v>
      </c>
      <c r="U314" s="103">
        <v>11</v>
      </c>
      <c r="V314" s="67"/>
      <c r="W314" s="104"/>
      <c r="X314" s="67">
        <f t="shared" ref="X314:Y314" si="326">(P314+R314+T314+V314)</f>
        <v>19</v>
      </c>
      <c r="Y314" s="67">
        <f t="shared" si="326"/>
        <v>20</v>
      </c>
      <c r="Z314" s="68">
        <f t="shared" si="265"/>
        <v>39</v>
      </c>
      <c r="AA314" s="69" t="str">
        <f t="shared" si="266"/>
        <v>3A</v>
      </c>
      <c r="AB314" s="70" t="s">
        <v>818</v>
      </c>
      <c r="AC314" s="70" t="s">
        <v>248</v>
      </c>
      <c r="AD314" s="70">
        <v>18</v>
      </c>
      <c r="AE314" s="70">
        <v>31</v>
      </c>
      <c r="AF314" s="70">
        <v>49</v>
      </c>
      <c r="AG314" s="72">
        <f t="shared" si="267"/>
        <v>0.36734693877551022</v>
      </c>
      <c r="AH314" s="73">
        <f t="shared" si="268"/>
        <v>-81.632653061224488</v>
      </c>
      <c r="AI314" s="74">
        <v>13</v>
      </c>
      <c r="AJ314" s="75" t="s">
        <v>676</v>
      </c>
      <c r="AK314" s="76" t="s">
        <v>476</v>
      </c>
      <c r="AL314" s="67"/>
      <c r="AM314" s="506"/>
      <c r="AN314" s="505"/>
      <c r="AO314" s="515"/>
    </row>
    <row r="315" spans="1:41" ht="14.5">
      <c r="A315" s="58">
        <v>43002</v>
      </c>
      <c r="B315" s="59" t="s">
        <v>204</v>
      </c>
      <c r="C315" s="60" t="s">
        <v>246</v>
      </c>
      <c r="D315" s="60" t="s">
        <v>814</v>
      </c>
      <c r="E315" s="105">
        <v>9</v>
      </c>
      <c r="F315" s="106">
        <v>11</v>
      </c>
      <c r="G315" s="106">
        <v>8</v>
      </c>
      <c r="H315" s="60">
        <v>28</v>
      </c>
      <c r="I315" s="60">
        <v>23</v>
      </c>
      <c r="J315" s="60">
        <v>51</v>
      </c>
      <c r="K315" s="60">
        <v>0.54900000000000004</v>
      </c>
      <c r="L315" s="60">
        <f t="shared" si="263"/>
        <v>-4.4509999999999996</v>
      </c>
      <c r="M315" s="64">
        <f t="shared" si="284"/>
        <v>8</v>
      </c>
      <c r="N315" s="65"/>
      <c r="O315" s="60"/>
      <c r="P315" s="102"/>
      <c r="Q315" s="66"/>
      <c r="R315" s="103"/>
      <c r="S315" s="103"/>
      <c r="T315" s="103"/>
      <c r="U315" s="103"/>
      <c r="V315" s="67"/>
      <c r="W315" s="104"/>
      <c r="X315" s="67">
        <f t="shared" ref="X315:Y315" si="327">(P315+R315+T315+V315)</f>
        <v>0</v>
      </c>
      <c r="Y315" s="67">
        <f t="shared" si="327"/>
        <v>0</v>
      </c>
      <c r="Z315" s="68">
        <f t="shared" si="265"/>
        <v>0</v>
      </c>
      <c r="AA315" s="69" t="str">
        <f t="shared" si="266"/>
        <v>3B</v>
      </c>
      <c r="AB315" s="70" t="s">
        <v>814</v>
      </c>
      <c r="AC315" s="70" t="s">
        <v>253</v>
      </c>
      <c r="AD315" s="70">
        <v>32</v>
      </c>
      <c r="AE315" s="70">
        <v>34</v>
      </c>
      <c r="AF315" s="70">
        <v>66</v>
      </c>
      <c r="AG315" s="72">
        <f t="shared" si="267"/>
        <v>0.48484848484848486</v>
      </c>
      <c r="AH315" s="73">
        <f t="shared" si="268"/>
        <v>-67.515151515151516</v>
      </c>
      <c r="AI315" s="74">
        <v>8</v>
      </c>
      <c r="AJ315" s="79" t="s">
        <v>464</v>
      </c>
      <c r="AK315" s="76" t="s">
        <v>820</v>
      </c>
      <c r="AL315" s="67"/>
      <c r="AM315" s="506"/>
      <c r="AN315" s="505"/>
      <c r="AO315" s="515"/>
    </row>
    <row r="316" spans="1:41" ht="14.5">
      <c r="A316" s="58">
        <v>43002</v>
      </c>
      <c r="B316" s="59" t="s">
        <v>204</v>
      </c>
      <c r="C316" s="60" t="s">
        <v>251</v>
      </c>
      <c r="D316" s="60" t="s">
        <v>819</v>
      </c>
      <c r="E316" s="107">
        <v>11</v>
      </c>
      <c r="F316" s="108">
        <v>11</v>
      </c>
      <c r="G316" s="106">
        <v>11</v>
      </c>
      <c r="H316" s="60">
        <v>33</v>
      </c>
      <c r="I316" s="60">
        <v>14</v>
      </c>
      <c r="J316" s="60">
        <v>47</v>
      </c>
      <c r="K316" s="60">
        <v>0.70209999999999995</v>
      </c>
      <c r="L316" s="60">
        <f t="shared" si="263"/>
        <v>0.70209999999999995</v>
      </c>
      <c r="M316" s="64">
        <f t="shared" si="284"/>
        <v>1</v>
      </c>
      <c r="N316" s="65" t="s">
        <v>230</v>
      </c>
      <c r="O316" s="60" t="s">
        <v>813</v>
      </c>
      <c r="P316" s="102"/>
      <c r="Q316" s="66"/>
      <c r="R316" s="103">
        <v>9</v>
      </c>
      <c r="S316" s="103">
        <v>11</v>
      </c>
      <c r="T316" s="103"/>
      <c r="U316" s="103"/>
      <c r="V316" s="67"/>
      <c r="W316" s="104"/>
      <c r="X316" s="67">
        <f t="shared" ref="X316:Y316" si="328">(P316+R316+T316+V316)</f>
        <v>9</v>
      </c>
      <c r="Y316" s="67">
        <f t="shared" si="328"/>
        <v>11</v>
      </c>
      <c r="Z316" s="68">
        <f t="shared" si="265"/>
        <v>20</v>
      </c>
      <c r="AA316" s="69" t="str">
        <f t="shared" si="266"/>
        <v>3C</v>
      </c>
      <c r="AB316" s="70" t="s">
        <v>819</v>
      </c>
      <c r="AC316" s="70" t="s">
        <v>243</v>
      </c>
      <c r="AD316" s="70">
        <v>52</v>
      </c>
      <c r="AE316" s="70">
        <v>34</v>
      </c>
      <c r="AF316" s="70">
        <v>86</v>
      </c>
      <c r="AG316" s="72">
        <f t="shared" si="267"/>
        <v>0.60465116279069764</v>
      </c>
      <c r="AH316" s="73">
        <f t="shared" si="268"/>
        <v>-47.395348837209305</v>
      </c>
      <c r="AI316" s="74">
        <v>3</v>
      </c>
      <c r="AJ316" s="79" t="s">
        <v>358</v>
      </c>
      <c r="AK316" s="76" t="s">
        <v>821</v>
      </c>
      <c r="AL316" s="67"/>
      <c r="AM316" s="506"/>
      <c r="AN316" s="505"/>
      <c r="AO316" s="515"/>
    </row>
    <row r="317" spans="1:41" ht="14.5">
      <c r="A317" s="58">
        <v>43002</v>
      </c>
      <c r="B317" s="59" t="s">
        <v>204</v>
      </c>
      <c r="C317" s="60" t="s">
        <v>256</v>
      </c>
      <c r="D317" s="60" t="s">
        <v>822</v>
      </c>
      <c r="E317" s="109">
        <v>4</v>
      </c>
      <c r="F317" s="110">
        <v>1</v>
      </c>
      <c r="G317" s="111">
        <v>11</v>
      </c>
      <c r="H317" s="60">
        <v>16</v>
      </c>
      <c r="I317" s="60">
        <v>27</v>
      </c>
      <c r="J317" s="60">
        <v>43</v>
      </c>
      <c r="K317" s="60">
        <v>0.37209999999999999</v>
      </c>
      <c r="L317" s="60">
        <f t="shared" si="263"/>
        <v>-16.6279</v>
      </c>
      <c r="M317" s="64">
        <f t="shared" si="284"/>
        <v>14</v>
      </c>
      <c r="N317" s="90"/>
      <c r="O317" s="89"/>
      <c r="P317" s="112"/>
      <c r="Q317" s="91"/>
      <c r="R317" s="113"/>
      <c r="S317" s="113"/>
      <c r="T317" s="103"/>
      <c r="U317" s="103"/>
      <c r="V317" s="67"/>
      <c r="W317" s="104"/>
      <c r="X317" s="67">
        <f t="shared" ref="X317:Y317" si="329">(P317+R317+T317+V317)</f>
        <v>0</v>
      </c>
      <c r="Y317" s="67">
        <f t="shared" si="329"/>
        <v>0</v>
      </c>
      <c r="Z317" s="68">
        <f t="shared" si="265"/>
        <v>0</v>
      </c>
      <c r="AA317" s="69" t="str">
        <f t="shared" si="266"/>
        <v>3D</v>
      </c>
      <c r="AB317" s="70" t="s">
        <v>822</v>
      </c>
      <c r="AC317" s="70" t="s">
        <v>258</v>
      </c>
      <c r="AD317" s="70">
        <v>16</v>
      </c>
      <c r="AE317" s="70">
        <v>27</v>
      </c>
      <c r="AF317" s="70">
        <v>43</v>
      </c>
      <c r="AG317" s="72">
        <f t="shared" si="267"/>
        <v>0.37209302325581395</v>
      </c>
      <c r="AH317" s="73">
        <f t="shared" si="268"/>
        <v>-83.627906976744185</v>
      </c>
      <c r="AI317" s="74">
        <v>14</v>
      </c>
      <c r="AJ317" s="79" t="s">
        <v>369</v>
      </c>
      <c r="AK317" s="76" t="s">
        <v>267</v>
      </c>
      <c r="AL317" s="67"/>
      <c r="AM317" s="506"/>
      <c r="AN317" s="505"/>
      <c r="AO317" s="515"/>
    </row>
    <row r="318" spans="1:41" ht="14.5">
      <c r="A318" s="58">
        <v>43002</v>
      </c>
      <c r="B318" s="59" t="s">
        <v>204</v>
      </c>
      <c r="C318" s="60" t="s">
        <v>261</v>
      </c>
      <c r="D318" s="60" t="s">
        <v>823</v>
      </c>
      <c r="E318" s="100">
        <v>11</v>
      </c>
      <c r="F318" s="101">
        <v>6</v>
      </c>
      <c r="G318" s="101">
        <v>2</v>
      </c>
      <c r="H318" s="60">
        <v>19</v>
      </c>
      <c r="I318" s="60">
        <v>29</v>
      </c>
      <c r="J318" s="60">
        <v>48</v>
      </c>
      <c r="K318" s="60">
        <v>0.39579999999999999</v>
      </c>
      <c r="L318" s="60">
        <f t="shared" si="263"/>
        <v>-13.604200000000001</v>
      </c>
      <c r="M318" s="64">
        <f t="shared" si="284"/>
        <v>11</v>
      </c>
      <c r="N318" s="65" t="s">
        <v>263</v>
      </c>
      <c r="O318" s="60" t="s">
        <v>100</v>
      </c>
      <c r="P318" s="102"/>
      <c r="Q318" s="66"/>
      <c r="R318" s="103">
        <v>11</v>
      </c>
      <c r="S318" s="103">
        <v>9</v>
      </c>
      <c r="T318" s="103">
        <v>11</v>
      </c>
      <c r="U318" s="103">
        <v>8</v>
      </c>
      <c r="V318" s="67">
        <v>12</v>
      </c>
      <c r="W318" s="104">
        <v>14</v>
      </c>
      <c r="X318" s="67">
        <f t="shared" ref="X318:Y318" si="330">(P318+R318+T318+V318)</f>
        <v>34</v>
      </c>
      <c r="Y318" s="67">
        <f t="shared" si="330"/>
        <v>31</v>
      </c>
      <c r="Z318" s="68">
        <f t="shared" si="265"/>
        <v>65</v>
      </c>
      <c r="AA318" s="69" t="str">
        <f t="shared" si="266"/>
        <v>4A</v>
      </c>
      <c r="AB318" s="70" t="s">
        <v>823</v>
      </c>
      <c r="AC318" s="70" t="s">
        <v>278</v>
      </c>
      <c r="AD318" s="70">
        <v>19</v>
      </c>
      <c r="AE318" s="70">
        <v>29</v>
      </c>
      <c r="AF318" s="70">
        <v>48</v>
      </c>
      <c r="AG318" s="72">
        <f t="shared" si="267"/>
        <v>0.39583333333333331</v>
      </c>
      <c r="AH318" s="73">
        <f t="shared" si="268"/>
        <v>-80.604166666666671</v>
      </c>
      <c r="AI318" s="74">
        <v>11</v>
      </c>
      <c r="AJ318" s="79" t="s">
        <v>484</v>
      </c>
      <c r="AK318" s="76" t="s">
        <v>548</v>
      </c>
      <c r="AL318" s="67"/>
      <c r="AM318" s="506"/>
      <c r="AN318" s="505"/>
      <c r="AO318" s="515"/>
    </row>
    <row r="319" spans="1:41" ht="14.5">
      <c r="A319" s="58">
        <v>43002</v>
      </c>
      <c r="B319" s="59" t="s">
        <v>204</v>
      </c>
      <c r="C319" s="60" t="s">
        <v>268</v>
      </c>
      <c r="D319" s="60" t="s">
        <v>824</v>
      </c>
      <c r="E319" s="105">
        <v>7</v>
      </c>
      <c r="F319" s="106">
        <v>3</v>
      </c>
      <c r="G319" s="106">
        <v>1</v>
      </c>
      <c r="H319" s="60">
        <v>11</v>
      </c>
      <c r="I319" s="60">
        <v>33</v>
      </c>
      <c r="J319" s="60">
        <v>44</v>
      </c>
      <c r="K319" s="60">
        <v>0.25</v>
      </c>
      <c r="L319" s="60">
        <f t="shared" si="263"/>
        <v>-21.75</v>
      </c>
      <c r="M319" s="64">
        <f t="shared" si="284"/>
        <v>16</v>
      </c>
      <c r="N319" s="65"/>
      <c r="O319" s="60"/>
      <c r="P319" s="102"/>
      <c r="Q319" s="66"/>
      <c r="R319" s="103"/>
      <c r="S319" s="103"/>
      <c r="T319" s="103"/>
      <c r="U319" s="103"/>
      <c r="V319" s="67"/>
      <c r="W319" s="104"/>
      <c r="X319" s="67">
        <f t="shared" ref="X319:Y319" si="331">(P319+R319+T319+V319)</f>
        <v>0</v>
      </c>
      <c r="Y319" s="67">
        <f t="shared" si="331"/>
        <v>0</v>
      </c>
      <c r="Z319" s="68">
        <f t="shared" si="265"/>
        <v>0</v>
      </c>
      <c r="AA319" s="69" t="str">
        <f t="shared" si="266"/>
        <v>4B</v>
      </c>
      <c r="AB319" s="70" t="s">
        <v>824</v>
      </c>
      <c r="AC319" s="70" t="s">
        <v>273</v>
      </c>
      <c r="AD319" s="70">
        <v>11</v>
      </c>
      <c r="AE319" s="70">
        <v>33</v>
      </c>
      <c r="AF319" s="70">
        <v>44</v>
      </c>
      <c r="AG319" s="72">
        <f t="shared" si="267"/>
        <v>0.25</v>
      </c>
      <c r="AH319" s="73">
        <f t="shared" si="268"/>
        <v>-88.75</v>
      </c>
      <c r="AI319" s="74">
        <v>16</v>
      </c>
      <c r="AJ319" s="79" t="s">
        <v>825</v>
      </c>
      <c r="AK319" s="76" t="s">
        <v>826</v>
      </c>
      <c r="AL319" s="67"/>
      <c r="AM319" s="506"/>
      <c r="AN319" s="505"/>
      <c r="AO319" s="515"/>
    </row>
    <row r="320" spans="1:41" ht="14.5">
      <c r="A320" s="58">
        <v>43002</v>
      </c>
      <c r="B320" s="59" t="s">
        <v>204</v>
      </c>
      <c r="C320" s="60" t="s">
        <v>271</v>
      </c>
      <c r="D320" s="60" t="s">
        <v>807</v>
      </c>
      <c r="E320" s="107">
        <v>10</v>
      </c>
      <c r="F320" s="108">
        <v>11</v>
      </c>
      <c r="G320" s="106">
        <v>11</v>
      </c>
      <c r="H320" s="60">
        <v>32</v>
      </c>
      <c r="I320" s="60">
        <v>18</v>
      </c>
      <c r="J320" s="60">
        <v>50</v>
      </c>
      <c r="K320" s="60">
        <v>0.64</v>
      </c>
      <c r="L320" s="60">
        <f t="shared" si="263"/>
        <v>-0.36</v>
      </c>
      <c r="M320" s="64">
        <f t="shared" si="284"/>
        <v>5</v>
      </c>
      <c r="N320" s="65" t="s">
        <v>218</v>
      </c>
      <c r="O320" s="60" t="s">
        <v>809</v>
      </c>
      <c r="P320" s="102"/>
      <c r="Q320" s="66"/>
      <c r="R320" s="103">
        <v>9</v>
      </c>
      <c r="S320" s="103">
        <v>11</v>
      </c>
      <c r="T320" s="103"/>
      <c r="U320" s="103"/>
      <c r="V320" s="67"/>
      <c r="W320" s="104"/>
      <c r="X320" s="67">
        <f t="shared" ref="X320:Y320" si="332">(P320+R320+T320+V320)</f>
        <v>9</v>
      </c>
      <c r="Y320" s="67">
        <f t="shared" si="332"/>
        <v>11</v>
      </c>
      <c r="Z320" s="68">
        <f t="shared" si="265"/>
        <v>20</v>
      </c>
      <c r="AA320" s="69" t="str">
        <f t="shared" si="266"/>
        <v>4C</v>
      </c>
      <c r="AB320" s="70" t="s">
        <v>807</v>
      </c>
      <c r="AC320" s="70" t="s">
        <v>265</v>
      </c>
      <c r="AD320" s="70">
        <v>37</v>
      </c>
      <c r="AE320" s="70">
        <v>29</v>
      </c>
      <c r="AF320" s="70">
        <v>66</v>
      </c>
      <c r="AG320" s="72">
        <f t="shared" si="267"/>
        <v>0.56060606060606055</v>
      </c>
      <c r="AH320" s="73">
        <f t="shared" si="268"/>
        <v>-62.439393939393938</v>
      </c>
      <c r="AI320" s="74">
        <v>6</v>
      </c>
      <c r="AJ320" s="79" t="s">
        <v>375</v>
      </c>
      <c r="AK320" s="76" t="s">
        <v>561</v>
      </c>
      <c r="AL320" s="67"/>
      <c r="AM320" s="506"/>
      <c r="AN320" s="505"/>
      <c r="AO320" s="515"/>
    </row>
    <row r="321" spans="1:41" ht="14.5">
      <c r="A321" s="87">
        <v>43002</v>
      </c>
      <c r="B321" s="88" t="s">
        <v>204</v>
      </c>
      <c r="C321" s="89" t="s">
        <v>276</v>
      </c>
      <c r="D321" s="89" t="s">
        <v>100</v>
      </c>
      <c r="E321" s="109">
        <v>11</v>
      </c>
      <c r="F321" s="110">
        <v>11</v>
      </c>
      <c r="G321" s="111">
        <v>11</v>
      </c>
      <c r="H321" s="89">
        <v>33</v>
      </c>
      <c r="I321" s="89">
        <v>15</v>
      </c>
      <c r="J321" s="89">
        <v>48</v>
      </c>
      <c r="K321" s="89">
        <v>0.6875</v>
      </c>
      <c r="L321" s="89">
        <f t="shared" si="263"/>
        <v>0.6875</v>
      </c>
      <c r="M321" s="86">
        <f t="shared" si="284"/>
        <v>2</v>
      </c>
      <c r="N321" s="90"/>
      <c r="O321" s="89"/>
      <c r="P321" s="112"/>
      <c r="Q321" s="91"/>
      <c r="R321" s="113"/>
      <c r="S321" s="113"/>
      <c r="T321" s="113"/>
      <c r="U321" s="113"/>
      <c r="V321" s="92"/>
      <c r="W321" s="114"/>
      <c r="X321" s="92">
        <f t="shared" ref="X321:Y321" si="333">(P321+R321+T321+V321)</f>
        <v>0</v>
      </c>
      <c r="Y321" s="92">
        <f t="shared" si="333"/>
        <v>0</v>
      </c>
      <c r="Z321" s="84">
        <f t="shared" si="265"/>
        <v>0</v>
      </c>
      <c r="AA321" s="93" t="str">
        <f t="shared" si="266"/>
        <v>4D</v>
      </c>
      <c r="AB321" s="94" t="s">
        <v>100</v>
      </c>
      <c r="AC321" s="94" t="s">
        <v>263</v>
      </c>
      <c r="AD321" s="94">
        <v>67</v>
      </c>
      <c r="AE321" s="94">
        <v>46</v>
      </c>
      <c r="AF321" s="94">
        <v>113</v>
      </c>
      <c r="AG321" s="95">
        <f t="shared" si="267"/>
        <v>0.59292035398230092</v>
      </c>
      <c r="AH321" s="96">
        <f t="shared" si="268"/>
        <v>-32.407079646017699</v>
      </c>
      <c r="AI321" s="97">
        <v>2</v>
      </c>
      <c r="AJ321" s="98" t="s">
        <v>827</v>
      </c>
      <c r="AK321" s="81" t="s">
        <v>266</v>
      </c>
      <c r="AL321" s="67"/>
      <c r="AM321" s="506"/>
      <c r="AN321" s="505"/>
      <c r="AO321" s="515"/>
    </row>
    <row r="322" spans="1:41" ht="14.5">
      <c r="A322" s="58">
        <v>43023</v>
      </c>
      <c r="B322" s="59" t="s">
        <v>204</v>
      </c>
      <c r="C322" s="60" t="s">
        <v>205</v>
      </c>
      <c r="D322" s="60" t="s">
        <v>828</v>
      </c>
      <c r="E322" s="100">
        <v>11</v>
      </c>
      <c r="F322" s="101">
        <v>11</v>
      </c>
      <c r="G322" s="101">
        <v>9</v>
      </c>
      <c r="H322" s="60">
        <v>31</v>
      </c>
      <c r="I322" s="60">
        <v>23</v>
      </c>
      <c r="J322" s="60">
        <v>54</v>
      </c>
      <c r="K322" s="60">
        <v>0.57410000000000005</v>
      </c>
      <c r="L322" s="60">
        <f t="shared" si="263"/>
        <v>-1.4258999999999999</v>
      </c>
      <c r="M322" s="64">
        <f t="shared" si="284"/>
        <v>6</v>
      </c>
      <c r="N322" s="65" t="s">
        <v>207</v>
      </c>
      <c r="O322" s="60" t="s">
        <v>829</v>
      </c>
      <c r="P322" s="102"/>
      <c r="Q322" s="66"/>
      <c r="R322" s="103">
        <v>6</v>
      </c>
      <c r="S322" s="103">
        <v>11</v>
      </c>
      <c r="T322" s="103"/>
      <c r="U322" s="103"/>
      <c r="V322" s="67"/>
      <c r="W322" s="104"/>
      <c r="X322" s="67">
        <f t="shared" ref="X322:Y322" si="334">(P322+R322+T322+V322)</f>
        <v>6</v>
      </c>
      <c r="Y322" s="67">
        <f t="shared" si="334"/>
        <v>11</v>
      </c>
      <c r="Z322" s="68">
        <f t="shared" si="265"/>
        <v>17</v>
      </c>
      <c r="AA322" s="69" t="str">
        <f t="shared" si="266"/>
        <v>1A</v>
      </c>
      <c r="AB322" s="70" t="s">
        <v>828</v>
      </c>
      <c r="AC322" s="70" t="s">
        <v>218</v>
      </c>
      <c r="AD322" s="70">
        <v>40</v>
      </c>
      <c r="AE322" s="70">
        <v>34</v>
      </c>
      <c r="AF322" s="70">
        <v>74</v>
      </c>
      <c r="AG322" s="72">
        <f t="shared" si="267"/>
        <v>0.54054054054054057</v>
      </c>
      <c r="AH322" s="73">
        <f t="shared" si="268"/>
        <v>-59.45945945945946</v>
      </c>
      <c r="AI322" s="74">
        <v>6</v>
      </c>
      <c r="AJ322" s="79" t="s">
        <v>566</v>
      </c>
      <c r="AK322" s="76" t="s">
        <v>275</v>
      </c>
      <c r="AL322" s="67"/>
      <c r="AM322" s="506"/>
      <c r="AN322" s="505"/>
      <c r="AO322" s="515"/>
    </row>
    <row r="323" spans="1:41" ht="14.5">
      <c r="A323" s="58">
        <v>43023</v>
      </c>
      <c r="B323" s="59" t="s">
        <v>204</v>
      </c>
      <c r="C323" s="60" t="s">
        <v>211</v>
      </c>
      <c r="D323" s="60" t="s">
        <v>830</v>
      </c>
      <c r="E323" s="105">
        <v>6</v>
      </c>
      <c r="F323" s="106">
        <v>7</v>
      </c>
      <c r="G323" s="106">
        <v>11</v>
      </c>
      <c r="H323" s="60">
        <v>24</v>
      </c>
      <c r="I323" s="60">
        <v>26</v>
      </c>
      <c r="J323" s="60">
        <v>50</v>
      </c>
      <c r="K323" s="60">
        <v>0.48</v>
      </c>
      <c r="L323" s="60">
        <f t="shared" si="263"/>
        <v>-8.52</v>
      </c>
      <c r="M323" s="64">
        <f t="shared" si="284"/>
        <v>11</v>
      </c>
      <c r="N323" s="65"/>
      <c r="O323" s="60"/>
      <c r="P323" s="102"/>
      <c r="Q323" s="66"/>
      <c r="R323" s="103"/>
      <c r="S323" s="103"/>
      <c r="T323" s="103"/>
      <c r="U323" s="103"/>
      <c r="V323" s="67"/>
      <c r="W323" s="104"/>
      <c r="X323" s="67">
        <f t="shared" ref="X323:Y323" si="335">(P323+R323+T323+V323)</f>
        <v>0</v>
      </c>
      <c r="Y323" s="67">
        <f t="shared" si="335"/>
        <v>0</v>
      </c>
      <c r="Z323" s="68">
        <f t="shared" si="265"/>
        <v>0</v>
      </c>
      <c r="AA323" s="69" t="str">
        <f t="shared" si="266"/>
        <v>1B</v>
      </c>
      <c r="AB323" s="70" t="s">
        <v>830</v>
      </c>
      <c r="AC323" s="70" t="s">
        <v>208</v>
      </c>
      <c r="AD323" s="70">
        <v>24</v>
      </c>
      <c r="AE323" s="70">
        <v>26</v>
      </c>
      <c r="AF323" s="70">
        <v>50</v>
      </c>
      <c r="AG323" s="72">
        <f t="shared" si="267"/>
        <v>0.48</v>
      </c>
      <c r="AH323" s="73">
        <f t="shared" si="268"/>
        <v>-75.52</v>
      </c>
      <c r="AI323" s="74">
        <v>11</v>
      </c>
      <c r="AJ323" s="79" t="s">
        <v>734</v>
      </c>
      <c r="AK323" s="76" t="s">
        <v>505</v>
      </c>
      <c r="AL323" s="67"/>
      <c r="AM323" s="506"/>
      <c r="AN323" s="505"/>
      <c r="AO323" s="515"/>
    </row>
    <row r="324" spans="1:41" ht="14.5">
      <c r="A324" s="58">
        <v>43023</v>
      </c>
      <c r="B324" s="59" t="s">
        <v>204</v>
      </c>
      <c r="C324" s="60" t="s">
        <v>216</v>
      </c>
      <c r="D324" s="60" t="s">
        <v>831</v>
      </c>
      <c r="E324" s="107">
        <v>10</v>
      </c>
      <c r="F324" s="108">
        <v>6</v>
      </c>
      <c r="G324" s="106">
        <v>4</v>
      </c>
      <c r="H324" s="60">
        <v>20</v>
      </c>
      <c r="I324" s="60">
        <v>33</v>
      </c>
      <c r="J324" s="60">
        <v>53</v>
      </c>
      <c r="K324" s="60">
        <v>0.37740000000000001</v>
      </c>
      <c r="L324" s="60">
        <f t="shared" si="263"/>
        <v>-12.6226</v>
      </c>
      <c r="M324" s="64">
        <f t="shared" si="284"/>
        <v>14</v>
      </c>
      <c r="N324" s="65" t="s">
        <v>265</v>
      </c>
      <c r="O324" s="60" t="s">
        <v>832</v>
      </c>
      <c r="P324" s="102"/>
      <c r="Q324" s="66"/>
      <c r="R324" s="103">
        <v>11</v>
      </c>
      <c r="S324" s="103">
        <v>6</v>
      </c>
      <c r="T324" s="103">
        <v>7</v>
      </c>
      <c r="U324" s="103">
        <v>11</v>
      </c>
      <c r="V324" s="67"/>
      <c r="W324" s="104"/>
      <c r="X324" s="67">
        <f t="shared" ref="X324:Y324" si="336">(P324+R324+T324+V324)</f>
        <v>18</v>
      </c>
      <c r="Y324" s="67">
        <f t="shared" si="336"/>
        <v>17</v>
      </c>
      <c r="Z324" s="68">
        <f t="shared" si="265"/>
        <v>35</v>
      </c>
      <c r="AA324" s="69" t="str">
        <f t="shared" si="266"/>
        <v>1C</v>
      </c>
      <c r="AB324" s="70" t="s">
        <v>831</v>
      </c>
      <c r="AC324" s="70" t="s">
        <v>213</v>
      </c>
      <c r="AD324" s="70">
        <v>20</v>
      </c>
      <c r="AE324" s="70">
        <v>33</v>
      </c>
      <c r="AF324" s="70">
        <v>53</v>
      </c>
      <c r="AG324" s="72">
        <f t="shared" si="267"/>
        <v>0.37735849056603776</v>
      </c>
      <c r="AH324" s="73">
        <f t="shared" si="268"/>
        <v>-79.622641509433961</v>
      </c>
      <c r="AI324" s="74">
        <v>14</v>
      </c>
      <c r="AJ324" s="79" t="s">
        <v>791</v>
      </c>
      <c r="AK324" s="76" t="s">
        <v>421</v>
      </c>
      <c r="AL324" s="67"/>
      <c r="AM324" s="506"/>
      <c r="AN324" s="505"/>
      <c r="AO324" s="515"/>
    </row>
    <row r="325" spans="1:41" ht="14.5">
      <c r="A325" s="58">
        <v>43023</v>
      </c>
      <c r="B325" s="59" t="s">
        <v>204</v>
      </c>
      <c r="C325" s="60" t="s">
        <v>221</v>
      </c>
      <c r="D325" s="60" t="s">
        <v>829</v>
      </c>
      <c r="E325" s="109">
        <v>11</v>
      </c>
      <c r="F325" s="110">
        <v>11</v>
      </c>
      <c r="G325" s="111">
        <v>11</v>
      </c>
      <c r="H325" s="60">
        <v>33</v>
      </c>
      <c r="I325" s="60">
        <v>26</v>
      </c>
      <c r="J325" s="60">
        <v>59</v>
      </c>
      <c r="K325" s="60">
        <v>0.55930000000000002</v>
      </c>
      <c r="L325" s="60">
        <f t="shared" si="263"/>
        <v>0.55930000000000002</v>
      </c>
      <c r="M325" s="64">
        <f t="shared" si="284"/>
        <v>4</v>
      </c>
      <c r="N325" s="90"/>
      <c r="O325" s="89"/>
      <c r="P325" s="112"/>
      <c r="Q325" s="91"/>
      <c r="R325" s="113"/>
      <c r="S325" s="113"/>
      <c r="T325" s="103"/>
      <c r="U325" s="103"/>
      <c r="V325" s="67"/>
      <c r="W325" s="104"/>
      <c r="X325" s="67">
        <f t="shared" ref="X325:Y325" si="337">(P325+R325+T325+V325)</f>
        <v>0</v>
      </c>
      <c r="Y325" s="67">
        <f t="shared" si="337"/>
        <v>0</v>
      </c>
      <c r="Z325" s="68">
        <f t="shared" si="265"/>
        <v>0</v>
      </c>
      <c r="AA325" s="69" t="str">
        <f t="shared" si="266"/>
        <v>1D</v>
      </c>
      <c r="AB325" s="70" t="s">
        <v>829</v>
      </c>
      <c r="AC325" s="70" t="s">
        <v>207</v>
      </c>
      <c r="AD325" s="70">
        <v>39</v>
      </c>
      <c r="AE325" s="70">
        <v>37</v>
      </c>
      <c r="AF325" s="70">
        <v>76</v>
      </c>
      <c r="AG325" s="72">
        <f t="shared" si="267"/>
        <v>0.51315789473684215</v>
      </c>
      <c r="AH325" s="73">
        <f t="shared" si="268"/>
        <v>-60.486842105263158</v>
      </c>
      <c r="AI325" s="74">
        <v>7</v>
      </c>
      <c r="AJ325" s="79" t="s">
        <v>650</v>
      </c>
      <c r="AK325" s="76" t="s">
        <v>476</v>
      </c>
      <c r="AL325" s="67"/>
      <c r="AM325" s="506"/>
      <c r="AN325" s="505"/>
      <c r="AO325" s="515"/>
    </row>
    <row r="326" spans="1:41" ht="14.5">
      <c r="A326" s="58">
        <v>43023</v>
      </c>
      <c r="B326" s="59" t="s">
        <v>204</v>
      </c>
      <c r="C326" s="60" t="s">
        <v>224</v>
      </c>
      <c r="D326" s="60" t="s">
        <v>103</v>
      </c>
      <c r="E326" s="100">
        <v>11</v>
      </c>
      <c r="F326" s="101">
        <v>11</v>
      </c>
      <c r="G326" s="101">
        <v>11</v>
      </c>
      <c r="H326" s="60">
        <v>33</v>
      </c>
      <c r="I326" s="60">
        <v>12</v>
      </c>
      <c r="J326" s="60">
        <v>45</v>
      </c>
      <c r="K326" s="60">
        <v>0.73329999999999995</v>
      </c>
      <c r="L326" s="60">
        <f t="shared" si="263"/>
        <v>0.73329999999999995</v>
      </c>
      <c r="M326" s="64">
        <f t="shared" si="284"/>
        <v>2</v>
      </c>
      <c r="N326" s="65" t="s">
        <v>225</v>
      </c>
      <c r="O326" s="60" t="s">
        <v>103</v>
      </c>
      <c r="P326" s="102"/>
      <c r="Q326" s="66"/>
      <c r="R326" s="103">
        <v>11</v>
      </c>
      <c r="S326" s="103">
        <v>2</v>
      </c>
      <c r="T326" s="103">
        <v>11</v>
      </c>
      <c r="U326" s="103">
        <v>7</v>
      </c>
      <c r="V326" s="67">
        <v>12</v>
      </c>
      <c r="W326" s="104">
        <v>18</v>
      </c>
      <c r="X326" s="67">
        <f t="shared" ref="X326:Y326" si="338">(P326+R326+T326+V326)</f>
        <v>34</v>
      </c>
      <c r="Y326" s="67">
        <f t="shared" si="338"/>
        <v>27</v>
      </c>
      <c r="Z326" s="68">
        <f t="shared" si="265"/>
        <v>61</v>
      </c>
      <c r="AA326" s="69" t="str">
        <f t="shared" si="266"/>
        <v>2A</v>
      </c>
      <c r="AB326" s="70" t="s">
        <v>103</v>
      </c>
      <c r="AC326" s="70" t="s">
        <v>225</v>
      </c>
      <c r="AD326" s="70">
        <v>67</v>
      </c>
      <c r="AE326" s="70">
        <v>39</v>
      </c>
      <c r="AF326" s="70">
        <v>106</v>
      </c>
      <c r="AG326" s="72">
        <f t="shared" si="267"/>
        <v>0.63207547169811318</v>
      </c>
      <c r="AH326" s="73">
        <f t="shared" si="268"/>
        <v>-32.367924528301884</v>
      </c>
      <c r="AI326" s="74">
        <v>2</v>
      </c>
      <c r="AJ326" s="79" t="s">
        <v>608</v>
      </c>
      <c r="AK326" s="76" t="s">
        <v>375</v>
      </c>
      <c r="AL326" s="67"/>
      <c r="AM326" s="506"/>
      <c r="AN326" s="505"/>
      <c r="AO326" s="515"/>
    </row>
    <row r="327" spans="1:41" ht="14.5">
      <c r="A327" s="58">
        <v>43023</v>
      </c>
      <c r="B327" s="59" t="s">
        <v>204</v>
      </c>
      <c r="C327" s="60" t="s">
        <v>228</v>
      </c>
      <c r="D327" s="60" t="s">
        <v>833</v>
      </c>
      <c r="E327" s="105">
        <v>10</v>
      </c>
      <c r="F327" s="106">
        <v>11</v>
      </c>
      <c r="G327" s="106">
        <v>11</v>
      </c>
      <c r="H327" s="60">
        <v>32</v>
      </c>
      <c r="I327" s="60">
        <v>23</v>
      </c>
      <c r="J327" s="60">
        <v>55</v>
      </c>
      <c r="K327" s="60">
        <v>0.58179999999999998</v>
      </c>
      <c r="L327" s="60">
        <f t="shared" si="263"/>
        <v>-0.41820000000000002</v>
      </c>
      <c r="M327" s="64">
        <f t="shared" si="284"/>
        <v>5</v>
      </c>
      <c r="N327" s="65"/>
      <c r="O327" s="60"/>
      <c r="P327" s="102"/>
      <c r="Q327" s="66"/>
      <c r="R327" s="103"/>
      <c r="S327" s="103"/>
      <c r="T327" s="103"/>
      <c r="U327" s="103"/>
      <c r="V327" s="67"/>
      <c r="W327" s="104"/>
      <c r="X327" s="67">
        <f t="shared" ref="X327:Y327" si="339">(P327+R327+T327+V327)</f>
        <v>0</v>
      </c>
      <c r="Y327" s="67">
        <f t="shared" si="339"/>
        <v>0</v>
      </c>
      <c r="Z327" s="68">
        <f t="shared" si="265"/>
        <v>0</v>
      </c>
      <c r="AA327" s="69" t="str">
        <f t="shared" si="266"/>
        <v>2B</v>
      </c>
      <c r="AB327" s="70" t="s">
        <v>833</v>
      </c>
      <c r="AC327" s="70" t="s">
        <v>230</v>
      </c>
      <c r="AD327" s="70">
        <v>47</v>
      </c>
      <c r="AE327" s="70">
        <v>42</v>
      </c>
      <c r="AF327" s="70">
        <v>89</v>
      </c>
      <c r="AG327" s="72">
        <f t="shared" si="267"/>
        <v>0.5280898876404494</v>
      </c>
      <c r="AH327" s="73">
        <f t="shared" si="268"/>
        <v>-52.471910112359552</v>
      </c>
      <c r="AI327" s="74">
        <v>3</v>
      </c>
      <c r="AJ327" s="79" t="s">
        <v>762</v>
      </c>
      <c r="AK327" s="76" t="s">
        <v>655</v>
      </c>
      <c r="AL327" s="67"/>
      <c r="AM327" s="506"/>
      <c r="AN327" s="505"/>
      <c r="AO327" s="515"/>
    </row>
    <row r="328" spans="1:41" ht="14.5">
      <c r="A328" s="58">
        <v>43023</v>
      </c>
      <c r="B328" s="59" t="s">
        <v>204</v>
      </c>
      <c r="C328" s="60" t="s">
        <v>232</v>
      </c>
      <c r="D328" s="60" t="s">
        <v>834</v>
      </c>
      <c r="E328" s="107">
        <v>10</v>
      </c>
      <c r="F328" s="108">
        <v>2</v>
      </c>
      <c r="G328" s="106">
        <v>3</v>
      </c>
      <c r="H328" s="60">
        <v>15</v>
      </c>
      <c r="I328" s="60">
        <v>33</v>
      </c>
      <c r="J328" s="60">
        <v>48</v>
      </c>
      <c r="K328" s="60">
        <v>0.3125</v>
      </c>
      <c r="L328" s="60">
        <f t="shared" si="263"/>
        <v>-17.6875</v>
      </c>
      <c r="M328" s="64">
        <f t="shared" si="284"/>
        <v>15</v>
      </c>
      <c r="N328" s="65" t="s">
        <v>253</v>
      </c>
      <c r="O328" s="60" t="s">
        <v>835</v>
      </c>
      <c r="P328" s="102"/>
      <c r="Q328" s="66"/>
      <c r="R328" s="103">
        <v>2</v>
      </c>
      <c r="S328" s="103">
        <v>11</v>
      </c>
      <c r="T328" s="103"/>
      <c r="U328" s="103"/>
      <c r="V328" s="67"/>
      <c r="W328" s="104"/>
      <c r="X328" s="67">
        <f t="shared" ref="X328:Y328" si="340">(P328+R328+T328+V328)</f>
        <v>2</v>
      </c>
      <c r="Y328" s="67">
        <f t="shared" si="340"/>
        <v>11</v>
      </c>
      <c r="Z328" s="68">
        <f t="shared" si="265"/>
        <v>13</v>
      </c>
      <c r="AA328" s="69" t="str">
        <f t="shared" si="266"/>
        <v>2C</v>
      </c>
      <c r="AB328" s="70" t="s">
        <v>834</v>
      </c>
      <c r="AC328" s="70" t="s">
        <v>234</v>
      </c>
      <c r="AD328" s="70">
        <v>15</v>
      </c>
      <c r="AE328" s="70">
        <v>33</v>
      </c>
      <c r="AF328" s="70">
        <v>48</v>
      </c>
      <c r="AG328" s="72">
        <f t="shared" si="267"/>
        <v>0.3125</v>
      </c>
      <c r="AH328" s="73">
        <f t="shared" si="268"/>
        <v>-84.6875</v>
      </c>
      <c r="AI328" s="74">
        <v>15</v>
      </c>
      <c r="AJ328" s="79" t="s">
        <v>639</v>
      </c>
      <c r="AK328" s="76" t="s">
        <v>826</v>
      </c>
      <c r="AL328" s="67"/>
      <c r="AM328" s="506"/>
      <c r="AN328" s="505"/>
      <c r="AO328" s="515"/>
    </row>
    <row r="329" spans="1:41" ht="14.5">
      <c r="A329" s="58">
        <v>43023</v>
      </c>
      <c r="B329" s="59" t="s">
        <v>204</v>
      </c>
      <c r="C329" s="60" t="s">
        <v>237</v>
      </c>
      <c r="D329" s="60" t="s">
        <v>836</v>
      </c>
      <c r="E329" s="109">
        <v>11</v>
      </c>
      <c r="F329" s="110">
        <v>9</v>
      </c>
      <c r="G329" s="111">
        <v>0</v>
      </c>
      <c r="H329" s="60">
        <v>20</v>
      </c>
      <c r="I329" s="60">
        <v>32</v>
      </c>
      <c r="J329" s="60">
        <v>52</v>
      </c>
      <c r="K329" s="60">
        <v>0.3846</v>
      </c>
      <c r="L329" s="60">
        <f t="shared" si="263"/>
        <v>-12.615399999999999</v>
      </c>
      <c r="M329" s="64">
        <f t="shared" si="284"/>
        <v>13</v>
      </c>
      <c r="N329" s="90"/>
      <c r="O329" s="89"/>
      <c r="P329" s="112"/>
      <c r="Q329" s="91"/>
      <c r="R329" s="113"/>
      <c r="S329" s="113"/>
      <c r="T329" s="113"/>
      <c r="U329" s="113"/>
      <c r="V329" s="67"/>
      <c r="W329" s="104"/>
      <c r="X329" s="67">
        <f t="shared" ref="X329:Y329" si="341">(P329+R329+T329+V329)</f>
        <v>0</v>
      </c>
      <c r="Y329" s="67">
        <f t="shared" si="341"/>
        <v>0</v>
      </c>
      <c r="Z329" s="68">
        <f t="shared" si="265"/>
        <v>0</v>
      </c>
      <c r="AA329" s="69" t="str">
        <f t="shared" si="266"/>
        <v>2D</v>
      </c>
      <c r="AB329" s="70" t="s">
        <v>836</v>
      </c>
      <c r="AC329" s="70" t="s">
        <v>239</v>
      </c>
      <c r="AD329" s="70">
        <v>20</v>
      </c>
      <c r="AE329" s="70">
        <v>32</v>
      </c>
      <c r="AF329" s="70">
        <v>52</v>
      </c>
      <c r="AG329" s="72">
        <f t="shared" si="267"/>
        <v>0.38461538461538464</v>
      </c>
      <c r="AH329" s="73">
        <f t="shared" si="268"/>
        <v>-79.615384615384613</v>
      </c>
      <c r="AI329" s="74">
        <v>13</v>
      </c>
      <c r="AJ329" s="79" t="s">
        <v>512</v>
      </c>
      <c r="AK329" s="76" t="s">
        <v>23</v>
      </c>
      <c r="AL329" s="67"/>
      <c r="AM329" s="506"/>
      <c r="AN329" s="505"/>
      <c r="AO329" s="515"/>
    </row>
    <row r="330" spans="1:41" ht="14.5">
      <c r="A330" s="58">
        <v>43023</v>
      </c>
      <c r="B330" s="59" t="s">
        <v>204</v>
      </c>
      <c r="C330" s="60" t="s">
        <v>241</v>
      </c>
      <c r="D330" s="60" t="s">
        <v>835</v>
      </c>
      <c r="E330" s="100">
        <v>11</v>
      </c>
      <c r="F330" s="101">
        <v>6</v>
      </c>
      <c r="G330" s="101">
        <v>9</v>
      </c>
      <c r="H330" s="60">
        <v>26</v>
      </c>
      <c r="I330" s="60">
        <v>28</v>
      </c>
      <c r="J330" s="60">
        <v>54</v>
      </c>
      <c r="K330" s="60">
        <v>0.48149999999999998</v>
      </c>
      <c r="L330" s="60">
        <f t="shared" si="263"/>
        <v>-6.5185000000000004</v>
      </c>
      <c r="M330" s="64">
        <f t="shared" si="284"/>
        <v>7</v>
      </c>
      <c r="N330" s="65" t="s">
        <v>243</v>
      </c>
      <c r="O330" s="60" t="s">
        <v>755</v>
      </c>
      <c r="P330" s="102"/>
      <c r="Q330" s="66"/>
      <c r="R330" s="103">
        <v>8</v>
      </c>
      <c r="S330" s="103">
        <v>11</v>
      </c>
      <c r="T330" s="103"/>
      <c r="U330" s="103"/>
      <c r="V330" s="67"/>
      <c r="W330" s="104"/>
      <c r="X330" s="67">
        <f t="shared" ref="X330:Y330" si="342">(P330+R330+T330+V330)</f>
        <v>8</v>
      </c>
      <c r="Y330" s="67">
        <f t="shared" si="342"/>
        <v>11</v>
      </c>
      <c r="Z330" s="68">
        <f t="shared" si="265"/>
        <v>19</v>
      </c>
      <c r="AA330" s="69" t="str">
        <f t="shared" si="266"/>
        <v>3A</v>
      </c>
      <c r="AB330" s="70" t="s">
        <v>835</v>
      </c>
      <c r="AC330" s="70" t="s">
        <v>253</v>
      </c>
      <c r="AD330" s="70">
        <v>28</v>
      </c>
      <c r="AE330" s="70">
        <v>39</v>
      </c>
      <c r="AF330" s="70">
        <v>67</v>
      </c>
      <c r="AG330" s="72">
        <f t="shared" si="267"/>
        <v>0.41791044776119401</v>
      </c>
      <c r="AH330" s="73">
        <f t="shared" si="268"/>
        <v>-71.582089552238813</v>
      </c>
      <c r="AI330" s="74">
        <v>8</v>
      </c>
      <c r="AJ330" s="79" t="s">
        <v>837</v>
      </c>
      <c r="AK330" s="76" t="s">
        <v>738</v>
      </c>
      <c r="AL330" s="67"/>
      <c r="AM330" s="506"/>
      <c r="AN330" s="505"/>
      <c r="AO330" s="515"/>
    </row>
    <row r="331" spans="1:41" ht="14.5">
      <c r="A331" s="58">
        <v>43023</v>
      </c>
      <c r="B331" s="59" t="s">
        <v>204</v>
      </c>
      <c r="C331" s="60" t="s">
        <v>246</v>
      </c>
      <c r="D331" s="60" t="s">
        <v>838</v>
      </c>
      <c r="E331" s="105">
        <v>6</v>
      </c>
      <c r="F331" s="106">
        <v>5</v>
      </c>
      <c r="G331" s="106">
        <v>3</v>
      </c>
      <c r="H331" s="60">
        <v>14</v>
      </c>
      <c r="I331" s="60">
        <v>33</v>
      </c>
      <c r="J331" s="60">
        <v>47</v>
      </c>
      <c r="K331" s="60">
        <v>0.2979</v>
      </c>
      <c r="L331" s="60">
        <f t="shared" si="263"/>
        <v>-18.702100000000002</v>
      </c>
      <c r="M331" s="64">
        <f t="shared" si="284"/>
        <v>16</v>
      </c>
      <c r="N331" s="65"/>
      <c r="O331" s="60"/>
      <c r="P331" s="102"/>
      <c r="Q331" s="66"/>
      <c r="R331" s="103"/>
      <c r="S331" s="103"/>
      <c r="T331" s="103"/>
      <c r="U331" s="103"/>
      <c r="V331" s="67"/>
      <c r="W331" s="104"/>
      <c r="X331" s="67">
        <f t="shared" ref="X331:Y331" si="343">(P331+R331+T331+V331)</f>
        <v>0</v>
      </c>
      <c r="Y331" s="67">
        <f t="shared" si="343"/>
        <v>0</v>
      </c>
      <c r="Z331" s="68">
        <f t="shared" si="265"/>
        <v>0</v>
      </c>
      <c r="AA331" s="69" t="str">
        <f t="shared" si="266"/>
        <v>3B</v>
      </c>
      <c r="AB331" s="70" t="s">
        <v>838</v>
      </c>
      <c r="AC331" s="70" t="s">
        <v>258</v>
      </c>
      <c r="AD331" s="70">
        <v>14</v>
      </c>
      <c r="AE331" s="70">
        <v>33</v>
      </c>
      <c r="AF331" s="70">
        <v>47</v>
      </c>
      <c r="AG331" s="72">
        <f t="shared" si="267"/>
        <v>0.2978723404255319</v>
      </c>
      <c r="AH331" s="73">
        <f t="shared" si="268"/>
        <v>-85.702127659574472</v>
      </c>
      <c r="AI331" s="74">
        <v>16</v>
      </c>
      <c r="AJ331" s="79" t="s">
        <v>648</v>
      </c>
      <c r="AK331" s="85" t="s">
        <v>748</v>
      </c>
      <c r="AL331" s="67"/>
      <c r="AM331" s="506"/>
      <c r="AN331" s="505"/>
      <c r="AO331" s="515"/>
    </row>
    <row r="332" spans="1:41" ht="14.5">
      <c r="A332" s="58">
        <v>43023</v>
      </c>
      <c r="B332" s="59" t="s">
        <v>204</v>
      </c>
      <c r="C332" s="60" t="s">
        <v>251</v>
      </c>
      <c r="D332" s="60" t="s">
        <v>755</v>
      </c>
      <c r="E332" s="107">
        <v>11</v>
      </c>
      <c r="F332" s="108">
        <v>11</v>
      </c>
      <c r="G332" s="106">
        <v>11</v>
      </c>
      <c r="H332" s="60">
        <v>33</v>
      </c>
      <c r="I332" s="60">
        <v>11</v>
      </c>
      <c r="J332" s="60">
        <v>44</v>
      </c>
      <c r="K332" s="60">
        <v>0.75</v>
      </c>
      <c r="L332" s="60">
        <f t="shared" si="263"/>
        <v>0.75</v>
      </c>
      <c r="M332" s="64">
        <f t="shared" si="284"/>
        <v>1</v>
      </c>
      <c r="N332" s="65" t="s">
        <v>230</v>
      </c>
      <c r="O332" s="60" t="s">
        <v>833</v>
      </c>
      <c r="P332" s="102"/>
      <c r="Q332" s="66"/>
      <c r="R332" s="103">
        <v>11</v>
      </c>
      <c r="S332" s="103">
        <v>8</v>
      </c>
      <c r="T332" s="103">
        <v>4</v>
      </c>
      <c r="U332" s="103">
        <v>11</v>
      </c>
      <c r="V332" s="67"/>
      <c r="W332" s="104"/>
      <c r="X332" s="67">
        <f t="shared" ref="X332:Y332" si="344">(P332+R332+T332+V332)</f>
        <v>15</v>
      </c>
      <c r="Y332" s="67">
        <f t="shared" si="344"/>
        <v>19</v>
      </c>
      <c r="Z332" s="68">
        <f t="shared" si="265"/>
        <v>34</v>
      </c>
      <c r="AA332" s="119" t="s">
        <v>251</v>
      </c>
      <c r="AB332" s="118" t="s">
        <v>755</v>
      </c>
      <c r="AC332" s="70" t="s">
        <v>243</v>
      </c>
      <c r="AD332" s="70">
        <v>41</v>
      </c>
      <c r="AE332" s="70">
        <v>22</v>
      </c>
      <c r="AF332" s="70">
        <v>63</v>
      </c>
      <c r="AG332" s="72">
        <f t="shared" si="267"/>
        <v>0.65079365079365081</v>
      </c>
      <c r="AH332" s="73">
        <f t="shared" si="268"/>
        <v>-58.349206349206348</v>
      </c>
      <c r="AI332" s="74">
        <v>5</v>
      </c>
      <c r="AJ332" s="79" t="s">
        <v>687</v>
      </c>
      <c r="AK332" s="76" t="s">
        <v>772</v>
      </c>
      <c r="AL332" s="67"/>
      <c r="AM332" s="506"/>
      <c r="AN332" s="505"/>
      <c r="AO332" s="515"/>
    </row>
    <row r="333" spans="1:41" ht="14.5">
      <c r="A333" s="58">
        <v>43023</v>
      </c>
      <c r="B333" s="59" t="s">
        <v>204</v>
      </c>
      <c r="C333" s="60" t="s">
        <v>256</v>
      </c>
      <c r="D333" s="60" t="s">
        <v>839</v>
      </c>
      <c r="E333" s="109">
        <v>2</v>
      </c>
      <c r="F333" s="110">
        <v>11</v>
      </c>
      <c r="G333" s="111">
        <v>11</v>
      </c>
      <c r="H333" s="60">
        <v>24</v>
      </c>
      <c r="I333" s="60">
        <v>25</v>
      </c>
      <c r="J333" s="60">
        <v>49</v>
      </c>
      <c r="K333" s="60">
        <v>0.48980000000000001</v>
      </c>
      <c r="L333" s="60">
        <f t="shared" si="263"/>
        <v>-8.5101999999999993</v>
      </c>
      <c r="M333" s="64">
        <f t="shared" si="284"/>
        <v>10</v>
      </c>
      <c r="N333" s="90"/>
      <c r="O333" s="89"/>
      <c r="P333" s="112"/>
      <c r="Q333" s="91"/>
      <c r="R333" s="113"/>
      <c r="S333" s="113"/>
      <c r="T333" s="103"/>
      <c r="U333" s="103"/>
      <c r="V333" s="67"/>
      <c r="W333" s="104"/>
      <c r="X333" s="67">
        <f t="shared" ref="X333:Y333" si="345">(P333+R333+T333+V333)</f>
        <v>0</v>
      </c>
      <c r="Y333" s="67">
        <f t="shared" si="345"/>
        <v>0</v>
      </c>
      <c r="Z333" s="68">
        <f t="shared" si="265"/>
        <v>0</v>
      </c>
      <c r="AA333" s="69" t="str">
        <f t="shared" ref="AA333:AA370" si="346">INDEX(A:D, MATCH(AB333,D:D,0),3)</f>
        <v>3D</v>
      </c>
      <c r="AB333" s="70" t="s">
        <v>839</v>
      </c>
      <c r="AC333" s="70" t="s">
        <v>248</v>
      </c>
      <c r="AD333" s="70">
        <v>24</v>
      </c>
      <c r="AE333" s="70">
        <v>25</v>
      </c>
      <c r="AF333" s="70">
        <v>49</v>
      </c>
      <c r="AG333" s="72">
        <f t="shared" si="267"/>
        <v>0.48979591836734693</v>
      </c>
      <c r="AH333" s="73">
        <f t="shared" si="268"/>
        <v>-75.510204081632651</v>
      </c>
      <c r="AI333" s="74">
        <v>10</v>
      </c>
      <c r="AJ333" s="79" t="s">
        <v>638</v>
      </c>
      <c r="AK333" s="76" t="s">
        <v>260</v>
      </c>
      <c r="AL333" s="67"/>
      <c r="AM333" s="506"/>
      <c r="AN333" s="505"/>
      <c r="AO333" s="515"/>
    </row>
    <row r="334" spans="1:41" ht="14.5">
      <c r="A334" s="58">
        <v>43023</v>
      </c>
      <c r="B334" s="59" t="s">
        <v>204</v>
      </c>
      <c r="C334" s="60" t="s">
        <v>261</v>
      </c>
      <c r="D334" s="60" t="s">
        <v>840</v>
      </c>
      <c r="E334" s="100">
        <v>6</v>
      </c>
      <c r="F334" s="101">
        <v>8</v>
      </c>
      <c r="G334" s="101">
        <v>9</v>
      </c>
      <c r="H334" s="60">
        <v>23</v>
      </c>
      <c r="I334" s="60">
        <v>33</v>
      </c>
      <c r="J334" s="60">
        <v>56</v>
      </c>
      <c r="K334" s="60">
        <v>0.41070000000000001</v>
      </c>
      <c r="L334" s="60">
        <f t="shared" si="263"/>
        <v>-9.5892999999999997</v>
      </c>
      <c r="M334" s="64">
        <f t="shared" si="284"/>
        <v>12</v>
      </c>
      <c r="N334" s="65" t="s">
        <v>263</v>
      </c>
      <c r="O334" s="60" t="s">
        <v>102</v>
      </c>
      <c r="P334" s="102"/>
      <c r="Q334" s="66"/>
      <c r="R334" s="103">
        <v>11</v>
      </c>
      <c r="S334" s="103">
        <v>9</v>
      </c>
      <c r="T334" s="103">
        <v>11</v>
      </c>
      <c r="U334" s="103">
        <v>4</v>
      </c>
      <c r="V334" s="67">
        <v>18</v>
      </c>
      <c r="W334" s="104">
        <v>12</v>
      </c>
      <c r="X334" s="67">
        <f t="shared" ref="X334:Y334" si="347">(P334+R334+T334+V334)</f>
        <v>40</v>
      </c>
      <c r="Y334" s="67">
        <f t="shared" si="347"/>
        <v>25</v>
      </c>
      <c r="Z334" s="68">
        <f t="shared" si="265"/>
        <v>65</v>
      </c>
      <c r="AA334" s="69" t="str">
        <f t="shared" si="346"/>
        <v>4A</v>
      </c>
      <c r="AB334" s="70" t="s">
        <v>840</v>
      </c>
      <c r="AC334" s="70" t="s">
        <v>273</v>
      </c>
      <c r="AD334" s="70">
        <v>23</v>
      </c>
      <c r="AE334" s="70">
        <v>33</v>
      </c>
      <c r="AF334" s="70">
        <v>56</v>
      </c>
      <c r="AG334" s="72">
        <f t="shared" si="267"/>
        <v>0.4107142857142857</v>
      </c>
      <c r="AH334" s="73">
        <f t="shared" si="268"/>
        <v>-76.589285714285708</v>
      </c>
      <c r="AI334" s="74">
        <v>12</v>
      </c>
      <c r="AJ334" s="79" t="s">
        <v>525</v>
      </c>
      <c r="AK334" s="76" t="s">
        <v>548</v>
      </c>
      <c r="AL334" s="67"/>
      <c r="AM334" s="506"/>
      <c r="AN334" s="505"/>
      <c r="AO334" s="515"/>
    </row>
    <row r="335" spans="1:41" ht="14.5">
      <c r="A335" s="58">
        <v>43023</v>
      </c>
      <c r="B335" s="59" t="s">
        <v>204</v>
      </c>
      <c r="C335" s="60" t="s">
        <v>268</v>
      </c>
      <c r="D335" s="60" t="s">
        <v>102</v>
      </c>
      <c r="E335" s="105">
        <v>11</v>
      </c>
      <c r="F335" s="106">
        <v>11</v>
      </c>
      <c r="G335" s="106">
        <v>11</v>
      </c>
      <c r="H335" s="60">
        <v>33</v>
      </c>
      <c r="I335" s="60">
        <v>15</v>
      </c>
      <c r="J335" s="60">
        <v>48</v>
      </c>
      <c r="K335" s="60">
        <v>0.6875</v>
      </c>
      <c r="L335" s="60">
        <f t="shared" si="263"/>
        <v>0.6875</v>
      </c>
      <c r="M335" s="64">
        <f t="shared" si="284"/>
        <v>3</v>
      </c>
      <c r="N335" s="65"/>
      <c r="O335" s="60"/>
      <c r="P335" s="102"/>
      <c r="Q335" s="66"/>
      <c r="R335" s="103"/>
      <c r="S335" s="103"/>
      <c r="T335" s="103"/>
      <c r="U335" s="103"/>
      <c r="V335" s="67"/>
      <c r="W335" s="104"/>
      <c r="X335" s="67">
        <f t="shared" ref="X335:Y335" si="348">(P335+R335+T335+V335)</f>
        <v>0</v>
      </c>
      <c r="Y335" s="67">
        <f t="shared" si="348"/>
        <v>0</v>
      </c>
      <c r="Z335" s="68">
        <f t="shared" si="265"/>
        <v>0</v>
      </c>
      <c r="AA335" s="69" t="str">
        <f t="shared" si="346"/>
        <v>4B</v>
      </c>
      <c r="AB335" s="70" t="s">
        <v>102</v>
      </c>
      <c r="AC335" s="70" t="s">
        <v>263</v>
      </c>
      <c r="AD335" s="70">
        <v>73</v>
      </c>
      <c r="AE335" s="70">
        <v>40</v>
      </c>
      <c r="AF335" s="70">
        <v>113</v>
      </c>
      <c r="AG335" s="72">
        <f t="shared" si="267"/>
        <v>0.64601769911504425</v>
      </c>
      <c r="AH335" s="73">
        <f t="shared" si="268"/>
        <v>-26.353982300884955</v>
      </c>
      <c r="AI335" s="74">
        <v>1</v>
      </c>
      <c r="AJ335" s="79" t="s">
        <v>753</v>
      </c>
      <c r="AK335" s="76" t="s">
        <v>464</v>
      </c>
      <c r="AL335" s="67"/>
      <c r="AM335" s="506"/>
      <c r="AN335" s="505"/>
      <c r="AO335" s="515"/>
    </row>
    <row r="336" spans="1:41" ht="14.5">
      <c r="A336" s="58">
        <v>43023</v>
      </c>
      <c r="B336" s="59" t="s">
        <v>204</v>
      </c>
      <c r="C336" s="60" t="s">
        <v>271</v>
      </c>
      <c r="D336" s="60" t="s">
        <v>841</v>
      </c>
      <c r="E336" s="107">
        <v>11</v>
      </c>
      <c r="F336" s="108">
        <v>11</v>
      </c>
      <c r="G336" s="106">
        <v>3</v>
      </c>
      <c r="H336" s="60">
        <v>25</v>
      </c>
      <c r="I336" s="60">
        <v>28</v>
      </c>
      <c r="J336" s="60">
        <v>53</v>
      </c>
      <c r="K336" s="60">
        <v>0.47170000000000001</v>
      </c>
      <c r="L336" s="60">
        <f t="shared" si="263"/>
        <v>-7.5282999999999998</v>
      </c>
      <c r="M336" s="64">
        <f t="shared" si="284"/>
        <v>9</v>
      </c>
      <c r="N336" s="65" t="s">
        <v>218</v>
      </c>
      <c r="O336" s="60" t="s">
        <v>828</v>
      </c>
      <c r="P336" s="102"/>
      <c r="Q336" s="66"/>
      <c r="R336" s="103">
        <v>9</v>
      </c>
      <c r="S336" s="103">
        <v>11</v>
      </c>
      <c r="T336" s="103"/>
      <c r="U336" s="103"/>
      <c r="V336" s="67"/>
      <c r="W336" s="104"/>
      <c r="X336" s="67">
        <f t="shared" ref="X336:Y336" si="349">(P336+R336+T336+V336)</f>
        <v>9</v>
      </c>
      <c r="Y336" s="67">
        <f t="shared" si="349"/>
        <v>11</v>
      </c>
      <c r="Z336" s="68">
        <f t="shared" si="265"/>
        <v>20</v>
      </c>
      <c r="AA336" s="69" t="str">
        <f t="shared" si="346"/>
        <v>4C</v>
      </c>
      <c r="AB336" s="70" t="s">
        <v>841</v>
      </c>
      <c r="AC336" s="70" t="s">
        <v>278</v>
      </c>
      <c r="AD336" s="70">
        <v>25</v>
      </c>
      <c r="AE336" s="70">
        <v>28</v>
      </c>
      <c r="AF336" s="70">
        <v>53</v>
      </c>
      <c r="AG336" s="72">
        <f t="shared" si="267"/>
        <v>0.47169811320754718</v>
      </c>
      <c r="AH336" s="73">
        <f t="shared" si="268"/>
        <v>-74.528301886792448</v>
      </c>
      <c r="AI336" s="74">
        <v>9</v>
      </c>
      <c r="AJ336" s="79" t="s">
        <v>640</v>
      </c>
      <c r="AK336" s="76" t="s">
        <v>662</v>
      </c>
      <c r="AL336" s="67"/>
      <c r="AM336" s="506"/>
      <c r="AN336" s="505"/>
      <c r="AO336" s="515"/>
    </row>
    <row r="337" spans="1:41" ht="14.5">
      <c r="A337" s="87">
        <v>43023</v>
      </c>
      <c r="B337" s="88" t="s">
        <v>204</v>
      </c>
      <c r="C337" s="89" t="s">
        <v>276</v>
      </c>
      <c r="D337" s="89" t="s">
        <v>832</v>
      </c>
      <c r="E337" s="109">
        <v>9</v>
      </c>
      <c r="F337" s="110">
        <v>6</v>
      </c>
      <c r="G337" s="111">
        <v>11</v>
      </c>
      <c r="H337" s="89">
        <v>26</v>
      </c>
      <c r="I337" s="89">
        <v>31</v>
      </c>
      <c r="J337" s="89">
        <v>57</v>
      </c>
      <c r="K337" s="89">
        <v>0.45610000000000001</v>
      </c>
      <c r="L337" s="89">
        <f t="shared" si="263"/>
        <v>-6.5438999999999998</v>
      </c>
      <c r="M337" s="86">
        <f t="shared" si="284"/>
        <v>8</v>
      </c>
      <c r="N337" s="90"/>
      <c r="O337" s="89"/>
      <c r="P337" s="112"/>
      <c r="Q337" s="91"/>
      <c r="R337" s="113"/>
      <c r="S337" s="113"/>
      <c r="T337" s="113"/>
      <c r="U337" s="113"/>
      <c r="V337" s="92"/>
      <c r="W337" s="114"/>
      <c r="X337" s="92">
        <f t="shared" ref="X337:Y337" si="350">(P337+R337+T337+V337)</f>
        <v>0</v>
      </c>
      <c r="Y337" s="92">
        <f t="shared" si="350"/>
        <v>0</v>
      </c>
      <c r="Z337" s="84">
        <f t="shared" si="265"/>
        <v>0</v>
      </c>
      <c r="AA337" s="93" t="str">
        <f t="shared" si="346"/>
        <v>4D</v>
      </c>
      <c r="AB337" s="94" t="s">
        <v>832</v>
      </c>
      <c r="AC337" s="94" t="s">
        <v>265</v>
      </c>
      <c r="AD337" s="94">
        <v>44</v>
      </c>
      <c r="AE337" s="94">
        <v>48</v>
      </c>
      <c r="AF337" s="94">
        <v>92</v>
      </c>
      <c r="AG337" s="95">
        <f t="shared" si="267"/>
        <v>0.47826086956521741</v>
      </c>
      <c r="AH337" s="96">
        <f t="shared" si="268"/>
        <v>-55.521739130434781</v>
      </c>
      <c r="AI337" s="97">
        <v>4</v>
      </c>
      <c r="AJ337" s="98" t="s">
        <v>681</v>
      </c>
      <c r="AK337" s="81" t="s">
        <v>658</v>
      </c>
      <c r="AL337" s="67"/>
      <c r="AM337" s="506"/>
      <c r="AN337" s="505"/>
      <c r="AO337" s="515"/>
    </row>
    <row r="338" spans="1:41" ht="14.5">
      <c r="A338" s="58">
        <v>43337</v>
      </c>
      <c r="B338" s="59" t="s">
        <v>204</v>
      </c>
      <c r="C338" s="60" t="s">
        <v>205</v>
      </c>
      <c r="D338" s="60" t="s">
        <v>842</v>
      </c>
      <c r="E338" s="100">
        <v>1</v>
      </c>
      <c r="F338" s="101">
        <v>10</v>
      </c>
      <c r="G338" s="101">
        <v>4</v>
      </c>
      <c r="H338" s="60">
        <v>15</v>
      </c>
      <c r="I338" s="60">
        <v>33</v>
      </c>
      <c r="J338" s="60">
        <v>48</v>
      </c>
      <c r="K338" s="60">
        <v>0.3125</v>
      </c>
      <c r="L338" s="60">
        <f t="shared" si="263"/>
        <v>-17.6875</v>
      </c>
      <c r="M338" s="64">
        <f t="shared" si="284"/>
        <v>15</v>
      </c>
      <c r="N338" s="65" t="s">
        <v>207</v>
      </c>
      <c r="O338" s="60" t="s">
        <v>843</v>
      </c>
      <c r="P338" s="102"/>
      <c r="Q338" s="66"/>
      <c r="R338" s="103">
        <v>11</v>
      </c>
      <c r="S338" s="103">
        <v>6</v>
      </c>
      <c r="T338" s="103">
        <v>4</v>
      </c>
      <c r="U338" s="103">
        <v>11</v>
      </c>
      <c r="V338" s="67"/>
      <c r="W338" s="104"/>
      <c r="X338" s="67">
        <f t="shared" ref="X338:Y338" si="351">(P338+R338+T338+V338)</f>
        <v>15</v>
      </c>
      <c r="Y338" s="67">
        <f t="shared" si="351"/>
        <v>17</v>
      </c>
      <c r="Z338" s="68">
        <f t="shared" si="265"/>
        <v>32</v>
      </c>
      <c r="AA338" s="69" t="str">
        <f t="shared" si="346"/>
        <v>1A</v>
      </c>
      <c r="AB338" s="70" t="s">
        <v>842</v>
      </c>
      <c r="AC338" s="70" t="s">
        <v>213</v>
      </c>
      <c r="AD338" s="70">
        <v>15</v>
      </c>
      <c r="AE338" s="70">
        <v>33</v>
      </c>
      <c r="AF338" s="70">
        <v>48</v>
      </c>
      <c r="AG338" s="72">
        <f t="shared" si="267"/>
        <v>0.3125</v>
      </c>
      <c r="AH338" s="73">
        <f t="shared" si="268"/>
        <v>-84.6875</v>
      </c>
      <c r="AI338" s="74">
        <v>15</v>
      </c>
      <c r="AJ338" s="79" t="s">
        <v>844</v>
      </c>
      <c r="AK338" s="76" t="s">
        <v>845</v>
      </c>
      <c r="AL338" s="67"/>
      <c r="AM338" s="506"/>
      <c r="AN338" s="505"/>
      <c r="AO338" s="515"/>
    </row>
    <row r="339" spans="1:41" ht="14.5">
      <c r="A339" s="58">
        <v>43337</v>
      </c>
      <c r="B339" s="59" t="s">
        <v>204</v>
      </c>
      <c r="C339" s="60" t="s">
        <v>211</v>
      </c>
      <c r="D339" s="60" t="s">
        <v>843</v>
      </c>
      <c r="E339" s="105">
        <v>11</v>
      </c>
      <c r="F339" s="106">
        <v>11</v>
      </c>
      <c r="G339" s="106">
        <v>11</v>
      </c>
      <c r="H339" s="60">
        <v>33</v>
      </c>
      <c r="I339" s="60">
        <v>12</v>
      </c>
      <c r="J339" s="60">
        <v>45</v>
      </c>
      <c r="K339" s="60">
        <v>0.73329999999999995</v>
      </c>
      <c r="L339" s="60">
        <f t="shared" si="263"/>
        <v>0.73329999999999995</v>
      </c>
      <c r="M339" s="64">
        <f t="shared" si="284"/>
        <v>2</v>
      </c>
      <c r="N339" s="65"/>
      <c r="O339" s="60"/>
      <c r="P339" s="102"/>
      <c r="Q339" s="66"/>
      <c r="R339" s="103"/>
      <c r="S339" s="103"/>
      <c r="T339" s="103"/>
      <c r="U339" s="103"/>
      <c r="V339" s="67"/>
      <c r="W339" s="104"/>
      <c r="X339" s="67">
        <f t="shared" ref="X339:Y339" si="352">(P339+R339+T339+V339)</f>
        <v>0</v>
      </c>
      <c r="Y339" s="67">
        <f t="shared" si="352"/>
        <v>0</v>
      </c>
      <c r="Z339" s="68">
        <f t="shared" si="265"/>
        <v>0</v>
      </c>
      <c r="AA339" s="69" t="str">
        <f t="shared" si="346"/>
        <v>1B</v>
      </c>
      <c r="AB339" s="70" t="s">
        <v>843</v>
      </c>
      <c r="AC339" s="70" t="s">
        <v>207</v>
      </c>
      <c r="AD339" s="70">
        <v>48</v>
      </c>
      <c r="AE339" s="70">
        <v>29</v>
      </c>
      <c r="AF339" s="70">
        <v>77</v>
      </c>
      <c r="AG339" s="72">
        <f t="shared" si="267"/>
        <v>0.62337662337662336</v>
      </c>
      <c r="AH339" s="73">
        <f t="shared" si="268"/>
        <v>-51.376623376623378</v>
      </c>
      <c r="AI339" s="74">
        <v>4</v>
      </c>
      <c r="AJ339" s="79" t="s">
        <v>827</v>
      </c>
      <c r="AK339" s="76" t="s">
        <v>655</v>
      </c>
      <c r="AL339" s="67"/>
      <c r="AM339" s="506"/>
      <c r="AN339" s="505"/>
      <c r="AO339" s="515"/>
    </row>
    <row r="340" spans="1:41" ht="14.5">
      <c r="A340" s="58">
        <v>43337</v>
      </c>
      <c r="B340" s="59" t="s">
        <v>204</v>
      </c>
      <c r="C340" s="60" t="s">
        <v>216</v>
      </c>
      <c r="D340" s="60" t="s">
        <v>846</v>
      </c>
      <c r="E340" s="107">
        <v>4</v>
      </c>
      <c r="F340" s="108">
        <v>11</v>
      </c>
      <c r="G340" s="106">
        <v>4</v>
      </c>
      <c r="H340" s="60">
        <v>19</v>
      </c>
      <c r="I340" s="60">
        <v>32</v>
      </c>
      <c r="J340" s="60">
        <v>51</v>
      </c>
      <c r="K340" s="60">
        <v>0.3725</v>
      </c>
      <c r="L340" s="60">
        <f t="shared" si="263"/>
        <v>-13.6275</v>
      </c>
      <c r="M340" s="64">
        <f t="shared" si="284"/>
        <v>12</v>
      </c>
      <c r="N340" s="65" t="s">
        <v>265</v>
      </c>
      <c r="O340" s="60" t="s">
        <v>847</v>
      </c>
      <c r="P340" s="102"/>
      <c r="Q340" s="66"/>
      <c r="R340" s="103">
        <v>6</v>
      </c>
      <c r="S340" s="103">
        <v>11</v>
      </c>
      <c r="T340" s="103"/>
      <c r="U340" s="103"/>
      <c r="V340" s="67"/>
      <c r="W340" s="104"/>
      <c r="X340" s="67">
        <f t="shared" ref="X340:Y340" si="353">(P340+R340+T340+V340)</f>
        <v>6</v>
      </c>
      <c r="Y340" s="67">
        <f t="shared" si="353"/>
        <v>11</v>
      </c>
      <c r="Z340" s="68">
        <f t="shared" si="265"/>
        <v>17</v>
      </c>
      <c r="AA340" s="69" t="str">
        <f t="shared" si="346"/>
        <v>1C</v>
      </c>
      <c r="AB340" s="70" t="s">
        <v>846</v>
      </c>
      <c r="AC340" s="70" t="s">
        <v>208</v>
      </c>
      <c r="AD340" s="70">
        <v>19</v>
      </c>
      <c r="AE340" s="70">
        <v>32</v>
      </c>
      <c r="AF340" s="70">
        <v>51</v>
      </c>
      <c r="AG340" s="72">
        <f t="shared" si="267"/>
        <v>0.37254901960784315</v>
      </c>
      <c r="AH340" s="73">
        <f t="shared" si="268"/>
        <v>-80.627450980392155</v>
      </c>
      <c r="AI340" s="74">
        <v>12</v>
      </c>
      <c r="AJ340" s="79" t="s">
        <v>658</v>
      </c>
      <c r="AK340" s="76" t="s">
        <v>848</v>
      </c>
      <c r="AL340" s="67"/>
      <c r="AM340" s="506"/>
      <c r="AN340" s="505"/>
      <c r="AO340" s="515"/>
    </row>
    <row r="341" spans="1:41" ht="14.5">
      <c r="A341" s="58">
        <v>43337</v>
      </c>
      <c r="B341" s="59" t="s">
        <v>204</v>
      </c>
      <c r="C341" s="60" t="s">
        <v>221</v>
      </c>
      <c r="D341" s="60" t="s">
        <v>849</v>
      </c>
      <c r="E341" s="109">
        <v>11</v>
      </c>
      <c r="F341" s="110">
        <v>7</v>
      </c>
      <c r="G341" s="111">
        <v>11</v>
      </c>
      <c r="H341" s="60">
        <v>29</v>
      </c>
      <c r="I341" s="60">
        <v>19</v>
      </c>
      <c r="J341" s="60">
        <v>48</v>
      </c>
      <c r="K341" s="60">
        <v>0.60419999999999996</v>
      </c>
      <c r="L341" s="60">
        <f t="shared" si="263"/>
        <v>-3.3957999999999999</v>
      </c>
      <c r="M341" s="64">
        <f t="shared" si="284"/>
        <v>6</v>
      </c>
      <c r="N341" s="90"/>
      <c r="O341" s="89"/>
      <c r="P341" s="112"/>
      <c r="Q341" s="91"/>
      <c r="R341" s="113"/>
      <c r="S341" s="113"/>
      <c r="T341" s="103"/>
      <c r="U341" s="103"/>
      <c r="V341" s="67"/>
      <c r="W341" s="104"/>
      <c r="X341" s="67">
        <f t="shared" ref="X341:Y341" si="354">(P341+R341+T341+V341)</f>
        <v>0</v>
      </c>
      <c r="Y341" s="67">
        <f t="shared" si="354"/>
        <v>0</v>
      </c>
      <c r="Z341" s="68">
        <f t="shared" si="265"/>
        <v>0</v>
      </c>
      <c r="AA341" s="69" t="str">
        <f t="shared" si="346"/>
        <v>1D</v>
      </c>
      <c r="AB341" s="70" t="s">
        <v>849</v>
      </c>
      <c r="AC341" s="70" t="s">
        <v>218</v>
      </c>
      <c r="AD341" s="70">
        <v>37</v>
      </c>
      <c r="AE341" s="70">
        <v>30</v>
      </c>
      <c r="AF341" s="70">
        <v>67</v>
      </c>
      <c r="AG341" s="72">
        <f t="shared" si="267"/>
        <v>0.55223880597014929</v>
      </c>
      <c r="AH341" s="73">
        <f t="shared" si="268"/>
        <v>-62.447761194029852</v>
      </c>
      <c r="AI341" s="74">
        <v>6</v>
      </c>
      <c r="AJ341" s="79" t="s">
        <v>358</v>
      </c>
      <c r="AK341" s="76" t="s">
        <v>810</v>
      </c>
      <c r="AL341" s="67"/>
      <c r="AM341" s="506"/>
      <c r="AN341" s="505"/>
      <c r="AO341" s="515"/>
    </row>
    <row r="342" spans="1:41" ht="14.5">
      <c r="A342" s="58">
        <v>43337</v>
      </c>
      <c r="B342" s="59" t="s">
        <v>204</v>
      </c>
      <c r="C342" s="60" t="s">
        <v>224</v>
      </c>
      <c r="D342" s="60" t="s">
        <v>850</v>
      </c>
      <c r="E342" s="100">
        <v>7</v>
      </c>
      <c r="F342" s="101">
        <v>9</v>
      </c>
      <c r="G342" s="101">
        <v>0</v>
      </c>
      <c r="H342" s="60">
        <v>16</v>
      </c>
      <c r="I342" s="60">
        <v>33</v>
      </c>
      <c r="J342" s="60">
        <v>49</v>
      </c>
      <c r="K342" s="60">
        <v>0.32650000000000001</v>
      </c>
      <c r="L342" s="60">
        <f t="shared" si="263"/>
        <v>-16.673500000000001</v>
      </c>
      <c r="M342" s="64">
        <f t="shared" si="284"/>
        <v>14</v>
      </c>
      <c r="N342" s="65" t="s">
        <v>225</v>
      </c>
      <c r="O342" s="60" t="s">
        <v>105</v>
      </c>
      <c r="P342" s="102"/>
      <c r="Q342" s="66"/>
      <c r="R342" s="103">
        <v>11</v>
      </c>
      <c r="S342" s="103">
        <v>8</v>
      </c>
      <c r="T342" s="103">
        <v>11</v>
      </c>
      <c r="U342" s="103">
        <v>4</v>
      </c>
      <c r="V342" s="67">
        <v>11</v>
      </c>
      <c r="W342" s="104">
        <v>10</v>
      </c>
      <c r="X342" s="67">
        <f t="shared" ref="X342:Y342" si="355">(P342+R342+T342+V342)</f>
        <v>33</v>
      </c>
      <c r="Y342" s="67">
        <f t="shared" si="355"/>
        <v>22</v>
      </c>
      <c r="Z342" s="68">
        <f t="shared" si="265"/>
        <v>55</v>
      </c>
      <c r="AA342" s="69" t="str">
        <f t="shared" si="346"/>
        <v>2A</v>
      </c>
      <c r="AB342" s="70" t="s">
        <v>850</v>
      </c>
      <c r="AC342" s="70" t="s">
        <v>239</v>
      </c>
      <c r="AD342" s="70">
        <v>16</v>
      </c>
      <c r="AE342" s="70">
        <v>33</v>
      </c>
      <c r="AF342" s="70">
        <v>49</v>
      </c>
      <c r="AG342" s="72">
        <f t="shared" si="267"/>
        <v>0.32653061224489793</v>
      </c>
      <c r="AH342" s="73">
        <f t="shared" si="268"/>
        <v>-83.673469387755105</v>
      </c>
      <c r="AI342" s="74">
        <v>14</v>
      </c>
      <c r="AJ342" s="79" t="s">
        <v>740</v>
      </c>
      <c r="AK342" s="76" t="s">
        <v>851</v>
      </c>
      <c r="AL342" s="67"/>
      <c r="AM342" s="506"/>
      <c r="AN342" s="505"/>
      <c r="AO342" s="515"/>
    </row>
    <row r="343" spans="1:41" ht="14.5">
      <c r="A343" s="58">
        <v>43337</v>
      </c>
      <c r="B343" s="59" t="s">
        <v>204</v>
      </c>
      <c r="C343" s="60" t="s">
        <v>228</v>
      </c>
      <c r="D343" s="60" t="s">
        <v>852</v>
      </c>
      <c r="E343" s="105">
        <v>11</v>
      </c>
      <c r="F343" s="106">
        <v>1</v>
      </c>
      <c r="G343" s="106">
        <v>2</v>
      </c>
      <c r="H343" s="60">
        <v>14</v>
      </c>
      <c r="I343" s="60">
        <v>25</v>
      </c>
      <c r="J343" s="60">
        <v>39</v>
      </c>
      <c r="K343" s="60">
        <v>0.35899999999999999</v>
      </c>
      <c r="L343" s="60">
        <f t="shared" si="263"/>
        <v>-18.640999999999998</v>
      </c>
      <c r="M343" s="64">
        <f t="shared" si="284"/>
        <v>16</v>
      </c>
      <c r="N343" s="65"/>
      <c r="O343" s="60"/>
      <c r="P343" s="102"/>
      <c r="Q343" s="66"/>
      <c r="R343" s="103"/>
      <c r="S343" s="103"/>
      <c r="T343" s="103"/>
      <c r="U343" s="103"/>
      <c r="V343" s="67"/>
      <c r="W343" s="104"/>
      <c r="X343" s="67">
        <f t="shared" ref="X343:Y343" si="356">(P343+R343+T343+V343)</f>
        <v>0</v>
      </c>
      <c r="Y343" s="67">
        <f t="shared" si="356"/>
        <v>0</v>
      </c>
      <c r="Z343" s="68">
        <f t="shared" si="265"/>
        <v>0</v>
      </c>
      <c r="AA343" s="69" t="str">
        <f t="shared" si="346"/>
        <v>2B</v>
      </c>
      <c r="AB343" s="70" t="s">
        <v>852</v>
      </c>
      <c r="AC343" s="70" t="s">
        <v>234</v>
      </c>
      <c r="AD343" s="70">
        <v>14</v>
      </c>
      <c r="AE343" s="70">
        <v>25</v>
      </c>
      <c r="AF343" s="70">
        <v>39</v>
      </c>
      <c r="AG343" s="72">
        <f t="shared" si="267"/>
        <v>0.35897435897435898</v>
      </c>
      <c r="AH343" s="73">
        <f t="shared" si="268"/>
        <v>-85.641025641025635</v>
      </c>
      <c r="AI343" s="74">
        <v>16</v>
      </c>
      <c r="AJ343" s="79" t="s">
        <v>464</v>
      </c>
      <c r="AK343" s="76" t="s">
        <v>329</v>
      </c>
      <c r="AL343" s="67"/>
      <c r="AM343" s="506"/>
      <c r="AN343" s="505"/>
      <c r="AO343" s="515"/>
    </row>
    <row r="344" spans="1:41" ht="14.5">
      <c r="A344" s="58">
        <v>43337</v>
      </c>
      <c r="B344" s="59" t="s">
        <v>204</v>
      </c>
      <c r="C344" s="60" t="s">
        <v>232</v>
      </c>
      <c r="D344" s="60" t="s">
        <v>106</v>
      </c>
      <c r="E344" s="107">
        <v>8</v>
      </c>
      <c r="F344" s="108">
        <v>11</v>
      </c>
      <c r="G344" s="106">
        <v>7</v>
      </c>
      <c r="H344" s="60">
        <v>26</v>
      </c>
      <c r="I344" s="60">
        <v>22</v>
      </c>
      <c r="J344" s="60">
        <v>48</v>
      </c>
      <c r="K344" s="60">
        <v>0.54169999999999996</v>
      </c>
      <c r="L344" s="60">
        <f t="shared" si="263"/>
        <v>-6.4583000000000004</v>
      </c>
      <c r="M344" s="64">
        <f t="shared" si="284"/>
        <v>9</v>
      </c>
      <c r="N344" s="65" t="s">
        <v>253</v>
      </c>
      <c r="O344" s="60" t="s">
        <v>853</v>
      </c>
      <c r="P344" s="102"/>
      <c r="Q344" s="66"/>
      <c r="R344" s="103">
        <v>8</v>
      </c>
      <c r="S344" s="103">
        <v>11</v>
      </c>
      <c r="T344" s="103"/>
      <c r="U344" s="103"/>
      <c r="V344" s="67"/>
      <c r="W344" s="104"/>
      <c r="X344" s="67">
        <f t="shared" ref="X344:Y344" si="357">(P344+R344+T344+V344)</f>
        <v>8</v>
      </c>
      <c r="Y344" s="67">
        <f t="shared" si="357"/>
        <v>11</v>
      </c>
      <c r="Z344" s="68">
        <f t="shared" si="265"/>
        <v>19</v>
      </c>
      <c r="AA344" s="69" t="str">
        <f t="shared" si="346"/>
        <v>2C</v>
      </c>
      <c r="AB344" s="70" t="s">
        <v>106</v>
      </c>
      <c r="AC344" s="70" t="s">
        <v>230</v>
      </c>
      <c r="AD344" s="70">
        <v>58</v>
      </c>
      <c r="AE344" s="70">
        <v>47</v>
      </c>
      <c r="AF344" s="70">
        <v>105</v>
      </c>
      <c r="AG344" s="72">
        <f t="shared" si="267"/>
        <v>0.55238095238095242</v>
      </c>
      <c r="AH344" s="73">
        <f t="shared" si="268"/>
        <v>-41.44761904761905</v>
      </c>
      <c r="AI344" s="74">
        <v>2</v>
      </c>
      <c r="AJ344" s="79" t="s">
        <v>282</v>
      </c>
      <c r="AK344" s="76" t="s">
        <v>719</v>
      </c>
      <c r="AL344" s="67"/>
      <c r="AM344" s="506"/>
      <c r="AN344" s="505"/>
      <c r="AO344" s="515"/>
    </row>
    <row r="345" spans="1:41" ht="14.5">
      <c r="A345" s="58">
        <v>43337</v>
      </c>
      <c r="B345" s="59" t="s">
        <v>204</v>
      </c>
      <c r="C345" s="60" t="s">
        <v>237</v>
      </c>
      <c r="D345" s="60" t="s">
        <v>105</v>
      </c>
      <c r="E345" s="109">
        <v>11</v>
      </c>
      <c r="F345" s="110">
        <v>11</v>
      </c>
      <c r="G345" s="111">
        <v>11</v>
      </c>
      <c r="H345" s="60">
        <v>33</v>
      </c>
      <c r="I345" s="60">
        <v>9</v>
      </c>
      <c r="J345" s="60">
        <v>42</v>
      </c>
      <c r="K345" s="60">
        <v>0.78569999999999995</v>
      </c>
      <c r="L345" s="60">
        <f t="shared" si="263"/>
        <v>0.78569999999999995</v>
      </c>
      <c r="M345" s="64">
        <f t="shared" si="284"/>
        <v>1</v>
      </c>
      <c r="N345" s="90"/>
      <c r="O345" s="89"/>
      <c r="P345" s="112"/>
      <c r="Q345" s="91"/>
      <c r="R345" s="113"/>
      <c r="S345" s="113"/>
      <c r="T345" s="113"/>
      <c r="U345" s="113"/>
      <c r="V345" s="67"/>
      <c r="W345" s="104"/>
      <c r="X345" s="67">
        <f t="shared" ref="X345:Y345" si="358">(P345+R345+T345+V345)</f>
        <v>0</v>
      </c>
      <c r="Y345" s="67">
        <f t="shared" si="358"/>
        <v>0</v>
      </c>
      <c r="Z345" s="68">
        <f t="shared" si="265"/>
        <v>0</v>
      </c>
      <c r="AA345" s="69" t="str">
        <f t="shared" si="346"/>
        <v>2D</v>
      </c>
      <c r="AB345" s="70" t="s">
        <v>105</v>
      </c>
      <c r="AC345" s="70" t="s">
        <v>225</v>
      </c>
      <c r="AD345" s="70">
        <v>66</v>
      </c>
      <c r="AE345" s="70">
        <v>31</v>
      </c>
      <c r="AF345" s="70">
        <v>97</v>
      </c>
      <c r="AG345" s="72">
        <f t="shared" si="267"/>
        <v>0.68041237113402064</v>
      </c>
      <c r="AH345" s="73">
        <f t="shared" si="268"/>
        <v>-33.319587628865982</v>
      </c>
      <c r="AI345" s="74">
        <v>1</v>
      </c>
      <c r="AJ345" s="79" t="s">
        <v>543</v>
      </c>
      <c r="AK345" s="76" t="s">
        <v>722</v>
      </c>
      <c r="AL345" s="67"/>
      <c r="AM345" s="506"/>
      <c r="AN345" s="505"/>
      <c r="AO345" s="515"/>
    </row>
    <row r="346" spans="1:41" ht="14.5">
      <c r="A346" s="58">
        <v>43337</v>
      </c>
      <c r="B346" s="59" t="s">
        <v>204</v>
      </c>
      <c r="C346" s="60" t="s">
        <v>241</v>
      </c>
      <c r="D346" s="60" t="s">
        <v>853</v>
      </c>
      <c r="E346" s="100">
        <v>9</v>
      </c>
      <c r="F346" s="101">
        <v>11</v>
      </c>
      <c r="G346" s="101">
        <v>11</v>
      </c>
      <c r="H346" s="60">
        <v>31</v>
      </c>
      <c r="I346" s="60">
        <v>30</v>
      </c>
      <c r="J346" s="60">
        <v>61</v>
      </c>
      <c r="K346" s="60">
        <v>0.50819999999999999</v>
      </c>
      <c r="L346" s="60">
        <f t="shared" si="263"/>
        <v>-1.4918</v>
      </c>
      <c r="M346" s="64">
        <f t="shared" si="284"/>
        <v>5</v>
      </c>
      <c r="N346" s="65" t="s">
        <v>243</v>
      </c>
      <c r="O346" s="60" t="s">
        <v>854</v>
      </c>
      <c r="P346" s="102"/>
      <c r="Q346" s="66"/>
      <c r="R346" s="103">
        <v>6</v>
      </c>
      <c r="S346" s="103">
        <v>11</v>
      </c>
      <c r="T346" s="103"/>
      <c r="U346" s="103"/>
      <c r="V346" s="67"/>
      <c r="W346" s="104"/>
      <c r="X346" s="67">
        <f t="shared" ref="X346:Y346" si="359">(P346+R346+T346+V346)</f>
        <v>6</v>
      </c>
      <c r="Y346" s="67">
        <f t="shared" si="359"/>
        <v>11</v>
      </c>
      <c r="Z346" s="68">
        <f t="shared" si="265"/>
        <v>17</v>
      </c>
      <c r="AA346" s="69" t="str">
        <f t="shared" si="346"/>
        <v>3A</v>
      </c>
      <c r="AB346" s="70" t="s">
        <v>853</v>
      </c>
      <c r="AC346" s="70" t="s">
        <v>253</v>
      </c>
      <c r="AD346" s="70">
        <v>39</v>
      </c>
      <c r="AE346" s="70">
        <v>41</v>
      </c>
      <c r="AF346" s="70">
        <v>80</v>
      </c>
      <c r="AG346" s="72">
        <f t="shared" si="267"/>
        <v>0.48749999999999999</v>
      </c>
      <c r="AH346" s="73">
        <f t="shared" si="268"/>
        <v>-60.512500000000003</v>
      </c>
      <c r="AI346" s="74">
        <v>5</v>
      </c>
      <c r="AJ346" s="79" t="s">
        <v>715</v>
      </c>
      <c r="AK346" s="76" t="s">
        <v>772</v>
      </c>
      <c r="AL346" s="67"/>
      <c r="AM346" s="506"/>
      <c r="AN346" s="505"/>
      <c r="AO346" s="515"/>
    </row>
    <row r="347" spans="1:41" ht="14.5">
      <c r="A347" s="58">
        <v>43337</v>
      </c>
      <c r="B347" s="59" t="s">
        <v>204</v>
      </c>
      <c r="C347" s="60" t="s">
        <v>246</v>
      </c>
      <c r="D347" s="60" t="s">
        <v>855</v>
      </c>
      <c r="E347" s="105">
        <v>11</v>
      </c>
      <c r="F347" s="106">
        <v>6</v>
      </c>
      <c r="G347" s="106">
        <v>11</v>
      </c>
      <c r="H347" s="60">
        <v>28</v>
      </c>
      <c r="I347" s="60">
        <v>23</v>
      </c>
      <c r="J347" s="60">
        <v>51</v>
      </c>
      <c r="K347" s="60">
        <v>0.54900000000000004</v>
      </c>
      <c r="L347" s="60">
        <f t="shared" si="263"/>
        <v>-4.4509999999999996</v>
      </c>
      <c r="M347" s="64">
        <f t="shared" si="284"/>
        <v>8</v>
      </c>
      <c r="N347" s="65"/>
      <c r="O347" s="60"/>
      <c r="P347" s="102"/>
      <c r="Q347" s="66"/>
      <c r="R347" s="103"/>
      <c r="S347" s="103"/>
      <c r="T347" s="103"/>
      <c r="U347" s="103"/>
      <c r="V347" s="67"/>
      <c r="W347" s="104"/>
      <c r="X347" s="67">
        <f t="shared" ref="X347:Y347" si="360">(P347+R347+T347+V347)</f>
        <v>0</v>
      </c>
      <c r="Y347" s="67">
        <f t="shared" si="360"/>
        <v>0</v>
      </c>
      <c r="Z347" s="68">
        <f t="shared" si="265"/>
        <v>0</v>
      </c>
      <c r="AA347" s="69" t="str">
        <f t="shared" si="346"/>
        <v>3B</v>
      </c>
      <c r="AB347" s="70" t="s">
        <v>855</v>
      </c>
      <c r="AC347" s="70" t="s">
        <v>248</v>
      </c>
      <c r="AD347" s="70">
        <v>28</v>
      </c>
      <c r="AE347" s="70">
        <v>23</v>
      </c>
      <c r="AF347" s="70">
        <v>51</v>
      </c>
      <c r="AG347" s="72">
        <f t="shared" si="267"/>
        <v>0.5490196078431373</v>
      </c>
      <c r="AH347" s="73">
        <f t="shared" si="268"/>
        <v>-71.450980392156865</v>
      </c>
      <c r="AI347" s="74">
        <v>9</v>
      </c>
      <c r="AJ347" s="75" t="s">
        <v>227</v>
      </c>
      <c r="AK347" s="76" t="s">
        <v>662</v>
      </c>
      <c r="AL347" s="67"/>
      <c r="AM347" s="506"/>
      <c r="AN347" s="505"/>
      <c r="AO347" s="515"/>
    </row>
    <row r="348" spans="1:41" ht="14.5">
      <c r="A348" s="58">
        <v>43337</v>
      </c>
      <c r="B348" s="59" t="s">
        <v>204</v>
      </c>
      <c r="C348" s="60" t="s">
        <v>251</v>
      </c>
      <c r="D348" s="60" t="s">
        <v>856</v>
      </c>
      <c r="E348" s="107">
        <v>9</v>
      </c>
      <c r="F348" s="108">
        <v>10</v>
      </c>
      <c r="G348" s="106">
        <v>3</v>
      </c>
      <c r="H348" s="60">
        <v>22</v>
      </c>
      <c r="I348" s="60">
        <v>33</v>
      </c>
      <c r="J348" s="60">
        <v>55</v>
      </c>
      <c r="K348" s="60">
        <v>0.4</v>
      </c>
      <c r="L348" s="60">
        <f t="shared" si="263"/>
        <v>-10.6</v>
      </c>
      <c r="M348" s="64">
        <f t="shared" si="284"/>
        <v>11</v>
      </c>
      <c r="N348" s="65" t="s">
        <v>230</v>
      </c>
      <c r="O348" s="60" t="s">
        <v>106</v>
      </c>
      <c r="P348" s="102"/>
      <c r="Q348" s="66"/>
      <c r="R348" s="103">
        <v>11</v>
      </c>
      <c r="S348" s="103">
        <v>6</v>
      </c>
      <c r="T348" s="103">
        <v>11</v>
      </c>
      <c r="U348" s="103">
        <v>8</v>
      </c>
      <c r="V348" s="67">
        <v>10</v>
      </c>
      <c r="W348" s="104">
        <v>11</v>
      </c>
      <c r="X348" s="67">
        <f t="shared" ref="X348:Y348" si="361">(P348+R348+T348+V348)</f>
        <v>32</v>
      </c>
      <c r="Y348" s="67">
        <f t="shared" si="361"/>
        <v>25</v>
      </c>
      <c r="Z348" s="68">
        <f t="shared" si="265"/>
        <v>57</v>
      </c>
      <c r="AA348" s="69" t="str">
        <f t="shared" si="346"/>
        <v>3C</v>
      </c>
      <c r="AB348" s="70" t="s">
        <v>856</v>
      </c>
      <c r="AC348" s="70" t="s">
        <v>258</v>
      </c>
      <c r="AD348" s="70">
        <v>22</v>
      </c>
      <c r="AE348" s="70">
        <v>33</v>
      </c>
      <c r="AF348" s="70">
        <v>55</v>
      </c>
      <c r="AG348" s="72">
        <f t="shared" si="267"/>
        <v>0.4</v>
      </c>
      <c r="AH348" s="73">
        <f t="shared" si="268"/>
        <v>-77.599999999999994</v>
      </c>
      <c r="AI348" s="74">
        <v>11</v>
      </c>
      <c r="AJ348" s="79" t="s">
        <v>857</v>
      </c>
      <c r="AK348" s="76" t="s">
        <v>275</v>
      </c>
      <c r="AL348" s="67"/>
      <c r="AM348" s="506"/>
      <c r="AN348" s="505"/>
      <c r="AO348" s="515"/>
    </row>
    <row r="349" spans="1:41" ht="14.5">
      <c r="A349" s="58">
        <v>43337</v>
      </c>
      <c r="B349" s="59" t="s">
        <v>204</v>
      </c>
      <c r="C349" s="60" t="s">
        <v>256</v>
      </c>
      <c r="D349" s="60" t="s">
        <v>854</v>
      </c>
      <c r="E349" s="109">
        <v>11</v>
      </c>
      <c r="F349" s="110">
        <v>11</v>
      </c>
      <c r="G349" s="111">
        <v>9</v>
      </c>
      <c r="H349" s="60">
        <v>31</v>
      </c>
      <c r="I349" s="60">
        <v>26</v>
      </c>
      <c r="J349" s="60">
        <v>57</v>
      </c>
      <c r="K349" s="60">
        <v>0.54390000000000005</v>
      </c>
      <c r="L349" s="60">
        <f t="shared" si="263"/>
        <v>-1.4560999999999999</v>
      </c>
      <c r="M349" s="64">
        <f t="shared" si="284"/>
        <v>4</v>
      </c>
      <c r="N349" s="90"/>
      <c r="O349" s="89"/>
      <c r="P349" s="112"/>
      <c r="Q349" s="91"/>
      <c r="R349" s="113"/>
      <c r="S349" s="113"/>
      <c r="T349" s="103"/>
      <c r="U349" s="103"/>
      <c r="V349" s="67"/>
      <c r="W349" s="104"/>
      <c r="X349" s="67">
        <f t="shared" ref="X349:Y349" si="362">(P349+R349+T349+V349)</f>
        <v>0</v>
      </c>
      <c r="Y349" s="67">
        <f t="shared" si="362"/>
        <v>0</v>
      </c>
      <c r="Z349" s="68">
        <f t="shared" si="265"/>
        <v>0</v>
      </c>
      <c r="AA349" s="69" t="str">
        <f t="shared" si="346"/>
        <v>3D</v>
      </c>
      <c r="AB349" s="70" t="s">
        <v>854</v>
      </c>
      <c r="AC349" s="70" t="s">
        <v>243</v>
      </c>
      <c r="AD349" s="70">
        <v>37</v>
      </c>
      <c r="AE349" s="70">
        <v>37</v>
      </c>
      <c r="AF349" s="70">
        <v>74</v>
      </c>
      <c r="AG349" s="72">
        <f t="shared" si="267"/>
        <v>0.5</v>
      </c>
      <c r="AH349" s="73">
        <f t="shared" si="268"/>
        <v>-62.5</v>
      </c>
      <c r="AI349" s="74">
        <v>7</v>
      </c>
      <c r="AJ349" s="79" t="s">
        <v>858</v>
      </c>
      <c r="AK349" s="76" t="s">
        <v>541</v>
      </c>
      <c r="AL349" s="67"/>
      <c r="AM349" s="506"/>
      <c r="AN349" s="505"/>
      <c r="AO349" s="515"/>
    </row>
    <row r="350" spans="1:41" ht="14.5">
      <c r="A350" s="58">
        <v>43337</v>
      </c>
      <c r="B350" s="59" t="s">
        <v>204</v>
      </c>
      <c r="C350" s="60" t="s">
        <v>261</v>
      </c>
      <c r="D350" s="60" t="s">
        <v>859</v>
      </c>
      <c r="E350" s="100">
        <v>7</v>
      </c>
      <c r="F350" s="101">
        <v>9</v>
      </c>
      <c r="G350" s="101">
        <v>9</v>
      </c>
      <c r="H350" s="60">
        <v>25</v>
      </c>
      <c r="I350" s="60">
        <v>33</v>
      </c>
      <c r="J350" s="60">
        <v>58</v>
      </c>
      <c r="K350" s="60">
        <v>0.43099999999999999</v>
      </c>
      <c r="L350" s="60">
        <f t="shared" si="263"/>
        <v>-7.569</v>
      </c>
      <c r="M350" s="64">
        <f t="shared" si="284"/>
        <v>10</v>
      </c>
      <c r="N350" s="65" t="s">
        <v>263</v>
      </c>
      <c r="O350" s="60" t="s">
        <v>860</v>
      </c>
      <c r="P350" s="102"/>
      <c r="Q350" s="66"/>
      <c r="R350" s="103">
        <v>11</v>
      </c>
      <c r="S350" s="103">
        <v>8</v>
      </c>
      <c r="T350" s="103">
        <v>8</v>
      </c>
      <c r="U350" s="103">
        <v>11</v>
      </c>
      <c r="V350" s="67"/>
      <c r="W350" s="104"/>
      <c r="X350" s="67">
        <f t="shared" ref="X350:Y350" si="363">(P350+R350+T350+V350)</f>
        <v>19</v>
      </c>
      <c r="Y350" s="67">
        <f t="shared" si="363"/>
        <v>19</v>
      </c>
      <c r="Z350" s="68">
        <f t="shared" si="265"/>
        <v>38</v>
      </c>
      <c r="AA350" s="69" t="str">
        <f t="shared" si="346"/>
        <v>4A</v>
      </c>
      <c r="AB350" s="70" t="s">
        <v>859</v>
      </c>
      <c r="AC350" s="70" t="s">
        <v>278</v>
      </c>
      <c r="AD350" s="70">
        <v>25</v>
      </c>
      <c r="AE350" s="70">
        <v>33</v>
      </c>
      <c r="AF350" s="70">
        <v>58</v>
      </c>
      <c r="AG350" s="72">
        <f t="shared" si="267"/>
        <v>0.43103448275862066</v>
      </c>
      <c r="AH350" s="73">
        <f t="shared" si="268"/>
        <v>-74.568965517241381</v>
      </c>
      <c r="AI350" s="74">
        <v>10</v>
      </c>
      <c r="AJ350" s="79" t="s">
        <v>29</v>
      </c>
      <c r="AK350" s="76" t="s">
        <v>260</v>
      </c>
      <c r="AL350" s="67"/>
      <c r="AM350" s="506"/>
      <c r="AN350" s="505"/>
      <c r="AO350" s="515"/>
    </row>
    <row r="351" spans="1:41" ht="14.5">
      <c r="A351" s="58">
        <v>43337</v>
      </c>
      <c r="B351" s="59" t="s">
        <v>204</v>
      </c>
      <c r="C351" s="60" t="s">
        <v>268</v>
      </c>
      <c r="D351" s="60" t="s">
        <v>847</v>
      </c>
      <c r="E351" s="105">
        <v>11</v>
      </c>
      <c r="F351" s="106">
        <v>11</v>
      </c>
      <c r="G351" s="106">
        <v>7</v>
      </c>
      <c r="H351" s="60">
        <v>29</v>
      </c>
      <c r="I351" s="60">
        <v>21</v>
      </c>
      <c r="J351" s="60">
        <v>50</v>
      </c>
      <c r="K351" s="60">
        <v>0.57999999999999996</v>
      </c>
      <c r="L351" s="60">
        <f t="shared" si="263"/>
        <v>-3.42</v>
      </c>
      <c r="M351" s="64">
        <f t="shared" si="284"/>
        <v>7</v>
      </c>
      <c r="N351" s="65"/>
      <c r="O351" s="60"/>
      <c r="P351" s="102"/>
      <c r="Q351" s="66"/>
      <c r="R351" s="103"/>
      <c r="S351" s="103"/>
      <c r="T351" s="103"/>
      <c r="U351" s="103"/>
      <c r="V351" s="67"/>
      <c r="W351" s="104"/>
      <c r="X351" s="67">
        <f t="shared" ref="X351:Y351" si="364">(P351+R351+T351+V351)</f>
        <v>0</v>
      </c>
      <c r="Y351" s="67">
        <f t="shared" si="364"/>
        <v>0</v>
      </c>
      <c r="Z351" s="68">
        <f t="shared" si="265"/>
        <v>0</v>
      </c>
      <c r="AA351" s="69" t="str">
        <f t="shared" si="346"/>
        <v>4B</v>
      </c>
      <c r="AB351" s="70" t="s">
        <v>847</v>
      </c>
      <c r="AC351" s="70" t="s">
        <v>265</v>
      </c>
      <c r="AD351" s="70">
        <v>35</v>
      </c>
      <c r="AE351" s="70">
        <v>32</v>
      </c>
      <c r="AF351" s="70">
        <v>67</v>
      </c>
      <c r="AG351" s="72">
        <f t="shared" si="267"/>
        <v>0.52238805970149249</v>
      </c>
      <c r="AH351" s="73">
        <f t="shared" si="268"/>
        <v>-64.477611940298502</v>
      </c>
      <c r="AI351" s="74">
        <v>8</v>
      </c>
      <c r="AJ351" s="79" t="s">
        <v>417</v>
      </c>
      <c r="AK351" s="76" t="s">
        <v>861</v>
      </c>
      <c r="AL351" s="67"/>
      <c r="AM351" s="506"/>
      <c r="AN351" s="505"/>
      <c r="AO351" s="515"/>
    </row>
    <row r="352" spans="1:41" ht="14.5">
      <c r="A352" s="58">
        <v>43337</v>
      </c>
      <c r="B352" s="59" t="s">
        <v>204</v>
      </c>
      <c r="C352" s="60" t="s">
        <v>271</v>
      </c>
      <c r="D352" s="60" t="s">
        <v>860</v>
      </c>
      <c r="E352" s="107">
        <v>11</v>
      </c>
      <c r="F352" s="108">
        <v>11</v>
      </c>
      <c r="G352" s="106">
        <v>11</v>
      </c>
      <c r="H352" s="60">
        <v>33</v>
      </c>
      <c r="I352" s="60">
        <v>19</v>
      </c>
      <c r="J352" s="60">
        <v>52</v>
      </c>
      <c r="K352" s="60">
        <v>0.63460000000000005</v>
      </c>
      <c r="L352" s="60">
        <f t="shared" si="263"/>
        <v>0.63460000000000005</v>
      </c>
      <c r="M352" s="64">
        <f t="shared" si="284"/>
        <v>3</v>
      </c>
      <c r="N352" s="65" t="s">
        <v>218</v>
      </c>
      <c r="O352" s="60" t="s">
        <v>862</v>
      </c>
      <c r="P352" s="102"/>
      <c r="Q352" s="66"/>
      <c r="R352" s="103">
        <v>8</v>
      </c>
      <c r="S352" s="103">
        <v>11</v>
      </c>
      <c r="T352" s="103"/>
      <c r="U352" s="103"/>
      <c r="V352" s="67"/>
      <c r="W352" s="104"/>
      <c r="X352" s="67">
        <f t="shared" ref="X352:Y352" si="365">(P352+R352+T352+V352)</f>
        <v>8</v>
      </c>
      <c r="Y352" s="67">
        <f t="shared" si="365"/>
        <v>11</v>
      </c>
      <c r="Z352" s="68">
        <f t="shared" si="265"/>
        <v>19</v>
      </c>
      <c r="AA352" s="69" t="str">
        <f t="shared" si="346"/>
        <v>4C</v>
      </c>
      <c r="AB352" s="70" t="s">
        <v>860</v>
      </c>
      <c r="AC352" s="70" t="s">
        <v>263</v>
      </c>
      <c r="AD352" s="70">
        <v>52</v>
      </c>
      <c r="AE352" s="70">
        <v>38</v>
      </c>
      <c r="AF352" s="70">
        <v>90</v>
      </c>
      <c r="AG352" s="72">
        <f t="shared" si="267"/>
        <v>0.57777777777777772</v>
      </c>
      <c r="AH352" s="73">
        <f t="shared" si="268"/>
        <v>-47.422222222222224</v>
      </c>
      <c r="AI352" s="74">
        <v>3</v>
      </c>
      <c r="AJ352" s="75" t="s">
        <v>768</v>
      </c>
      <c r="AK352" s="76" t="s">
        <v>863</v>
      </c>
      <c r="AL352" s="67"/>
      <c r="AM352" s="506"/>
      <c r="AN352" s="505"/>
      <c r="AO352" s="515"/>
    </row>
    <row r="353" spans="1:41" ht="14.5">
      <c r="A353" s="87">
        <v>43337</v>
      </c>
      <c r="B353" s="88" t="s">
        <v>204</v>
      </c>
      <c r="C353" s="89" t="s">
        <v>276</v>
      </c>
      <c r="D353" s="89" t="s">
        <v>864</v>
      </c>
      <c r="E353" s="109">
        <v>3</v>
      </c>
      <c r="F353" s="110">
        <v>3</v>
      </c>
      <c r="G353" s="111">
        <v>11</v>
      </c>
      <c r="H353" s="89">
        <v>17</v>
      </c>
      <c r="I353" s="89">
        <v>31</v>
      </c>
      <c r="J353" s="89">
        <v>48</v>
      </c>
      <c r="K353" s="89">
        <v>0.35420000000000001</v>
      </c>
      <c r="L353" s="89">
        <f t="shared" si="263"/>
        <v>-15.645799999999999</v>
      </c>
      <c r="M353" s="86">
        <f t="shared" si="284"/>
        <v>13</v>
      </c>
      <c r="N353" s="90"/>
      <c r="O353" s="89"/>
      <c r="P353" s="112"/>
      <c r="Q353" s="91"/>
      <c r="R353" s="113"/>
      <c r="S353" s="113"/>
      <c r="T353" s="113"/>
      <c r="U353" s="113"/>
      <c r="V353" s="92"/>
      <c r="W353" s="114"/>
      <c r="X353" s="92">
        <f t="shared" ref="X353:Y353" si="366">(P353+R353+T353+V353)</f>
        <v>0</v>
      </c>
      <c r="Y353" s="92">
        <f t="shared" si="366"/>
        <v>0</v>
      </c>
      <c r="Z353" s="84">
        <f t="shared" si="265"/>
        <v>0</v>
      </c>
      <c r="AA353" s="93" t="str">
        <f t="shared" si="346"/>
        <v>4D</v>
      </c>
      <c r="AB353" s="120" t="s">
        <v>864</v>
      </c>
      <c r="AC353" s="94" t="s">
        <v>273</v>
      </c>
      <c r="AD353" s="94">
        <v>17</v>
      </c>
      <c r="AE353" s="94">
        <v>31</v>
      </c>
      <c r="AF353" s="94">
        <v>48</v>
      </c>
      <c r="AG353" s="95">
        <f t="shared" si="267"/>
        <v>0.35416666666666669</v>
      </c>
      <c r="AH353" s="96">
        <f t="shared" si="268"/>
        <v>-82.645833333333329</v>
      </c>
      <c r="AI353" s="97">
        <v>13</v>
      </c>
      <c r="AJ353" s="98" t="s">
        <v>808</v>
      </c>
      <c r="AK353" s="81" t="s">
        <v>23</v>
      </c>
      <c r="AL353" s="67"/>
      <c r="AM353" s="506"/>
      <c r="AN353" s="505"/>
      <c r="AO353" s="515"/>
    </row>
    <row r="354" spans="1:41" ht="14.5">
      <c r="A354" s="58">
        <v>43365</v>
      </c>
      <c r="B354" s="59" t="s">
        <v>428</v>
      </c>
      <c r="C354" s="60" t="s">
        <v>205</v>
      </c>
      <c r="D354" s="60" t="s">
        <v>865</v>
      </c>
      <c r="E354" s="100">
        <v>11</v>
      </c>
      <c r="F354" s="101">
        <v>11</v>
      </c>
      <c r="G354" s="101">
        <v>11</v>
      </c>
      <c r="H354" s="60">
        <v>33</v>
      </c>
      <c r="I354" s="60">
        <v>18</v>
      </c>
      <c r="J354" s="60">
        <v>51</v>
      </c>
      <c r="K354" s="60">
        <v>0.64710000000000001</v>
      </c>
      <c r="L354" s="60">
        <f t="shared" si="263"/>
        <v>0.64710000000000001</v>
      </c>
      <c r="M354" s="64">
        <f t="shared" si="284"/>
        <v>3</v>
      </c>
      <c r="N354" s="65" t="s">
        <v>207</v>
      </c>
      <c r="O354" s="60" t="s">
        <v>865</v>
      </c>
      <c r="P354" s="102"/>
      <c r="Q354" s="66"/>
      <c r="R354" s="103">
        <v>5</v>
      </c>
      <c r="S354" s="103">
        <v>11</v>
      </c>
      <c r="T354" s="103"/>
      <c r="U354" s="103"/>
      <c r="V354" s="67"/>
      <c r="W354" s="104"/>
      <c r="X354" s="67">
        <f t="shared" ref="X354:Y354" si="367">(P354+R354+T354+V354)</f>
        <v>5</v>
      </c>
      <c r="Y354" s="67">
        <f t="shared" si="367"/>
        <v>11</v>
      </c>
      <c r="Z354" s="68">
        <f t="shared" si="265"/>
        <v>16</v>
      </c>
      <c r="AA354" s="69" t="str">
        <f t="shared" si="346"/>
        <v>1A</v>
      </c>
      <c r="AB354" s="70" t="s">
        <v>865</v>
      </c>
      <c r="AC354" s="70" t="s">
        <v>207</v>
      </c>
      <c r="AD354" s="70">
        <v>38</v>
      </c>
      <c r="AE354" s="70">
        <v>29</v>
      </c>
      <c r="AF354" s="70">
        <v>67</v>
      </c>
      <c r="AG354" s="72">
        <f t="shared" si="267"/>
        <v>0.56716417910447758</v>
      </c>
      <c r="AH354" s="73">
        <f t="shared" si="268"/>
        <v>-61.432835820895519</v>
      </c>
      <c r="AI354" s="74">
        <v>7</v>
      </c>
      <c r="AJ354" s="79" t="s">
        <v>650</v>
      </c>
      <c r="AK354" s="76" t="s">
        <v>826</v>
      </c>
      <c r="AL354" s="67"/>
      <c r="AM354" s="506"/>
      <c r="AN354" s="505"/>
      <c r="AO354" s="515"/>
    </row>
    <row r="355" spans="1:41" ht="14.5">
      <c r="A355" s="58">
        <v>43365</v>
      </c>
      <c r="B355" s="59" t="s">
        <v>428</v>
      </c>
      <c r="C355" s="60" t="s">
        <v>211</v>
      </c>
      <c r="D355" s="60" t="s">
        <v>109</v>
      </c>
      <c r="E355" s="105">
        <v>8</v>
      </c>
      <c r="F355" s="106">
        <v>11</v>
      </c>
      <c r="G355" s="106">
        <v>11</v>
      </c>
      <c r="H355" s="60">
        <v>30</v>
      </c>
      <c r="I355" s="60">
        <v>23</v>
      </c>
      <c r="J355" s="60">
        <v>53</v>
      </c>
      <c r="K355" s="60">
        <v>0.56599999999999995</v>
      </c>
      <c r="L355" s="60">
        <f t="shared" si="263"/>
        <v>-2.4340000000000002</v>
      </c>
      <c r="M355" s="64">
        <f t="shared" si="284"/>
        <v>6</v>
      </c>
      <c r="N355" s="65"/>
      <c r="O355" s="60"/>
      <c r="P355" s="102"/>
      <c r="Q355" s="66"/>
      <c r="R355" s="103"/>
      <c r="S355" s="103"/>
      <c r="T355" s="103"/>
      <c r="U355" s="103"/>
      <c r="V355" s="67"/>
      <c r="W355" s="104"/>
      <c r="X355" s="67">
        <f t="shared" ref="X355:Y355" si="368">(P355+R355+T355+V355)</f>
        <v>0</v>
      </c>
      <c r="Y355" s="67">
        <f t="shared" si="368"/>
        <v>0</v>
      </c>
      <c r="Z355" s="68">
        <f t="shared" si="265"/>
        <v>0</v>
      </c>
      <c r="AA355" s="69" t="str">
        <f t="shared" si="346"/>
        <v>1B</v>
      </c>
      <c r="AB355" s="70" t="s">
        <v>109</v>
      </c>
      <c r="AC355" s="70" t="s">
        <v>218</v>
      </c>
      <c r="AD355" s="70">
        <v>62</v>
      </c>
      <c r="AE355" s="70">
        <v>44</v>
      </c>
      <c r="AF355" s="70">
        <v>106</v>
      </c>
      <c r="AG355" s="72">
        <f t="shared" si="267"/>
        <v>0.58490566037735847</v>
      </c>
      <c r="AH355" s="73">
        <f t="shared" si="268"/>
        <v>-37.415094339622641</v>
      </c>
      <c r="AI355" s="74">
        <v>2</v>
      </c>
      <c r="AJ355" s="79" t="s">
        <v>512</v>
      </c>
      <c r="AK355" s="76" t="s">
        <v>866</v>
      </c>
      <c r="AL355" s="67"/>
      <c r="AM355" s="506"/>
      <c r="AN355" s="505"/>
      <c r="AO355" s="515"/>
    </row>
    <row r="356" spans="1:41" ht="14.5">
      <c r="A356" s="58">
        <v>43365</v>
      </c>
      <c r="B356" s="59" t="s">
        <v>428</v>
      </c>
      <c r="C356" s="60" t="s">
        <v>216</v>
      </c>
      <c r="D356" s="60" t="s">
        <v>867</v>
      </c>
      <c r="E356" s="107">
        <v>11</v>
      </c>
      <c r="F356" s="108">
        <v>3</v>
      </c>
      <c r="G356" s="106">
        <v>8</v>
      </c>
      <c r="H356" s="60">
        <v>22</v>
      </c>
      <c r="I356" s="60">
        <v>32</v>
      </c>
      <c r="J356" s="60">
        <v>54</v>
      </c>
      <c r="K356" s="60">
        <v>0.40739999999999998</v>
      </c>
      <c r="L356" s="60">
        <f t="shared" si="263"/>
        <v>-10.592600000000001</v>
      </c>
      <c r="M356" s="64">
        <f t="shared" si="284"/>
        <v>12</v>
      </c>
      <c r="N356" s="65" t="s">
        <v>265</v>
      </c>
      <c r="O356" s="60" t="s">
        <v>110</v>
      </c>
      <c r="P356" s="102"/>
      <c r="Q356" s="66"/>
      <c r="R356" s="103">
        <v>11</v>
      </c>
      <c r="S356" s="103">
        <v>5</v>
      </c>
      <c r="T356" s="103">
        <v>11</v>
      </c>
      <c r="U356" s="103">
        <v>8</v>
      </c>
      <c r="V356" s="67">
        <v>10</v>
      </c>
      <c r="W356" s="104">
        <v>10</v>
      </c>
      <c r="X356" s="67">
        <f t="shared" ref="X356:Y356" si="369">(P356+R356+T356+V356)</f>
        <v>32</v>
      </c>
      <c r="Y356" s="67">
        <f t="shared" si="369"/>
        <v>23</v>
      </c>
      <c r="Z356" s="68">
        <f t="shared" si="265"/>
        <v>55</v>
      </c>
      <c r="AA356" s="69" t="str">
        <f t="shared" si="346"/>
        <v>1C</v>
      </c>
      <c r="AB356" s="70" t="s">
        <v>867</v>
      </c>
      <c r="AC356" s="70" t="s">
        <v>208</v>
      </c>
      <c r="AD356" s="70">
        <v>22</v>
      </c>
      <c r="AE356" s="70">
        <v>32</v>
      </c>
      <c r="AF356" s="70">
        <v>54</v>
      </c>
      <c r="AG356" s="72">
        <f t="shared" si="267"/>
        <v>0.40740740740740738</v>
      </c>
      <c r="AH356" s="73">
        <f t="shared" si="268"/>
        <v>-77.592592592592595</v>
      </c>
      <c r="AI356" s="74">
        <v>12</v>
      </c>
      <c r="AJ356" s="79" t="s">
        <v>640</v>
      </c>
      <c r="AK356" s="76" t="s">
        <v>421</v>
      </c>
      <c r="AL356" s="67"/>
      <c r="AM356" s="506"/>
      <c r="AN356" s="505"/>
      <c r="AO356" s="515"/>
    </row>
    <row r="357" spans="1:41" ht="14.5">
      <c r="A357" s="58">
        <v>43365</v>
      </c>
      <c r="B357" s="59" t="s">
        <v>428</v>
      </c>
      <c r="C357" s="60" t="s">
        <v>221</v>
      </c>
      <c r="D357" s="60" t="s">
        <v>868</v>
      </c>
      <c r="E357" s="109">
        <v>10</v>
      </c>
      <c r="F357" s="110">
        <v>4</v>
      </c>
      <c r="G357" s="111">
        <v>7</v>
      </c>
      <c r="H357" s="60">
        <v>21</v>
      </c>
      <c r="I357" s="60">
        <v>33</v>
      </c>
      <c r="J357" s="60">
        <v>54</v>
      </c>
      <c r="K357" s="60">
        <v>0.38890000000000002</v>
      </c>
      <c r="L357" s="60">
        <f t="shared" si="263"/>
        <v>-11.6111</v>
      </c>
      <c r="M357" s="64">
        <f t="shared" si="284"/>
        <v>13</v>
      </c>
      <c r="N357" s="90"/>
      <c r="O357" s="89"/>
      <c r="P357" s="112"/>
      <c r="Q357" s="91"/>
      <c r="R357" s="113"/>
      <c r="S357" s="113"/>
      <c r="T357" s="103"/>
      <c r="U357" s="103"/>
      <c r="V357" s="67"/>
      <c r="W357" s="104"/>
      <c r="X357" s="67">
        <f t="shared" ref="X357:Y357" si="370">(P357+R357+T357+V357)</f>
        <v>0</v>
      </c>
      <c r="Y357" s="67">
        <f t="shared" si="370"/>
        <v>0</v>
      </c>
      <c r="Z357" s="68">
        <f t="shared" si="265"/>
        <v>0</v>
      </c>
      <c r="AA357" s="69" t="str">
        <f t="shared" si="346"/>
        <v>1D</v>
      </c>
      <c r="AB357" s="70" t="s">
        <v>868</v>
      </c>
      <c r="AC357" s="70" t="s">
        <v>213</v>
      </c>
      <c r="AD357" s="70">
        <v>21</v>
      </c>
      <c r="AE357" s="70">
        <v>33</v>
      </c>
      <c r="AF357" s="70">
        <v>54</v>
      </c>
      <c r="AG357" s="72">
        <f t="shared" si="267"/>
        <v>0.3888888888888889</v>
      </c>
      <c r="AH357" s="73">
        <f t="shared" si="268"/>
        <v>-78.611111111111114</v>
      </c>
      <c r="AI357" s="74">
        <v>13</v>
      </c>
      <c r="AJ357" s="79" t="s">
        <v>756</v>
      </c>
      <c r="AK357" s="76" t="s">
        <v>548</v>
      </c>
      <c r="AL357" s="67"/>
      <c r="AM357" s="506"/>
      <c r="AN357" s="505"/>
      <c r="AO357" s="515"/>
    </row>
    <row r="358" spans="1:41" ht="14.5">
      <c r="A358" s="58">
        <v>43365</v>
      </c>
      <c r="B358" s="59" t="s">
        <v>428</v>
      </c>
      <c r="C358" s="60" t="s">
        <v>224</v>
      </c>
      <c r="D358" s="60" t="s">
        <v>869</v>
      </c>
      <c r="E358" s="100">
        <v>9</v>
      </c>
      <c r="F358" s="101">
        <v>11</v>
      </c>
      <c r="G358" s="101">
        <v>7</v>
      </c>
      <c r="H358" s="60">
        <v>27</v>
      </c>
      <c r="I358" s="60">
        <v>31</v>
      </c>
      <c r="J358" s="60">
        <v>58</v>
      </c>
      <c r="K358" s="60">
        <v>0.46550000000000002</v>
      </c>
      <c r="L358" s="60">
        <f t="shared" si="263"/>
        <v>-5.5344999999999995</v>
      </c>
      <c r="M358" s="64">
        <f t="shared" si="284"/>
        <v>9</v>
      </c>
      <c r="N358" s="65" t="s">
        <v>225</v>
      </c>
      <c r="O358" s="60" t="s">
        <v>870</v>
      </c>
      <c r="P358" s="102"/>
      <c r="Q358" s="66"/>
      <c r="R358" s="103">
        <v>7</v>
      </c>
      <c r="S358" s="103">
        <v>11</v>
      </c>
      <c r="T358" s="103"/>
      <c r="U358" s="103"/>
      <c r="V358" s="67"/>
      <c r="W358" s="104"/>
      <c r="X358" s="67">
        <f t="shared" ref="X358:Y358" si="371">(P358+R358+T358+V358)</f>
        <v>7</v>
      </c>
      <c r="Y358" s="67">
        <f t="shared" si="371"/>
        <v>11</v>
      </c>
      <c r="Z358" s="68">
        <f t="shared" si="265"/>
        <v>18</v>
      </c>
      <c r="AA358" s="69" t="str">
        <f t="shared" si="346"/>
        <v>2A</v>
      </c>
      <c r="AB358" s="70" t="s">
        <v>869</v>
      </c>
      <c r="AC358" s="70" t="s">
        <v>239</v>
      </c>
      <c r="AD358" s="70">
        <v>27</v>
      </c>
      <c r="AE358" s="70">
        <v>31</v>
      </c>
      <c r="AF358" s="70">
        <v>58</v>
      </c>
      <c r="AG358" s="72">
        <f t="shared" si="267"/>
        <v>0.46551724137931033</v>
      </c>
      <c r="AH358" s="73">
        <f t="shared" si="268"/>
        <v>-72.534482758620683</v>
      </c>
      <c r="AI358" s="74">
        <v>9</v>
      </c>
      <c r="AJ358" s="79" t="s">
        <v>791</v>
      </c>
      <c r="AK358" s="76" t="s">
        <v>871</v>
      </c>
      <c r="AL358" s="67"/>
      <c r="AM358" s="506"/>
      <c r="AN358" s="505"/>
      <c r="AO358" s="515"/>
    </row>
    <row r="359" spans="1:41" ht="14.5">
      <c r="A359" s="58">
        <v>43365</v>
      </c>
      <c r="B359" s="59" t="s">
        <v>428</v>
      </c>
      <c r="C359" s="60" t="s">
        <v>228</v>
      </c>
      <c r="D359" s="60" t="s">
        <v>870</v>
      </c>
      <c r="E359" s="105">
        <v>11</v>
      </c>
      <c r="F359" s="106">
        <v>11</v>
      </c>
      <c r="G359" s="106">
        <v>11</v>
      </c>
      <c r="H359" s="60">
        <v>33</v>
      </c>
      <c r="I359" s="60">
        <v>19</v>
      </c>
      <c r="J359" s="60">
        <v>52</v>
      </c>
      <c r="K359" s="60">
        <v>0.63460000000000005</v>
      </c>
      <c r="L359" s="60">
        <f t="shared" si="263"/>
        <v>0.63460000000000005</v>
      </c>
      <c r="M359" s="64">
        <f t="shared" si="284"/>
        <v>4</v>
      </c>
      <c r="N359" s="65"/>
      <c r="O359" s="60"/>
      <c r="P359" s="102"/>
      <c r="Q359" s="66"/>
      <c r="R359" s="103"/>
      <c r="S359" s="103"/>
      <c r="T359" s="103"/>
      <c r="U359" s="103"/>
      <c r="V359" s="67"/>
      <c r="W359" s="104"/>
      <c r="X359" s="67">
        <f t="shared" ref="X359:Y359" si="372">(P359+R359+T359+V359)</f>
        <v>0</v>
      </c>
      <c r="Y359" s="67">
        <f t="shared" si="372"/>
        <v>0</v>
      </c>
      <c r="Z359" s="68">
        <f t="shared" si="265"/>
        <v>0</v>
      </c>
      <c r="AA359" s="69" t="str">
        <f t="shared" si="346"/>
        <v>2B</v>
      </c>
      <c r="AB359" s="70" t="s">
        <v>870</v>
      </c>
      <c r="AC359" s="70" t="s">
        <v>225</v>
      </c>
      <c r="AD359" s="70">
        <v>40</v>
      </c>
      <c r="AE359" s="70">
        <v>30</v>
      </c>
      <c r="AF359" s="70">
        <v>70</v>
      </c>
      <c r="AG359" s="72">
        <f t="shared" si="267"/>
        <v>0.5714285714285714</v>
      </c>
      <c r="AH359" s="73">
        <f t="shared" si="268"/>
        <v>-59.428571428571431</v>
      </c>
      <c r="AI359" s="74">
        <v>5</v>
      </c>
      <c r="AJ359" s="79" t="s">
        <v>639</v>
      </c>
      <c r="AK359" s="76" t="s">
        <v>658</v>
      </c>
      <c r="AL359" s="67"/>
      <c r="AM359" s="506"/>
      <c r="AN359" s="505"/>
      <c r="AO359" s="515"/>
    </row>
    <row r="360" spans="1:41" ht="14.5">
      <c r="A360" s="58">
        <v>43365</v>
      </c>
      <c r="B360" s="59" t="s">
        <v>428</v>
      </c>
      <c r="C360" s="60" t="s">
        <v>232</v>
      </c>
      <c r="D360" s="60" t="s">
        <v>872</v>
      </c>
      <c r="E360" s="107">
        <v>11</v>
      </c>
      <c r="F360" s="108">
        <v>9</v>
      </c>
      <c r="G360" s="106">
        <v>7</v>
      </c>
      <c r="H360" s="60">
        <v>27</v>
      </c>
      <c r="I360" s="60">
        <v>26</v>
      </c>
      <c r="J360" s="60">
        <v>53</v>
      </c>
      <c r="K360" s="60">
        <v>0.50939999999999996</v>
      </c>
      <c r="L360" s="60">
        <f t="shared" si="263"/>
        <v>-5.4905999999999997</v>
      </c>
      <c r="M360" s="64">
        <f t="shared" si="284"/>
        <v>7</v>
      </c>
      <c r="N360" s="65" t="s">
        <v>253</v>
      </c>
      <c r="O360" s="60" t="s">
        <v>873</v>
      </c>
      <c r="P360" s="102"/>
      <c r="Q360" s="66"/>
      <c r="R360" s="103">
        <v>11</v>
      </c>
      <c r="S360" s="103">
        <v>7</v>
      </c>
      <c r="T360" s="103">
        <v>8</v>
      </c>
      <c r="U360" s="103">
        <v>11</v>
      </c>
      <c r="V360" s="67"/>
      <c r="W360" s="104"/>
      <c r="X360" s="67">
        <f t="shared" ref="X360:Y360" si="373">(P360+R360+T360+V360)</f>
        <v>19</v>
      </c>
      <c r="Y360" s="67">
        <f t="shared" si="373"/>
        <v>18</v>
      </c>
      <c r="Z360" s="68">
        <f t="shared" si="265"/>
        <v>37</v>
      </c>
      <c r="AA360" s="69" t="str">
        <f t="shared" si="346"/>
        <v>2C</v>
      </c>
      <c r="AB360" s="70" t="s">
        <v>872</v>
      </c>
      <c r="AC360" s="70" t="s">
        <v>230</v>
      </c>
      <c r="AD360" s="70">
        <v>45</v>
      </c>
      <c r="AE360" s="70">
        <v>42</v>
      </c>
      <c r="AF360" s="70">
        <v>87</v>
      </c>
      <c r="AG360" s="72">
        <f t="shared" si="267"/>
        <v>0.51724137931034486</v>
      </c>
      <c r="AH360" s="73">
        <f t="shared" si="268"/>
        <v>-54.482758620689658</v>
      </c>
      <c r="AI360" s="74">
        <v>4</v>
      </c>
      <c r="AJ360" s="79" t="s">
        <v>874</v>
      </c>
      <c r="AK360" s="76" t="s">
        <v>559</v>
      </c>
      <c r="AL360" s="67"/>
      <c r="AM360" s="506"/>
      <c r="AN360" s="505"/>
      <c r="AO360" s="515"/>
    </row>
    <row r="361" spans="1:41" ht="14.5">
      <c r="A361" s="58">
        <v>43365</v>
      </c>
      <c r="B361" s="59" t="s">
        <v>428</v>
      </c>
      <c r="C361" s="60" t="s">
        <v>237</v>
      </c>
      <c r="D361" s="60" t="s">
        <v>875</v>
      </c>
      <c r="E361" s="109">
        <v>4</v>
      </c>
      <c r="F361" s="110">
        <v>3</v>
      </c>
      <c r="G361" s="111">
        <v>11</v>
      </c>
      <c r="H361" s="60">
        <v>18</v>
      </c>
      <c r="I361" s="60">
        <v>29</v>
      </c>
      <c r="J361" s="60">
        <v>47</v>
      </c>
      <c r="K361" s="60">
        <v>0.38300000000000001</v>
      </c>
      <c r="L361" s="60">
        <f t="shared" si="263"/>
        <v>-14.617000000000001</v>
      </c>
      <c r="M361" s="64">
        <f t="shared" si="284"/>
        <v>14</v>
      </c>
      <c r="N361" s="90"/>
      <c r="O361" s="89"/>
      <c r="P361" s="112"/>
      <c r="Q361" s="91"/>
      <c r="R361" s="113"/>
      <c r="S361" s="113"/>
      <c r="T361" s="113"/>
      <c r="U361" s="113"/>
      <c r="V361" s="67"/>
      <c r="W361" s="104"/>
      <c r="X361" s="67">
        <f t="shared" ref="X361:Y361" si="374">(P361+R361+T361+V361)</f>
        <v>0</v>
      </c>
      <c r="Y361" s="67">
        <f t="shared" si="374"/>
        <v>0</v>
      </c>
      <c r="Z361" s="68">
        <f t="shared" si="265"/>
        <v>0</v>
      </c>
      <c r="AA361" s="69" t="str">
        <f t="shared" si="346"/>
        <v>2D</v>
      </c>
      <c r="AB361" s="70" t="s">
        <v>875</v>
      </c>
      <c r="AC361" s="70" t="s">
        <v>234</v>
      </c>
      <c r="AD361" s="70">
        <v>18</v>
      </c>
      <c r="AE361" s="70">
        <v>29</v>
      </c>
      <c r="AF361" s="70">
        <v>47</v>
      </c>
      <c r="AG361" s="72">
        <f t="shared" si="267"/>
        <v>0.38297872340425532</v>
      </c>
      <c r="AH361" s="73">
        <f t="shared" si="268"/>
        <v>-81.61702127659575</v>
      </c>
      <c r="AI361" s="74">
        <v>14</v>
      </c>
      <c r="AJ361" s="79" t="s">
        <v>876</v>
      </c>
      <c r="AK361" s="76" t="s">
        <v>877</v>
      </c>
      <c r="AL361" s="67"/>
      <c r="AM361" s="506"/>
      <c r="AN361" s="505"/>
      <c r="AO361" s="515"/>
    </row>
    <row r="362" spans="1:41" ht="14.5">
      <c r="A362" s="58">
        <v>43365</v>
      </c>
      <c r="B362" s="59" t="s">
        <v>428</v>
      </c>
      <c r="C362" s="60" t="s">
        <v>241</v>
      </c>
      <c r="D362" s="60" t="s">
        <v>878</v>
      </c>
      <c r="E362" s="100">
        <v>11</v>
      </c>
      <c r="F362" s="101">
        <v>11</v>
      </c>
      <c r="G362" s="101">
        <v>11</v>
      </c>
      <c r="H362" s="60">
        <v>33</v>
      </c>
      <c r="I362" s="60">
        <v>15</v>
      </c>
      <c r="J362" s="60">
        <v>48</v>
      </c>
      <c r="K362" s="60">
        <v>0.6875</v>
      </c>
      <c r="L362" s="60">
        <f t="shared" si="263"/>
        <v>0.6875</v>
      </c>
      <c r="M362" s="64">
        <f t="shared" si="284"/>
        <v>2</v>
      </c>
      <c r="N362" s="65" t="s">
        <v>243</v>
      </c>
      <c r="O362" s="60" t="s">
        <v>878</v>
      </c>
      <c r="P362" s="102"/>
      <c r="Q362" s="66"/>
      <c r="R362" s="103">
        <v>5</v>
      </c>
      <c r="S362" s="103">
        <v>11</v>
      </c>
      <c r="T362" s="103"/>
      <c r="U362" s="103"/>
      <c r="V362" s="67"/>
      <c r="W362" s="104"/>
      <c r="X362" s="67">
        <f t="shared" ref="X362:Y362" si="375">(P362+R362+T362+V362)</f>
        <v>5</v>
      </c>
      <c r="Y362" s="67">
        <f t="shared" si="375"/>
        <v>11</v>
      </c>
      <c r="Z362" s="68">
        <f t="shared" si="265"/>
        <v>16</v>
      </c>
      <c r="AA362" s="69" t="str">
        <f t="shared" si="346"/>
        <v>3A</v>
      </c>
      <c r="AB362" s="70" t="s">
        <v>878</v>
      </c>
      <c r="AC362" s="70" t="s">
        <v>243</v>
      </c>
      <c r="AD362" s="70">
        <v>38</v>
      </c>
      <c r="AE362" s="70">
        <v>26</v>
      </c>
      <c r="AF362" s="70">
        <v>64</v>
      </c>
      <c r="AG362" s="72">
        <f t="shared" si="267"/>
        <v>0.59375</v>
      </c>
      <c r="AH362" s="73">
        <f t="shared" si="268"/>
        <v>-61.40625</v>
      </c>
      <c r="AI362" s="74">
        <v>6</v>
      </c>
      <c r="AJ362" s="79" t="s">
        <v>648</v>
      </c>
      <c r="AK362" s="76" t="s">
        <v>740</v>
      </c>
      <c r="AL362" s="67"/>
      <c r="AM362" s="506"/>
      <c r="AN362" s="505"/>
      <c r="AO362" s="515"/>
    </row>
    <row r="363" spans="1:41" ht="14.5">
      <c r="A363" s="58">
        <v>43365</v>
      </c>
      <c r="B363" s="59" t="s">
        <v>428</v>
      </c>
      <c r="C363" s="60" t="s">
        <v>246</v>
      </c>
      <c r="D363" s="60" t="s">
        <v>879</v>
      </c>
      <c r="E363" s="105">
        <v>2</v>
      </c>
      <c r="F363" s="106">
        <v>9</v>
      </c>
      <c r="G363" s="106">
        <v>6</v>
      </c>
      <c r="H363" s="60">
        <v>17</v>
      </c>
      <c r="I363" s="60">
        <v>33</v>
      </c>
      <c r="J363" s="60">
        <v>50</v>
      </c>
      <c r="K363" s="60">
        <v>0.34</v>
      </c>
      <c r="L363" s="60">
        <f t="shared" si="263"/>
        <v>-15.66</v>
      </c>
      <c r="M363" s="64">
        <f t="shared" si="284"/>
        <v>15</v>
      </c>
      <c r="N363" s="65"/>
      <c r="O363" s="60"/>
      <c r="P363" s="102"/>
      <c r="Q363" s="66"/>
      <c r="R363" s="103"/>
      <c r="S363" s="103"/>
      <c r="T363" s="103"/>
      <c r="U363" s="103"/>
      <c r="V363" s="67"/>
      <c r="W363" s="104"/>
      <c r="X363" s="67">
        <f t="shared" ref="X363:Y363" si="376">(P363+R363+T363+V363)</f>
        <v>0</v>
      </c>
      <c r="Y363" s="67">
        <f t="shared" si="376"/>
        <v>0</v>
      </c>
      <c r="Z363" s="68">
        <f t="shared" si="265"/>
        <v>0</v>
      </c>
      <c r="AA363" s="69" t="str">
        <f t="shared" si="346"/>
        <v>3B</v>
      </c>
      <c r="AB363" s="70" t="s">
        <v>879</v>
      </c>
      <c r="AC363" s="70" t="s">
        <v>258</v>
      </c>
      <c r="AD363" s="70">
        <v>17</v>
      </c>
      <c r="AE363" s="70">
        <v>33</v>
      </c>
      <c r="AF363" s="70">
        <v>50</v>
      </c>
      <c r="AG363" s="72">
        <f t="shared" si="267"/>
        <v>0.34</v>
      </c>
      <c r="AH363" s="73">
        <f t="shared" si="268"/>
        <v>-82.66</v>
      </c>
      <c r="AI363" s="74">
        <v>15</v>
      </c>
      <c r="AJ363" s="79" t="s">
        <v>753</v>
      </c>
      <c r="AK363" s="76" t="s">
        <v>880</v>
      </c>
      <c r="AL363" s="67"/>
      <c r="AM363" s="506"/>
      <c r="AN363" s="505"/>
      <c r="AO363" s="515"/>
    </row>
    <row r="364" spans="1:41" ht="14.5">
      <c r="A364" s="58">
        <v>43365</v>
      </c>
      <c r="B364" s="59" t="s">
        <v>428</v>
      </c>
      <c r="C364" s="60" t="s">
        <v>251</v>
      </c>
      <c r="D364" s="60" t="s">
        <v>873</v>
      </c>
      <c r="E364" s="107">
        <v>7</v>
      </c>
      <c r="F364" s="108">
        <v>9</v>
      </c>
      <c r="G364" s="106">
        <v>11</v>
      </c>
      <c r="H364" s="60">
        <v>27</v>
      </c>
      <c r="I364" s="60">
        <v>28</v>
      </c>
      <c r="J364" s="60">
        <v>55</v>
      </c>
      <c r="K364" s="60">
        <v>0.4909</v>
      </c>
      <c r="L364" s="60">
        <f t="shared" si="263"/>
        <v>-5.5091000000000001</v>
      </c>
      <c r="M364" s="64">
        <f t="shared" si="284"/>
        <v>8</v>
      </c>
      <c r="N364" s="65" t="s">
        <v>230</v>
      </c>
      <c r="O364" s="60" t="s">
        <v>872</v>
      </c>
      <c r="P364" s="102"/>
      <c r="Q364" s="66"/>
      <c r="R364" s="103">
        <v>11</v>
      </c>
      <c r="S364" s="103">
        <v>5</v>
      </c>
      <c r="T364" s="103">
        <v>7</v>
      </c>
      <c r="U364" s="103">
        <v>11</v>
      </c>
      <c r="V364" s="67"/>
      <c r="W364" s="104"/>
      <c r="X364" s="67">
        <f t="shared" ref="X364:Y364" si="377">(P364+R364+T364+V364)</f>
        <v>18</v>
      </c>
      <c r="Y364" s="67">
        <f t="shared" si="377"/>
        <v>16</v>
      </c>
      <c r="Z364" s="68">
        <f t="shared" si="265"/>
        <v>34</v>
      </c>
      <c r="AA364" s="69" t="str">
        <f t="shared" si="346"/>
        <v>3C</v>
      </c>
      <c r="AB364" s="70" t="s">
        <v>873</v>
      </c>
      <c r="AC364" s="70" t="s">
        <v>253</v>
      </c>
      <c r="AD364" s="70">
        <v>46</v>
      </c>
      <c r="AE364" s="70">
        <v>46</v>
      </c>
      <c r="AF364" s="70">
        <v>92</v>
      </c>
      <c r="AG364" s="72">
        <f t="shared" si="267"/>
        <v>0.5</v>
      </c>
      <c r="AH364" s="73">
        <f t="shared" si="268"/>
        <v>-53.5</v>
      </c>
      <c r="AI364" s="74">
        <v>3</v>
      </c>
      <c r="AJ364" s="79" t="s">
        <v>687</v>
      </c>
      <c r="AK364" s="76" t="s">
        <v>667</v>
      </c>
      <c r="AL364" s="67"/>
      <c r="AM364" s="506"/>
      <c r="AN364" s="505"/>
      <c r="AO364" s="515"/>
    </row>
    <row r="365" spans="1:41" ht="14.5">
      <c r="A365" s="58">
        <v>43365</v>
      </c>
      <c r="B365" s="59" t="s">
        <v>428</v>
      </c>
      <c r="C365" s="60" t="s">
        <v>256</v>
      </c>
      <c r="D365" s="60" t="s">
        <v>881</v>
      </c>
      <c r="E365" s="109">
        <v>11</v>
      </c>
      <c r="F365" s="110">
        <v>11</v>
      </c>
      <c r="G365" s="111">
        <v>4</v>
      </c>
      <c r="H365" s="60">
        <v>26</v>
      </c>
      <c r="I365" s="60">
        <v>27</v>
      </c>
      <c r="J365" s="60">
        <v>53</v>
      </c>
      <c r="K365" s="60">
        <v>0.49059999999999998</v>
      </c>
      <c r="L365" s="60">
        <f t="shared" si="263"/>
        <v>-6.5094000000000003</v>
      </c>
      <c r="M365" s="64">
        <f t="shared" si="284"/>
        <v>10</v>
      </c>
      <c r="N365" s="90"/>
      <c r="O365" s="89"/>
      <c r="P365" s="112"/>
      <c r="Q365" s="91"/>
      <c r="R365" s="113"/>
      <c r="S365" s="113"/>
      <c r="T365" s="103"/>
      <c r="U365" s="103"/>
      <c r="V365" s="67"/>
      <c r="W365" s="104"/>
      <c r="X365" s="67">
        <f t="shared" ref="X365:Y365" si="378">(P365+R365+T365+V365)</f>
        <v>0</v>
      </c>
      <c r="Y365" s="67">
        <f t="shared" si="378"/>
        <v>0</v>
      </c>
      <c r="Z365" s="68">
        <f t="shared" si="265"/>
        <v>0</v>
      </c>
      <c r="AA365" s="69" t="str">
        <f t="shared" si="346"/>
        <v>3D</v>
      </c>
      <c r="AB365" s="70" t="s">
        <v>881</v>
      </c>
      <c r="AC365" s="70" t="s">
        <v>248</v>
      </c>
      <c r="AD365" s="70">
        <v>26</v>
      </c>
      <c r="AE365" s="70">
        <v>27</v>
      </c>
      <c r="AF365" s="70">
        <v>53</v>
      </c>
      <c r="AG365" s="72">
        <f t="shared" si="267"/>
        <v>0.49056603773584906</v>
      </c>
      <c r="AH365" s="73">
        <f t="shared" si="268"/>
        <v>-73.509433962264154</v>
      </c>
      <c r="AI365" s="74">
        <v>10</v>
      </c>
      <c r="AJ365" s="79" t="s">
        <v>795</v>
      </c>
      <c r="AK365" s="76" t="s">
        <v>23</v>
      </c>
      <c r="AL365" s="67"/>
      <c r="AM365" s="506"/>
      <c r="AN365" s="505"/>
      <c r="AO365" s="515"/>
    </row>
    <row r="366" spans="1:41" ht="14.5">
      <c r="A366" s="58">
        <v>43365</v>
      </c>
      <c r="B366" s="59" t="s">
        <v>428</v>
      </c>
      <c r="C366" s="60" t="s">
        <v>261</v>
      </c>
      <c r="D366" s="60" t="s">
        <v>882</v>
      </c>
      <c r="E366" s="100">
        <v>5</v>
      </c>
      <c r="F366" s="101">
        <v>7</v>
      </c>
      <c r="G366" s="101">
        <v>11</v>
      </c>
      <c r="H366" s="60">
        <v>23</v>
      </c>
      <c r="I366" s="60">
        <v>26</v>
      </c>
      <c r="J366" s="60">
        <v>49</v>
      </c>
      <c r="K366" s="60">
        <v>0.46939999999999998</v>
      </c>
      <c r="L366" s="60">
        <f t="shared" si="263"/>
        <v>-9.5305999999999997</v>
      </c>
      <c r="M366" s="64">
        <f t="shared" si="284"/>
        <v>11</v>
      </c>
      <c r="N366" s="65" t="s">
        <v>263</v>
      </c>
      <c r="O366" s="60" t="s">
        <v>883</v>
      </c>
      <c r="P366" s="102"/>
      <c r="Q366" s="66"/>
      <c r="R366" s="103">
        <v>4</v>
      </c>
      <c r="S366" s="103">
        <v>11</v>
      </c>
      <c r="T366" s="103"/>
      <c r="U366" s="103"/>
      <c r="V366" s="67"/>
      <c r="W366" s="104"/>
      <c r="X366" s="67">
        <f t="shared" ref="X366:Y366" si="379">(P366+R366+T366+V366)</f>
        <v>4</v>
      </c>
      <c r="Y366" s="67">
        <f t="shared" si="379"/>
        <v>11</v>
      </c>
      <c r="Z366" s="68">
        <f t="shared" si="265"/>
        <v>15</v>
      </c>
      <c r="AA366" s="69" t="str">
        <f t="shared" si="346"/>
        <v>4A</v>
      </c>
      <c r="AB366" s="70" t="s">
        <v>882</v>
      </c>
      <c r="AC366" s="70" t="s">
        <v>278</v>
      </c>
      <c r="AD366" s="70">
        <v>23</v>
      </c>
      <c r="AE366" s="70">
        <v>26</v>
      </c>
      <c r="AF366" s="70">
        <v>49</v>
      </c>
      <c r="AG366" s="72">
        <f t="shared" si="267"/>
        <v>0.46938775510204084</v>
      </c>
      <c r="AH366" s="73">
        <f t="shared" si="268"/>
        <v>-76.530612244897952</v>
      </c>
      <c r="AI366" s="74">
        <v>11</v>
      </c>
      <c r="AJ366" s="79" t="s">
        <v>734</v>
      </c>
      <c r="AK366" s="76" t="s">
        <v>808</v>
      </c>
      <c r="AL366" s="67"/>
      <c r="AM366" s="506"/>
      <c r="AN366" s="505"/>
      <c r="AO366" s="515"/>
    </row>
    <row r="367" spans="1:41" ht="14.5">
      <c r="A367" s="58">
        <v>43365</v>
      </c>
      <c r="B367" s="59" t="s">
        <v>428</v>
      </c>
      <c r="C367" s="60" t="s">
        <v>268</v>
      </c>
      <c r="D367" s="60" t="s">
        <v>883</v>
      </c>
      <c r="E367" s="105">
        <v>11</v>
      </c>
      <c r="F367" s="106">
        <v>11</v>
      </c>
      <c r="G367" s="106">
        <v>11</v>
      </c>
      <c r="H367" s="60">
        <v>33</v>
      </c>
      <c r="I367" s="60">
        <v>14</v>
      </c>
      <c r="J367" s="60">
        <v>47</v>
      </c>
      <c r="K367" s="60">
        <v>0.70209999999999995</v>
      </c>
      <c r="L367" s="60">
        <f t="shared" si="263"/>
        <v>0.70209999999999995</v>
      </c>
      <c r="M367" s="64">
        <f t="shared" si="284"/>
        <v>1</v>
      </c>
      <c r="N367" s="65"/>
      <c r="O367" s="60"/>
      <c r="P367" s="102"/>
      <c r="Q367" s="66"/>
      <c r="R367" s="103"/>
      <c r="S367" s="103"/>
      <c r="T367" s="103"/>
      <c r="U367" s="103"/>
      <c r="V367" s="67"/>
      <c r="W367" s="104"/>
      <c r="X367" s="67">
        <f t="shared" ref="X367:Y367" si="380">(P367+R367+T367+V367)</f>
        <v>0</v>
      </c>
      <c r="Y367" s="67">
        <f t="shared" si="380"/>
        <v>0</v>
      </c>
      <c r="Z367" s="68">
        <f t="shared" si="265"/>
        <v>0</v>
      </c>
      <c r="AA367" s="69" t="str">
        <f t="shared" si="346"/>
        <v>4B</v>
      </c>
      <c r="AB367" s="70" t="s">
        <v>883</v>
      </c>
      <c r="AC367" s="70" t="s">
        <v>263</v>
      </c>
      <c r="AD367" s="70">
        <v>37</v>
      </c>
      <c r="AE367" s="70">
        <v>25</v>
      </c>
      <c r="AF367" s="70">
        <v>62</v>
      </c>
      <c r="AG367" s="72">
        <f t="shared" si="267"/>
        <v>0.59677419354838712</v>
      </c>
      <c r="AH367" s="73">
        <f t="shared" si="268"/>
        <v>-62.403225806451616</v>
      </c>
      <c r="AI367" s="74">
        <v>8</v>
      </c>
      <c r="AJ367" s="79" t="s">
        <v>796</v>
      </c>
      <c r="AK367" s="76" t="s">
        <v>464</v>
      </c>
      <c r="AL367" s="67"/>
      <c r="AM367" s="506"/>
      <c r="AN367" s="505"/>
      <c r="AO367" s="515"/>
    </row>
    <row r="368" spans="1:41" ht="14.5">
      <c r="A368" s="58">
        <v>43365</v>
      </c>
      <c r="B368" s="59" t="s">
        <v>428</v>
      </c>
      <c r="C368" s="60" t="s">
        <v>271</v>
      </c>
      <c r="D368" s="60" t="s">
        <v>110</v>
      </c>
      <c r="E368" s="107">
        <v>11</v>
      </c>
      <c r="F368" s="108">
        <v>11</v>
      </c>
      <c r="G368" s="106">
        <v>9</v>
      </c>
      <c r="H368" s="60">
        <v>31</v>
      </c>
      <c r="I368" s="60">
        <v>20</v>
      </c>
      <c r="J368" s="60">
        <v>51</v>
      </c>
      <c r="K368" s="60">
        <v>0.60780000000000001</v>
      </c>
      <c r="L368" s="60">
        <f t="shared" si="263"/>
        <v>-1.3921999999999999</v>
      </c>
      <c r="M368" s="64">
        <f t="shared" si="284"/>
        <v>5</v>
      </c>
      <c r="N368" s="65" t="s">
        <v>218</v>
      </c>
      <c r="O368" s="60" t="s">
        <v>109</v>
      </c>
      <c r="P368" s="102"/>
      <c r="Q368" s="66"/>
      <c r="R368" s="103">
        <v>11</v>
      </c>
      <c r="S368" s="103">
        <v>4</v>
      </c>
      <c r="T368" s="103">
        <v>11</v>
      </c>
      <c r="U368" s="103">
        <v>7</v>
      </c>
      <c r="V368" s="67">
        <v>10</v>
      </c>
      <c r="W368" s="104">
        <v>10</v>
      </c>
      <c r="X368" s="67">
        <f t="shared" ref="X368:Y368" si="381">(P368+R368+T368+V368)</f>
        <v>32</v>
      </c>
      <c r="Y368" s="67">
        <f t="shared" si="381"/>
        <v>21</v>
      </c>
      <c r="Z368" s="68">
        <f t="shared" si="265"/>
        <v>53</v>
      </c>
      <c r="AA368" s="69" t="str">
        <f t="shared" si="346"/>
        <v>4C</v>
      </c>
      <c r="AB368" s="70" t="s">
        <v>110</v>
      </c>
      <c r="AC368" s="70" t="s">
        <v>265</v>
      </c>
      <c r="AD368" s="70">
        <v>63</v>
      </c>
      <c r="AE368" s="70">
        <v>43</v>
      </c>
      <c r="AF368" s="70">
        <v>106</v>
      </c>
      <c r="AG368" s="72">
        <f t="shared" si="267"/>
        <v>0.59433962264150941</v>
      </c>
      <c r="AH368" s="73">
        <f t="shared" si="268"/>
        <v>-36.405660377358494</v>
      </c>
      <c r="AI368" s="74">
        <v>1</v>
      </c>
      <c r="AJ368" s="79" t="s">
        <v>837</v>
      </c>
      <c r="AK368" s="76" t="s">
        <v>858</v>
      </c>
      <c r="AL368" s="67"/>
      <c r="AM368" s="506"/>
      <c r="AN368" s="505"/>
      <c r="AO368" s="515"/>
    </row>
    <row r="369" spans="1:41" ht="14.5">
      <c r="A369" s="87">
        <v>43365</v>
      </c>
      <c r="B369" s="88" t="s">
        <v>428</v>
      </c>
      <c r="C369" s="89" t="s">
        <v>276</v>
      </c>
      <c r="D369" s="89" t="s">
        <v>884</v>
      </c>
      <c r="E369" s="109">
        <v>2</v>
      </c>
      <c r="F369" s="110">
        <v>0</v>
      </c>
      <c r="G369" s="111">
        <v>4</v>
      </c>
      <c r="H369" s="89">
        <v>6</v>
      </c>
      <c r="I369" s="89">
        <v>33</v>
      </c>
      <c r="J369" s="89">
        <v>39</v>
      </c>
      <c r="K369" s="89">
        <v>0.15379999999999999</v>
      </c>
      <c r="L369" s="89">
        <f t="shared" si="263"/>
        <v>-26.8462</v>
      </c>
      <c r="M369" s="86">
        <f t="shared" si="284"/>
        <v>16</v>
      </c>
      <c r="N369" s="90"/>
      <c r="O369" s="89"/>
      <c r="P369" s="112"/>
      <c r="Q369" s="91"/>
      <c r="R369" s="113"/>
      <c r="S369" s="113"/>
      <c r="T369" s="113"/>
      <c r="U369" s="113"/>
      <c r="V369" s="92"/>
      <c r="W369" s="114"/>
      <c r="X369" s="92">
        <f t="shared" ref="X369:Y369" si="382">(P369+R369+T369+V369)</f>
        <v>0</v>
      </c>
      <c r="Y369" s="92">
        <f t="shared" si="382"/>
        <v>0</v>
      </c>
      <c r="Z369" s="84">
        <f t="shared" si="265"/>
        <v>0</v>
      </c>
      <c r="AA369" s="93" t="str">
        <f t="shared" si="346"/>
        <v>4D</v>
      </c>
      <c r="AB369" s="94" t="s">
        <v>884</v>
      </c>
      <c r="AC369" s="94" t="s">
        <v>273</v>
      </c>
      <c r="AD369" s="94">
        <v>6</v>
      </c>
      <c r="AE369" s="94">
        <v>33</v>
      </c>
      <c r="AF369" s="94">
        <v>39</v>
      </c>
      <c r="AG369" s="95">
        <f t="shared" si="267"/>
        <v>0.15384615384615385</v>
      </c>
      <c r="AH369" s="96">
        <f t="shared" si="268"/>
        <v>-93.84615384615384</v>
      </c>
      <c r="AI369" s="97">
        <v>16</v>
      </c>
      <c r="AJ369" s="121" t="s">
        <v>785</v>
      </c>
      <c r="AK369" s="81" t="s">
        <v>329</v>
      </c>
      <c r="AL369" s="67"/>
      <c r="AM369" s="506"/>
      <c r="AN369" s="505"/>
      <c r="AO369" s="515"/>
    </row>
    <row r="370" spans="1:41" ht="14.5">
      <c r="A370" s="58">
        <v>43652</v>
      </c>
      <c r="B370" s="59" t="s">
        <v>204</v>
      </c>
      <c r="C370" s="60" t="s">
        <v>205</v>
      </c>
      <c r="D370" s="60" t="s">
        <v>885</v>
      </c>
      <c r="E370" s="100">
        <v>9</v>
      </c>
      <c r="F370" s="101">
        <v>11</v>
      </c>
      <c r="G370" s="101">
        <v>11</v>
      </c>
      <c r="H370" s="60">
        <v>31</v>
      </c>
      <c r="I370" s="60">
        <v>27</v>
      </c>
      <c r="J370" s="60">
        <v>58</v>
      </c>
      <c r="K370" s="60">
        <v>0.53449999999999998</v>
      </c>
      <c r="L370" s="60">
        <f t="shared" si="263"/>
        <v>-1.4655</v>
      </c>
      <c r="M370" s="64">
        <f t="shared" si="284"/>
        <v>4</v>
      </c>
      <c r="N370" s="65" t="s">
        <v>207</v>
      </c>
      <c r="O370" s="60" t="s">
        <v>864</v>
      </c>
      <c r="P370" s="102"/>
      <c r="Q370" s="66"/>
      <c r="R370" s="103">
        <v>11</v>
      </c>
      <c r="S370" s="103">
        <v>7</v>
      </c>
      <c r="T370" s="103">
        <v>11</v>
      </c>
      <c r="U370" s="103">
        <v>10</v>
      </c>
      <c r="V370" s="67">
        <v>14</v>
      </c>
      <c r="W370" s="104">
        <v>16</v>
      </c>
      <c r="X370" s="67">
        <f t="shared" ref="X370:Y370" si="383">(P370+R370+T370+V370)</f>
        <v>36</v>
      </c>
      <c r="Y370" s="67">
        <f t="shared" si="383"/>
        <v>33</v>
      </c>
      <c r="Z370" s="68">
        <f t="shared" si="265"/>
        <v>69</v>
      </c>
      <c r="AA370" s="69" t="str">
        <f t="shared" si="346"/>
        <v>1A</v>
      </c>
      <c r="AB370" s="70" t="s">
        <v>885</v>
      </c>
      <c r="AC370" s="70" t="s">
        <v>218</v>
      </c>
      <c r="AD370" s="70">
        <v>39</v>
      </c>
      <c r="AE370" s="70">
        <v>38</v>
      </c>
      <c r="AF370" s="70">
        <v>77</v>
      </c>
      <c r="AG370" s="72">
        <f t="shared" si="267"/>
        <v>0.50649350649350644</v>
      </c>
      <c r="AH370" s="73">
        <f t="shared" si="268"/>
        <v>-60.493506493506494</v>
      </c>
      <c r="AI370" s="74">
        <v>6</v>
      </c>
      <c r="AJ370" s="79" t="s">
        <v>886</v>
      </c>
      <c r="AK370" s="76" t="s">
        <v>267</v>
      </c>
      <c r="AL370" s="67"/>
      <c r="AM370" s="506"/>
      <c r="AN370" s="505"/>
      <c r="AO370" s="515"/>
    </row>
    <row r="371" spans="1:41" ht="14.5">
      <c r="A371" s="58">
        <v>43652</v>
      </c>
      <c r="B371" s="59" t="s">
        <v>204</v>
      </c>
      <c r="C371" s="60" t="s">
        <v>211</v>
      </c>
      <c r="D371" s="60" t="s">
        <v>864</v>
      </c>
      <c r="E371" s="105">
        <v>11</v>
      </c>
      <c r="F371" s="106">
        <v>11</v>
      </c>
      <c r="G371" s="106">
        <v>11</v>
      </c>
      <c r="H371" s="60">
        <v>33</v>
      </c>
      <c r="I371" s="60">
        <v>15</v>
      </c>
      <c r="J371" s="60">
        <v>48</v>
      </c>
      <c r="K371" s="60">
        <v>0.6875</v>
      </c>
      <c r="L371" s="60">
        <f t="shared" si="263"/>
        <v>0.6875</v>
      </c>
      <c r="M371" s="64">
        <f t="shared" si="284"/>
        <v>2</v>
      </c>
      <c r="N371" s="65"/>
      <c r="O371" s="60"/>
      <c r="P371" s="102"/>
      <c r="Q371" s="66"/>
      <c r="R371" s="103"/>
      <c r="S371" s="103"/>
      <c r="T371" s="103"/>
      <c r="U371" s="103"/>
      <c r="V371" s="67"/>
      <c r="W371" s="104"/>
      <c r="X371" s="67">
        <f t="shared" ref="X371:Y371" si="384">(P371+R371+T371+V371)</f>
        <v>0</v>
      </c>
      <c r="Y371" s="67">
        <f t="shared" si="384"/>
        <v>0</v>
      </c>
      <c r="Z371" s="68">
        <f t="shared" si="265"/>
        <v>0</v>
      </c>
      <c r="AA371" s="119" t="s">
        <v>211</v>
      </c>
      <c r="AB371" s="118" t="s">
        <v>864</v>
      </c>
      <c r="AC371" s="70" t="s">
        <v>207</v>
      </c>
      <c r="AD371" s="70">
        <v>69</v>
      </c>
      <c r="AE371" s="70">
        <v>48</v>
      </c>
      <c r="AF371" s="70">
        <v>117</v>
      </c>
      <c r="AG371" s="72">
        <f t="shared" si="267"/>
        <v>0.58974358974358976</v>
      </c>
      <c r="AH371" s="73">
        <f t="shared" si="268"/>
        <v>-30.410256410256409</v>
      </c>
      <c r="AI371" s="74">
        <v>2</v>
      </c>
      <c r="AJ371" s="79" t="s">
        <v>808</v>
      </c>
      <c r="AK371" s="76" t="s">
        <v>23</v>
      </c>
      <c r="AL371" s="67"/>
      <c r="AM371" s="506"/>
      <c r="AN371" s="505"/>
      <c r="AO371" s="515"/>
    </row>
    <row r="372" spans="1:41" ht="14.5">
      <c r="A372" s="58">
        <v>43652</v>
      </c>
      <c r="B372" s="59" t="s">
        <v>204</v>
      </c>
      <c r="C372" s="60" t="s">
        <v>216</v>
      </c>
      <c r="D372" s="60" t="s">
        <v>887</v>
      </c>
      <c r="E372" s="107">
        <v>11</v>
      </c>
      <c r="F372" s="108">
        <v>8</v>
      </c>
      <c r="G372" s="106">
        <v>2</v>
      </c>
      <c r="H372" s="60">
        <v>21</v>
      </c>
      <c r="I372" s="60">
        <v>27</v>
      </c>
      <c r="J372" s="60">
        <v>48</v>
      </c>
      <c r="K372" s="60">
        <v>0.4375</v>
      </c>
      <c r="L372" s="60">
        <f t="shared" si="263"/>
        <v>-11.5625</v>
      </c>
      <c r="M372" s="64">
        <f t="shared" si="284"/>
        <v>11</v>
      </c>
      <c r="N372" s="65" t="s">
        <v>265</v>
      </c>
      <c r="O372" s="60" t="s">
        <v>888</v>
      </c>
      <c r="P372" s="102"/>
      <c r="Q372" s="66"/>
      <c r="R372" s="103">
        <v>7</v>
      </c>
      <c r="S372" s="103">
        <v>11</v>
      </c>
      <c r="T372" s="103"/>
      <c r="U372" s="103"/>
      <c r="V372" s="67"/>
      <c r="W372" s="104"/>
      <c r="X372" s="67">
        <f t="shared" ref="X372:Y372" si="385">(P372+R372+T372+V372)</f>
        <v>7</v>
      </c>
      <c r="Y372" s="67">
        <f t="shared" si="385"/>
        <v>11</v>
      </c>
      <c r="Z372" s="68">
        <f t="shared" si="265"/>
        <v>18</v>
      </c>
      <c r="AA372" s="69" t="str">
        <f t="shared" ref="AA372:AA625" si="386">INDEX(A:D, MATCH(AB372,D:D,0),3)</f>
        <v>1C</v>
      </c>
      <c r="AB372" s="70" t="s">
        <v>887</v>
      </c>
      <c r="AC372" s="70" t="s">
        <v>208</v>
      </c>
      <c r="AD372" s="70">
        <v>21</v>
      </c>
      <c r="AE372" s="70">
        <v>27</v>
      </c>
      <c r="AF372" s="70">
        <v>48</v>
      </c>
      <c r="AG372" s="72">
        <f t="shared" si="267"/>
        <v>0.4375</v>
      </c>
      <c r="AH372" s="73">
        <f t="shared" si="268"/>
        <v>-78.5625</v>
      </c>
      <c r="AI372" s="74">
        <v>11</v>
      </c>
      <c r="AJ372" s="79" t="s">
        <v>889</v>
      </c>
      <c r="AK372" s="76" t="s">
        <v>820</v>
      </c>
      <c r="AL372" s="67"/>
      <c r="AM372" s="506"/>
      <c r="AN372" s="505"/>
      <c r="AO372" s="515"/>
    </row>
    <row r="373" spans="1:41" ht="14.5">
      <c r="A373" s="58">
        <v>43652</v>
      </c>
      <c r="B373" s="59" t="s">
        <v>204</v>
      </c>
      <c r="C373" s="60" t="s">
        <v>221</v>
      </c>
      <c r="D373" s="60" t="s">
        <v>890</v>
      </c>
      <c r="E373" s="109">
        <v>5</v>
      </c>
      <c r="F373" s="110">
        <v>4</v>
      </c>
      <c r="G373" s="111">
        <v>8</v>
      </c>
      <c r="H373" s="60">
        <v>17</v>
      </c>
      <c r="I373" s="60">
        <v>33</v>
      </c>
      <c r="J373" s="60">
        <v>50</v>
      </c>
      <c r="K373" s="60">
        <v>0.34</v>
      </c>
      <c r="L373" s="60">
        <f t="shared" si="263"/>
        <v>-15.66</v>
      </c>
      <c r="M373" s="64">
        <f t="shared" si="284"/>
        <v>13</v>
      </c>
      <c r="N373" s="90"/>
      <c r="O373" s="89"/>
      <c r="P373" s="112"/>
      <c r="Q373" s="91"/>
      <c r="R373" s="113"/>
      <c r="S373" s="113"/>
      <c r="T373" s="103"/>
      <c r="U373" s="103"/>
      <c r="V373" s="67"/>
      <c r="W373" s="104"/>
      <c r="X373" s="67">
        <f t="shared" ref="X373:Y373" si="387">(P373+R373+T373+V373)</f>
        <v>0</v>
      </c>
      <c r="Y373" s="67">
        <f t="shared" si="387"/>
        <v>0</v>
      </c>
      <c r="Z373" s="68">
        <f t="shared" si="265"/>
        <v>0</v>
      </c>
      <c r="AA373" s="69" t="str">
        <f t="shared" si="386"/>
        <v>1D</v>
      </c>
      <c r="AB373" s="70" t="s">
        <v>890</v>
      </c>
      <c r="AC373" s="70" t="s">
        <v>213</v>
      </c>
      <c r="AD373" s="70">
        <v>17</v>
      </c>
      <c r="AE373" s="70">
        <v>33</v>
      </c>
      <c r="AF373" s="70">
        <v>50</v>
      </c>
      <c r="AG373" s="72">
        <f t="shared" si="267"/>
        <v>0.34</v>
      </c>
      <c r="AH373" s="73">
        <f t="shared" si="268"/>
        <v>-82.66</v>
      </c>
      <c r="AI373" s="74">
        <v>13</v>
      </c>
      <c r="AJ373" s="79" t="s">
        <v>891</v>
      </c>
      <c r="AK373" s="76" t="s">
        <v>817</v>
      </c>
      <c r="AL373" s="67"/>
      <c r="AM373" s="506"/>
      <c r="AN373" s="505"/>
      <c r="AO373" s="515"/>
    </row>
    <row r="374" spans="1:41" ht="14.5">
      <c r="A374" s="58">
        <v>43652</v>
      </c>
      <c r="B374" s="59" t="s">
        <v>204</v>
      </c>
      <c r="C374" s="60" t="s">
        <v>224</v>
      </c>
      <c r="D374" s="60" t="s">
        <v>892</v>
      </c>
      <c r="E374" s="100">
        <v>11</v>
      </c>
      <c r="F374" s="101">
        <v>11</v>
      </c>
      <c r="G374" s="101">
        <v>5</v>
      </c>
      <c r="H374" s="60">
        <v>27</v>
      </c>
      <c r="I374" s="60">
        <v>22</v>
      </c>
      <c r="J374" s="60">
        <v>49</v>
      </c>
      <c r="K374" s="60">
        <v>0.55100000000000005</v>
      </c>
      <c r="L374" s="60">
        <f t="shared" si="263"/>
        <v>-5.4489999999999998</v>
      </c>
      <c r="M374" s="64">
        <f t="shared" si="284"/>
        <v>9</v>
      </c>
      <c r="N374" s="65" t="s">
        <v>225</v>
      </c>
      <c r="O374" s="60" t="s">
        <v>893</v>
      </c>
      <c r="P374" s="102"/>
      <c r="Q374" s="66"/>
      <c r="R374" s="103">
        <v>11</v>
      </c>
      <c r="S374" s="103">
        <v>3</v>
      </c>
      <c r="T374" s="103">
        <v>10</v>
      </c>
      <c r="U374" s="103">
        <v>11</v>
      </c>
      <c r="V374" s="67"/>
      <c r="W374" s="104"/>
      <c r="X374" s="67">
        <f t="shared" ref="X374:Y374" si="388">(P374+R374+T374+V374)</f>
        <v>21</v>
      </c>
      <c r="Y374" s="67">
        <f t="shared" si="388"/>
        <v>14</v>
      </c>
      <c r="Z374" s="68">
        <f t="shared" si="265"/>
        <v>35</v>
      </c>
      <c r="AA374" s="69" t="str">
        <f t="shared" si="386"/>
        <v>2A</v>
      </c>
      <c r="AB374" s="70" t="s">
        <v>892</v>
      </c>
      <c r="AC374" s="70" t="s">
        <v>239</v>
      </c>
      <c r="AD374" s="70">
        <v>27</v>
      </c>
      <c r="AE374" s="70">
        <v>22</v>
      </c>
      <c r="AF374" s="70">
        <v>49</v>
      </c>
      <c r="AG374" s="72">
        <f t="shared" si="267"/>
        <v>0.55102040816326525</v>
      </c>
      <c r="AH374" s="73">
        <f t="shared" si="268"/>
        <v>-72.448979591836732</v>
      </c>
      <c r="AI374" s="74">
        <v>9</v>
      </c>
      <c r="AJ374" s="79" t="s">
        <v>894</v>
      </c>
      <c r="AK374" s="76" t="s">
        <v>299</v>
      </c>
      <c r="AL374" s="67"/>
      <c r="AM374" s="506"/>
      <c r="AN374" s="505"/>
      <c r="AO374" s="515"/>
    </row>
    <row r="375" spans="1:41" ht="14.5">
      <c r="A375" s="58">
        <v>43652</v>
      </c>
      <c r="B375" s="59" t="s">
        <v>204</v>
      </c>
      <c r="C375" s="60" t="s">
        <v>228</v>
      </c>
      <c r="D375" s="60" t="s">
        <v>895</v>
      </c>
      <c r="E375" s="105">
        <v>5</v>
      </c>
      <c r="F375" s="106">
        <v>2</v>
      </c>
      <c r="G375" s="106">
        <v>1</v>
      </c>
      <c r="H375" s="60">
        <v>8</v>
      </c>
      <c r="I375" s="60">
        <v>33</v>
      </c>
      <c r="J375" s="60">
        <v>41</v>
      </c>
      <c r="K375" s="60">
        <v>0.1951</v>
      </c>
      <c r="L375" s="60">
        <f t="shared" si="263"/>
        <v>-24.8049</v>
      </c>
      <c r="M375" s="64">
        <f t="shared" si="284"/>
        <v>16</v>
      </c>
      <c r="N375" s="65"/>
      <c r="O375" s="60"/>
      <c r="P375" s="102"/>
      <c r="Q375" s="66"/>
      <c r="R375" s="103"/>
      <c r="S375" s="103"/>
      <c r="T375" s="103"/>
      <c r="U375" s="103"/>
      <c r="V375" s="67"/>
      <c r="W375" s="104"/>
      <c r="X375" s="67">
        <f t="shared" ref="X375:Y375" si="389">(P375+R375+T375+V375)</f>
        <v>0</v>
      </c>
      <c r="Y375" s="67">
        <f t="shared" si="389"/>
        <v>0</v>
      </c>
      <c r="Z375" s="68">
        <f t="shared" si="265"/>
        <v>0</v>
      </c>
      <c r="AA375" s="69" t="str">
        <f t="shared" si="386"/>
        <v>2B</v>
      </c>
      <c r="AB375" s="70" t="s">
        <v>895</v>
      </c>
      <c r="AC375" s="70" t="s">
        <v>234</v>
      </c>
      <c r="AD375" s="70">
        <v>8</v>
      </c>
      <c r="AE375" s="70">
        <v>33</v>
      </c>
      <c r="AF375" s="70">
        <v>41</v>
      </c>
      <c r="AG375" s="72">
        <f t="shared" si="267"/>
        <v>0.1951219512195122</v>
      </c>
      <c r="AH375" s="73">
        <f t="shared" si="268"/>
        <v>-91.804878048780495</v>
      </c>
      <c r="AI375" s="74">
        <v>16</v>
      </c>
      <c r="AJ375" s="79" t="s">
        <v>896</v>
      </c>
      <c r="AK375" s="76" t="s">
        <v>897</v>
      </c>
      <c r="AL375" s="67"/>
      <c r="AM375" s="506"/>
      <c r="AN375" s="505"/>
      <c r="AO375" s="515"/>
    </row>
    <row r="376" spans="1:41" ht="14.5">
      <c r="A376" s="58">
        <v>43652</v>
      </c>
      <c r="B376" s="59" t="s">
        <v>204</v>
      </c>
      <c r="C376" s="60" t="s">
        <v>232</v>
      </c>
      <c r="D376" s="60" t="s">
        <v>898</v>
      </c>
      <c r="E376" s="107">
        <v>11</v>
      </c>
      <c r="F376" s="108">
        <v>6</v>
      </c>
      <c r="G376" s="106">
        <v>11</v>
      </c>
      <c r="H376" s="60">
        <v>28</v>
      </c>
      <c r="I376" s="60">
        <v>19</v>
      </c>
      <c r="J376" s="60">
        <v>47</v>
      </c>
      <c r="K376" s="60">
        <v>0.59570000000000001</v>
      </c>
      <c r="L376" s="60">
        <f t="shared" si="263"/>
        <v>-4.4043000000000001</v>
      </c>
      <c r="M376" s="64">
        <f t="shared" si="284"/>
        <v>6</v>
      </c>
      <c r="N376" s="65" t="s">
        <v>253</v>
      </c>
      <c r="O376" s="60" t="s">
        <v>899</v>
      </c>
      <c r="P376" s="102"/>
      <c r="Q376" s="66"/>
      <c r="R376" s="103">
        <v>3</v>
      </c>
      <c r="S376" s="103">
        <v>11</v>
      </c>
      <c r="T376" s="103"/>
      <c r="U376" s="103"/>
      <c r="V376" s="67"/>
      <c r="W376" s="104"/>
      <c r="X376" s="67">
        <f t="shared" ref="X376:Y376" si="390">(P376+R376+T376+V376)</f>
        <v>3</v>
      </c>
      <c r="Y376" s="67">
        <f t="shared" si="390"/>
        <v>11</v>
      </c>
      <c r="Z376" s="68">
        <f t="shared" si="265"/>
        <v>14</v>
      </c>
      <c r="AA376" s="69" t="str">
        <f t="shared" si="386"/>
        <v>2C</v>
      </c>
      <c r="AB376" s="70" t="s">
        <v>898</v>
      </c>
      <c r="AC376" s="70" t="s">
        <v>230</v>
      </c>
      <c r="AD376" s="70">
        <v>43</v>
      </c>
      <c r="AE376" s="70">
        <v>37</v>
      </c>
      <c r="AF376" s="70">
        <v>80</v>
      </c>
      <c r="AG376" s="72">
        <f t="shared" si="267"/>
        <v>0.53749999999999998</v>
      </c>
      <c r="AH376" s="73">
        <f t="shared" si="268"/>
        <v>-56.462499999999999</v>
      </c>
      <c r="AI376" s="74">
        <v>4</v>
      </c>
      <c r="AJ376" s="75" t="s">
        <v>358</v>
      </c>
      <c r="AK376" s="76" t="s">
        <v>863</v>
      </c>
      <c r="AL376" s="67"/>
      <c r="AM376" s="506"/>
      <c r="AN376" s="505"/>
      <c r="AO376" s="515"/>
    </row>
    <row r="377" spans="1:41" ht="14.5">
      <c r="A377" s="58">
        <v>43652</v>
      </c>
      <c r="B377" s="59" t="s">
        <v>204</v>
      </c>
      <c r="C377" s="60" t="s">
        <v>237</v>
      </c>
      <c r="D377" s="60" t="s">
        <v>893</v>
      </c>
      <c r="E377" s="109">
        <v>7</v>
      </c>
      <c r="F377" s="110">
        <v>11</v>
      </c>
      <c r="G377" s="111">
        <v>11</v>
      </c>
      <c r="H377" s="60">
        <v>29</v>
      </c>
      <c r="I377" s="60">
        <v>18</v>
      </c>
      <c r="J377" s="60">
        <v>47</v>
      </c>
      <c r="K377" s="60">
        <v>0.61699999999999999</v>
      </c>
      <c r="L377" s="60">
        <f t="shared" si="263"/>
        <v>-3.383</v>
      </c>
      <c r="M377" s="64">
        <f t="shared" si="284"/>
        <v>5</v>
      </c>
      <c r="N377" s="90"/>
      <c r="O377" s="89"/>
      <c r="P377" s="112"/>
      <c r="Q377" s="91"/>
      <c r="R377" s="113"/>
      <c r="S377" s="113"/>
      <c r="T377" s="113"/>
      <c r="U377" s="113"/>
      <c r="V377" s="67"/>
      <c r="W377" s="104"/>
      <c r="X377" s="67">
        <f t="shared" ref="X377:Y377" si="391">(P377+R377+T377+V377)</f>
        <v>0</v>
      </c>
      <c r="Y377" s="67">
        <f t="shared" si="391"/>
        <v>0</v>
      </c>
      <c r="Z377" s="68">
        <f t="shared" si="265"/>
        <v>0</v>
      </c>
      <c r="AA377" s="69" t="str">
        <f t="shared" si="386"/>
        <v>2D</v>
      </c>
      <c r="AB377" s="70" t="s">
        <v>893</v>
      </c>
      <c r="AC377" s="70" t="s">
        <v>225</v>
      </c>
      <c r="AD377" s="70">
        <v>50</v>
      </c>
      <c r="AE377" s="70">
        <v>32</v>
      </c>
      <c r="AF377" s="70">
        <v>82</v>
      </c>
      <c r="AG377" s="72">
        <f t="shared" si="267"/>
        <v>0.6097560975609756</v>
      </c>
      <c r="AH377" s="73">
        <f t="shared" si="268"/>
        <v>-49.390243902439025</v>
      </c>
      <c r="AI377" s="74">
        <v>3</v>
      </c>
      <c r="AJ377" s="79" t="s">
        <v>858</v>
      </c>
      <c r="AK377" s="76" t="s">
        <v>900</v>
      </c>
      <c r="AL377" s="67"/>
      <c r="AM377" s="506"/>
      <c r="AN377" s="505"/>
      <c r="AO377" s="515"/>
    </row>
    <row r="378" spans="1:41" ht="14.5">
      <c r="A378" s="58">
        <v>43652</v>
      </c>
      <c r="B378" s="59" t="s">
        <v>204</v>
      </c>
      <c r="C378" s="60" t="s">
        <v>241</v>
      </c>
      <c r="D378" s="60" t="s">
        <v>901</v>
      </c>
      <c r="E378" s="100">
        <v>11</v>
      </c>
      <c r="F378" s="101">
        <v>7</v>
      </c>
      <c r="G378" s="101">
        <v>5</v>
      </c>
      <c r="H378" s="60">
        <v>23</v>
      </c>
      <c r="I378" s="60">
        <v>25</v>
      </c>
      <c r="J378" s="60">
        <v>48</v>
      </c>
      <c r="K378" s="60">
        <v>0.47920000000000001</v>
      </c>
      <c r="L378" s="60">
        <f t="shared" si="263"/>
        <v>-9.5207999999999995</v>
      </c>
      <c r="M378" s="64">
        <f t="shared" si="284"/>
        <v>10</v>
      </c>
      <c r="N378" s="65" t="s">
        <v>243</v>
      </c>
      <c r="O378" s="60" t="s">
        <v>902</v>
      </c>
      <c r="P378" s="102"/>
      <c r="Q378" s="66"/>
      <c r="R378" s="103">
        <v>7</v>
      </c>
      <c r="S378" s="103">
        <v>11</v>
      </c>
      <c r="T378" s="103"/>
      <c r="U378" s="103"/>
      <c r="V378" s="67"/>
      <c r="W378" s="104"/>
      <c r="X378" s="67">
        <f t="shared" ref="X378:Y378" si="392">(P378+R378+T378+V378)</f>
        <v>7</v>
      </c>
      <c r="Y378" s="67">
        <f t="shared" si="392"/>
        <v>11</v>
      </c>
      <c r="Z378" s="68">
        <f t="shared" si="265"/>
        <v>18</v>
      </c>
      <c r="AA378" s="69" t="str">
        <f t="shared" si="386"/>
        <v>3A</v>
      </c>
      <c r="AB378" s="70" t="s">
        <v>901</v>
      </c>
      <c r="AC378" s="70" t="s">
        <v>248</v>
      </c>
      <c r="AD378" s="70">
        <v>23</v>
      </c>
      <c r="AE378" s="70">
        <v>25</v>
      </c>
      <c r="AF378" s="70">
        <v>48</v>
      </c>
      <c r="AG378" s="72">
        <f t="shared" si="267"/>
        <v>0.47916666666666669</v>
      </c>
      <c r="AH378" s="73">
        <f t="shared" si="268"/>
        <v>-76.520833333333329</v>
      </c>
      <c r="AI378" s="74">
        <v>10</v>
      </c>
      <c r="AJ378" s="79" t="s">
        <v>289</v>
      </c>
      <c r="AK378" s="76" t="s">
        <v>337</v>
      </c>
      <c r="AL378" s="67"/>
      <c r="AM378" s="506"/>
      <c r="AN378" s="505"/>
      <c r="AO378" s="515"/>
    </row>
    <row r="379" spans="1:41" ht="14.5">
      <c r="A379" s="58">
        <v>43652</v>
      </c>
      <c r="B379" s="59" t="s">
        <v>204</v>
      </c>
      <c r="C379" s="60" t="s">
        <v>246</v>
      </c>
      <c r="D379" s="60" t="s">
        <v>903</v>
      </c>
      <c r="E379" s="105">
        <v>3</v>
      </c>
      <c r="F379" s="106">
        <v>9</v>
      </c>
      <c r="G379" s="106">
        <v>2</v>
      </c>
      <c r="H379" s="60">
        <v>14</v>
      </c>
      <c r="I379" s="60">
        <v>33</v>
      </c>
      <c r="J379" s="60">
        <v>47</v>
      </c>
      <c r="K379" s="60">
        <v>0.2979</v>
      </c>
      <c r="L379" s="60">
        <f t="shared" si="263"/>
        <v>-18.702100000000002</v>
      </c>
      <c r="M379" s="64">
        <f t="shared" si="284"/>
        <v>14</v>
      </c>
      <c r="N379" s="65"/>
      <c r="O379" s="60"/>
      <c r="P379" s="102"/>
      <c r="Q379" s="66"/>
      <c r="R379" s="103"/>
      <c r="S379" s="103"/>
      <c r="T379" s="103"/>
      <c r="U379" s="103"/>
      <c r="V379" s="67"/>
      <c r="W379" s="104"/>
      <c r="X379" s="67">
        <f t="shared" ref="X379:Y379" si="393">(P379+R379+T379+V379)</f>
        <v>0</v>
      </c>
      <c r="Y379" s="67">
        <f t="shared" si="393"/>
        <v>0</v>
      </c>
      <c r="Z379" s="68">
        <f t="shared" si="265"/>
        <v>0</v>
      </c>
      <c r="AA379" s="69" t="str">
        <f t="shared" si="386"/>
        <v>3B</v>
      </c>
      <c r="AB379" s="70" t="s">
        <v>903</v>
      </c>
      <c r="AC379" s="70" t="s">
        <v>258</v>
      </c>
      <c r="AD379" s="70">
        <v>14</v>
      </c>
      <c r="AE379" s="70">
        <v>33</v>
      </c>
      <c r="AF379" s="70">
        <v>47</v>
      </c>
      <c r="AG379" s="72">
        <f t="shared" si="267"/>
        <v>0.2978723404255319</v>
      </c>
      <c r="AH379" s="73">
        <f t="shared" si="268"/>
        <v>-85.702127659574472</v>
      </c>
      <c r="AI379" s="74">
        <v>14</v>
      </c>
      <c r="AJ379" s="79" t="s">
        <v>386</v>
      </c>
      <c r="AK379" s="76" t="s">
        <v>548</v>
      </c>
      <c r="AL379" s="67"/>
      <c r="AM379" s="506"/>
      <c r="AN379" s="505"/>
      <c r="AO379" s="515"/>
    </row>
    <row r="380" spans="1:41" ht="14.5">
      <c r="A380" s="58">
        <v>43652</v>
      </c>
      <c r="B380" s="59" t="s">
        <v>204</v>
      </c>
      <c r="C380" s="60" t="s">
        <v>251</v>
      </c>
      <c r="D380" s="60" t="s">
        <v>899</v>
      </c>
      <c r="E380" s="107">
        <v>6</v>
      </c>
      <c r="F380" s="108">
        <v>11</v>
      </c>
      <c r="G380" s="106">
        <v>11</v>
      </c>
      <c r="H380" s="60">
        <v>28</v>
      </c>
      <c r="I380" s="60">
        <v>20</v>
      </c>
      <c r="J380" s="60">
        <v>48</v>
      </c>
      <c r="K380" s="60">
        <v>0.58330000000000004</v>
      </c>
      <c r="L380" s="60">
        <f t="shared" si="263"/>
        <v>-4.4166999999999996</v>
      </c>
      <c r="M380" s="64">
        <f t="shared" si="284"/>
        <v>7</v>
      </c>
      <c r="N380" s="65" t="s">
        <v>230</v>
      </c>
      <c r="O380" s="60" t="s">
        <v>898</v>
      </c>
      <c r="P380" s="102"/>
      <c r="Q380" s="66"/>
      <c r="R380" s="103">
        <v>11</v>
      </c>
      <c r="S380" s="103">
        <v>7</v>
      </c>
      <c r="T380" s="103">
        <v>4</v>
      </c>
      <c r="U380" s="103">
        <v>11</v>
      </c>
      <c r="V380" s="67"/>
      <c r="W380" s="104"/>
      <c r="X380" s="67">
        <f t="shared" ref="X380:Y380" si="394">(P380+R380+T380+V380)</f>
        <v>15</v>
      </c>
      <c r="Y380" s="67">
        <f t="shared" si="394"/>
        <v>18</v>
      </c>
      <c r="Z380" s="68">
        <f t="shared" si="265"/>
        <v>33</v>
      </c>
      <c r="AA380" s="69" t="str">
        <f t="shared" si="386"/>
        <v>3C</v>
      </c>
      <c r="AB380" s="70" t="s">
        <v>899</v>
      </c>
      <c r="AC380" s="70" t="s">
        <v>253</v>
      </c>
      <c r="AD380" s="70">
        <v>31</v>
      </c>
      <c r="AE380" s="70">
        <v>31</v>
      </c>
      <c r="AF380" s="70">
        <v>62</v>
      </c>
      <c r="AG380" s="72">
        <f t="shared" si="267"/>
        <v>0.5</v>
      </c>
      <c r="AH380" s="73">
        <f t="shared" si="268"/>
        <v>-68.5</v>
      </c>
      <c r="AI380" s="74">
        <v>8</v>
      </c>
      <c r="AJ380" s="79" t="s">
        <v>254</v>
      </c>
      <c r="AK380" s="76" t="s">
        <v>877</v>
      </c>
      <c r="AL380" s="67"/>
      <c r="AM380" s="506"/>
      <c r="AN380" s="505"/>
      <c r="AO380" s="515"/>
    </row>
    <row r="381" spans="1:41" ht="14.5">
      <c r="A381" s="58">
        <v>43652</v>
      </c>
      <c r="B381" s="59" t="s">
        <v>204</v>
      </c>
      <c r="C381" s="60" t="s">
        <v>256</v>
      </c>
      <c r="D381" s="60" t="s">
        <v>902</v>
      </c>
      <c r="E381" s="109">
        <v>11</v>
      </c>
      <c r="F381" s="110">
        <v>11</v>
      </c>
      <c r="G381" s="111">
        <v>11</v>
      </c>
      <c r="H381" s="60">
        <v>33</v>
      </c>
      <c r="I381" s="60">
        <v>20</v>
      </c>
      <c r="J381" s="60">
        <v>53</v>
      </c>
      <c r="K381" s="60">
        <v>0.62260000000000004</v>
      </c>
      <c r="L381" s="60">
        <f t="shared" si="263"/>
        <v>0.62260000000000004</v>
      </c>
      <c r="M381" s="64">
        <f t="shared" si="284"/>
        <v>3</v>
      </c>
      <c r="N381" s="90"/>
      <c r="O381" s="89"/>
      <c r="P381" s="112"/>
      <c r="Q381" s="91"/>
      <c r="R381" s="113"/>
      <c r="S381" s="113"/>
      <c r="T381" s="103"/>
      <c r="U381" s="103"/>
      <c r="V381" s="67"/>
      <c r="W381" s="104"/>
      <c r="X381" s="67">
        <f t="shared" ref="X381:Y381" si="395">(P381+R381+T381+V381)</f>
        <v>0</v>
      </c>
      <c r="Y381" s="67">
        <f t="shared" si="395"/>
        <v>0</v>
      </c>
      <c r="Z381" s="68">
        <f t="shared" si="265"/>
        <v>0</v>
      </c>
      <c r="AA381" s="69" t="str">
        <f t="shared" si="386"/>
        <v>3D</v>
      </c>
      <c r="AB381" s="70" t="s">
        <v>902</v>
      </c>
      <c r="AC381" s="70" t="s">
        <v>243</v>
      </c>
      <c r="AD381" s="70">
        <v>40</v>
      </c>
      <c r="AE381" s="70">
        <v>31</v>
      </c>
      <c r="AF381" s="70">
        <v>71</v>
      </c>
      <c r="AG381" s="72">
        <f t="shared" si="267"/>
        <v>0.56338028169014087</v>
      </c>
      <c r="AH381" s="73">
        <f t="shared" si="268"/>
        <v>-59.436619718309856</v>
      </c>
      <c r="AI381" s="74">
        <v>5</v>
      </c>
      <c r="AJ381" s="79" t="s">
        <v>904</v>
      </c>
      <c r="AK381" s="76" t="s">
        <v>905</v>
      </c>
      <c r="AL381" s="67"/>
      <c r="AM381" s="506"/>
      <c r="AN381" s="505"/>
      <c r="AO381" s="515"/>
    </row>
    <row r="382" spans="1:41" ht="14.5">
      <c r="A382" s="58">
        <v>43652</v>
      </c>
      <c r="B382" s="59" t="s">
        <v>204</v>
      </c>
      <c r="C382" s="60" t="s">
        <v>261</v>
      </c>
      <c r="D382" s="60" t="s">
        <v>888</v>
      </c>
      <c r="E382" s="100">
        <v>6</v>
      </c>
      <c r="F382" s="101">
        <v>11</v>
      </c>
      <c r="G382" s="101">
        <v>11</v>
      </c>
      <c r="H382" s="60">
        <v>28</v>
      </c>
      <c r="I382" s="60">
        <v>21</v>
      </c>
      <c r="J382" s="60">
        <v>49</v>
      </c>
      <c r="K382" s="60">
        <v>0.57140000000000002</v>
      </c>
      <c r="L382" s="60">
        <f t="shared" si="263"/>
        <v>-4.4286000000000003</v>
      </c>
      <c r="M382" s="64">
        <f t="shared" si="284"/>
        <v>8</v>
      </c>
      <c r="N382" s="65" t="s">
        <v>263</v>
      </c>
      <c r="O382" s="60" t="s">
        <v>906</v>
      </c>
      <c r="P382" s="102"/>
      <c r="Q382" s="66"/>
      <c r="R382" s="103">
        <v>11</v>
      </c>
      <c r="S382" s="103">
        <v>8</v>
      </c>
      <c r="T382" s="103">
        <v>11</v>
      </c>
      <c r="U382" s="103">
        <v>4</v>
      </c>
      <c r="V382" s="67">
        <v>16</v>
      </c>
      <c r="W382" s="104">
        <v>14</v>
      </c>
      <c r="X382" s="67">
        <f t="shared" ref="X382:Y382" si="396">(P382+R382+T382+V382)</f>
        <v>38</v>
      </c>
      <c r="Y382" s="67">
        <f t="shared" si="396"/>
        <v>26</v>
      </c>
      <c r="Z382" s="68">
        <f t="shared" si="265"/>
        <v>64</v>
      </c>
      <c r="AA382" s="69" t="str">
        <f t="shared" si="386"/>
        <v>4A</v>
      </c>
      <c r="AB382" s="70" t="s">
        <v>888</v>
      </c>
      <c r="AC382" s="70" t="s">
        <v>265</v>
      </c>
      <c r="AD382" s="70">
        <v>35</v>
      </c>
      <c r="AE382" s="70">
        <v>32</v>
      </c>
      <c r="AF382" s="70">
        <v>67</v>
      </c>
      <c r="AG382" s="72">
        <f t="shared" si="267"/>
        <v>0.52238805970149249</v>
      </c>
      <c r="AH382" s="73">
        <f t="shared" si="268"/>
        <v>-64.477611940298502</v>
      </c>
      <c r="AI382" s="74">
        <v>7</v>
      </c>
      <c r="AJ382" s="75" t="s">
        <v>827</v>
      </c>
      <c r="AK382" s="76" t="s">
        <v>907</v>
      </c>
      <c r="AL382" s="67"/>
      <c r="AM382" s="506"/>
      <c r="AN382" s="505"/>
      <c r="AO382" s="515"/>
    </row>
    <row r="383" spans="1:41" ht="14.5">
      <c r="A383" s="58">
        <v>43652</v>
      </c>
      <c r="B383" s="59" t="s">
        <v>204</v>
      </c>
      <c r="C383" s="60" t="s">
        <v>268</v>
      </c>
      <c r="D383" s="60" t="s">
        <v>906</v>
      </c>
      <c r="E383" s="105">
        <v>11</v>
      </c>
      <c r="F383" s="106">
        <v>11</v>
      </c>
      <c r="G383" s="106">
        <v>11</v>
      </c>
      <c r="H383" s="60">
        <v>33</v>
      </c>
      <c r="I383" s="60">
        <v>13</v>
      </c>
      <c r="J383" s="60">
        <v>46</v>
      </c>
      <c r="K383" s="60">
        <v>0.71740000000000004</v>
      </c>
      <c r="L383" s="60">
        <f t="shared" si="263"/>
        <v>0.71740000000000004</v>
      </c>
      <c r="M383" s="64">
        <f t="shared" si="284"/>
        <v>1</v>
      </c>
      <c r="N383" s="65"/>
      <c r="O383" s="60"/>
      <c r="P383" s="102"/>
      <c r="Q383" s="66"/>
      <c r="R383" s="103"/>
      <c r="S383" s="103"/>
      <c r="T383" s="103"/>
      <c r="U383" s="103"/>
      <c r="V383" s="67"/>
      <c r="W383" s="104"/>
      <c r="X383" s="67">
        <f t="shared" ref="X383:Y383" si="397">(P383+R383+T383+V383)</f>
        <v>0</v>
      </c>
      <c r="Y383" s="67">
        <f t="shared" si="397"/>
        <v>0</v>
      </c>
      <c r="Z383" s="68">
        <f t="shared" si="265"/>
        <v>0</v>
      </c>
      <c r="AA383" s="69" t="str">
        <f t="shared" si="386"/>
        <v>4B</v>
      </c>
      <c r="AB383" s="70" t="s">
        <v>906</v>
      </c>
      <c r="AC383" s="70" t="s">
        <v>263</v>
      </c>
      <c r="AD383" s="70">
        <v>71</v>
      </c>
      <c r="AE383" s="70">
        <v>39</v>
      </c>
      <c r="AF383" s="70">
        <v>110</v>
      </c>
      <c r="AG383" s="72">
        <f t="shared" si="267"/>
        <v>0.6454545454545455</v>
      </c>
      <c r="AH383" s="73">
        <f t="shared" si="268"/>
        <v>-28.354545454545455</v>
      </c>
      <c r="AI383" s="74">
        <v>1</v>
      </c>
      <c r="AJ383" s="79" t="s">
        <v>908</v>
      </c>
      <c r="AK383" s="76" t="s">
        <v>715</v>
      </c>
      <c r="AL383" s="67"/>
      <c r="AM383" s="506"/>
      <c r="AN383" s="505"/>
      <c r="AO383" s="515"/>
    </row>
    <row r="384" spans="1:41" ht="14.5">
      <c r="A384" s="58">
        <v>43652</v>
      </c>
      <c r="B384" s="59" t="s">
        <v>204</v>
      </c>
      <c r="C384" s="60" t="s">
        <v>271</v>
      </c>
      <c r="D384" s="60" t="s">
        <v>909</v>
      </c>
      <c r="E384" s="107">
        <v>11</v>
      </c>
      <c r="F384" s="108">
        <v>5</v>
      </c>
      <c r="G384" s="106">
        <v>4</v>
      </c>
      <c r="H384" s="60">
        <v>20</v>
      </c>
      <c r="I384" s="60">
        <v>25</v>
      </c>
      <c r="J384" s="60">
        <v>45</v>
      </c>
      <c r="K384" s="60">
        <v>0.44440000000000002</v>
      </c>
      <c r="L384" s="60">
        <f t="shared" si="263"/>
        <v>-12.5556</v>
      </c>
      <c r="M384" s="64">
        <f t="shared" si="284"/>
        <v>12</v>
      </c>
      <c r="N384" s="65" t="s">
        <v>218</v>
      </c>
      <c r="O384" s="60" t="s">
        <v>885</v>
      </c>
      <c r="P384" s="102"/>
      <c r="Q384" s="66"/>
      <c r="R384" s="103">
        <v>8</v>
      </c>
      <c r="S384" s="103">
        <v>11</v>
      </c>
      <c r="T384" s="103"/>
      <c r="U384" s="103"/>
      <c r="V384" s="67"/>
      <c r="W384" s="104"/>
      <c r="X384" s="67">
        <f t="shared" ref="X384:Y384" si="398">(P384+R384+T384+V384)</f>
        <v>8</v>
      </c>
      <c r="Y384" s="67">
        <f t="shared" si="398"/>
        <v>11</v>
      </c>
      <c r="Z384" s="68">
        <f t="shared" si="265"/>
        <v>19</v>
      </c>
      <c r="AA384" s="69" t="str">
        <f t="shared" si="386"/>
        <v>4C</v>
      </c>
      <c r="AB384" s="70" t="s">
        <v>909</v>
      </c>
      <c r="AC384" s="70" t="s">
        <v>278</v>
      </c>
      <c r="AD384" s="70">
        <v>20</v>
      </c>
      <c r="AE384" s="70">
        <v>25</v>
      </c>
      <c r="AF384" s="70">
        <v>45</v>
      </c>
      <c r="AG384" s="72">
        <f t="shared" si="267"/>
        <v>0.44444444444444442</v>
      </c>
      <c r="AH384" s="73">
        <f t="shared" si="268"/>
        <v>-79.555555555555557</v>
      </c>
      <c r="AI384" s="74">
        <v>12</v>
      </c>
      <c r="AJ384" s="79" t="s">
        <v>826</v>
      </c>
      <c r="AK384" s="76" t="s">
        <v>815</v>
      </c>
      <c r="AL384" s="67"/>
      <c r="AM384" s="506"/>
      <c r="AN384" s="505"/>
      <c r="AO384" s="515"/>
    </row>
    <row r="385" spans="1:41" ht="14.5">
      <c r="A385" s="87">
        <v>43652</v>
      </c>
      <c r="B385" s="88" t="s">
        <v>204</v>
      </c>
      <c r="C385" s="89" t="s">
        <v>276</v>
      </c>
      <c r="D385" s="89" t="s">
        <v>910</v>
      </c>
      <c r="E385" s="109">
        <v>3</v>
      </c>
      <c r="F385" s="110">
        <v>3</v>
      </c>
      <c r="G385" s="111">
        <v>5</v>
      </c>
      <c r="H385" s="89">
        <v>11</v>
      </c>
      <c r="I385" s="89">
        <v>33</v>
      </c>
      <c r="J385" s="89">
        <v>44</v>
      </c>
      <c r="K385" s="89">
        <v>0.25</v>
      </c>
      <c r="L385" s="89">
        <f t="shared" si="263"/>
        <v>-21.75</v>
      </c>
      <c r="M385" s="86">
        <f t="shared" si="284"/>
        <v>15</v>
      </c>
      <c r="N385" s="90"/>
      <c r="O385" s="89"/>
      <c r="P385" s="112"/>
      <c r="Q385" s="91"/>
      <c r="R385" s="113"/>
      <c r="S385" s="113"/>
      <c r="T385" s="113"/>
      <c r="U385" s="113"/>
      <c r="V385" s="92"/>
      <c r="W385" s="114"/>
      <c r="X385" s="92">
        <f t="shared" ref="X385:Y385" si="399">(P385+R385+T385+V385)</f>
        <v>0</v>
      </c>
      <c r="Y385" s="92">
        <f t="shared" si="399"/>
        <v>0</v>
      </c>
      <c r="Z385" s="84">
        <f t="shared" si="265"/>
        <v>0</v>
      </c>
      <c r="AA385" s="93" t="str">
        <f t="shared" si="386"/>
        <v>4D</v>
      </c>
      <c r="AB385" s="94" t="s">
        <v>910</v>
      </c>
      <c r="AC385" s="94" t="s">
        <v>273</v>
      </c>
      <c r="AD385" s="94">
        <v>11</v>
      </c>
      <c r="AE385" s="94">
        <v>33</v>
      </c>
      <c r="AF385" s="94">
        <v>44</v>
      </c>
      <c r="AG385" s="95">
        <f t="shared" si="267"/>
        <v>0.25</v>
      </c>
      <c r="AH385" s="96">
        <f t="shared" si="268"/>
        <v>-88.75</v>
      </c>
      <c r="AI385" s="97">
        <v>15</v>
      </c>
      <c r="AJ385" s="98" t="s">
        <v>740</v>
      </c>
      <c r="AK385" s="81" t="s">
        <v>911</v>
      </c>
      <c r="AL385" s="67"/>
      <c r="AM385" s="506"/>
      <c r="AN385" s="505"/>
      <c r="AO385" s="515"/>
    </row>
    <row r="386" spans="1:41" ht="14.5">
      <c r="A386" s="58">
        <v>43701</v>
      </c>
      <c r="B386" s="59" t="s">
        <v>615</v>
      </c>
      <c r="C386" s="60" t="s">
        <v>205</v>
      </c>
      <c r="D386" s="60" t="s">
        <v>912</v>
      </c>
      <c r="E386" s="100">
        <v>11</v>
      </c>
      <c r="F386" s="101">
        <v>11</v>
      </c>
      <c r="G386" s="101">
        <v>11</v>
      </c>
      <c r="H386" s="60">
        <v>33</v>
      </c>
      <c r="I386" s="60">
        <v>10</v>
      </c>
      <c r="J386" s="60">
        <v>43</v>
      </c>
      <c r="K386" s="122">
        <f t="shared" ref="K386:K640" si="400">IFERROR(H386/J386,0)</f>
        <v>0.76744186046511631</v>
      </c>
      <c r="L386" s="123">
        <f t="shared" si="263"/>
        <v>0.76744186046511631</v>
      </c>
      <c r="M386" s="64">
        <f t="shared" si="284"/>
        <v>2</v>
      </c>
      <c r="N386" s="65" t="s">
        <v>207</v>
      </c>
      <c r="O386" s="60" t="s">
        <v>912</v>
      </c>
      <c r="P386" s="102"/>
      <c r="Q386" s="66"/>
      <c r="R386" s="103">
        <v>11</v>
      </c>
      <c r="S386" s="103">
        <v>2</v>
      </c>
      <c r="T386" s="103">
        <v>6</v>
      </c>
      <c r="U386" s="103">
        <v>11</v>
      </c>
      <c r="V386" s="67"/>
      <c r="W386" s="104"/>
      <c r="X386" s="67">
        <f t="shared" ref="X386:Y386" si="401">(P386+R386+T386+V386)</f>
        <v>17</v>
      </c>
      <c r="Y386" s="67">
        <f t="shared" si="401"/>
        <v>13</v>
      </c>
      <c r="Z386" s="68">
        <f t="shared" si="265"/>
        <v>30</v>
      </c>
      <c r="AA386" s="69" t="str">
        <f t="shared" si="386"/>
        <v>1A</v>
      </c>
      <c r="AB386" s="70" t="s">
        <v>912</v>
      </c>
      <c r="AC386" s="70" t="s">
        <v>207</v>
      </c>
      <c r="AD386" s="70">
        <v>50</v>
      </c>
      <c r="AE386" s="70">
        <v>23</v>
      </c>
      <c r="AF386" s="70">
        <v>73</v>
      </c>
      <c r="AG386" s="72">
        <f t="shared" si="267"/>
        <v>0.68493150684931503</v>
      </c>
      <c r="AH386" s="73">
        <f t="shared" si="268"/>
        <v>-49.315068493150683</v>
      </c>
      <c r="AI386" s="74">
        <v>3</v>
      </c>
      <c r="AJ386" s="79" t="s">
        <v>525</v>
      </c>
      <c r="AK386" s="76" t="s">
        <v>837</v>
      </c>
      <c r="AL386" s="67"/>
      <c r="AM386" s="506"/>
      <c r="AN386" s="505"/>
      <c r="AO386" s="515"/>
    </row>
    <row r="387" spans="1:41" ht="14.5">
      <c r="A387" s="58">
        <v>43701</v>
      </c>
      <c r="B387" s="59" t="s">
        <v>615</v>
      </c>
      <c r="C387" s="60" t="s">
        <v>211</v>
      </c>
      <c r="D387" s="60" t="s">
        <v>913</v>
      </c>
      <c r="E387" s="105">
        <v>3</v>
      </c>
      <c r="F387" s="106">
        <v>11</v>
      </c>
      <c r="G387" s="106">
        <v>11</v>
      </c>
      <c r="H387" s="60">
        <v>25</v>
      </c>
      <c r="I387" s="60">
        <v>30</v>
      </c>
      <c r="J387" s="60">
        <v>55</v>
      </c>
      <c r="K387" s="122">
        <f t="shared" si="400"/>
        <v>0.45454545454545453</v>
      </c>
      <c r="L387" s="123">
        <f t="shared" si="263"/>
        <v>-7.5454545454545459</v>
      </c>
      <c r="M387" s="64">
        <f t="shared" si="284"/>
        <v>7</v>
      </c>
      <c r="N387" s="65"/>
      <c r="O387" s="60"/>
      <c r="P387" s="102"/>
      <c r="Q387" s="66"/>
      <c r="R387" s="103"/>
      <c r="S387" s="103"/>
      <c r="T387" s="103"/>
      <c r="U387" s="103"/>
      <c r="V387" s="67"/>
      <c r="W387" s="104"/>
      <c r="X387" s="67">
        <f t="shared" ref="X387:Y387" si="402">(P387+R387+T387+V387)</f>
        <v>0</v>
      </c>
      <c r="Y387" s="67">
        <f t="shared" si="402"/>
        <v>0</v>
      </c>
      <c r="Z387" s="68">
        <f t="shared" si="265"/>
        <v>0</v>
      </c>
      <c r="AA387" s="69" t="str">
        <f t="shared" si="386"/>
        <v>1B</v>
      </c>
      <c r="AB387" s="70" t="s">
        <v>913</v>
      </c>
      <c r="AC387" s="70" t="s">
        <v>218</v>
      </c>
      <c r="AD387" s="70">
        <v>31</v>
      </c>
      <c r="AE387" s="70">
        <v>41</v>
      </c>
      <c r="AF387" s="70">
        <v>72</v>
      </c>
      <c r="AG387" s="72">
        <f t="shared" si="267"/>
        <v>0.43055555555555558</v>
      </c>
      <c r="AH387" s="73">
        <f t="shared" si="268"/>
        <v>-68.569444444444443</v>
      </c>
      <c r="AI387" s="74">
        <v>7</v>
      </c>
      <c r="AJ387" s="79" t="s">
        <v>753</v>
      </c>
      <c r="AK387" s="76" t="s">
        <v>914</v>
      </c>
      <c r="AL387" s="67"/>
      <c r="AM387" s="506"/>
      <c r="AN387" s="505"/>
      <c r="AO387" s="515"/>
    </row>
    <row r="388" spans="1:41" ht="14.5">
      <c r="A388" s="58">
        <v>43701</v>
      </c>
      <c r="B388" s="59" t="s">
        <v>615</v>
      </c>
      <c r="C388" s="60" t="s">
        <v>216</v>
      </c>
      <c r="D388" s="60" t="s">
        <v>915</v>
      </c>
      <c r="E388" s="107">
        <v>11</v>
      </c>
      <c r="F388" s="108">
        <v>4</v>
      </c>
      <c r="G388" s="106">
        <v>9</v>
      </c>
      <c r="H388" s="60">
        <v>24</v>
      </c>
      <c r="I388" s="60">
        <v>29</v>
      </c>
      <c r="J388" s="60">
        <v>53</v>
      </c>
      <c r="K388" s="122">
        <f t="shared" si="400"/>
        <v>0.45283018867924529</v>
      </c>
      <c r="L388" s="123">
        <f t="shared" si="263"/>
        <v>-8.5471698113207548</v>
      </c>
      <c r="M388" s="64">
        <f t="shared" si="284"/>
        <v>9</v>
      </c>
      <c r="N388" s="65" t="s">
        <v>265</v>
      </c>
      <c r="O388" s="60" t="s">
        <v>916</v>
      </c>
      <c r="P388" s="102"/>
      <c r="Q388" s="66"/>
      <c r="R388" s="103">
        <v>2</v>
      </c>
      <c r="S388" s="103">
        <v>11</v>
      </c>
      <c r="T388" s="103"/>
      <c r="U388" s="103"/>
      <c r="V388" s="67"/>
      <c r="W388" s="104"/>
      <c r="X388" s="67">
        <f t="shared" ref="X388:Y388" si="403">(P388+R388+T388+V388)</f>
        <v>2</v>
      </c>
      <c r="Y388" s="67">
        <f t="shared" si="403"/>
        <v>11</v>
      </c>
      <c r="Z388" s="68">
        <f t="shared" si="265"/>
        <v>13</v>
      </c>
      <c r="AA388" s="69" t="str">
        <f t="shared" si="386"/>
        <v>1C</v>
      </c>
      <c r="AB388" s="70" t="s">
        <v>915</v>
      </c>
      <c r="AC388" s="70" t="s">
        <v>208</v>
      </c>
      <c r="AD388" s="70">
        <v>24</v>
      </c>
      <c r="AE388" s="70">
        <v>29</v>
      </c>
      <c r="AF388" s="70">
        <v>53</v>
      </c>
      <c r="AG388" s="72">
        <f t="shared" si="267"/>
        <v>0.45283018867924529</v>
      </c>
      <c r="AH388" s="73">
        <f t="shared" si="268"/>
        <v>-75.547169811320757</v>
      </c>
      <c r="AI388" s="74">
        <v>10</v>
      </c>
      <c r="AJ388" s="79" t="s">
        <v>917</v>
      </c>
      <c r="AK388" s="76" t="s">
        <v>793</v>
      </c>
      <c r="AL388" s="67"/>
      <c r="AM388" s="506"/>
      <c r="AN388" s="505"/>
      <c r="AO388" s="515"/>
    </row>
    <row r="389" spans="1:41" ht="14.5">
      <c r="A389" s="58">
        <v>43701</v>
      </c>
      <c r="B389" s="59" t="s">
        <v>615</v>
      </c>
      <c r="C389" s="60" t="s">
        <v>221</v>
      </c>
      <c r="D389" s="60" t="s">
        <v>918</v>
      </c>
      <c r="E389" s="109">
        <v>7</v>
      </c>
      <c r="F389" s="110">
        <v>10</v>
      </c>
      <c r="G389" s="111">
        <v>3</v>
      </c>
      <c r="H389" s="60">
        <v>20</v>
      </c>
      <c r="I389" s="60">
        <v>33</v>
      </c>
      <c r="J389" s="60">
        <v>53</v>
      </c>
      <c r="K389" s="122">
        <f t="shared" si="400"/>
        <v>0.37735849056603776</v>
      </c>
      <c r="L389" s="123">
        <f t="shared" si="263"/>
        <v>-12.622641509433961</v>
      </c>
      <c r="M389" s="64">
        <f t="shared" si="284"/>
        <v>13</v>
      </c>
      <c r="N389" s="90"/>
      <c r="O389" s="89"/>
      <c r="P389" s="112"/>
      <c r="Q389" s="91"/>
      <c r="R389" s="113"/>
      <c r="S389" s="113"/>
      <c r="T389" s="103"/>
      <c r="U389" s="103"/>
      <c r="V389" s="67"/>
      <c r="W389" s="104"/>
      <c r="X389" s="67">
        <f t="shared" ref="X389:Y389" si="404">(P389+R389+T389+V389)</f>
        <v>0</v>
      </c>
      <c r="Y389" s="67">
        <f t="shared" si="404"/>
        <v>0</v>
      </c>
      <c r="Z389" s="68">
        <f t="shared" si="265"/>
        <v>0</v>
      </c>
      <c r="AA389" s="69" t="str">
        <f t="shared" si="386"/>
        <v>1D</v>
      </c>
      <c r="AB389" s="70" t="s">
        <v>918</v>
      </c>
      <c r="AC389" s="70" t="s">
        <v>213</v>
      </c>
      <c r="AD389" s="70">
        <v>20</v>
      </c>
      <c r="AE389" s="70">
        <v>33</v>
      </c>
      <c r="AF389" s="70">
        <v>53</v>
      </c>
      <c r="AG389" s="72">
        <f t="shared" si="267"/>
        <v>0.37735849056603776</v>
      </c>
      <c r="AH389" s="73">
        <f t="shared" si="268"/>
        <v>-79.622641509433961</v>
      </c>
      <c r="AI389" s="74">
        <v>13</v>
      </c>
      <c r="AJ389" s="79" t="s">
        <v>919</v>
      </c>
      <c r="AK389" s="76" t="s">
        <v>512</v>
      </c>
      <c r="AL389" s="67"/>
      <c r="AM389" s="506"/>
      <c r="AN389" s="505"/>
      <c r="AO389" s="515"/>
    </row>
    <row r="390" spans="1:41" ht="14.5">
      <c r="A390" s="58">
        <v>43701</v>
      </c>
      <c r="B390" s="59" t="s">
        <v>615</v>
      </c>
      <c r="C390" s="60" t="s">
        <v>224</v>
      </c>
      <c r="D390" s="60" t="s">
        <v>920</v>
      </c>
      <c r="E390" s="100">
        <v>7</v>
      </c>
      <c r="F390" s="101">
        <v>6</v>
      </c>
      <c r="G390" s="101">
        <v>1</v>
      </c>
      <c r="H390" s="60">
        <v>14</v>
      </c>
      <c r="I390" s="60">
        <v>33</v>
      </c>
      <c r="J390" s="60">
        <v>47</v>
      </c>
      <c r="K390" s="122">
        <f t="shared" si="400"/>
        <v>0.2978723404255319</v>
      </c>
      <c r="L390" s="123">
        <f t="shared" si="263"/>
        <v>-18.702127659574469</v>
      </c>
      <c r="M390" s="64">
        <f t="shared" si="284"/>
        <v>15</v>
      </c>
      <c r="N390" s="65" t="s">
        <v>225</v>
      </c>
      <c r="O390" s="60" t="s">
        <v>921</v>
      </c>
      <c r="P390" s="102"/>
      <c r="Q390" s="66"/>
      <c r="R390" s="103">
        <v>11</v>
      </c>
      <c r="S390" s="103">
        <v>1</v>
      </c>
      <c r="T390" s="103">
        <v>11</v>
      </c>
      <c r="U390" s="103">
        <v>6</v>
      </c>
      <c r="V390" s="67">
        <v>12</v>
      </c>
      <c r="W390" s="104">
        <v>5</v>
      </c>
      <c r="X390" s="67">
        <f t="shared" ref="X390:Y390" si="405">(P390+R390+T390+V390)</f>
        <v>34</v>
      </c>
      <c r="Y390" s="67">
        <f t="shared" si="405"/>
        <v>12</v>
      </c>
      <c r="Z390" s="68">
        <f t="shared" si="265"/>
        <v>46</v>
      </c>
      <c r="AA390" s="69" t="str">
        <f t="shared" si="386"/>
        <v>2A</v>
      </c>
      <c r="AB390" s="70" t="s">
        <v>920</v>
      </c>
      <c r="AC390" s="70" t="s">
        <v>234</v>
      </c>
      <c r="AD390" s="70">
        <v>14</v>
      </c>
      <c r="AE390" s="70">
        <v>33</v>
      </c>
      <c r="AF390" s="70">
        <v>47</v>
      </c>
      <c r="AG390" s="72">
        <f t="shared" si="267"/>
        <v>0.2978723404255319</v>
      </c>
      <c r="AH390" s="73">
        <f t="shared" si="268"/>
        <v>-85.702127659574472</v>
      </c>
      <c r="AI390" s="74">
        <v>15</v>
      </c>
      <c r="AJ390" s="79" t="s">
        <v>650</v>
      </c>
      <c r="AK390" s="76" t="s">
        <v>922</v>
      </c>
      <c r="AL390" s="67"/>
      <c r="AM390" s="506"/>
      <c r="AN390" s="505"/>
      <c r="AO390" s="515"/>
    </row>
    <row r="391" spans="1:41" ht="14.5">
      <c r="A391" s="58">
        <v>43701</v>
      </c>
      <c r="B391" s="59" t="s">
        <v>615</v>
      </c>
      <c r="C391" s="60" t="s">
        <v>228</v>
      </c>
      <c r="D391" s="60" t="s">
        <v>923</v>
      </c>
      <c r="E391" s="105">
        <v>11</v>
      </c>
      <c r="F391" s="106">
        <v>3</v>
      </c>
      <c r="G391" s="106">
        <v>9</v>
      </c>
      <c r="H391" s="60">
        <v>23</v>
      </c>
      <c r="I391" s="60">
        <v>29</v>
      </c>
      <c r="J391" s="60">
        <v>52</v>
      </c>
      <c r="K391" s="122">
        <f t="shared" si="400"/>
        <v>0.44230769230769229</v>
      </c>
      <c r="L391" s="123">
        <f t="shared" si="263"/>
        <v>-9.5576923076923084</v>
      </c>
      <c r="M391" s="64">
        <f t="shared" si="284"/>
        <v>11</v>
      </c>
      <c r="N391" s="65"/>
      <c r="O391" s="60"/>
      <c r="P391" s="102"/>
      <c r="Q391" s="66"/>
      <c r="R391" s="103"/>
      <c r="S391" s="103"/>
      <c r="T391" s="103"/>
      <c r="U391" s="103"/>
      <c r="V391" s="67"/>
      <c r="W391" s="104"/>
      <c r="X391" s="67">
        <f t="shared" ref="X391:Y391" si="406">(P391+R391+T391+V391)</f>
        <v>0</v>
      </c>
      <c r="Y391" s="67">
        <f t="shared" si="406"/>
        <v>0</v>
      </c>
      <c r="Z391" s="68">
        <f t="shared" si="265"/>
        <v>0</v>
      </c>
      <c r="AA391" s="69" t="str">
        <f t="shared" si="386"/>
        <v>2B</v>
      </c>
      <c r="AB391" s="70" t="s">
        <v>923</v>
      </c>
      <c r="AC391" s="70" t="s">
        <v>239</v>
      </c>
      <c r="AD391" s="70">
        <v>23</v>
      </c>
      <c r="AE391" s="70">
        <v>29</v>
      </c>
      <c r="AF391" s="70">
        <v>52</v>
      </c>
      <c r="AG391" s="72">
        <f t="shared" si="267"/>
        <v>0.44230769230769229</v>
      </c>
      <c r="AH391" s="73">
        <f t="shared" si="268"/>
        <v>-76.557692307692307</v>
      </c>
      <c r="AI391" s="74">
        <v>11</v>
      </c>
      <c r="AJ391" s="79" t="s">
        <v>874</v>
      </c>
      <c r="AK391" s="76" t="s">
        <v>924</v>
      </c>
      <c r="AL391" s="67"/>
      <c r="AM391" s="506"/>
      <c r="AN391" s="505"/>
      <c r="AO391" s="515"/>
    </row>
    <row r="392" spans="1:41" ht="14.5">
      <c r="A392" s="58">
        <v>43701</v>
      </c>
      <c r="B392" s="59" t="s">
        <v>615</v>
      </c>
      <c r="C392" s="60" t="s">
        <v>232</v>
      </c>
      <c r="D392" s="60" t="s">
        <v>925</v>
      </c>
      <c r="E392" s="107">
        <v>1</v>
      </c>
      <c r="F392" s="108">
        <v>11</v>
      </c>
      <c r="G392" s="106">
        <v>11</v>
      </c>
      <c r="H392" s="60">
        <v>23</v>
      </c>
      <c r="I392" s="60">
        <v>26</v>
      </c>
      <c r="J392" s="60">
        <v>49</v>
      </c>
      <c r="K392" s="122">
        <f t="shared" si="400"/>
        <v>0.46938775510204084</v>
      </c>
      <c r="L392" s="123">
        <f t="shared" si="263"/>
        <v>-9.5306122448979593</v>
      </c>
      <c r="M392" s="64">
        <f t="shared" si="284"/>
        <v>10</v>
      </c>
      <c r="N392" s="65" t="s">
        <v>253</v>
      </c>
      <c r="O392" s="60" t="s">
        <v>926</v>
      </c>
      <c r="P392" s="102"/>
      <c r="Q392" s="66"/>
      <c r="R392" s="103">
        <v>1</v>
      </c>
      <c r="S392" s="103">
        <v>11</v>
      </c>
      <c r="T392" s="103"/>
      <c r="U392" s="103"/>
      <c r="V392" s="67"/>
      <c r="W392" s="104"/>
      <c r="X392" s="67">
        <f t="shared" ref="X392:Y392" si="407">(P392+R392+T392+V392)</f>
        <v>1</v>
      </c>
      <c r="Y392" s="67">
        <f t="shared" si="407"/>
        <v>11</v>
      </c>
      <c r="Z392" s="68">
        <f t="shared" si="265"/>
        <v>12</v>
      </c>
      <c r="AA392" s="69" t="str">
        <f t="shared" si="386"/>
        <v>2C</v>
      </c>
      <c r="AB392" s="70" t="s">
        <v>925</v>
      </c>
      <c r="AC392" s="70" t="s">
        <v>230</v>
      </c>
      <c r="AD392" s="70">
        <v>40</v>
      </c>
      <c r="AE392" s="70">
        <v>44</v>
      </c>
      <c r="AF392" s="70">
        <v>84</v>
      </c>
      <c r="AG392" s="72">
        <f t="shared" si="267"/>
        <v>0.47619047619047616</v>
      </c>
      <c r="AH392" s="73">
        <f t="shared" si="268"/>
        <v>-59.523809523809526</v>
      </c>
      <c r="AI392" s="74">
        <v>5</v>
      </c>
      <c r="AJ392" s="79" t="s">
        <v>927</v>
      </c>
      <c r="AK392" s="76" t="s">
        <v>632</v>
      </c>
      <c r="AL392" s="67"/>
      <c r="AM392" s="506"/>
      <c r="AN392" s="505"/>
      <c r="AO392" s="515"/>
    </row>
    <row r="393" spans="1:41" ht="14.5">
      <c r="A393" s="58">
        <v>43701</v>
      </c>
      <c r="B393" s="59" t="s">
        <v>615</v>
      </c>
      <c r="C393" s="60" t="s">
        <v>237</v>
      </c>
      <c r="D393" s="60" t="s">
        <v>921</v>
      </c>
      <c r="E393" s="109">
        <v>11</v>
      </c>
      <c r="F393" s="110">
        <v>11</v>
      </c>
      <c r="G393" s="111">
        <v>11</v>
      </c>
      <c r="H393" s="60">
        <v>33</v>
      </c>
      <c r="I393" s="60">
        <v>5</v>
      </c>
      <c r="J393" s="60">
        <v>38</v>
      </c>
      <c r="K393" s="122">
        <f t="shared" si="400"/>
        <v>0.86842105263157898</v>
      </c>
      <c r="L393" s="123">
        <f t="shared" si="263"/>
        <v>0.86842105263157898</v>
      </c>
      <c r="M393" s="64">
        <f t="shared" si="284"/>
        <v>1</v>
      </c>
      <c r="N393" s="90"/>
      <c r="O393" s="89"/>
      <c r="P393" s="112"/>
      <c r="Q393" s="91"/>
      <c r="R393" s="113"/>
      <c r="S393" s="113"/>
      <c r="T393" s="113"/>
      <c r="U393" s="113"/>
      <c r="V393" s="67"/>
      <c r="W393" s="104"/>
      <c r="X393" s="67">
        <f t="shared" ref="X393:Y393" si="408">(P393+R393+T393+V393)</f>
        <v>0</v>
      </c>
      <c r="Y393" s="67">
        <f t="shared" si="408"/>
        <v>0</v>
      </c>
      <c r="Z393" s="68">
        <f t="shared" si="265"/>
        <v>0</v>
      </c>
      <c r="AA393" s="69" t="str">
        <f t="shared" si="386"/>
        <v>2D</v>
      </c>
      <c r="AB393" s="70" t="s">
        <v>921</v>
      </c>
      <c r="AC393" s="70" t="s">
        <v>225</v>
      </c>
      <c r="AD393" s="70">
        <v>67</v>
      </c>
      <c r="AE393" s="70">
        <v>17</v>
      </c>
      <c r="AF393" s="70">
        <v>84</v>
      </c>
      <c r="AG393" s="72">
        <f t="shared" si="267"/>
        <v>0.79761904761904767</v>
      </c>
      <c r="AH393" s="73">
        <f t="shared" si="268"/>
        <v>-32.202380952380949</v>
      </c>
      <c r="AI393" s="74">
        <v>1</v>
      </c>
      <c r="AJ393" s="79" t="s">
        <v>928</v>
      </c>
      <c r="AK393" s="85" t="s">
        <v>929</v>
      </c>
      <c r="AL393" s="67"/>
      <c r="AM393" s="506"/>
      <c r="AN393" s="505"/>
      <c r="AO393" s="515"/>
    </row>
    <row r="394" spans="1:41" ht="14.5">
      <c r="A394" s="58">
        <v>43701</v>
      </c>
      <c r="B394" s="59" t="s">
        <v>615</v>
      </c>
      <c r="C394" s="60" t="s">
        <v>241</v>
      </c>
      <c r="D394" s="60" t="s">
        <v>930</v>
      </c>
      <c r="E394" s="100">
        <v>9</v>
      </c>
      <c r="F394" s="101">
        <v>1</v>
      </c>
      <c r="G394" s="101">
        <v>3</v>
      </c>
      <c r="H394" s="60">
        <v>13</v>
      </c>
      <c r="I394" s="60">
        <v>33</v>
      </c>
      <c r="J394" s="60">
        <v>46</v>
      </c>
      <c r="K394" s="122">
        <f t="shared" si="400"/>
        <v>0.28260869565217389</v>
      </c>
      <c r="L394" s="123">
        <f t="shared" si="263"/>
        <v>-19.717391304347824</v>
      </c>
      <c r="M394" s="64">
        <f t="shared" si="284"/>
        <v>16</v>
      </c>
      <c r="N394" s="65" t="s">
        <v>243</v>
      </c>
      <c r="O394" s="60" t="s">
        <v>931</v>
      </c>
      <c r="P394" s="102"/>
      <c r="Q394" s="66"/>
      <c r="R394" s="103">
        <v>7</v>
      </c>
      <c r="S394" s="103">
        <v>11</v>
      </c>
      <c r="T394" s="103"/>
      <c r="U394" s="103"/>
      <c r="V394" s="67"/>
      <c r="W394" s="104"/>
      <c r="X394" s="67">
        <f t="shared" ref="X394:Y394" si="409">(P394+R394+T394+V394)</f>
        <v>7</v>
      </c>
      <c r="Y394" s="67">
        <f t="shared" si="409"/>
        <v>11</v>
      </c>
      <c r="Z394" s="68">
        <f t="shared" si="265"/>
        <v>18</v>
      </c>
      <c r="AA394" s="69" t="str">
        <f t="shared" si="386"/>
        <v>3A</v>
      </c>
      <c r="AB394" s="70" t="s">
        <v>930</v>
      </c>
      <c r="AC394" s="70" t="s">
        <v>258</v>
      </c>
      <c r="AD394" s="70">
        <v>13</v>
      </c>
      <c r="AE394" s="70">
        <v>33</v>
      </c>
      <c r="AF394" s="70">
        <v>46</v>
      </c>
      <c r="AG394" s="72">
        <f t="shared" si="267"/>
        <v>0.28260869565217389</v>
      </c>
      <c r="AH394" s="73">
        <f t="shared" si="268"/>
        <v>-86.717391304347828</v>
      </c>
      <c r="AI394" s="74">
        <v>16</v>
      </c>
      <c r="AJ394" s="79" t="s">
        <v>932</v>
      </c>
      <c r="AK394" s="76" t="s">
        <v>933</v>
      </c>
      <c r="AL394" s="67"/>
      <c r="AM394" s="506"/>
      <c r="AN394" s="505"/>
      <c r="AO394" s="515"/>
    </row>
    <row r="395" spans="1:41" ht="14.5">
      <c r="A395" s="58">
        <v>43701</v>
      </c>
      <c r="B395" s="59" t="s">
        <v>615</v>
      </c>
      <c r="C395" s="60" t="s">
        <v>246</v>
      </c>
      <c r="D395" s="60" t="s">
        <v>934</v>
      </c>
      <c r="E395" s="105">
        <v>11</v>
      </c>
      <c r="F395" s="106">
        <v>10</v>
      </c>
      <c r="G395" s="106">
        <v>1</v>
      </c>
      <c r="H395" s="60">
        <v>22</v>
      </c>
      <c r="I395" s="60">
        <v>31</v>
      </c>
      <c r="J395" s="60">
        <v>53</v>
      </c>
      <c r="K395" s="122">
        <f t="shared" si="400"/>
        <v>0.41509433962264153</v>
      </c>
      <c r="L395" s="123">
        <f t="shared" si="263"/>
        <v>-10.584905660377359</v>
      </c>
      <c r="M395" s="64">
        <f t="shared" si="284"/>
        <v>12</v>
      </c>
      <c r="N395" s="65"/>
      <c r="O395" s="60"/>
      <c r="P395" s="102"/>
      <c r="Q395" s="66"/>
      <c r="R395" s="103"/>
      <c r="S395" s="103"/>
      <c r="T395" s="103"/>
      <c r="U395" s="103"/>
      <c r="V395" s="67"/>
      <c r="W395" s="104"/>
      <c r="X395" s="67">
        <f t="shared" ref="X395:Y395" si="410">(P395+R395+T395+V395)</f>
        <v>0</v>
      </c>
      <c r="Y395" s="67">
        <f t="shared" si="410"/>
        <v>0</v>
      </c>
      <c r="Z395" s="68">
        <f t="shared" si="265"/>
        <v>0</v>
      </c>
      <c r="AA395" s="69" t="str">
        <f t="shared" si="386"/>
        <v>3B</v>
      </c>
      <c r="AB395" s="70" t="s">
        <v>934</v>
      </c>
      <c r="AC395" s="70" t="s">
        <v>248</v>
      </c>
      <c r="AD395" s="70">
        <v>22</v>
      </c>
      <c r="AE395" s="70">
        <v>31</v>
      </c>
      <c r="AF395" s="70">
        <v>53</v>
      </c>
      <c r="AG395" s="72">
        <f t="shared" si="267"/>
        <v>0.41509433962264153</v>
      </c>
      <c r="AH395" s="73">
        <f t="shared" si="268"/>
        <v>-77.584905660377359</v>
      </c>
      <c r="AI395" s="74">
        <v>12</v>
      </c>
      <c r="AJ395" s="79" t="s">
        <v>795</v>
      </c>
      <c r="AK395" s="76" t="s">
        <v>935</v>
      </c>
      <c r="AL395" s="67"/>
      <c r="AM395" s="506"/>
      <c r="AN395" s="505"/>
      <c r="AO395" s="515"/>
    </row>
    <row r="396" spans="1:41" ht="14.5">
      <c r="A396" s="58">
        <v>43701</v>
      </c>
      <c r="B396" s="59" t="s">
        <v>615</v>
      </c>
      <c r="C396" s="60" t="s">
        <v>251</v>
      </c>
      <c r="D396" s="60" t="s">
        <v>926</v>
      </c>
      <c r="E396" s="107">
        <v>9</v>
      </c>
      <c r="F396" s="108">
        <v>11</v>
      </c>
      <c r="G396" s="106">
        <v>11</v>
      </c>
      <c r="H396" s="60">
        <v>31</v>
      </c>
      <c r="I396" s="60">
        <v>13</v>
      </c>
      <c r="J396" s="60">
        <v>44</v>
      </c>
      <c r="K396" s="122">
        <f t="shared" si="400"/>
        <v>0.70454545454545459</v>
      </c>
      <c r="L396" s="123">
        <f t="shared" si="263"/>
        <v>-1.2954545454545454</v>
      </c>
      <c r="M396" s="64">
        <f t="shared" si="284"/>
        <v>5</v>
      </c>
      <c r="N396" s="65" t="s">
        <v>230</v>
      </c>
      <c r="O396" s="60" t="s">
        <v>925</v>
      </c>
      <c r="P396" s="102"/>
      <c r="Q396" s="66"/>
      <c r="R396" s="103">
        <v>11</v>
      </c>
      <c r="S396" s="103">
        <v>7</v>
      </c>
      <c r="T396" s="103">
        <v>6</v>
      </c>
      <c r="U396" s="103">
        <v>11</v>
      </c>
      <c r="V396" s="67"/>
      <c r="W396" s="104"/>
      <c r="X396" s="67">
        <f t="shared" ref="X396:Y396" si="411">(P396+R396+T396+V396)</f>
        <v>17</v>
      </c>
      <c r="Y396" s="67">
        <f t="shared" si="411"/>
        <v>18</v>
      </c>
      <c r="Z396" s="68">
        <f t="shared" si="265"/>
        <v>35</v>
      </c>
      <c r="AA396" s="69" t="str">
        <f t="shared" si="386"/>
        <v>3C</v>
      </c>
      <c r="AB396" s="70" t="s">
        <v>926</v>
      </c>
      <c r="AC396" s="70" t="s">
        <v>253</v>
      </c>
      <c r="AD396" s="70">
        <v>32</v>
      </c>
      <c r="AE396" s="70">
        <v>24</v>
      </c>
      <c r="AF396" s="70">
        <v>56</v>
      </c>
      <c r="AG396" s="72">
        <f t="shared" si="267"/>
        <v>0.5714285714285714</v>
      </c>
      <c r="AH396" s="73">
        <f t="shared" si="268"/>
        <v>-67.428571428571431</v>
      </c>
      <c r="AI396" s="74">
        <v>6</v>
      </c>
      <c r="AJ396" s="79" t="s">
        <v>774</v>
      </c>
      <c r="AK396" s="85" t="s">
        <v>936</v>
      </c>
      <c r="AL396" s="67"/>
      <c r="AM396" s="506"/>
      <c r="AN396" s="505"/>
      <c r="AO396" s="515"/>
    </row>
    <row r="397" spans="1:41" ht="14.5">
      <c r="A397" s="58">
        <v>43701</v>
      </c>
      <c r="B397" s="59" t="s">
        <v>615</v>
      </c>
      <c r="C397" s="60" t="s">
        <v>256</v>
      </c>
      <c r="D397" s="60" t="s">
        <v>931</v>
      </c>
      <c r="E397" s="109">
        <v>11</v>
      </c>
      <c r="F397" s="110">
        <v>11</v>
      </c>
      <c r="G397" s="111">
        <v>11</v>
      </c>
      <c r="H397" s="60">
        <v>33</v>
      </c>
      <c r="I397" s="60">
        <v>22</v>
      </c>
      <c r="J397" s="60">
        <v>55</v>
      </c>
      <c r="K397" s="122">
        <f t="shared" si="400"/>
        <v>0.6</v>
      </c>
      <c r="L397" s="123">
        <f t="shared" si="263"/>
        <v>0.6</v>
      </c>
      <c r="M397" s="64">
        <f t="shared" si="284"/>
        <v>4</v>
      </c>
      <c r="N397" s="90"/>
      <c r="O397" s="89"/>
      <c r="P397" s="112"/>
      <c r="Q397" s="91"/>
      <c r="R397" s="113"/>
      <c r="S397" s="113"/>
      <c r="T397" s="103"/>
      <c r="U397" s="103"/>
      <c r="V397" s="67"/>
      <c r="W397" s="104"/>
      <c r="X397" s="67">
        <f t="shared" ref="X397:Y397" si="412">(P397+R397+T397+V397)</f>
        <v>0</v>
      </c>
      <c r="Y397" s="67">
        <f t="shared" si="412"/>
        <v>0</v>
      </c>
      <c r="Z397" s="68">
        <f t="shared" si="265"/>
        <v>0</v>
      </c>
      <c r="AA397" s="69" t="str">
        <f t="shared" si="386"/>
        <v>3D</v>
      </c>
      <c r="AB397" s="70" t="s">
        <v>931</v>
      </c>
      <c r="AC397" s="70" t="s">
        <v>243</v>
      </c>
      <c r="AD397" s="70">
        <v>40</v>
      </c>
      <c r="AE397" s="70">
        <v>33</v>
      </c>
      <c r="AF397" s="70">
        <v>73</v>
      </c>
      <c r="AG397" s="72">
        <f t="shared" si="267"/>
        <v>0.54794520547945202</v>
      </c>
      <c r="AH397" s="73">
        <f t="shared" si="268"/>
        <v>-59.452054794520549</v>
      </c>
      <c r="AI397" s="74">
        <v>4</v>
      </c>
      <c r="AJ397" s="79" t="s">
        <v>937</v>
      </c>
      <c r="AK397" s="76" t="s">
        <v>938</v>
      </c>
      <c r="AL397" s="67"/>
      <c r="AM397" s="506"/>
      <c r="AN397" s="505"/>
      <c r="AO397" s="515"/>
    </row>
    <row r="398" spans="1:41" ht="14.5">
      <c r="A398" s="58">
        <v>43701</v>
      </c>
      <c r="B398" s="59" t="s">
        <v>615</v>
      </c>
      <c r="C398" s="60" t="s">
        <v>261</v>
      </c>
      <c r="D398" s="60" t="s">
        <v>117</v>
      </c>
      <c r="E398" s="100">
        <v>11</v>
      </c>
      <c r="F398" s="100">
        <v>11</v>
      </c>
      <c r="G398" s="100">
        <v>11</v>
      </c>
      <c r="H398" s="60">
        <v>33</v>
      </c>
      <c r="I398" s="60">
        <v>12</v>
      </c>
      <c r="J398" s="60">
        <v>45</v>
      </c>
      <c r="K398" s="122">
        <f t="shared" si="400"/>
        <v>0.73333333333333328</v>
      </c>
      <c r="L398" s="123">
        <f t="shared" si="263"/>
        <v>0.73333333333333328</v>
      </c>
      <c r="M398" s="64">
        <f t="shared" si="284"/>
        <v>3</v>
      </c>
      <c r="N398" s="65" t="s">
        <v>263</v>
      </c>
      <c r="O398" s="60" t="s">
        <v>117</v>
      </c>
      <c r="P398" s="102"/>
      <c r="Q398" s="66"/>
      <c r="R398" s="103">
        <v>11</v>
      </c>
      <c r="S398" s="103">
        <v>6</v>
      </c>
      <c r="T398" s="103">
        <v>11</v>
      </c>
      <c r="U398" s="103">
        <v>6</v>
      </c>
      <c r="V398" s="67">
        <v>5</v>
      </c>
      <c r="W398" s="104">
        <v>12</v>
      </c>
      <c r="X398" s="67">
        <f t="shared" ref="X398:Y398" si="413">(P398+R398+T398+V398)</f>
        <v>27</v>
      </c>
      <c r="Y398" s="67">
        <f t="shared" si="413"/>
        <v>24</v>
      </c>
      <c r="Z398" s="68">
        <f t="shared" si="265"/>
        <v>51</v>
      </c>
      <c r="AA398" s="69" t="str">
        <f t="shared" si="386"/>
        <v>4A</v>
      </c>
      <c r="AB398" s="70" t="s">
        <v>117</v>
      </c>
      <c r="AC398" s="70" t="s">
        <v>263</v>
      </c>
      <c r="AD398" s="70">
        <v>60</v>
      </c>
      <c r="AE398" s="70">
        <v>36</v>
      </c>
      <c r="AF398" s="70">
        <v>96</v>
      </c>
      <c r="AG398" s="72">
        <f t="shared" si="267"/>
        <v>0.625</v>
      </c>
      <c r="AH398" s="73">
        <f t="shared" si="268"/>
        <v>-39.375</v>
      </c>
      <c r="AI398" s="74">
        <v>2</v>
      </c>
      <c r="AJ398" s="79" t="s">
        <v>939</v>
      </c>
      <c r="AK398" s="76" t="s">
        <v>940</v>
      </c>
      <c r="AL398" s="67"/>
      <c r="AM398" s="506"/>
      <c r="AN398" s="505"/>
      <c r="AO398" s="515"/>
    </row>
    <row r="399" spans="1:41" ht="14.5">
      <c r="A399" s="58">
        <v>43701</v>
      </c>
      <c r="B399" s="59" t="s">
        <v>615</v>
      </c>
      <c r="C399" s="60" t="s">
        <v>268</v>
      </c>
      <c r="D399" s="60" t="s">
        <v>916</v>
      </c>
      <c r="E399" s="105">
        <v>6</v>
      </c>
      <c r="F399" s="107">
        <v>11</v>
      </c>
      <c r="G399" s="107">
        <v>11</v>
      </c>
      <c r="H399" s="60">
        <v>28</v>
      </c>
      <c r="I399" s="60">
        <v>31</v>
      </c>
      <c r="J399" s="60">
        <v>59</v>
      </c>
      <c r="K399" s="122">
        <f t="shared" si="400"/>
        <v>0.47457627118644069</v>
      </c>
      <c r="L399" s="123">
        <f t="shared" si="263"/>
        <v>-4.5254237288135597</v>
      </c>
      <c r="M399" s="64">
        <f t="shared" si="284"/>
        <v>6</v>
      </c>
      <c r="N399" s="65"/>
      <c r="O399" s="60"/>
      <c r="P399" s="102"/>
      <c r="Q399" s="66"/>
      <c r="R399" s="103"/>
      <c r="S399" s="103"/>
      <c r="T399" s="103"/>
      <c r="U399" s="103"/>
      <c r="V399" s="67"/>
      <c r="W399" s="104"/>
      <c r="X399" s="67">
        <f t="shared" ref="X399:Y399" si="414">(P399+R399+T399+V399)</f>
        <v>0</v>
      </c>
      <c r="Y399" s="67">
        <f t="shared" si="414"/>
        <v>0</v>
      </c>
      <c r="Z399" s="68">
        <f t="shared" si="265"/>
        <v>0</v>
      </c>
      <c r="AA399" s="69" t="str">
        <f t="shared" si="386"/>
        <v>4B</v>
      </c>
      <c r="AB399" s="70" t="s">
        <v>916</v>
      </c>
      <c r="AC399" s="70" t="s">
        <v>265</v>
      </c>
      <c r="AD399" s="70">
        <v>30</v>
      </c>
      <c r="AE399" s="70">
        <v>42</v>
      </c>
      <c r="AF399" s="70">
        <v>72</v>
      </c>
      <c r="AG399" s="72">
        <f t="shared" si="267"/>
        <v>0.41666666666666669</v>
      </c>
      <c r="AH399" s="73">
        <f t="shared" si="268"/>
        <v>-69.583333333333329</v>
      </c>
      <c r="AI399" s="74">
        <v>8</v>
      </c>
      <c r="AJ399" s="79" t="s">
        <v>941</v>
      </c>
      <c r="AK399" s="76" t="s">
        <v>791</v>
      </c>
      <c r="AL399" s="67"/>
      <c r="AM399" s="506"/>
      <c r="AN399" s="505"/>
      <c r="AO399" s="515"/>
    </row>
    <row r="400" spans="1:41" ht="14.5">
      <c r="A400" s="58">
        <v>43701</v>
      </c>
      <c r="B400" s="59" t="s">
        <v>615</v>
      </c>
      <c r="C400" s="60" t="s">
        <v>271</v>
      </c>
      <c r="D400" s="60" t="s">
        <v>942</v>
      </c>
      <c r="E400" s="124">
        <v>8</v>
      </c>
      <c r="F400" s="125">
        <v>2</v>
      </c>
      <c r="G400" s="124">
        <v>10</v>
      </c>
      <c r="H400" s="60">
        <v>20</v>
      </c>
      <c r="I400" s="60">
        <v>33</v>
      </c>
      <c r="J400" s="60">
        <v>53</v>
      </c>
      <c r="K400" s="122">
        <f t="shared" si="400"/>
        <v>0.37735849056603776</v>
      </c>
      <c r="L400" s="123">
        <f t="shared" si="263"/>
        <v>-12.622641509433961</v>
      </c>
      <c r="M400" s="64">
        <f t="shared" si="284"/>
        <v>13</v>
      </c>
      <c r="N400" s="65" t="s">
        <v>218</v>
      </c>
      <c r="O400" s="60" t="s">
        <v>913</v>
      </c>
      <c r="P400" s="102"/>
      <c r="Q400" s="66"/>
      <c r="R400" s="103">
        <v>6</v>
      </c>
      <c r="S400" s="103">
        <v>11</v>
      </c>
      <c r="T400" s="103"/>
      <c r="U400" s="103"/>
      <c r="V400" s="67"/>
      <c r="W400" s="104"/>
      <c r="X400" s="67">
        <f t="shared" ref="X400:Y400" si="415">(P400+R400+T400+V400)</f>
        <v>6</v>
      </c>
      <c r="Y400" s="67">
        <f t="shared" si="415"/>
        <v>11</v>
      </c>
      <c r="Z400" s="68">
        <f t="shared" si="265"/>
        <v>17</v>
      </c>
      <c r="AA400" s="69" t="str">
        <f t="shared" si="386"/>
        <v>4C</v>
      </c>
      <c r="AB400" s="70" t="s">
        <v>942</v>
      </c>
      <c r="AC400" s="70" t="s">
        <v>273</v>
      </c>
      <c r="AD400" s="70">
        <v>20</v>
      </c>
      <c r="AE400" s="70">
        <v>33</v>
      </c>
      <c r="AF400" s="70">
        <v>53</v>
      </c>
      <c r="AG400" s="72">
        <f t="shared" si="267"/>
        <v>0.37735849056603776</v>
      </c>
      <c r="AH400" s="73">
        <f t="shared" si="268"/>
        <v>-79.622641509433961</v>
      </c>
      <c r="AI400" s="74">
        <v>14</v>
      </c>
      <c r="AJ400" s="79" t="s">
        <v>943</v>
      </c>
      <c r="AK400" s="76" t="s">
        <v>944</v>
      </c>
      <c r="AL400" s="67"/>
      <c r="AM400" s="506"/>
      <c r="AN400" s="505"/>
      <c r="AO400" s="515"/>
    </row>
    <row r="401" spans="1:41" ht="14.5">
      <c r="A401" s="126">
        <v>43701</v>
      </c>
      <c r="B401" s="127" t="s">
        <v>615</v>
      </c>
      <c r="C401" s="128" t="s">
        <v>276</v>
      </c>
      <c r="D401" s="128" t="s">
        <v>945</v>
      </c>
      <c r="E401" s="129">
        <v>11</v>
      </c>
      <c r="F401" s="129">
        <v>10</v>
      </c>
      <c r="G401" s="130">
        <v>4</v>
      </c>
      <c r="H401" s="128">
        <v>25</v>
      </c>
      <c r="I401" s="128">
        <v>30</v>
      </c>
      <c r="J401" s="128">
        <v>55</v>
      </c>
      <c r="K401" s="131">
        <f t="shared" si="400"/>
        <v>0.45454545454545453</v>
      </c>
      <c r="L401" s="132">
        <f t="shared" si="263"/>
        <v>-7.5454545454545459</v>
      </c>
      <c r="M401" s="133">
        <f t="shared" si="284"/>
        <v>7</v>
      </c>
      <c r="N401" s="134"/>
      <c r="O401" s="128"/>
      <c r="P401" s="135"/>
      <c r="Q401" s="136"/>
      <c r="R401" s="137"/>
      <c r="S401" s="137"/>
      <c r="T401" s="137"/>
      <c r="U401" s="137"/>
      <c r="V401" s="138"/>
      <c r="W401" s="139"/>
      <c r="X401" s="138">
        <f t="shared" ref="X401:Y401" si="416">(P401+R401+T401+V401)</f>
        <v>0</v>
      </c>
      <c r="Y401" s="138">
        <f t="shared" si="416"/>
        <v>0</v>
      </c>
      <c r="Z401" s="140">
        <f t="shared" si="265"/>
        <v>0</v>
      </c>
      <c r="AA401" s="141" t="str">
        <f t="shared" si="386"/>
        <v>4D</v>
      </c>
      <c r="AB401" s="142" t="s">
        <v>945</v>
      </c>
      <c r="AC401" s="142" t="s">
        <v>278</v>
      </c>
      <c r="AD401" s="142">
        <v>25</v>
      </c>
      <c r="AE401" s="142">
        <v>30</v>
      </c>
      <c r="AF401" s="142">
        <v>55</v>
      </c>
      <c r="AG401" s="143">
        <f t="shared" si="267"/>
        <v>0.45454545454545453</v>
      </c>
      <c r="AH401" s="144">
        <f t="shared" si="268"/>
        <v>-74.545454545454547</v>
      </c>
      <c r="AI401" s="145">
        <v>9</v>
      </c>
      <c r="AJ401" s="146" t="s">
        <v>785</v>
      </c>
      <c r="AK401" s="147" t="s">
        <v>453</v>
      </c>
      <c r="AL401" s="67"/>
      <c r="AM401" s="506"/>
      <c r="AN401" s="505"/>
      <c r="AO401" s="515"/>
    </row>
    <row r="402" spans="1:41" ht="14.5">
      <c r="A402" s="58">
        <v>43715</v>
      </c>
      <c r="B402" s="59" t="s">
        <v>428</v>
      </c>
      <c r="C402" s="60" t="s">
        <v>205</v>
      </c>
      <c r="D402" s="60" t="s">
        <v>946</v>
      </c>
      <c r="E402" s="148">
        <v>4</v>
      </c>
      <c r="F402" s="148">
        <v>8</v>
      </c>
      <c r="G402" s="148">
        <v>6</v>
      </c>
      <c r="H402" s="60">
        <v>18</v>
      </c>
      <c r="I402" s="60">
        <v>33</v>
      </c>
      <c r="J402" s="149">
        <f t="shared" ref="J402:J656" si="417">SUM(H402:I402)</f>
        <v>51</v>
      </c>
      <c r="K402" s="122">
        <f t="shared" si="400"/>
        <v>0.35294117647058826</v>
      </c>
      <c r="L402" s="123">
        <f t="shared" si="263"/>
        <v>-14.647058823529411</v>
      </c>
      <c r="M402" s="64">
        <v>12</v>
      </c>
      <c r="N402" s="61">
        <v>1</v>
      </c>
      <c r="O402" s="61" t="s">
        <v>120</v>
      </c>
      <c r="P402" s="115">
        <v>11</v>
      </c>
      <c r="Q402" s="115">
        <v>1</v>
      </c>
      <c r="R402" s="115">
        <v>11</v>
      </c>
      <c r="S402" s="115">
        <v>10</v>
      </c>
      <c r="T402" s="115">
        <v>11</v>
      </c>
      <c r="U402" s="115">
        <v>6</v>
      </c>
      <c r="V402" s="116">
        <v>11</v>
      </c>
      <c r="W402" s="117">
        <v>8</v>
      </c>
      <c r="X402" s="67">
        <f t="shared" ref="X402:Y402" si="418">(P402+R402+T402+V402)</f>
        <v>44</v>
      </c>
      <c r="Y402" s="67">
        <f t="shared" si="418"/>
        <v>25</v>
      </c>
      <c r="Z402" s="68">
        <f t="shared" si="265"/>
        <v>69</v>
      </c>
      <c r="AA402" s="150" t="str">
        <f t="shared" si="386"/>
        <v>1A</v>
      </c>
      <c r="AB402" s="70" t="s">
        <v>946</v>
      </c>
      <c r="AC402" s="70">
        <v>12</v>
      </c>
      <c r="AD402" s="70">
        <v>22</v>
      </c>
      <c r="AE402" s="70">
        <v>44</v>
      </c>
      <c r="AF402" s="70">
        <v>66</v>
      </c>
      <c r="AG402" s="72">
        <f t="shared" si="267"/>
        <v>0.33333333333333331</v>
      </c>
      <c r="AH402" s="73">
        <f t="shared" ref="AH402:AH656" si="419">AG402-(77-AD402)</f>
        <v>-54.666666666666664</v>
      </c>
      <c r="AI402" s="74">
        <v>14</v>
      </c>
      <c r="AJ402" s="79" t="s">
        <v>756</v>
      </c>
      <c r="AK402" s="76" t="s">
        <v>740</v>
      </c>
      <c r="AL402" s="67"/>
      <c r="AM402" s="506"/>
      <c r="AN402" s="505"/>
      <c r="AO402" s="515"/>
    </row>
    <row r="403" spans="1:41" ht="14.5">
      <c r="A403" s="58">
        <v>43715</v>
      </c>
      <c r="B403" s="59" t="s">
        <v>428</v>
      </c>
      <c r="C403" s="60" t="s">
        <v>211</v>
      </c>
      <c r="D403" s="60" t="s">
        <v>947</v>
      </c>
      <c r="E403" s="105">
        <v>11</v>
      </c>
      <c r="F403" s="107">
        <v>11</v>
      </c>
      <c r="G403" s="107">
        <v>11</v>
      </c>
      <c r="H403" s="60">
        <v>33</v>
      </c>
      <c r="I403" s="60">
        <v>12</v>
      </c>
      <c r="J403" s="149">
        <f t="shared" si="417"/>
        <v>45</v>
      </c>
      <c r="K403" s="122">
        <f t="shared" si="400"/>
        <v>0.73333333333333328</v>
      </c>
      <c r="L403" s="123">
        <f t="shared" si="263"/>
        <v>0.73333333333333328</v>
      </c>
      <c r="M403" s="64">
        <v>2</v>
      </c>
      <c r="N403" s="86">
        <v>16</v>
      </c>
      <c r="O403" s="86" t="s">
        <v>948</v>
      </c>
      <c r="P403" s="113">
        <v>1</v>
      </c>
      <c r="Q403" s="113">
        <v>11</v>
      </c>
      <c r="R403" s="103"/>
      <c r="S403" s="103"/>
      <c r="T403" s="103"/>
      <c r="U403" s="103"/>
      <c r="V403" s="69"/>
      <c r="W403" s="104"/>
      <c r="X403" s="67">
        <f t="shared" ref="X403:Y403" si="420">(P403+R403+T403+V403)</f>
        <v>1</v>
      </c>
      <c r="Y403" s="67">
        <f t="shared" si="420"/>
        <v>11</v>
      </c>
      <c r="Z403" s="68">
        <f t="shared" si="265"/>
        <v>12</v>
      </c>
      <c r="AA403" s="150" t="str">
        <f t="shared" si="386"/>
        <v>1B</v>
      </c>
      <c r="AB403" s="70" t="s">
        <v>947</v>
      </c>
      <c r="AC403" s="70">
        <v>2</v>
      </c>
      <c r="AD403" s="70">
        <v>50</v>
      </c>
      <c r="AE403" s="70">
        <v>26</v>
      </c>
      <c r="AF403" s="70">
        <v>76</v>
      </c>
      <c r="AG403" s="72">
        <f t="shared" si="267"/>
        <v>0.65789473684210531</v>
      </c>
      <c r="AH403" s="73">
        <f t="shared" si="419"/>
        <v>-26.342105263157894</v>
      </c>
      <c r="AI403" s="74">
        <v>7</v>
      </c>
      <c r="AJ403" s="79" t="s">
        <v>648</v>
      </c>
      <c r="AK403" s="76" t="s">
        <v>227</v>
      </c>
      <c r="AL403" s="60"/>
      <c r="AM403" s="506"/>
      <c r="AN403" s="505"/>
      <c r="AO403" s="515"/>
    </row>
    <row r="404" spans="1:41" ht="14.5">
      <c r="A404" s="58">
        <v>43715</v>
      </c>
      <c r="B404" s="59" t="s">
        <v>428</v>
      </c>
      <c r="C404" s="60" t="s">
        <v>216</v>
      </c>
      <c r="D404" s="60" t="s">
        <v>949</v>
      </c>
      <c r="E404" s="107">
        <v>11</v>
      </c>
      <c r="F404" s="105">
        <v>11</v>
      </c>
      <c r="G404" s="107">
        <v>6</v>
      </c>
      <c r="H404" s="60">
        <v>28</v>
      </c>
      <c r="I404" s="60">
        <v>25</v>
      </c>
      <c r="J404" s="149">
        <f t="shared" si="417"/>
        <v>53</v>
      </c>
      <c r="K404" s="122">
        <f t="shared" si="400"/>
        <v>0.52830188679245282</v>
      </c>
      <c r="L404" s="123">
        <f t="shared" si="263"/>
        <v>-4.4716981132075473</v>
      </c>
      <c r="M404" s="64">
        <v>7</v>
      </c>
      <c r="N404" s="64">
        <v>8</v>
      </c>
      <c r="O404" s="64" t="s">
        <v>950</v>
      </c>
      <c r="P404" s="103">
        <v>11</v>
      </c>
      <c r="Q404" s="103">
        <v>7</v>
      </c>
      <c r="R404" s="103">
        <v>10</v>
      </c>
      <c r="S404" s="103">
        <v>11</v>
      </c>
      <c r="T404" s="103"/>
      <c r="U404" s="103"/>
      <c r="V404" s="69"/>
      <c r="W404" s="104"/>
      <c r="X404" s="67">
        <f t="shared" ref="X404:Y404" si="421">(P404+R404+T404+V404)</f>
        <v>21</v>
      </c>
      <c r="Y404" s="67">
        <f t="shared" si="421"/>
        <v>18</v>
      </c>
      <c r="Z404" s="68">
        <f t="shared" si="265"/>
        <v>39</v>
      </c>
      <c r="AA404" s="150" t="str">
        <f t="shared" si="386"/>
        <v>1C</v>
      </c>
      <c r="AB404" s="70" t="s">
        <v>949</v>
      </c>
      <c r="AC404" s="70">
        <v>7</v>
      </c>
      <c r="AD404" s="70">
        <v>30</v>
      </c>
      <c r="AE404" s="70">
        <v>36</v>
      </c>
      <c r="AF404" s="70">
        <v>66</v>
      </c>
      <c r="AG404" s="72">
        <f t="shared" si="267"/>
        <v>0.45454545454545453</v>
      </c>
      <c r="AH404" s="73">
        <f t="shared" si="419"/>
        <v>-46.545454545454547</v>
      </c>
      <c r="AI404" s="74">
        <v>10</v>
      </c>
      <c r="AJ404" s="75" t="s">
        <v>929</v>
      </c>
      <c r="AK404" s="76" t="s">
        <v>877</v>
      </c>
      <c r="AL404" s="60"/>
      <c r="AM404" s="506"/>
      <c r="AN404" s="505"/>
      <c r="AO404" s="515"/>
    </row>
    <row r="405" spans="1:41" ht="14.5">
      <c r="A405" s="58">
        <v>43715</v>
      </c>
      <c r="B405" s="59" t="s">
        <v>428</v>
      </c>
      <c r="C405" s="60" t="s">
        <v>221</v>
      </c>
      <c r="D405" s="60" t="s">
        <v>951</v>
      </c>
      <c r="E405" s="109">
        <v>6</v>
      </c>
      <c r="F405" s="109">
        <v>2</v>
      </c>
      <c r="G405" s="151">
        <v>11</v>
      </c>
      <c r="H405" s="60">
        <v>19</v>
      </c>
      <c r="I405" s="60">
        <v>28</v>
      </c>
      <c r="J405" s="149">
        <f t="shared" si="417"/>
        <v>47</v>
      </c>
      <c r="K405" s="122">
        <f t="shared" si="400"/>
        <v>0.40425531914893614</v>
      </c>
      <c r="L405" s="123">
        <f t="shared" si="263"/>
        <v>-13.595744680851064</v>
      </c>
      <c r="M405" s="64">
        <v>11</v>
      </c>
      <c r="N405" s="86">
        <v>9</v>
      </c>
      <c r="O405" s="86" t="s">
        <v>952</v>
      </c>
      <c r="P405" s="113">
        <v>7</v>
      </c>
      <c r="Q405" s="113">
        <v>11</v>
      </c>
      <c r="R405" s="113"/>
      <c r="S405" s="113"/>
      <c r="T405" s="103"/>
      <c r="U405" s="103"/>
      <c r="V405" s="69"/>
      <c r="W405" s="104"/>
      <c r="X405" s="67">
        <f t="shared" ref="X405:Y405" si="422">(P405+R405+T405+V405)</f>
        <v>7</v>
      </c>
      <c r="Y405" s="67">
        <f t="shared" si="422"/>
        <v>11</v>
      </c>
      <c r="Z405" s="68">
        <f t="shared" si="265"/>
        <v>18</v>
      </c>
      <c r="AA405" s="150" t="str">
        <f t="shared" si="386"/>
        <v>1D</v>
      </c>
      <c r="AB405" s="70" t="s">
        <v>951</v>
      </c>
      <c r="AC405" s="70">
        <v>11</v>
      </c>
      <c r="AD405" s="70">
        <v>26</v>
      </c>
      <c r="AE405" s="70">
        <v>39</v>
      </c>
      <c r="AF405" s="70">
        <v>65</v>
      </c>
      <c r="AG405" s="72">
        <f t="shared" si="267"/>
        <v>0.4</v>
      </c>
      <c r="AH405" s="73">
        <f t="shared" si="419"/>
        <v>-50.6</v>
      </c>
      <c r="AI405" s="74">
        <v>11</v>
      </c>
      <c r="AJ405" s="79" t="s">
        <v>795</v>
      </c>
      <c r="AK405" s="76" t="s">
        <v>953</v>
      </c>
      <c r="AL405" s="60"/>
      <c r="AM405" s="506"/>
      <c r="AN405" s="505"/>
      <c r="AO405" s="515"/>
    </row>
    <row r="406" spans="1:41" ht="14.5">
      <c r="A406" s="58">
        <v>43715</v>
      </c>
      <c r="B406" s="59" t="s">
        <v>428</v>
      </c>
      <c r="C406" s="60" t="s">
        <v>224</v>
      </c>
      <c r="D406" s="60" t="s">
        <v>954</v>
      </c>
      <c r="E406" s="100">
        <v>8</v>
      </c>
      <c r="F406" s="101">
        <v>2</v>
      </c>
      <c r="G406" s="101">
        <v>5</v>
      </c>
      <c r="H406" s="60">
        <v>15</v>
      </c>
      <c r="I406" s="60">
        <v>33</v>
      </c>
      <c r="J406" s="149">
        <f t="shared" si="417"/>
        <v>48</v>
      </c>
      <c r="K406" s="122">
        <f t="shared" si="400"/>
        <v>0.3125</v>
      </c>
      <c r="L406" s="123">
        <f t="shared" si="263"/>
        <v>-17.6875</v>
      </c>
      <c r="M406" s="64">
        <v>15</v>
      </c>
      <c r="N406" s="64">
        <v>5</v>
      </c>
      <c r="O406" s="64" t="s">
        <v>955</v>
      </c>
      <c r="P406" s="103">
        <v>11</v>
      </c>
      <c r="Q406" s="103">
        <v>4</v>
      </c>
      <c r="R406" s="103">
        <v>7</v>
      </c>
      <c r="S406" s="103">
        <v>11</v>
      </c>
      <c r="T406" s="103"/>
      <c r="U406" s="103"/>
      <c r="V406" s="69"/>
      <c r="W406" s="104"/>
      <c r="X406" s="67">
        <f t="shared" ref="X406:Y406" si="423">(P406+R406+T406+V406)</f>
        <v>18</v>
      </c>
      <c r="Y406" s="67">
        <f t="shared" si="423"/>
        <v>15</v>
      </c>
      <c r="Z406" s="68">
        <f t="shared" si="265"/>
        <v>33</v>
      </c>
      <c r="AA406" s="150" t="str">
        <f t="shared" si="386"/>
        <v>2A</v>
      </c>
      <c r="AB406" s="70" t="s">
        <v>954</v>
      </c>
      <c r="AC406" s="70">
        <v>15</v>
      </c>
      <c r="AD406" s="70">
        <v>18</v>
      </c>
      <c r="AE406" s="70">
        <v>44</v>
      </c>
      <c r="AF406" s="70">
        <v>62</v>
      </c>
      <c r="AG406" s="72">
        <f t="shared" si="267"/>
        <v>0.29032258064516131</v>
      </c>
      <c r="AH406" s="73">
        <f t="shared" si="419"/>
        <v>-58.70967741935484</v>
      </c>
      <c r="AI406" s="74">
        <v>15</v>
      </c>
      <c r="AJ406" s="79" t="s">
        <v>874</v>
      </c>
      <c r="AK406" s="76" t="s">
        <v>820</v>
      </c>
      <c r="AL406" s="60"/>
      <c r="AM406" s="506"/>
      <c r="AN406" s="505"/>
      <c r="AO406" s="515"/>
    </row>
    <row r="407" spans="1:41" ht="14.5">
      <c r="A407" s="58">
        <v>43715</v>
      </c>
      <c r="B407" s="59" t="s">
        <v>428</v>
      </c>
      <c r="C407" s="60" t="s">
        <v>228</v>
      </c>
      <c r="D407" s="60" t="s">
        <v>956</v>
      </c>
      <c r="E407" s="105">
        <v>11</v>
      </c>
      <c r="F407" s="106">
        <v>3</v>
      </c>
      <c r="G407" s="106">
        <v>2</v>
      </c>
      <c r="H407" s="60">
        <v>16</v>
      </c>
      <c r="I407" s="60">
        <v>30</v>
      </c>
      <c r="J407" s="149">
        <f t="shared" si="417"/>
        <v>46</v>
      </c>
      <c r="K407" s="122">
        <f t="shared" si="400"/>
        <v>0.34782608695652173</v>
      </c>
      <c r="L407" s="123">
        <f t="shared" si="263"/>
        <v>-16.652173913043477</v>
      </c>
      <c r="M407" s="64">
        <v>13</v>
      </c>
      <c r="N407" s="86">
        <v>12</v>
      </c>
      <c r="O407" s="86" t="s">
        <v>946</v>
      </c>
      <c r="P407" s="113">
        <v>4</v>
      </c>
      <c r="Q407" s="113">
        <v>11</v>
      </c>
      <c r="R407" s="103"/>
      <c r="S407" s="103"/>
      <c r="T407" s="103"/>
      <c r="U407" s="103"/>
      <c r="V407" s="69"/>
      <c r="W407" s="104"/>
      <c r="X407" s="67">
        <f t="shared" ref="X407:Y407" si="424">(P407+R407+T407+V407)</f>
        <v>4</v>
      </c>
      <c r="Y407" s="67">
        <f t="shared" si="424"/>
        <v>11</v>
      </c>
      <c r="Z407" s="68">
        <f t="shared" si="265"/>
        <v>15</v>
      </c>
      <c r="AA407" s="150" t="str">
        <f t="shared" si="386"/>
        <v>2B</v>
      </c>
      <c r="AB407" s="70" t="s">
        <v>956</v>
      </c>
      <c r="AC407" s="70">
        <v>13</v>
      </c>
      <c r="AD407" s="70">
        <v>24</v>
      </c>
      <c r="AE407" s="70">
        <v>41</v>
      </c>
      <c r="AF407" s="70">
        <v>65</v>
      </c>
      <c r="AG407" s="72">
        <f t="shared" si="267"/>
        <v>0.36923076923076925</v>
      </c>
      <c r="AH407" s="73">
        <f t="shared" si="419"/>
        <v>-52.630769230769232</v>
      </c>
      <c r="AI407" s="74">
        <v>12</v>
      </c>
      <c r="AJ407" s="79" t="s">
        <v>632</v>
      </c>
      <c r="AK407" s="76" t="s">
        <v>848</v>
      </c>
      <c r="AL407" s="60"/>
      <c r="AM407" s="506"/>
      <c r="AN407" s="505"/>
      <c r="AO407" s="515"/>
    </row>
    <row r="408" spans="1:41" ht="14.5">
      <c r="A408" s="58">
        <v>43715</v>
      </c>
      <c r="B408" s="59" t="s">
        <v>428</v>
      </c>
      <c r="C408" s="60" t="s">
        <v>232</v>
      </c>
      <c r="D408" s="60" t="s">
        <v>120</v>
      </c>
      <c r="E408" s="107">
        <v>11</v>
      </c>
      <c r="F408" s="108">
        <v>11</v>
      </c>
      <c r="G408" s="106">
        <v>11</v>
      </c>
      <c r="H408" s="60">
        <v>33</v>
      </c>
      <c r="I408" s="60">
        <v>11</v>
      </c>
      <c r="J408" s="149">
        <f t="shared" si="417"/>
        <v>44</v>
      </c>
      <c r="K408" s="122">
        <f t="shared" si="400"/>
        <v>0.75</v>
      </c>
      <c r="L408" s="123">
        <f t="shared" si="263"/>
        <v>0.75</v>
      </c>
      <c r="M408" s="64">
        <v>1</v>
      </c>
      <c r="N408" s="64">
        <v>4</v>
      </c>
      <c r="O408" s="64" t="s">
        <v>957</v>
      </c>
      <c r="P408" s="103">
        <v>11</v>
      </c>
      <c r="Q408" s="103">
        <v>8</v>
      </c>
      <c r="R408" s="103">
        <v>11</v>
      </c>
      <c r="S408" s="103">
        <v>7</v>
      </c>
      <c r="T408" s="103">
        <v>6</v>
      </c>
      <c r="U408" s="103">
        <v>11</v>
      </c>
      <c r="V408" s="69"/>
      <c r="W408" s="104"/>
      <c r="X408" s="67">
        <f t="shared" ref="X408:Y408" si="425">(P408+R408+T408+V408)</f>
        <v>28</v>
      </c>
      <c r="Y408" s="67">
        <f t="shared" si="425"/>
        <v>26</v>
      </c>
      <c r="Z408" s="68">
        <f t="shared" si="265"/>
        <v>54</v>
      </c>
      <c r="AA408" s="150" t="str">
        <f t="shared" si="386"/>
        <v>2C</v>
      </c>
      <c r="AB408" s="70" t="s">
        <v>120</v>
      </c>
      <c r="AC408" s="70">
        <v>1</v>
      </c>
      <c r="AD408" s="70">
        <v>77</v>
      </c>
      <c r="AE408" s="70">
        <v>36</v>
      </c>
      <c r="AF408" s="70">
        <v>113</v>
      </c>
      <c r="AG408" s="72">
        <f t="shared" si="267"/>
        <v>0.68141592920353977</v>
      </c>
      <c r="AH408" s="73">
        <f t="shared" si="419"/>
        <v>0.68141592920353977</v>
      </c>
      <c r="AI408" s="74">
        <v>1</v>
      </c>
      <c r="AJ408" s="79" t="s">
        <v>687</v>
      </c>
      <c r="AK408" s="76" t="s">
        <v>858</v>
      </c>
      <c r="AL408" s="60"/>
      <c r="AM408" s="506"/>
      <c r="AN408" s="505"/>
      <c r="AO408" s="515"/>
    </row>
    <row r="409" spans="1:41" ht="14.5">
      <c r="A409" s="58">
        <v>43715</v>
      </c>
      <c r="B409" s="59" t="s">
        <v>428</v>
      </c>
      <c r="C409" s="60" t="s">
        <v>237</v>
      </c>
      <c r="D409" s="60" t="s">
        <v>957</v>
      </c>
      <c r="E409" s="109">
        <v>7</v>
      </c>
      <c r="F409" s="110">
        <v>11</v>
      </c>
      <c r="G409" s="111">
        <v>11</v>
      </c>
      <c r="H409" s="60">
        <v>29</v>
      </c>
      <c r="I409" s="60">
        <v>19</v>
      </c>
      <c r="J409" s="149">
        <f t="shared" si="417"/>
        <v>48</v>
      </c>
      <c r="K409" s="122">
        <f t="shared" si="400"/>
        <v>0.60416666666666663</v>
      </c>
      <c r="L409" s="123">
        <f t="shared" si="263"/>
        <v>-3.3958333333333335</v>
      </c>
      <c r="M409" s="64">
        <v>4</v>
      </c>
      <c r="N409" s="86">
        <v>13</v>
      </c>
      <c r="O409" s="86" t="s">
        <v>956</v>
      </c>
      <c r="P409" s="113">
        <v>8</v>
      </c>
      <c r="Q409" s="113">
        <v>11</v>
      </c>
      <c r="R409" s="113"/>
      <c r="S409" s="113"/>
      <c r="T409" s="113"/>
      <c r="U409" s="113"/>
      <c r="V409" s="93"/>
      <c r="W409" s="114"/>
      <c r="X409" s="67">
        <f t="shared" ref="X409:Y409" si="426">(P409+R409+T409+V409)</f>
        <v>8</v>
      </c>
      <c r="Y409" s="67">
        <f t="shared" si="426"/>
        <v>11</v>
      </c>
      <c r="Z409" s="68">
        <f t="shared" si="265"/>
        <v>19</v>
      </c>
      <c r="AA409" s="150" t="str">
        <f t="shared" si="386"/>
        <v>2D</v>
      </c>
      <c r="AB409" s="70" t="s">
        <v>957</v>
      </c>
      <c r="AC409" s="70">
        <v>4</v>
      </c>
      <c r="AD409" s="70">
        <v>57</v>
      </c>
      <c r="AE409" s="70">
        <v>45</v>
      </c>
      <c r="AF409" s="70">
        <v>102</v>
      </c>
      <c r="AG409" s="72">
        <f t="shared" si="267"/>
        <v>0.55882352941176472</v>
      </c>
      <c r="AH409" s="73">
        <f t="shared" si="419"/>
        <v>-19.441176470588236</v>
      </c>
      <c r="AI409" s="74">
        <v>3</v>
      </c>
      <c r="AJ409" s="79" t="s">
        <v>958</v>
      </c>
      <c r="AK409" s="76" t="s">
        <v>904</v>
      </c>
      <c r="AL409" s="60"/>
      <c r="AM409" s="506"/>
      <c r="AN409" s="505"/>
      <c r="AO409" s="515"/>
    </row>
    <row r="410" spans="1:41" ht="14.5">
      <c r="A410" s="58">
        <v>43715</v>
      </c>
      <c r="B410" s="59" t="s">
        <v>428</v>
      </c>
      <c r="C410" s="60" t="s">
        <v>241</v>
      </c>
      <c r="D410" s="60" t="s">
        <v>959</v>
      </c>
      <c r="E410" s="100">
        <v>11</v>
      </c>
      <c r="F410" s="101">
        <v>11</v>
      </c>
      <c r="G410" s="101">
        <v>8</v>
      </c>
      <c r="H410" s="60">
        <v>30</v>
      </c>
      <c r="I410" s="60">
        <v>22</v>
      </c>
      <c r="J410" s="149">
        <f t="shared" si="417"/>
        <v>52</v>
      </c>
      <c r="K410" s="122">
        <f t="shared" si="400"/>
        <v>0.57692307692307687</v>
      </c>
      <c r="L410" s="123">
        <f t="shared" si="263"/>
        <v>-2.4230769230769234</v>
      </c>
      <c r="M410" s="64">
        <v>6</v>
      </c>
      <c r="N410" s="64">
        <v>6</v>
      </c>
      <c r="O410" s="64" t="s">
        <v>959</v>
      </c>
      <c r="P410" s="103">
        <v>11</v>
      </c>
      <c r="Q410" s="103">
        <v>7</v>
      </c>
      <c r="R410" s="103">
        <v>4</v>
      </c>
      <c r="S410" s="103">
        <v>11</v>
      </c>
      <c r="T410" s="103"/>
      <c r="U410" s="103"/>
      <c r="V410" s="69"/>
      <c r="W410" s="104"/>
      <c r="X410" s="67">
        <f t="shared" ref="X410:Y410" si="427">(P410+R410+T410+V410)</f>
        <v>15</v>
      </c>
      <c r="Y410" s="67">
        <f t="shared" si="427"/>
        <v>18</v>
      </c>
      <c r="Z410" s="68">
        <f t="shared" si="265"/>
        <v>33</v>
      </c>
      <c r="AA410" s="150" t="str">
        <f t="shared" si="386"/>
        <v>3A</v>
      </c>
      <c r="AB410" s="70" t="s">
        <v>959</v>
      </c>
      <c r="AC410" s="70">
        <v>6</v>
      </c>
      <c r="AD410" s="70">
        <v>45</v>
      </c>
      <c r="AE410" s="70">
        <v>40</v>
      </c>
      <c r="AF410" s="70">
        <v>85</v>
      </c>
      <c r="AG410" s="72">
        <f t="shared" si="267"/>
        <v>0.52941176470588236</v>
      </c>
      <c r="AH410" s="73">
        <f t="shared" si="419"/>
        <v>-31.470588235294116</v>
      </c>
      <c r="AI410" s="74">
        <v>8</v>
      </c>
      <c r="AJ410" s="79" t="s">
        <v>650</v>
      </c>
      <c r="AK410" s="76" t="s">
        <v>655</v>
      </c>
      <c r="AL410" s="60"/>
      <c r="AM410" s="506"/>
      <c r="AN410" s="505"/>
      <c r="AO410" s="515"/>
    </row>
    <row r="411" spans="1:41" ht="14.5">
      <c r="A411" s="58">
        <v>43715</v>
      </c>
      <c r="B411" s="59" t="s">
        <v>428</v>
      </c>
      <c r="C411" s="60" t="s">
        <v>246</v>
      </c>
      <c r="D411" s="60" t="s">
        <v>952</v>
      </c>
      <c r="E411" s="105">
        <v>6</v>
      </c>
      <c r="F411" s="106">
        <v>7</v>
      </c>
      <c r="G411" s="106">
        <v>11</v>
      </c>
      <c r="H411" s="60">
        <v>24</v>
      </c>
      <c r="I411" s="60">
        <v>22</v>
      </c>
      <c r="J411" s="149">
        <f t="shared" si="417"/>
        <v>46</v>
      </c>
      <c r="K411" s="122">
        <f t="shared" si="400"/>
        <v>0.52173913043478259</v>
      </c>
      <c r="L411" s="123">
        <f t="shared" si="263"/>
        <v>-8.4782608695652169</v>
      </c>
      <c r="M411" s="64">
        <v>9</v>
      </c>
      <c r="N411" s="86">
        <v>11</v>
      </c>
      <c r="O411" s="86" t="s">
        <v>951</v>
      </c>
      <c r="P411" s="113">
        <v>7</v>
      </c>
      <c r="Q411" s="113">
        <v>11</v>
      </c>
      <c r="R411" s="103"/>
      <c r="S411" s="103"/>
      <c r="T411" s="103"/>
      <c r="U411" s="103"/>
      <c r="V411" s="69"/>
      <c r="W411" s="104"/>
      <c r="X411" s="67">
        <f t="shared" ref="X411:Y411" si="428">(P411+R411+T411+V411)</f>
        <v>7</v>
      </c>
      <c r="Y411" s="67">
        <f t="shared" si="428"/>
        <v>11</v>
      </c>
      <c r="Z411" s="68">
        <f t="shared" si="265"/>
        <v>18</v>
      </c>
      <c r="AA411" s="150" t="str">
        <f t="shared" si="386"/>
        <v>3B</v>
      </c>
      <c r="AB411" s="70" t="s">
        <v>952</v>
      </c>
      <c r="AC411" s="70">
        <v>9</v>
      </c>
      <c r="AD411" s="70">
        <v>31</v>
      </c>
      <c r="AE411" s="70">
        <v>33</v>
      </c>
      <c r="AF411" s="70">
        <v>64</v>
      </c>
      <c r="AG411" s="72">
        <f t="shared" si="267"/>
        <v>0.484375</v>
      </c>
      <c r="AH411" s="73">
        <f t="shared" si="419"/>
        <v>-45.515625</v>
      </c>
      <c r="AI411" s="74">
        <v>9</v>
      </c>
      <c r="AJ411" s="79" t="s">
        <v>928</v>
      </c>
      <c r="AK411" s="76" t="s">
        <v>559</v>
      </c>
      <c r="AL411" s="60"/>
      <c r="AM411" s="506"/>
      <c r="AN411" s="505"/>
      <c r="AO411" s="515"/>
    </row>
    <row r="412" spans="1:41" ht="14.5">
      <c r="A412" s="58">
        <v>43715</v>
      </c>
      <c r="B412" s="59" t="s">
        <v>428</v>
      </c>
      <c r="C412" s="60" t="s">
        <v>251</v>
      </c>
      <c r="D412" s="60" t="s">
        <v>948</v>
      </c>
      <c r="E412" s="107">
        <v>8</v>
      </c>
      <c r="F412" s="108">
        <v>5</v>
      </c>
      <c r="G412" s="106">
        <v>0</v>
      </c>
      <c r="H412" s="60">
        <v>13</v>
      </c>
      <c r="I412" s="60">
        <v>33</v>
      </c>
      <c r="J412" s="149">
        <f t="shared" si="417"/>
        <v>46</v>
      </c>
      <c r="K412" s="122">
        <f t="shared" si="400"/>
        <v>0.28260869565217389</v>
      </c>
      <c r="L412" s="123">
        <f t="shared" si="263"/>
        <v>-19.717391304347824</v>
      </c>
      <c r="M412" s="64">
        <v>16</v>
      </c>
      <c r="N412" s="64">
        <v>3</v>
      </c>
      <c r="O412" s="64" t="s">
        <v>121</v>
      </c>
      <c r="P412" s="103">
        <v>11</v>
      </c>
      <c r="Q412" s="103">
        <v>6</v>
      </c>
      <c r="R412" s="103">
        <v>11</v>
      </c>
      <c r="S412" s="103">
        <v>4</v>
      </c>
      <c r="T412" s="103">
        <v>11</v>
      </c>
      <c r="U412" s="103">
        <v>8</v>
      </c>
      <c r="V412" s="69">
        <v>8</v>
      </c>
      <c r="W412" s="104">
        <v>11</v>
      </c>
      <c r="X412" s="67">
        <f t="shared" ref="X412:Y412" si="429">(P412+R412+T412+V412)</f>
        <v>41</v>
      </c>
      <c r="Y412" s="67">
        <f t="shared" si="429"/>
        <v>29</v>
      </c>
      <c r="Z412" s="68">
        <f t="shared" si="265"/>
        <v>70</v>
      </c>
      <c r="AA412" s="150" t="str">
        <f t="shared" si="386"/>
        <v>3C</v>
      </c>
      <c r="AB412" s="70" t="s">
        <v>948</v>
      </c>
      <c r="AC412" s="70">
        <v>16</v>
      </c>
      <c r="AD412" s="70">
        <v>14</v>
      </c>
      <c r="AE412" s="70">
        <v>44</v>
      </c>
      <c r="AF412" s="70">
        <v>58</v>
      </c>
      <c r="AG412" s="72">
        <f t="shared" si="267"/>
        <v>0.2413793103448276</v>
      </c>
      <c r="AH412" s="73">
        <f t="shared" si="419"/>
        <v>-62.758620689655174</v>
      </c>
      <c r="AI412" s="74">
        <v>16</v>
      </c>
      <c r="AJ412" s="79" t="s">
        <v>960</v>
      </c>
      <c r="AK412" s="76" t="s">
        <v>548</v>
      </c>
      <c r="AL412" s="60"/>
      <c r="AM412" s="506"/>
      <c r="AN412" s="505"/>
      <c r="AO412" s="515"/>
    </row>
    <row r="413" spans="1:41" ht="14.5">
      <c r="A413" s="58">
        <v>43715</v>
      </c>
      <c r="B413" s="59" t="s">
        <v>428</v>
      </c>
      <c r="C413" s="60" t="s">
        <v>256</v>
      </c>
      <c r="D413" s="60" t="s">
        <v>955</v>
      </c>
      <c r="E413" s="109">
        <v>11</v>
      </c>
      <c r="F413" s="110">
        <v>11</v>
      </c>
      <c r="G413" s="111">
        <v>11</v>
      </c>
      <c r="H413" s="60">
        <v>33</v>
      </c>
      <c r="I413" s="60">
        <v>23</v>
      </c>
      <c r="J413" s="149">
        <f t="shared" si="417"/>
        <v>56</v>
      </c>
      <c r="K413" s="122">
        <f t="shared" si="400"/>
        <v>0.5892857142857143</v>
      </c>
      <c r="L413" s="123">
        <f t="shared" si="263"/>
        <v>0.5892857142857143</v>
      </c>
      <c r="M413" s="64">
        <v>5</v>
      </c>
      <c r="N413" s="86">
        <v>14</v>
      </c>
      <c r="O413" s="86" t="s">
        <v>961</v>
      </c>
      <c r="P413" s="113">
        <v>6</v>
      </c>
      <c r="Q413" s="113">
        <v>11</v>
      </c>
      <c r="R413" s="113"/>
      <c r="S413" s="113"/>
      <c r="T413" s="103"/>
      <c r="U413" s="103"/>
      <c r="V413" s="69"/>
      <c r="W413" s="104"/>
      <c r="X413" s="67">
        <f t="shared" ref="X413:Y413" si="430">(P413+R413+T413+V413)</f>
        <v>6</v>
      </c>
      <c r="Y413" s="67">
        <f t="shared" si="430"/>
        <v>11</v>
      </c>
      <c r="Z413" s="68">
        <f t="shared" si="265"/>
        <v>17</v>
      </c>
      <c r="AA413" s="150" t="str">
        <f t="shared" si="386"/>
        <v>3D</v>
      </c>
      <c r="AB413" s="70" t="s">
        <v>955</v>
      </c>
      <c r="AC413" s="70">
        <v>5</v>
      </c>
      <c r="AD413" s="70">
        <v>51</v>
      </c>
      <c r="AE413" s="70">
        <v>38</v>
      </c>
      <c r="AF413" s="70">
        <v>89</v>
      </c>
      <c r="AG413" s="72">
        <f t="shared" si="267"/>
        <v>0.5730337078651685</v>
      </c>
      <c r="AH413" s="73">
        <f t="shared" si="419"/>
        <v>-25.426966292134832</v>
      </c>
      <c r="AI413" s="74">
        <v>5</v>
      </c>
      <c r="AJ413" s="79" t="s">
        <v>525</v>
      </c>
      <c r="AK413" s="76" t="s">
        <v>23</v>
      </c>
      <c r="AL413" s="60"/>
      <c r="AM413" s="506"/>
      <c r="AN413" s="505"/>
      <c r="AO413" s="515"/>
    </row>
    <row r="414" spans="1:41" ht="14.5">
      <c r="A414" s="58">
        <v>43715</v>
      </c>
      <c r="B414" s="59" t="s">
        <v>428</v>
      </c>
      <c r="C414" s="60" t="s">
        <v>261</v>
      </c>
      <c r="D414" s="60" t="s">
        <v>121</v>
      </c>
      <c r="E414" s="100">
        <v>11</v>
      </c>
      <c r="F414" s="101">
        <v>11</v>
      </c>
      <c r="G414" s="101">
        <v>11</v>
      </c>
      <c r="H414" s="60">
        <v>33</v>
      </c>
      <c r="I414" s="60">
        <v>19</v>
      </c>
      <c r="J414" s="149">
        <f t="shared" si="417"/>
        <v>52</v>
      </c>
      <c r="K414" s="122">
        <f t="shared" si="400"/>
        <v>0.63461538461538458</v>
      </c>
      <c r="L414" s="123">
        <f t="shared" si="263"/>
        <v>0.63461538461538458</v>
      </c>
      <c r="M414" s="64">
        <v>3</v>
      </c>
      <c r="N414" s="64">
        <v>7</v>
      </c>
      <c r="O414" s="64" t="s">
        <v>949</v>
      </c>
      <c r="P414" s="103">
        <v>2</v>
      </c>
      <c r="Q414" s="103">
        <v>11</v>
      </c>
      <c r="R414" s="103"/>
      <c r="S414" s="103"/>
      <c r="T414" s="103"/>
      <c r="U414" s="103"/>
      <c r="V414" s="69"/>
      <c r="W414" s="104"/>
      <c r="X414" s="67">
        <f t="shared" ref="X414:Y414" si="431">(P414+R414+T414+V414)</f>
        <v>2</v>
      </c>
      <c r="Y414" s="67">
        <f t="shared" si="431"/>
        <v>11</v>
      </c>
      <c r="Z414" s="68">
        <f t="shared" si="265"/>
        <v>13</v>
      </c>
      <c r="AA414" s="150" t="str">
        <f t="shared" si="386"/>
        <v>4A</v>
      </c>
      <c r="AB414" s="70" t="s">
        <v>121</v>
      </c>
      <c r="AC414" s="70">
        <v>3</v>
      </c>
      <c r="AD414" s="70">
        <v>74</v>
      </c>
      <c r="AE414" s="70">
        <v>48</v>
      </c>
      <c r="AF414" s="70">
        <v>122</v>
      </c>
      <c r="AG414" s="72">
        <f t="shared" si="267"/>
        <v>0.60655737704918034</v>
      </c>
      <c r="AH414" s="73">
        <f t="shared" si="419"/>
        <v>-2.3934426229508197</v>
      </c>
      <c r="AI414" s="74">
        <v>2</v>
      </c>
      <c r="AJ414" s="79" t="s">
        <v>962</v>
      </c>
      <c r="AK414" s="76" t="s">
        <v>421</v>
      </c>
      <c r="AL414" s="60"/>
      <c r="AM414" s="506"/>
      <c r="AN414" s="505"/>
      <c r="AO414" s="515"/>
    </row>
    <row r="415" spans="1:41" ht="14.5">
      <c r="A415" s="58">
        <v>43715</v>
      </c>
      <c r="B415" s="59" t="s">
        <v>428</v>
      </c>
      <c r="C415" s="60" t="s">
        <v>268</v>
      </c>
      <c r="D415" s="60" t="s">
        <v>963</v>
      </c>
      <c r="E415" s="105">
        <v>8</v>
      </c>
      <c r="F415" s="106">
        <v>11</v>
      </c>
      <c r="G415" s="106">
        <v>7</v>
      </c>
      <c r="H415" s="60">
        <v>26</v>
      </c>
      <c r="I415" s="60">
        <v>27</v>
      </c>
      <c r="J415" s="149">
        <f t="shared" si="417"/>
        <v>53</v>
      </c>
      <c r="K415" s="122">
        <f t="shared" si="400"/>
        <v>0.49056603773584906</v>
      </c>
      <c r="L415" s="123">
        <f t="shared" si="263"/>
        <v>-6.5094339622641506</v>
      </c>
      <c r="M415" s="64">
        <v>10</v>
      </c>
      <c r="N415" s="86">
        <v>10</v>
      </c>
      <c r="O415" s="86" t="s">
        <v>963</v>
      </c>
      <c r="P415" s="113">
        <v>11</v>
      </c>
      <c r="Q415" s="113">
        <v>2</v>
      </c>
      <c r="R415" s="103">
        <v>11</v>
      </c>
      <c r="S415" s="103">
        <v>6</v>
      </c>
      <c r="T415" s="103">
        <v>8</v>
      </c>
      <c r="U415" s="103">
        <v>11</v>
      </c>
      <c r="V415" s="69"/>
      <c r="W415" s="104"/>
      <c r="X415" s="67">
        <f t="shared" ref="X415:Y415" si="432">(P415+R415+T415+V415)</f>
        <v>30</v>
      </c>
      <c r="Y415" s="67">
        <f t="shared" si="432"/>
        <v>19</v>
      </c>
      <c r="Z415" s="68">
        <f t="shared" si="265"/>
        <v>49</v>
      </c>
      <c r="AA415" s="150" t="str">
        <f t="shared" si="386"/>
        <v>4B</v>
      </c>
      <c r="AB415" s="70" t="s">
        <v>963</v>
      </c>
      <c r="AC415" s="70">
        <v>10</v>
      </c>
      <c r="AD415" s="70">
        <v>56</v>
      </c>
      <c r="AE415" s="70">
        <v>46</v>
      </c>
      <c r="AF415" s="70">
        <v>102</v>
      </c>
      <c r="AG415" s="72">
        <f t="shared" si="267"/>
        <v>0.5490196078431373</v>
      </c>
      <c r="AH415" s="73">
        <f t="shared" si="419"/>
        <v>-20.450980392156861</v>
      </c>
      <c r="AI415" s="74">
        <v>4</v>
      </c>
      <c r="AJ415" s="79" t="s">
        <v>753</v>
      </c>
      <c r="AK415" s="85" t="s">
        <v>964</v>
      </c>
      <c r="AL415" s="60"/>
      <c r="AM415" s="506"/>
      <c r="AN415" s="505"/>
      <c r="AO415" s="515"/>
    </row>
    <row r="416" spans="1:41" ht="14.5">
      <c r="A416" s="58">
        <v>43715</v>
      </c>
      <c r="B416" s="59" t="s">
        <v>428</v>
      </c>
      <c r="C416" s="60" t="s">
        <v>271</v>
      </c>
      <c r="D416" s="60" t="s">
        <v>950</v>
      </c>
      <c r="E416" s="107">
        <v>11</v>
      </c>
      <c r="F416" s="108">
        <v>8</v>
      </c>
      <c r="G416" s="106">
        <v>11</v>
      </c>
      <c r="H416" s="60">
        <v>30</v>
      </c>
      <c r="I416" s="60">
        <v>27</v>
      </c>
      <c r="J416" s="149">
        <f t="shared" si="417"/>
        <v>57</v>
      </c>
      <c r="K416" s="122">
        <f t="shared" si="400"/>
        <v>0.52631578947368418</v>
      </c>
      <c r="L416" s="123">
        <f t="shared" si="263"/>
        <v>-2.4736842105263159</v>
      </c>
      <c r="M416" s="64">
        <v>8</v>
      </c>
      <c r="N416" s="64">
        <v>2</v>
      </c>
      <c r="O416" s="64" t="s">
        <v>947</v>
      </c>
      <c r="P416" s="103">
        <v>11</v>
      </c>
      <c r="Q416" s="103">
        <v>3</v>
      </c>
      <c r="R416" s="103">
        <v>6</v>
      </c>
      <c r="S416" s="103">
        <v>11</v>
      </c>
      <c r="T416" s="103"/>
      <c r="U416" s="103"/>
      <c r="V416" s="69"/>
      <c r="W416" s="104"/>
      <c r="X416" s="67">
        <f t="shared" ref="X416:Y416" si="433">(P416+R416+T416+V416)</f>
        <v>17</v>
      </c>
      <c r="Y416" s="67">
        <f t="shared" si="433"/>
        <v>14</v>
      </c>
      <c r="Z416" s="68">
        <f t="shared" si="265"/>
        <v>31</v>
      </c>
      <c r="AA416" s="150" t="str">
        <f t="shared" si="386"/>
        <v>4C</v>
      </c>
      <c r="AB416" s="70" t="s">
        <v>950</v>
      </c>
      <c r="AC416" s="70">
        <v>8</v>
      </c>
      <c r="AD416" s="70">
        <v>51</v>
      </c>
      <c r="AE416" s="70">
        <v>45</v>
      </c>
      <c r="AF416" s="70">
        <v>96</v>
      </c>
      <c r="AG416" s="72">
        <f t="shared" si="267"/>
        <v>0.53125</v>
      </c>
      <c r="AH416" s="73">
        <f t="shared" si="419"/>
        <v>-25.46875</v>
      </c>
      <c r="AI416" s="74">
        <v>6</v>
      </c>
      <c r="AJ416" s="79" t="s">
        <v>471</v>
      </c>
      <c r="AK416" s="76" t="s">
        <v>866</v>
      </c>
      <c r="AL416" s="60"/>
      <c r="AM416" s="506"/>
      <c r="AN416" s="505"/>
      <c r="AO416" s="515"/>
    </row>
    <row r="417" spans="1:41" ht="14.5">
      <c r="A417" s="87">
        <v>43715</v>
      </c>
      <c r="B417" s="88" t="s">
        <v>428</v>
      </c>
      <c r="C417" s="89" t="s">
        <v>276</v>
      </c>
      <c r="D417" s="89" t="s">
        <v>961</v>
      </c>
      <c r="E417" s="109">
        <v>9</v>
      </c>
      <c r="F417" s="110">
        <v>5</v>
      </c>
      <c r="G417" s="111">
        <v>3</v>
      </c>
      <c r="H417" s="89">
        <v>17</v>
      </c>
      <c r="I417" s="89">
        <v>33</v>
      </c>
      <c r="J417" s="152">
        <f t="shared" si="417"/>
        <v>50</v>
      </c>
      <c r="K417" s="153">
        <f t="shared" si="400"/>
        <v>0.34</v>
      </c>
      <c r="L417" s="154">
        <f t="shared" si="263"/>
        <v>-15.66</v>
      </c>
      <c r="M417" s="86">
        <v>14</v>
      </c>
      <c r="N417" s="86">
        <v>15</v>
      </c>
      <c r="O417" s="86" t="s">
        <v>954</v>
      </c>
      <c r="P417" s="113">
        <v>3</v>
      </c>
      <c r="Q417" s="113">
        <v>11</v>
      </c>
      <c r="R417" s="113"/>
      <c r="S417" s="113"/>
      <c r="T417" s="113"/>
      <c r="U417" s="113"/>
      <c r="V417" s="93"/>
      <c r="W417" s="114"/>
      <c r="X417" s="92">
        <f t="shared" ref="X417:Y417" si="434">(P417+R417+T417+V417)</f>
        <v>3</v>
      </c>
      <c r="Y417" s="92">
        <f t="shared" si="434"/>
        <v>11</v>
      </c>
      <c r="Z417" s="84">
        <f t="shared" si="265"/>
        <v>14</v>
      </c>
      <c r="AA417" s="155" t="str">
        <f t="shared" si="386"/>
        <v>4D</v>
      </c>
      <c r="AB417" s="94" t="s">
        <v>961</v>
      </c>
      <c r="AC417" s="94">
        <v>14</v>
      </c>
      <c r="AD417" s="94">
        <v>23</v>
      </c>
      <c r="AE417" s="94">
        <v>44</v>
      </c>
      <c r="AF417" s="94">
        <v>67</v>
      </c>
      <c r="AG417" s="95">
        <f t="shared" si="267"/>
        <v>0.34328358208955223</v>
      </c>
      <c r="AH417" s="96">
        <f t="shared" si="419"/>
        <v>-53.656716417910445</v>
      </c>
      <c r="AI417" s="97">
        <v>13</v>
      </c>
      <c r="AJ417" s="121" t="s">
        <v>785</v>
      </c>
      <c r="AK417" s="81" t="s">
        <v>260</v>
      </c>
      <c r="AL417" s="60"/>
      <c r="AM417" s="506"/>
      <c r="AN417" s="505"/>
      <c r="AO417" s="515"/>
    </row>
    <row r="418" spans="1:41" ht="14.5">
      <c r="A418" s="58">
        <v>44065</v>
      </c>
      <c r="B418" s="59" t="s">
        <v>204</v>
      </c>
      <c r="C418" s="60" t="s">
        <v>205</v>
      </c>
      <c r="D418" s="60" t="s">
        <v>965</v>
      </c>
      <c r="E418" s="100">
        <v>11</v>
      </c>
      <c r="F418" s="101">
        <v>11</v>
      </c>
      <c r="G418" s="101">
        <v>5</v>
      </c>
      <c r="H418" s="60">
        <v>27</v>
      </c>
      <c r="I418" s="60">
        <v>24</v>
      </c>
      <c r="J418" s="149">
        <f t="shared" si="417"/>
        <v>51</v>
      </c>
      <c r="K418" s="122">
        <f t="shared" si="400"/>
        <v>0.52941176470588236</v>
      </c>
      <c r="L418" s="123">
        <f t="shared" si="263"/>
        <v>-5.4705882352941178</v>
      </c>
      <c r="M418" s="64">
        <v>7</v>
      </c>
      <c r="N418" s="61">
        <v>1</v>
      </c>
      <c r="O418" s="61" t="s">
        <v>966</v>
      </c>
      <c r="P418" s="115">
        <v>11</v>
      </c>
      <c r="Q418" s="115">
        <v>4</v>
      </c>
      <c r="R418" s="115">
        <v>11</v>
      </c>
      <c r="S418" s="115">
        <v>10</v>
      </c>
      <c r="T418" s="115">
        <v>5</v>
      </c>
      <c r="U418" s="115">
        <v>11</v>
      </c>
      <c r="V418" s="116"/>
      <c r="W418" s="117"/>
      <c r="X418" s="67">
        <f t="shared" ref="X418:Y418" si="435">(P418+R418+T418+V418)</f>
        <v>27</v>
      </c>
      <c r="Y418" s="67">
        <f t="shared" si="435"/>
        <v>25</v>
      </c>
      <c r="Z418" s="68">
        <f t="shared" si="265"/>
        <v>52</v>
      </c>
      <c r="AA418" s="150" t="str">
        <f t="shared" si="386"/>
        <v>1A</v>
      </c>
      <c r="AB418" s="70" t="s">
        <v>965</v>
      </c>
      <c r="AC418" s="70">
        <v>7</v>
      </c>
      <c r="AD418" s="70">
        <v>36</v>
      </c>
      <c r="AE418" s="70">
        <v>35</v>
      </c>
      <c r="AF418" s="70">
        <v>71</v>
      </c>
      <c r="AG418" s="72">
        <f t="shared" si="267"/>
        <v>0.50704225352112675</v>
      </c>
      <c r="AH418" s="73">
        <f t="shared" si="419"/>
        <v>-40.492957746478872</v>
      </c>
      <c r="AI418" s="74">
        <v>11</v>
      </c>
      <c r="AJ418" s="79" t="s">
        <v>299</v>
      </c>
      <c r="AK418" s="76" t="s">
        <v>820</v>
      </c>
      <c r="AL418" s="67"/>
      <c r="AM418" s="506"/>
      <c r="AN418" s="505"/>
      <c r="AO418" s="515"/>
    </row>
    <row r="419" spans="1:41" ht="14.5">
      <c r="A419" s="58">
        <v>44065</v>
      </c>
      <c r="B419" s="59" t="s">
        <v>204</v>
      </c>
      <c r="C419" s="60" t="s">
        <v>211</v>
      </c>
      <c r="D419" s="60" t="s">
        <v>967</v>
      </c>
      <c r="E419" s="105">
        <v>3</v>
      </c>
      <c r="F419" s="106">
        <v>8</v>
      </c>
      <c r="G419" s="106">
        <v>11</v>
      </c>
      <c r="H419" s="60">
        <v>22</v>
      </c>
      <c r="I419" s="60">
        <v>29</v>
      </c>
      <c r="J419" s="149">
        <f t="shared" si="417"/>
        <v>51</v>
      </c>
      <c r="K419" s="122">
        <f t="shared" si="400"/>
        <v>0.43137254901960786</v>
      </c>
      <c r="L419" s="123">
        <f t="shared" si="263"/>
        <v>-10.568627450980392</v>
      </c>
      <c r="M419" s="64">
        <v>13</v>
      </c>
      <c r="N419" s="86">
        <v>16</v>
      </c>
      <c r="O419" s="86" t="s">
        <v>968</v>
      </c>
      <c r="P419" s="113">
        <v>4</v>
      </c>
      <c r="Q419" s="113">
        <v>11</v>
      </c>
      <c r="R419" s="103"/>
      <c r="S419" s="103"/>
      <c r="T419" s="103"/>
      <c r="U419" s="103"/>
      <c r="V419" s="69"/>
      <c r="W419" s="104"/>
      <c r="X419" s="67">
        <f t="shared" ref="X419:Y419" si="436">(P419+R419+T419+V419)</f>
        <v>4</v>
      </c>
      <c r="Y419" s="67">
        <f t="shared" si="436"/>
        <v>11</v>
      </c>
      <c r="Z419" s="68">
        <f t="shared" si="265"/>
        <v>15</v>
      </c>
      <c r="AA419" s="150" t="str">
        <f t="shared" si="386"/>
        <v>1B</v>
      </c>
      <c r="AB419" s="70" t="s">
        <v>967</v>
      </c>
      <c r="AC419" s="70">
        <v>13</v>
      </c>
      <c r="AD419" s="70">
        <v>30</v>
      </c>
      <c r="AE419" s="70">
        <v>40</v>
      </c>
      <c r="AF419" s="70">
        <v>70</v>
      </c>
      <c r="AG419" s="72">
        <f t="shared" si="267"/>
        <v>0.42857142857142855</v>
      </c>
      <c r="AH419" s="73">
        <f t="shared" si="419"/>
        <v>-46.571428571428569</v>
      </c>
      <c r="AI419" s="74">
        <v>14</v>
      </c>
      <c r="AJ419" s="79" t="s">
        <v>23</v>
      </c>
      <c r="AK419" s="76" t="s">
        <v>260</v>
      </c>
      <c r="AL419" s="67"/>
      <c r="AM419" s="506"/>
      <c r="AN419" s="505"/>
      <c r="AO419" s="515"/>
    </row>
    <row r="420" spans="1:41" ht="14.5">
      <c r="A420" s="58">
        <v>44065</v>
      </c>
      <c r="B420" s="59" t="s">
        <v>204</v>
      </c>
      <c r="C420" s="60" t="s">
        <v>216</v>
      </c>
      <c r="D420" s="60" t="s">
        <v>969</v>
      </c>
      <c r="E420" s="107">
        <v>10</v>
      </c>
      <c r="F420" s="108">
        <v>10</v>
      </c>
      <c r="G420" s="106">
        <v>7</v>
      </c>
      <c r="H420" s="60">
        <v>27</v>
      </c>
      <c r="I420" s="60">
        <v>33</v>
      </c>
      <c r="J420" s="149">
        <f t="shared" si="417"/>
        <v>60</v>
      </c>
      <c r="K420" s="122">
        <f t="shared" si="400"/>
        <v>0.45</v>
      </c>
      <c r="L420" s="123">
        <f t="shared" si="263"/>
        <v>-5.55</v>
      </c>
      <c r="M420" s="64">
        <v>11</v>
      </c>
      <c r="N420" s="64">
        <v>8</v>
      </c>
      <c r="O420" s="64" t="s">
        <v>970</v>
      </c>
      <c r="P420" s="103">
        <v>8</v>
      </c>
      <c r="Q420" s="103">
        <v>11</v>
      </c>
      <c r="R420" s="103"/>
      <c r="S420" s="103"/>
      <c r="T420" s="103"/>
      <c r="U420" s="103"/>
      <c r="V420" s="69"/>
      <c r="W420" s="104"/>
      <c r="X420" s="67">
        <f t="shared" ref="X420:Y420" si="437">(P420+R420+T420+V420)</f>
        <v>8</v>
      </c>
      <c r="Y420" s="67">
        <f t="shared" si="437"/>
        <v>11</v>
      </c>
      <c r="Z420" s="68">
        <f t="shared" si="265"/>
        <v>19</v>
      </c>
      <c r="AA420" s="150" t="str">
        <f t="shared" si="386"/>
        <v>1C</v>
      </c>
      <c r="AB420" s="70" t="s">
        <v>969</v>
      </c>
      <c r="AC420" s="70">
        <v>11</v>
      </c>
      <c r="AD420" s="70">
        <v>37</v>
      </c>
      <c r="AE420" s="70">
        <v>44</v>
      </c>
      <c r="AF420" s="70">
        <v>81</v>
      </c>
      <c r="AG420" s="72">
        <f t="shared" si="267"/>
        <v>0.4567901234567901</v>
      </c>
      <c r="AH420" s="73">
        <f t="shared" si="419"/>
        <v>-39.543209876543209</v>
      </c>
      <c r="AI420" s="74">
        <v>10</v>
      </c>
      <c r="AJ420" s="79" t="s">
        <v>971</v>
      </c>
      <c r="AK420" s="76" t="s">
        <v>394</v>
      </c>
      <c r="AL420" s="67"/>
      <c r="AM420" s="506"/>
      <c r="AN420" s="505"/>
      <c r="AO420" s="515"/>
    </row>
    <row r="421" spans="1:41" ht="14.5">
      <c r="A421" s="58">
        <v>44065</v>
      </c>
      <c r="B421" s="59" t="s">
        <v>204</v>
      </c>
      <c r="C421" s="60" t="s">
        <v>221</v>
      </c>
      <c r="D421" s="60" t="s">
        <v>972</v>
      </c>
      <c r="E421" s="109">
        <v>11</v>
      </c>
      <c r="F421" s="110">
        <v>11</v>
      </c>
      <c r="G421" s="111">
        <v>11</v>
      </c>
      <c r="H421" s="60">
        <v>33</v>
      </c>
      <c r="I421" s="60">
        <v>23</v>
      </c>
      <c r="J421" s="149">
        <f t="shared" si="417"/>
        <v>56</v>
      </c>
      <c r="K421" s="122">
        <f t="shared" si="400"/>
        <v>0.5892857142857143</v>
      </c>
      <c r="L421" s="123">
        <f t="shared" si="263"/>
        <v>0.5892857142857143</v>
      </c>
      <c r="M421" s="64">
        <v>4</v>
      </c>
      <c r="N421" s="86">
        <v>9</v>
      </c>
      <c r="O421" s="86" t="s">
        <v>973</v>
      </c>
      <c r="P421" s="113">
        <v>11</v>
      </c>
      <c r="Q421" s="113">
        <v>8</v>
      </c>
      <c r="R421" s="113">
        <v>10</v>
      </c>
      <c r="S421" s="113">
        <v>11</v>
      </c>
      <c r="T421" s="103"/>
      <c r="U421" s="103"/>
      <c r="V421" s="69"/>
      <c r="W421" s="104"/>
      <c r="X421" s="67">
        <f t="shared" ref="X421:Y421" si="438">(P421+R421+T421+V421)</f>
        <v>21</v>
      </c>
      <c r="Y421" s="67">
        <f t="shared" si="438"/>
        <v>19</v>
      </c>
      <c r="Z421" s="68">
        <f t="shared" si="265"/>
        <v>40</v>
      </c>
      <c r="AA421" s="150" t="str">
        <f t="shared" si="386"/>
        <v>1D</v>
      </c>
      <c r="AB421" s="70" t="s">
        <v>972</v>
      </c>
      <c r="AC421" s="70">
        <v>4</v>
      </c>
      <c r="AD421" s="70">
        <v>45</v>
      </c>
      <c r="AE421" s="70">
        <v>42</v>
      </c>
      <c r="AF421" s="70">
        <v>87</v>
      </c>
      <c r="AG421" s="72">
        <f t="shared" si="267"/>
        <v>0.51724137931034486</v>
      </c>
      <c r="AH421" s="73">
        <f t="shared" si="419"/>
        <v>-31.482758620689655</v>
      </c>
      <c r="AI421" s="74">
        <v>6</v>
      </c>
      <c r="AJ421" s="79" t="s">
        <v>358</v>
      </c>
      <c r="AK421" s="76" t="s">
        <v>392</v>
      </c>
      <c r="AL421" s="67"/>
      <c r="AM421" s="506"/>
      <c r="AN421" s="505"/>
      <c r="AO421" s="515"/>
    </row>
    <row r="422" spans="1:41" ht="14.5">
      <c r="A422" s="58">
        <v>44065</v>
      </c>
      <c r="B422" s="59" t="s">
        <v>204</v>
      </c>
      <c r="C422" s="60" t="s">
        <v>224</v>
      </c>
      <c r="D422" s="60" t="s">
        <v>974</v>
      </c>
      <c r="E422" s="100">
        <v>4</v>
      </c>
      <c r="F422" s="101">
        <v>11</v>
      </c>
      <c r="G422" s="101">
        <v>5</v>
      </c>
      <c r="H422" s="60">
        <v>20</v>
      </c>
      <c r="I422" s="60">
        <v>31</v>
      </c>
      <c r="J422" s="149">
        <f t="shared" si="417"/>
        <v>51</v>
      </c>
      <c r="K422" s="122">
        <f t="shared" si="400"/>
        <v>0.39215686274509803</v>
      </c>
      <c r="L422" s="123">
        <f t="shared" si="263"/>
        <v>-12.607843137254902</v>
      </c>
      <c r="M422" s="64">
        <v>14</v>
      </c>
      <c r="N422" s="64">
        <v>5</v>
      </c>
      <c r="O422" s="64" t="s">
        <v>975</v>
      </c>
      <c r="P422" s="103">
        <v>7</v>
      </c>
      <c r="Q422" s="103">
        <v>11</v>
      </c>
      <c r="R422" s="103"/>
      <c r="S422" s="103"/>
      <c r="T422" s="103"/>
      <c r="U422" s="103"/>
      <c r="V422" s="69"/>
      <c r="W422" s="104"/>
      <c r="X422" s="67">
        <f t="shared" ref="X422:Y422" si="439">(P422+R422+T422+V422)</f>
        <v>7</v>
      </c>
      <c r="Y422" s="67">
        <f t="shared" si="439"/>
        <v>11</v>
      </c>
      <c r="Z422" s="68">
        <f t="shared" si="265"/>
        <v>18</v>
      </c>
      <c r="AA422" s="150" t="str">
        <f t="shared" si="386"/>
        <v>2A</v>
      </c>
      <c r="AB422" s="70" t="s">
        <v>974</v>
      </c>
      <c r="AC422" s="70">
        <v>14</v>
      </c>
      <c r="AD422" s="70">
        <v>48</v>
      </c>
      <c r="AE422" s="70">
        <v>54</v>
      </c>
      <c r="AF422" s="70">
        <v>102</v>
      </c>
      <c r="AG422" s="72">
        <f t="shared" si="267"/>
        <v>0.47058823529411764</v>
      </c>
      <c r="AH422" s="73">
        <f t="shared" si="419"/>
        <v>-28.529411764705884</v>
      </c>
      <c r="AI422" s="74">
        <v>4</v>
      </c>
      <c r="AJ422" s="79" t="s">
        <v>976</v>
      </c>
      <c r="AK422" s="76" t="s">
        <v>977</v>
      </c>
      <c r="AL422" s="67"/>
      <c r="AM422" s="506"/>
      <c r="AN422" s="505"/>
      <c r="AO422" s="515"/>
    </row>
    <row r="423" spans="1:41" ht="14.5">
      <c r="A423" s="58">
        <v>44065</v>
      </c>
      <c r="B423" s="59" t="s">
        <v>204</v>
      </c>
      <c r="C423" s="60" t="s">
        <v>228</v>
      </c>
      <c r="D423" s="60" t="s">
        <v>966</v>
      </c>
      <c r="E423" s="105">
        <v>11</v>
      </c>
      <c r="F423" s="106">
        <v>11</v>
      </c>
      <c r="G423" s="106">
        <v>11</v>
      </c>
      <c r="H423" s="60">
        <v>33</v>
      </c>
      <c r="I423" s="60">
        <v>16</v>
      </c>
      <c r="J423" s="149">
        <f t="shared" si="417"/>
        <v>49</v>
      </c>
      <c r="K423" s="122">
        <f t="shared" si="400"/>
        <v>0.67346938775510201</v>
      </c>
      <c r="L423" s="123">
        <f t="shared" si="263"/>
        <v>0.67346938775510201</v>
      </c>
      <c r="M423" s="64">
        <v>1</v>
      </c>
      <c r="N423" s="86">
        <v>12</v>
      </c>
      <c r="O423" s="86" t="s">
        <v>125</v>
      </c>
      <c r="P423" s="113">
        <v>11</v>
      </c>
      <c r="Q423" s="113">
        <v>7</v>
      </c>
      <c r="R423" s="103">
        <v>11</v>
      </c>
      <c r="S423" s="103">
        <v>1</v>
      </c>
      <c r="T423" s="103">
        <v>11</v>
      </c>
      <c r="U423" s="103">
        <v>5</v>
      </c>
      <c r="V423" s="69">
        <v>6</v>
      </c>
      <c r="W423" s="104">
        <v>11</v>
      </c>
      <c r="X423" s="67">
        <f t="shared" ref="X423:Y423" si="440">(P423+R423+T423+V423)</f>
        <v>39</v>
      </c>
      <c r="Y423" s="67">
        <f t="shared" si="440"/>
        <v>24</v>
      </c>
      <c r="Z423" s="68">
        <f t="shared" si="265"/>
        <v>63</v>
      </c>
      <c r="AA423" s="150" t="str">
        <f t="shared" si="386"/>
        <v>2B</v>
      </c>
      <c r="AB423" s="70" t="s">
        <v>966</v>
      </c>
      <c r="AC423" s="70">
        <v>1</v>
      </c>
      <c r="AD423" s="70">
        <v>60</v>
      </c>
      <c r="AE423" s="70">
        <v>41</v>
      </c>
      <c r="AF423" s="70">
        <v>101</v>
      </c>
      <c r="AG423" s="72">
        <f t="shared" si="267"/>
        <v>0.59405940594059403</v>
      </c>
      <c r="AH423" s="73">
        <f t="shared" si="419"/>
        <v>-16.405940594059405</v>
      </c>
      <c r="AI423" s="74">
        <v>3</v>
      </c>
      <c r="AJ423" s="75" t="s">
        <v>227</v>
      </c>
      <c r="AK423" s="76" t="s">
        <v>978</v>
      </c>
      <c r="AL423" s="67"/>
      <c r="AM423" s="506"/>
      <c r="AN423" s="505"/>
      <c r="AO423" s="515"/>
    </row>
    <row r="424" spans="1:41" ht="14.5">
      <c r="A424" s="58">
        <v>44065</v>
      </c>
      <c r="B424" s="59" t="s">
        <v>204</v>
      </c>
      <c r="C424" s="60" t="s">
        <v>232</v>
      </c>
      <c r="D424" s="60" t="s">
        <v>125</v>
      </c>
      <c r="E424" s="107">
        <v>11</v>
      </c>
      <c r="F424" s="108">
        <v>9</v>
      </c>
      <c r="G424" s="106">
        <v>4</v>
      </c>
      <c r="H424" s="60">
        <v>24</v>
      </c>
      <c r="I424" s="60">
        <v>30</v>
      </c>
      <c r="J424" s="149">
        <f t="shared" si="417"/>
        <v>54</v>
      </c>
      <c r="K424" s="122">
        <f t="shared" si="400"/>
        <v>0.44444444444444442</v>
      </c>
      <c r="L424" s="123">
        <f t="shared" si="263"/>
        <v>-8.5555555555555554</v>
      </c>
      <c r="M424" s="64">
        <v>12</v>
      </c>
      <c r="N424" s="64">
        <v>4</v>
      </c>
      <c r="O424" s="64" t="s">
        <v>972</v>
      </c>
      <c r="P424" s="103">
        <v>11</v>
      </c>
      <c r="Q424" s="103">
        <v>8</v>
      </c>
      <c r="R424" s="103">
        <v>1</v>
      </c>
      <c r="S424" s="103">
        <v>11</v>
      </c>
      <c r="T424" s="103"/>
      <c r="U424" s="103"/>
      <c r="V424" s="69"/>
      <c r="W424" s="104"/>
      <c r="X424" s="67">
        <f t="shared" ref="X424:Y424" si="441">(P424+R424+T424+V424)</f>
        <v>12</v>
      </c>
      <c r="Y424" s="67">
        <f t="shared" si="441"/>
        <v>19</v>
      </c>
      <c r="Z424" s="68">
        <f t="shared" si="265"/>
        <v>31</v>
      </c>
      <c r="AA424" s="150" t="str">
        <f t="shared" si="386"/>
        <v>2C</v>
      </c>
      <c r="AB424" s="70" t="s">
        <v>125</v>
      </c>
      <c r="AC424" s="70">
        <v>12</v>
      </c>
      <c r="AD424" s="70">
        <v>63</v>
      </c>
      <c r="AE424" s="70">
        <v>54</v>
      </c>
      <c r="AF424" s="70">
        <v>117</v>
      </c>
      <c r="AG424" s="72">
        <f t="shared" si="267"/>
        <v>0.53846153846153844</v>
      </c>
      <c r="AH424" s="73">
        <f t="shared" si="419"/>
        <v>-13.461538461538462</v>
      </c>
      <c r="AI424" s="74">
        <v>2</v>
      </c>
      <c r="AJ424" s="79" t="s">
        <v>858</v>
      </c>
      <c r="AK424" s="76" t="s">
        <v>979</v>
      </c>
      <c r="AL424" s="67"/>
      <c r="AM424" s="506"/>
      <c r="AN424" s="505"/>
      <c r="AO424" s="515"/>
    </row>
    <row r="425" spans="1:41" ht="14.5">
      <c r="A425" s="58">
        <v>44065</v>
      </c>
      <c r="B425" s="59" t="s">
        <v>204</v>
      </c>
      <c r="C425" s="60" t="s">
        <v>237</v>
      </c>
      <c r="D425" s="60" t="s">
        <v>970</v>
      </c>
      <c r="E425" s="109">
        <v>8</v>
      </c>
      <c r="F425" s="110">
        <v>8</v>
      </c>
      <c r="G425" s="111">
        <v>11</v>
      </c>
      <c r="H425" s="60">
        <v>27</v>
      </c>
      <c r="I425" s="60">
        <v>27</v>
      </c>
      <c r="J425" s="149">
        <f t="shared" si="417"/>
        <v>54</v>
      </c>
      <c r="K425" s="122">
        <f t="shared" si="400"/>
        <v>0.5</v>
      </c>
      <c r="L425" s="123">
        <f t="shared" si="263"/>
        <v>-5.5</v>
      </c>
      <c r="M425" s="64">
        <v>8</v>
      </c>
      <c r="N425" s="86">
        <v>13</v>
      </c>
      <c r="O425" s="86" t="s">
        <v>967</v>
      </c>
      <c r="P425" s="113">
        <v>8</v>
      </c>
      <c r="Q425" s="113">
        <v>11</v>
      </c>
      <c r="R425" s="113"/>
      <c r="S425" s="113"/>
      <c r="T425" s="113"/>
      <c r="U425" s="113"/>
      <c r="V425" s="93"/>
      <c r="W425" s="114"/>
      <c r="X425" s="67">
        <f t="shared" ref="X425:Y425" si="442">(P425+R425+T425+V425)</f>
        <v>8</v>
      </c>
      <c r="Y425" s="67">
        <f t="shared" si="442"/>
        <v>11</v>
      </c>
      <c r="Z425" s="68">
        <f t="shared" si="265"/>
        <v>19</v>
      </c>
      <c r="AA425" s="150" t="str">
        <f t="shared" si="386"/>
        <v>2D</v>
      </c>
      <c r="AB425" s="70" t="s">
        <v>970</v>
      </c>
      <c r="AC425" s="70">
        <v>8</v>
      </c>
      <c r="AD425" s="70">
        <v>35</v>
      </c>
      <c r="AE425" s="70">
        <v>38</v>
      </c>
      <c r="AF425" s="70">
        <v>73</v>
      </c>
      <c r="AG425" s="72">
        <f t="shared" si="267"/>
        <v>0.47945205479452052</v>
      </c>
      <c r="AH425" s="73">
        <f t="shared" si="419"/>
        <v>-41.520547945205479</v>
      </c>
      <c r="AI425" s="74">
        <v>12</v>
      </c>
      <c r="AJ425" s="79" t="s">
        <v>863</v>
      </c>
      <c r="AK425" s="76" t="s">
        <v>848</v>
      </c>
      <c r="AL425" s="67"/>
      <c r="AM425" s="506"/>
      <c r="AN425" s="505"/>
      <c r="AO425" s="515"/>
    </row>
    <row r="426" spans="1:41" ht="14.5">
      <c r="A426" s="58">
        <v>44065</v>
      </c>
      <c r="B426" s="59" t="s">
        <v>204</v>
      </c>
      <c r="C426" s="60" t="s">
        <v>241</v>
      </c>
      <c r="D426" s="60" t="s">
        <v>980</v>
      </c>
      <c r="E426" s="100">
        <v>7</v>
      </c>
      <c r="F426" s="101">
        <v>4</v>
      </c>
      <c r="G426" s="101">
        <v>8</v>
      </c>
      <c r="H426" s="60">
        <v>19</v>
      </c>
      <c r="I426" s="60">
        <v>33</v>
      </c>
      <c r="J426" s="149">
        <f t="shared" si="417"/>
        <v>52</v>
      </c>
      <c r="K426" s="122">
        <f t="shared" si="400"/>
        <v>0.36538461538461536</v>
      </c>
      <c r="L426" s="123">
        <f t="shared" si="263"/>
        <v>-13.634615384615385</v>
      </c>
      <c r="M426" s="64">
        <v>15</v>
      </c>
      <c r="N426" s="64">
        <v>6</v>
      </c>
      <c r="O426" s="64" t="s">
        <v>981</v>
      </c>
      <c r="P426" s="103">
        <v>11</v>
      </c>
      <c r="Q426" s="103">
        <v>10</v>
      </c>
      <c r="R426" s="103">
        <v>4</v>
      </c>
      <c r="S426" s="103">
        <v>11</v>
      </c>
      <c r="T426" s="103"/>
      <c r="U426" s="103"/>
      <c r="V426" s="69"/>
      <c r="W426" s="104"/>
      <c r="X426" s="67">
        <f t="shared" ref="X426:Y426" si="443">(P426+R426+T426+V426)</f>
        <v>15</v>
      </c>
      <c r="Y426" s="67">
        <f t="shared" si="443"/>
        <v>21</v>
      </c>
      <c r="Z426" s="68">
        <f t="shared" si="265"/>
        <v>36</v>
      </c>
      <c r="AA426" s="150" t="str">
        <f t="shared" si="386"/>
        <v>3A</v>
      </c>
      <c r="AB426" s="70" t="s">
        <v>980</v>
      </c>
      <c r="AC426" s="70">
        <v>15</v>
      </c>
      <c r="AD426" s="70">
        <v>23</v>
      </c>
      <c r="AE426" s="70">
        <v>44</v>
      </c>
      <c r="AF426" s="70">
        <v>67</v>
      </c>
      <c r="AG426" s="72">
        <f t="shared" si="267"/>
        <v>0.34328358208955223</v>
      </c>
      <c r="AH426" s="73">
        <f t="shared" si="419"/>
        <v>-53.656716417910445</v>
      </c>
      <c r="AI426" s="74">
        <v>15</v>
      </c>
      <c r="AJ426" s="79" t="s">
        <v>826</v>
      </c>
      <c r="AK426" s="76" t="s">
        <v>982</v>
      </c>
      <c r="AL426" s="67"/>
      <c r="AM426" s="506"/>
      <c r="AN426" s="505"/>
      <c r="AO426" s="515"/>
    </row>
    <row r="427" spans="1:41" ht="14.5">
      <c r="A427" s="58">
        <v>44065</v>
      </c>
      <c r="B427" s="59" t="s">
        <v>204</v>
      </c>
      <c r="C427" s="60" t="s">
        <v>246</v>
      </c>
      <c r="D427" s="60" t="s">
        <v>981</v>
      </c>
      <c r="E427" s="105">
        <v>11</v>
      </c>
      <c r="F427" s="106">
        <v>7</v>
      </c>
      <c r="G427" s="106">
        <v>11</v>
      </c>
      <c r="H427" s="60">
        <v>29</v>
      </c>
      <c r="I427" s="60">
        <v>25</v>
      </c>
      <c r="J427" s="149">
        <f t="shared" si="417"/>
        <v>54</v>
      </c>
      <c r="K427" s="122">
        <f t="shared" si="400"/>
        <v>0.53703703703703709</v>
      </c>
      <c r="L427" s="123">
        <f t="shared" si="263"/>
        <v>-3.4629629629629628</v>
      </c>
      <c r="M427" s="64">
        <v>6</v>
      </c>
      <c r="N427" s="86">
        <v>11</v>
      </c>
      <c r="O427" s="86" t="s">
        <v>969</v>
      </c>
      <c r="P427" s="113">
        <v>10</v>
      </c>
      <c r="Q427" s="113">
        <v>11</v>
      </c>
      <c r="R427" s="103"/>
      <c r="S427" s="103"/>
      <c r="T427" s="103"/>
      <c r="U427" s="103"/>
      <c r="V427" s="69"/>
      <c r="W427" s="104"/>
      <c r="X427" s="67">
        <f t="shared" ref="X427:Y427" si="444">(P427+R427+T427+V427)</f>
        <v>10</v>
      </c>
      <c r="Y427" s="67">
        <f t="shared" si="444"/>
        <v>11</v>
      </c>
      <c r="Z427" s="68">
        <f t="shared" si="265"/>
        <v>21</v>
      </c>
      <c r="AA427" s="150" t="str">
        <f t="shared" si="386"/>
        <v>3B</v>
      </c>
      <c r="AB427" s="70" t="s">
        <v>981</v>
      </c>
      <c r="AC427" s="70">
        <v>6</v>
      </c>
      <c r="AD427" s="70">
        <v>44</v>
      </c>
      <c r="AE427" s="70">
        <v>46</v>
      </c>
      <c r="AF427" s="70">
        <v>90</v>
      </c>
      <c r="AG427" s="72">
        <f t="shared" si="267"/>
        <v>0.48888888888888887</v>
      </c>
      <c r="AH427" s="73">
        <f t="shared" si="419"/>
        <v>-32.511111111111113</v>
      </c>
      <c r="AI427" s="74">
        <v>7</v>
      </c>
      <c r="AJ427" s="79" t="s">
        <v>983</v>
      </c>
      <c r="AK427" s="76" t="s">
        <v>984</v>
      </c>
      <c r="AL427" s="67"/>
      <c r="AM427" s="506"/>
      <c r="AN427" s="505"/>
      <c r="AO427" s="515"/>
    </row>
    <row r="428" spans="1:41" ht="14.5">
      <c r="A428" s="58">
        <v>44065</v>
      </c>
      <c r="B428" s="59" t="s">
        <v>204</v>
      </c>
      <c r="C428" s="60" t="s">
        <v>251</v>
      </c>
      <c r="D428" s="60" t="s">
        <v>985</v>
      </c>
      <c r="E428" s="107">
        <v>6</v>
      </c>
      <c r="F428" s="108">
        <v>11</v>
      </c>
      <c r="G428" s="106">
        <v>7</v>
      </c>
      <c r="H428" s="60">
        <v>24</v>
      </c>
      <c r="I428" s="60">
        <v>26</v>
      </c>
      <c r="J428" s="149">
        <f t="shared" si="417"/>
        <v>50</v>
      </c>
      <c r="K428" s="122">
        <f t="shared" si="400"/>
        <v>0.48</v>
      </c>
      <c r="L428" s="123">
        <f t="shared" si="263"/>
        <v>-8.52</v>
      </c>
      <c r="M428" s="64">
        <v>10</v>
      </c>
      <c r="N428" s="64">
        <v>3</v>
      </c>
      <c r="O428" s="64" t="s">
        <v>986</v>
      </c>
      <c r="P428" s="103">
        <v>8</v>
      </c>
      <c r="Q428" s="103">
        <v>11</v>
      </c>
      <c r="R428" s="103"/>
      <c r="S428" s="103"/>
      <c r="T428" s="103"/>
      <c r="U428" s="103"/>
      <c r="V428" s="69"/>
      <c r="W428" s="104"/>
      <c r="X428" s="67">
        <f t="shared" ref="X428:Y428" si="445">(P428+R428+T428+V428)</f>
        <v>8</v>
      </c>
      <c r="Y428" s="67">
        <f t="shared" si="445"/>
        <v>11</v>
      </c>
      <c r="Z428" s="68">
        <f t="shared" si="265"/>
        <v>19</v>
      </c>
      <c r="AA428" s="150" t="str">
        <f t="shared" si="386"/>
        <v>3C</v>
      </c>
      <c r="AB428" s="70" t="s">
        <v>985</v>
      </c>
      <c r="AC428" s="70">
        <v>10</v>
      </c>
      <c r="AD428" s="70">
        <v>38</v>
      </c>
      <c r="AE428" s="70">
        <v>46</v>
      </c>
      <c r="AF428" s="70">
        <v>84</v>
      </c>
      <c r="AG428" s="72">
        <f t="shared" si="267"/>
        <v>0.45238095238095238</v>
      </c>
      <c r="AH428" s="73">
        <f t="shared" si="419"/>
        <v>-38.547619047619051</v>
      </c>
      <c r="AI428" s="74">
        <v>9</v>
      </c>
      <c r="AJ428" s="79" t="s">
        <v>716</v>
      </c>
      <c r="AK428" s="76" t="s">
        <v>987</v>
      </c>
      <c r="AL428" s="67"/>
      <c r="AM428" s="506"/>
      <c r="AN428" s="505"/>
      <c r="AO428" s="515"/>
    </row>
    <row r="429" spans="1:41" ht="14.5">
      <c r="A429" s="58">
        <v>44065</v>
      </c>
      <c r="B429" s="59" t="s">
        <v>204</v>
      </c>
      <c r="C429" s="60" t="s">
        <v>256</v>
      </c>
      <c r="D429" s="60" t="s">
        <v>124</v>
      </c>
      <c r="E429" s="109">
        <v>11</v>
      </c>
      <c r="F429" s="110">
        <v>11</v>
      </c>
      <c r="G429" s="111">
        <v>11</v>
      </c>
      <c r="H429" s="60">
        <v>33</v>
      </c>
      <c r="I429" s="60">
        <v>21</v>
      </c>
      <c r="J429" s="149">
        <f t="shared" si="417"/>
        <v>54</v>
      </c>
      <c r="K429" s="122">
        <f t="shared" si="400"/>
        <v>0.61111111111111116</v>
      </c>
      <c r="L429" s="123">
        <f t="shared" si="263"/>
        <v>0.61111111111111116</v>
      </c>
      <c r="M429" s="64">
        <v>2</v>
      </c>
      <c r="N429" s="86">
        <v>14</v>
      </c>
      <c r="O429" s="86" t="s">
        <v>974</v>
      </c>
      <c r="P429" s="113">
        <v>11</v>
      </c>
      <c r="Q429" s="113">
        <v>8</v>
      </c>
      <c r="R429" s="113">
        <v>11</v>
      </c>
      <c r="S429" s="113">
        <v>4</v>
      </c>
      <c r="T429" s="103">
        <v>6</v>
      </c>
      <c r="U429" s="103">
        <v>11</v>
      </c>
      <c r="V429" s="69"/>
      <c r="W429" s="104"/>
      <c r="X429" s="67">
        <f t="shared" ref="X429:Y429" si="446">(P429+R429+T429+V429)</f>
        <v>28</v>
      </c>
      <c r="Y429" s="67">
        <f t="shared" si="446"/>
        <v>23</v>
      </c>
      <c r="Z429" s="68">
        <f t="shared" si="265"/>
        <v>51</v>
      </c>
      <c r="AA429" s="150" t="str">
        <f t="shared" si="386"/>
        <v>3D</v>
      </c>
      <c r="AB429" s="70" t="s">
        <v>124</v>
      </c>
      <c r="AC429" s="70">
        <v>2</v>
      </c>
      <c r="AD429" s="70">
        <v>77</v>
      </c>
      <c r="AE429" s="70">
        <v>40</v>
      </c>
      <c r="AF429" s="70">
        <v>117</v>
      </c>
      <c r="AG429" s="72">
        <f t="shared" si="267"/>
        <v>0.65811965811965811</v>
      </c>
      <c r="AH429" s="73">
        <f t="shared" si="419"/>
        <v>0.65811965811965811</v>
      </c>
      <c r="AI429" s="74">
        <v>1</v>
      </c>
      <c r="AJ429" s="79" t="s">
        <v>655</v>
      </c>
      <c r="AK429" s="76" t="s">
        <v>988</v>
      </c>
      <c r="AL429" s="67"/>
      <c r="AM429" s="506"/>
      <c r="AN429" s="505"/>
      <c r="AO429" s="515"/>
    </row>
    <row r="430" spans="1:41" ht="14.5">
      <c r="A430" s="58">
        <v>44065</v>
      </c>
      <c r="B430" s="59" t="s">
        <v>204</v>
      </c>
      <c r="C430" s="60" t="s">
        <v>261</v>
      </c>
      <c r="D430" s="60" t="s">
        <v>986</v>
      </c>
      <c r="E430" s="100">
        <v>11</v>
      </c>
      <c r="F430" s="101">
        <v>11</v>
      </c>
      <c r="G430" s="101">
        <v>11</v>
      </c>
      <c r="H430" s="60">
        <v>33</v>
      </c>
      <c r="I430" s="60">
        <v>21</v>
      </c>
      <c r="J430" s="149">
        <f t="shared" si="417"/>
        <v>54</v>
      </c>
      <c r="K430" s="122">
        <f t="shared" si="400"/>
        <v>0.61111111111111116</v>
      </c>
      <c r="L430" s="123">
        <f t="shared" si="263"/>
        <v>0.61111111111111116</v>
      </c>
      <c r="M430" s="64">
        <v>3</v>
      </c>
      <c r="N430" s="64">
        <v>7</v>
      </c>
      <c r="O430" s="64" t="s">
        <v>965</v>
      </c>
      <c r="P430" s="103">
        <v>9</v>
      </c>
      <c r="Q430" s="103">
        <v>11</v>
      </c>
      <c r="R430" s="103"/>
      <c r="S430" s="103"/>
      <c r="T430" s="103"/>
      <c r="U430" s="103"/>
      <c r="V430" s="69"/>
      <c r="W430" s="104"/>
      <c r="X430" s="67">
        <f t="shared" ref="X430:Y430" si="447">(P430+R430+T430+V430)</f>
        <v>9</v>
      </c>
      <c r="Y430" s="67">
        <f t="shared" si="447"/>
        <v>11</v>
      </c>
      <c r="Z430" s="68">
        <f t="shared" si="265"/>
        <v>20</v>
      </c>
      <c r="AA430" s="150" t="str">
        <f t="shared" si="386"/>
        <v>4A</v>
      </c>
      <c r="AB430" s="70" t="s">
        <v>986</v>
      </c>
      <c r="AC430" s="70">
        <v>3</v>
      </c>
      <c r="AD430" s="70">
        <v>41</v>
      </c>
      <c r="AE430" s="70">
        <v>32</v>
      </c>
      <c r="AF430" s="70">
        <v>73</v>
      </c>
      <c r="AG430" s="72">
        <f t="shared" si="267"/>
        <v>0.56164383561643838</v>
      </c>
      <c r="AH430" s="73">
        <f t="shared" si="419"/>
        <v>-35.438356164383563</v>
      </c>
      <c r="AI430" s="74">
        <v>8</v>
      </c>
      <c r="AJ430" s="79" t="s">
        <v>861</v>
      </c>
      <c r="AK430" s="76" t="s">
        <v>768</v>
      </c>
      <c r="AL430" s="67"/>
      <c r="AM430" s="506"/>
      <c r="AN430" s="505"/>
      <c r="AO430" s="515"/>
    </row>
    <row r="431" spans="1:41" ht="14.5">
      <c r="A431" s="58">
        <v>44065</v>
      </c>
      <c r="B431" s="59" t="s">
        <v>204</v>
      </c>
      <c r="C431" s="60" t="s">
        <v>268</v>
      </c>
      <c r="D431" s="60" t="s">
        <v>975</v>
      </c>
      <c r="E431" s="105">
        <v>5</v>
      </c>
      <c r="F431" s="106">
        <v>11</v>
      </c>
      <c r="G431" s="106">
        <v>11</v>
      </c>
      <c r="H431" s="60">
        <v>27</v>
      </c>
      <c r="I431" s="60">
        <v>20</v>
      </c>
      <c r="J431" s="149">
        <f t="shared" si="417"/>
        <v>47</v>
      </c>
      <c r="K431" s="122">
        <f t="shared" si="400"/>
        <v>0.57446808510638303</v>
      </c>
      <c r="L431" s="123">
        <f t="shared" si="263"/>
        <v>-5.4255319148936172</v>
      </c>
      <c r="M431" s="64">
        <v>5</v>
      </c>
      <c r="N431" s="86">
        <v>10</v>
      </c>
      <c r="O431" s="86" t="s">
        <v>985</v>
      </c>
      <c r="P431" s="113">
        <v>11</v>
      </c>
      <c r="Q431" s="113">
        <v>9</v>
      </c>
      <c r="R431" s="103">
        <v>3</v>
      </c>
      <c r="S431" s="103">
        <v>11</v>
      </c>
      <c r="T431" s="103"/>
      <c r="U431" s="103"/>
      <c r="V431" s="69"/>
      <c r="W431" s="104"/>
      <c r="X431" s="67">
        <f t="shared" ref="X431:Y431" si="448">(P431+R431+T431+V431)</f>
        <v>14</v>
      </c>
      <c r="Y431" s="67">
        <f t="shared" si="448"/>
        <v>20</v>
      </c>
      <c r="Z431" s="68">
        <f t="shared" si="265"/>
        <v>34</v>
      </c>
      <c r="AA431" s="150" t="str">
        <f t="shared" si="386"/>
        <v>4B</v>
      </c>
      <c r="AB431" s="70" t="s">
        <v>975</v>
      </c>
      <c r="AC431" s="70">
        <v>5</v>
      </c>
      <c r="AD431" s="70">
        <v>34</v>
      </c>
      <c r="AE431" s="70">
        <v>31</v>
      </c>
      <c r="AF431" s="70">
        <v>65</v>
      </c>
      <c r="AG431" s="72">
        <f t="shared" si="267"/>
        <v>0.52307692307692311</v>
      </c>
      <c r="AH431" s="73">
        <f t="shared" si="419"/>
        <v>-42.476923076923079</v>
      </c>
      <c r="AI431" s="74">
        <v>13</v>
      </c>
      <c r="AJ431" s="79" t="s">
        <v>989</v>
      </c>
      <c r="AK431" s="76" t="s">
        <v>990</v>
      </c>
      <c r="AL431" s="67"/>
      <c r="AM431" s="506"/>
      <c r="AN431" s="505"/>
      <c r="AO431" s="515"/>
    </row>
    <row r="432" spans="1:41" ht="14.5">
      <c r="A432" s="58">
        <v>44065</v>
      </c>
      <c r="B432" s="59" t="s">
        <v>204</v>
      </c>
      <c r="C432" s="60" t="s">
        <v>271</v>
      </c>
      <c r="D432" s="60" t="s">
        <v>968</v>
      </c>
      <c r="E432" s="107">
        <v>4</v>
      </c>
      <c r="F432" s="108">
        <v>8</v>
      </c>
      <c r="G432" s="106">
        <v>3</v>
      </c>
      <c r="H432" s="60">
        <v>15</v>
      </c>
      <c r="I432" s="60">
        <v>33</v>
      </c>
      <c r="J432" s="149">
        <f t="shared" si="417"/>
        <v>48</v>
      </c>
      <c r="K432" s="122">
        <f t="shared" si="400"/>
        <v>0.3125</v>
      </c>
      <c r="L432" s="123">
        <f t="shared" si="263"/>
        <v>-17.6875</v>
      </c>
      <c r="M432" s="64">
        <v>16</v>
      </c>
      <c r="N432" s="64">
        <v>2</v>
      </c>
      <c r="O432" s="64" t="s">
        <v>124</v>
      </c>
      <c r="P432" s="103">
        <v>11</v>
      </c>
      <c r="Q432" s="103">
        <v>4</v>
      </c>
      <c r="R432" s="103">
        <v>11</v>
      </c>
      <c r="S432" s="103">
        <v>3</v>
      </c>
      <c r="T432" s="103">
        <v>11</v>
      </c>
      <c r="U432" s="103">
        <v>6</v>
      </c>
      <c r="V432" s="69">
        <v>11</v>
      </c>
      <c r="W432" s="104">
        <v>6</v>
      </c>
      <c r="X432" s="67">
        <f t="shared" ref="X432:Y432" si="449">(P432+R432+T432+V432)</f>
        <v>44</v>
      </c>
      <c r="Y432" s="67">
        <f t="shared" si="449"/>
        <v>19</v>
      </c>
      <c r="Z432" s="68">
        <f t="shared" si="265"/>
        <v>63</v>
      </c>
      <c r="AA432" s="150" t="str">
        <f t="shared" si="386"/>
        <v>4C</v>
      </c>
      <c r="AB432" s="70" t="s">
        <v>968</v>
      </c>
      <c r="AC432" s="70">
        <v>16</v>
      </c>
      <c r="AD432" s="70">
        <v>19</v>
      </c>
      <c r="AE432" s="70">
        <v>44</v>
      </c>
      <c r="AF432" s="70">
        <v>63</v>
      </c>
      <c r="AG432" s="72">
        <f t="shared" si="267"/>
        <v>0.30158730158730157</v>
      </c>
      <c r="AH432" s="73">
        <f t="shared" si="419"/>
        <v>-57.698412698412696</v>
      </c>
      <c r="AI432" s="74">
        <v>16</v>
      </c>
      <c r="AJ432" s="79" t="s">
        <v>29</v>
      </c>
      <c r="AK432" s="76" t="s">
        <v>740</v>
      </c>
      <c r="AL432" s="67"/>
      <c r="AM432" s="506"/>
      <c r="AN432" s="505"/>
      <c r="AO432" s="515"/>
    </row>
    <row r="433" spans="1:41" ht="14.5">
      <c r="A433" s="87">
        <v>44065</v>
      </c>
      <c r="B433" s="88" t="s">
        <v>204</v>
      </c>
      <c r="C433" s="89" t="s">
        <v>276</v>
      </c>
      <c r="D433" s="89" t="s">
        <v>973</v>
      </c>
      <c r="E433" s="109">
        <v>11</v>
      </c>
      <c r="F433" s="110">
        <v>6</v>
      </c>
      <c r="G433" s="111">
        <v>8</v>
      </c>
      <c r="H433" s="89">
        <v>25</v>
      </c>
      <c r="I433" s="89">
        <v>26</v>
      </c>
      <c r="J433" s="152">
        <f t="shared" si="417"/>
        <v>51</v>
      </c>
      <c r="K433" s="153">
        <f t="shared" si="400"/>
        <v>0.49019607843137253</v>
      </c>
      <c r="L433" s="154">
        <f t="shared" si="263"/>
        <v>-7.5098039215686274</v>
      </c>
      <c r="M433" s="86">
        <v>9</v>
      </c>
      <c r="N433" s="86">
        <v>15</v>
      </c>
      <c r="O433" s="86" t="s">
        <v>980</v>
      </c>
      <c r="P433" s="113">
        <v>4</v>
      </c>
      <c r="Q433" s="113">
        <v>11</v>
      </c>
      <c r="R433" s="113"/>
      <c r="S433" s="113"/>
      <c r="T433" s="113"/>
      <c r="U433" s="113"/>
      <c r="V433" s="93"/>
      <c r="W433" s="114"/>
      <c r="X433" s="92">
        <f t="shared" ref="X433:Y433" si="450">(P433+R433+T433+V433)</f>
        <v>4</v>
      </c>
      <c r="Y433" s="92">
        <f t="shared" si="450"/>
        <v>11</v>
      </c>
      <c r="Z433" s="84">
        <f t="shared" si="265"/>
        <v>15</v>
      </c>
      <c r="AA433" s="155" t="str">
        <f t="shared" si="386"/>
        <v>4D</v>
      </c>
      <c r="AB433" s="94" t="s">
        <v>973</v>
      </c>
      <c r="AC433" s="94">
        <v>9</v>
      </c>
      <c r="AD433" s="94">
        <v>46</v>
      </c>
      <c r="AE433" s="94">
        <v>45</v>
      </c>
      <c r="AF433" s="94">
        <v>91</v>
      </c>
      <c r="AG433" s="95">
        <f t="shared" si="267"/>
        <v>0.50549450549450547</v>
      </c>
      <c r="AH433" s="96">
        <f t="shared" si="419"/>
        <v>-30.494505494505496</v>
      </c>
      <c r="AI433" s="97">
        <v>5</v>
      </c>
      <c r="AJ433" s="121" t="s">
        <v>827</v>
      </c>
      <c r="AK433" s="99" t="s">
        <v>748</v>
      </c>
      <c r="AL433" s="67"/>
      <c r="AM433" s="506"/>
      <c r="AN433" s="505"/>
      <c r="AO433" s="515"/>
    </row>
    <row r="434" spans="1:41" ht="14.5">
      <c r="A434" s="58">
        <v>44100</v>
      </c>
      <c r="B434" s="59" t="s">
        <v>615</v>
      </c>
      <c r="C434" s="60" t="s">
        <v>205</v>
      </c>
      <c r="D434" s="60" t="s">
        <v>991</v>
      </c>
      <c r="E434" s="100">
        <v>11</v>
      </c>
      <c r="F434" s="101">
        <v>11</v>
      </c>
      <c r="G434" s="101">
        <v>11</v>
      </c>
      <c r="H434" s="60">
        <v>33</v>
      </c>
      <c r="I434" s="60">
        <v>16</v>
      </c>
      <c r="J434" s="149">
        <f t="shared" si="417"/>
        <v>49</v>
      </c>
      <c r="K434" s="122">
        <f t="shared" si="400"/>
        <v>0.67346938775510201</v>
      </c>
      <c r="L434" s="123">
        <f t="shared" si="263"/>
        <v>0.67346938775510201</v>
      </c>
      <c r="M434" s="64">
        <v>2</v>
      </c>
      <c r="N434" s="61">
        <v>1</v>
      </c>
      <c r="O434" s="61" t="s">
        <v>128</v>
      </c>
      <c r="P434" s="115">
        <v>11</v>
      </c>
      <c r="Q434" s="115">
        <v>3</v>
      </c>
      <c r="R434" s="115">
        <v>11</v>
      </c>
      <c r="S434" s="115">
        <v>2</v>
      </c>
      <c r="T434" s="115">
        <v>11</v>
      </c>
      <c r="U434" s="115">
        <v>10</v>
      </c>
      <c r="V434" s="116">
        <v>9</v>
      </c>
      <c r="W434" s="117">
        <v>11</v>
      </c>
      <c r="X434" s="67">
        <f t="shared" ref="X434:Y434" si="451">(P434+R434+T434+V434)</f>
        <v>42</v>
      </c>
      <c r="Y434" s="67">
        <f t="shared" si="451"/>
        <v>26</v>
      </c>
      <c r="Z434" s="68">
        <f t="shared" si="265"/>
        <v>68</v>
      </c>
      <c r="AA434" s="150" t="str">
        <f t="shared" si="386"/>
        <v>1A</v>
      </c>
      <c r="AB434" s="70" t="s">
        <v>991</v>
      </c>
      <c r="AC434" s="70">
        <v>2</v>
      </c>
      <c r="AD434" s="70">
        <v>42</v>
      </c>
      <c r="AE434" s="70">
        <v>27</v>
      </c>
      <c r="AF434" s="70">
        <v>69</v>
      </c>
      <c r="AG434" s="72">
        <f t="shared" si="267"/>
        <v>0.60869565217391308</v>
      </c>
      <c r="AH434" s="73">
        <f t="shared" si="419"/>
        <v>-34.391304347826086</v>
      </c>
      <c r="AI434" s="74">
        <v>7</v>
      </c>
      <c r="AJ434" s="79" t="s">
        <v>992</v>
      </c>
      <c r="AK434" s="76" t="s">
        <v>993</v>
      </c>
      <c r="AL434" s="67"/>
      <c r="AM434" s="506"/>
      <c r="AN434" s="505"/>
      <c r="AO434" s="515"/>
    </row>
    <row r="435" spans="1:41" ht="14.5">
      <c r="A435" s="58">
        <v>44100</v>
      </c>
      <c r="B435" s="59" t="s">
        <v>615</v>
      </c>
      <c r="C435" s="60" t="s">
        <v>211</v>
      </c>
      <c r="D435" s="60" t="s">
        <v>994</v>
      </c>
      <c r="E435" s="105">
        <v>3</v>
      </c>
      <c r="F435" s="106">
        <v>11</v>
      </c>
      <c r="G435" s="106">
        <v>9</v>
      </c>
      <c r="H435" s="60">
        <v>23</v>
      </c>
      <c r="I435" s="60">
        <v>27</v>
      </c>
      <c r="J435" s="149">
        <f t="shared" si="417"/>
        <v>50</v>
      </c>
      <c r="K435" s="122">
        <f t="shared" si="400"/>
        <v>0.46</v>
      </c>
      <c r="L435" s="123">
        <f t="shared" si="263"/>
        <v>-9.5399999999999991</v>
      </c>
      <c r="M435" s="64">
        <v>12</v>
      </c>
      <c r="N435" s="86">
        <v>16</v>
      </c>
      <c r="O435" s="86" t="s">
        <v>995</v>
      </c>
      <c r="P435" s="113">
        <v>3</v>
      </c>
      <c r="Q435" s="113">
        <v>11</v>
      </c>
      <c r="R435" s="103"/>
      <c r="S435" s="103"/>
      <c r="T435" s="103"/>
      <c r="U435" s="103"/>
      <c r="V435" s="69"/>
      <c r="W435" s="104"/>
      <c r="X435" s="67">
        <f t="shared" ref="X435:Y435" si="452">(P435+R435+T435+V435)</f>
        <v>3</v>
      </c>
      <c r="Y435" s="67">
        <f t="shared" si="452"/>
        <v>11</v>
      </c>
      <c r="Z435" s="68">
        <f t="shared" si="265"/>
        <v>14</v>
      </c>
      <c r="AA435" s="150" t="str">
        <f t="shared" si="386"/>
        <v>1B</v>
      </c>
      <c r="AB435" s="70" t="s">
        <v>994</v>
      </c>
      <c r="AC435" s="70">
        <v>12</v>
      </c>
      <c r="AD435" s="70">
        <v>55</v>
      </c>
      <c r="AE435" s="70">
        <v>53</v>
      </c>
      <c r="AF435" s="70">
        <v>108</v>
      </c>
      <c r="AG435" s="72">
        <f t="shared" si="267"/>
        <v>0.5092592592592593</v>
      </c>
      <c r="AH435" s="73">
        <f t="shared" si="419"/>
        <v>-21.49074074074074</v>
      </c>
      <c r="AI435" s="74">
        <v>3</v>
      </c>
      <c r="AJ435" s="79" t="s">
        <v>785</v>
      </c>
      <c r="AK435" s="76" t="s">
        <v>650</v>
      </c>
      <c r="AL435" s="67"/>
      <c r="AM435" s="506"/>
      <c r="AN435" s="505"/>
      <c r="AO435" s="515"/>
    </row>
    <row r="436" spans="1:41" ht="14.5">
      <c r="A436" s="58">
        <v>44100</v>
      </c>
      <c r="B436" s="59" t="s">
        <v>615</v>
      </c>
      <c r="C436" s="60" t="s">
        <v>216</v>
      </c>
      <c r="D436" s="60" t="s">
        <v>996</v>
      </c>
      <c r="E436" s="107">
        <v>11</v>
      </c>
      <c r="F436" s="108">
        <v>10</v>
      </c>
      <c r="G436" s="106">
        <v>11</v>
      </c>
      <c r="H436" s="60">
        <v>32</v>
      </c>
      <c r="I436" s="60">
        <v>28</v>
      </c>
      <c r="J436" s="149">
        <f t="shared" si="417"/>
        <v>60</v>
      </c>
      <c r="K436" s="122">
        <f t="shared" si="400"/>
        <v>0.53333333333333333</v>
      </c>
      <c r="L436" s="123">
        <f t="shared" si="263"/>
        <v>-0.46666666666666667</v>
      </c>
      <c r="M436" s="64">
        <v>6</v>
      </c>
      <c r="N436" s="64">
        <v>8</v>
      </c>
      <c r="O436" s="64" t="s">
        <v>997</v>
      </c>
      <c r="P436" s="103">
        <v>8</v>
      </c>
      <c r="Q436" s="103">
        <v>11</v>
      </c>
      <c r="R436" s="103"/>
      <c r="S436" s="103"/>
      <c r="T436" s="103"/>
      <c r="U436" s="103"/>
      <c r="V436" s="69"/>
      <c r="W436" s="104"/>
      <c r="X436" s="67">
        <f t="shared" ref="X436:Y436" si="453">(P436+R436+T436+V436)</f>
        <v>8</v>
      </c>
      <c r="Y436" s="67">
        <f t="shared" si="453"/>
        <v>11</v>
      </c>
      <c r="Z436" s="68">
        <f t="shared" si="265"/>
        <v>19</v>
      </c>
      <c r="AA436" s="150" t="str">
        <f t="shared" si="386"/>
        <v>1C</v>
      </c>
      <c r="AB436" s="70" t="s">
        <v>996</v>
      </c>
      <c r="AC436" s="70">
        <v>6</v>
      </c>
      <c r="AD436" s="70">
        <v>40</v>
      </c>
      <c r="AE436" s="70">
        <v>39</v>
      </c>
      <c r="AF436" s="70">
        <v>79</v>
      </c>
      <c r="AG436" s="72">
        <f t="shared" si="267"/>
        <v>0.50632911392405067</v>
      </c>
      <c r="AH436" s="73">
        <f t="shared" si="419"/>
        <v>-36.493670886075947</v>
      </c>
      <c r="AI436" s="74">
        <v>9</v>
      </c>
      <c r="AJ436" s="79" t="s">
        <v>998</v>
      </c>
      <c r="AK436" s="76" t="s">
        <v>837</v>
      </c>
      <c r="AL436" s="67"/>
      <c r="AM436" s="506"/>
      <c r="AN436" s="505"/>
      <c r="AO436" s="515"/>
    </row>
    <row r="437" spans="1:41" ht="14.5">
      <c r="A437" s="58">
        <v>44100</v>
      </c>
      <c r="B437" s="59" t="s">
        <v>615</v>
      </c>
      <c r="C437" s="60" t="s">
        <v>221</v>
      </c>
      <c r="D437" s="60" t="s">
        <v>999</v>
      </c>
      <c r="E437" s="109">
        <v>8</v>
      </c>
      <c r="F437" s="110">
        <v>5</v>
      </c>
      <c r="G437" s="111">
        <v>3</v>
      </c>
      <c r="H437" s="60">
        <v>16</v>
      </c>
      <c r="I437" s="60">
        <v>33</v>
      </c>
      <c r="J437" s="149">
        <f t="shared" si="417"/>
        <v>49</v>
      </c>
      <c r="K437" s="122">
        <f t="shared" si="400"/>
        <v>0.32653061224489793</v>
      </c>
      <c r="L437" s="123">
        <f t="shared" si="263"/>
        <v>-16.673469387755102</v>
      </c>
      <c r="M437" s="64">
        <v>15</v>
      </c>
      <c r="N437" s="86">
        <v>9</v>
      </c>
      <c r="O437" s="86" t="s">
        <v>1000</v>
      </c>
      <c r="P437" s="113">
        <v>11</v>
      </c>
      <c r="Q437" s="113">
        <v>8</v>
      </c>
      <c r="R437" s="113">
        <v>2</v>
      </c>
      <c r="S437" s="113">
        <v>11</v>
      </c>
      <c r="T437" s="103"/>
      <c r="U437" s="103"/>
      <c r="V437" s="69"/>
      <c r="W437" s="104"/>
      <c r="X437" s="67">
        <f t="shared" ref="X437:Y437" si="454">(P437+R437+T437+V437)</f>
        <v>13</v>
      </c>
      <c r="Y437" s="67">
        <f t="shared" si="454"/>
        <v>19</v>
      </c>
      <c r="Z437" s="68">
        <f t="shared" si="265"/>
        <v>32</v>
      </c>
      <c r="AA437" s="150" t="str">
        <f t="shared" si="386"/>
        <v>1D</v>
      </c>
      <c r="AB437" s="70" t="s">
        <v>999</v>
      </c>
      <c r="AC437" s="70">
        <v>15</v>
      </c>
      <c r="AD437" s="70">
        <v>48</v>
      </c>
      <c r="AE437" s="70">
        <v>61</v>
      </c>
      <c r="AF437" s="70">
        <v>109</v>
      </c>
      <c r="AG437" s="72">
        <f t="shared" si="267"/>
        <v>0.44036697247706424</v>
      </c>
      <c r="AH437" s="73">
        <f t="shared" si="419"/>
        <v>-28.559633027522935</v>
      </c>
      <c r="AI437" s="74">
        <v>6</v>
      </c>
      <c r="AJ437" s="79" t="s">
        <v>928</v>
      </c>
      <c r="AK437" s="76" t="s">
        <v>1001</v>
      </c>
      <c r="AL437" s="67"/>
      <c r="AM437" s="506"/>
      <c r="AN437" s="505"/>
      <c r="AO437" s="515"/>
    </row>
    <row r="438" spans="1:41" ht="14.5">
      <c r="A438" s="58">
        <v>44100</v>
      </c>
      <c r="B438" s="59" t="s">
        <v>615</v>
      </c>
      <c r="C438" s="60" t="s">
        <v>224</v>
      </c>
      <c r="D438" s="60" t="s">
        <v>127</v>
      </c>
      <c r="E438" s="100">
        <v>11</v>
      </c>
      <c r="F438" s="101">
        <v>11</v>
      </c>
      <c r="G438" s="101">
        <v>11</v>
      </c>
      <c r="H438" s="60">
        <v>33</v>
      </c>
      <c r="I438" s="60">
        <v>20</v>
      </c>
      <c r="J438" s="149">
        <f t="shared" si="417"/>
        <v>53</v>
      </c>
      <c r="K438" s="122">
        <f t="shared" si="400"/>
        <v>0.62264150943396224</v>
      </c>
      <c r="L438" s="123">
        <f t="shared" si="263"/>
        <v>0.62264150943396224</v>
      </c>
      <c r="M438" s="64">
        <v>3</v>
      </c>
      <c r="N438" s="64">
        <v>5</v>
      </c>
      <c r="O438" s="64" t="s">
        <v>1002</v>
      </c>
      <c r="P438" s="103">
        <v>7</v>
      </c>
      <c r="Q438" s="103">
        <v>11</v>
      </c>
      <c r="R438" s="103"/>
      <c r="S438" s="103"/>
      <c r="T438" s="103"/>
      <c r="U438" s="103"/>
      <c r="V438" s="69"/>
      <c r="W438" s="104"/>
      <c r="X438" s="67">
        <f t="shared" ref="X438:Y438" si="455">(P438+R438+T438+V438)</f>
        <v>7</v>
      </c>
      <c r="Y438" s="67">
        <f t="shared" si="455"/>
        <v>11</v>
      </c>
      <c r="Z438" s="68">
        <f t="shared" si="265"/>
        <v>18</v>
      </c>
      <c r="AA438" s="150" t="str">
        <f t="shared" si="386"/>
        <v>2A</v>
      </c>
      <c r="AB438" s="70" t="s">
        <v>127</v>
      </c>
      <c r="AC438" s="70">
        <v>3</v>
      </c>
      <c r="AD438" s="70">
        <v>77</v>
      </c>
      <c r="AE438" s="70">
        <v>52</v>
      </c>
      <c r="AF438" s="70">
        <v>129</v>
      </c>
      <c r="AG438" s="72">
        <f t="shared" si="267"/>
        <v>0.5968992248062015</v>
      </c>
      <c r="AH438" s="73">
        <f t="shared" si="419"/>
        <v>0.5968992248062015</v>
      </c>
      <c r="AI438" s="74">
        <v>1</v>
      </c>
      <c r="AJ438" s="79" t="s">
        <v>648</v>
      </c>
      <c r="AK438" s="76" t="s">
        <v>932</v>
      </c>
      <c r="AL438" s="67"/>
      <c r="AM438" s="506"/>
      <c r="AN438" s="505"/>
      <c r="AO438" s="515"/>
    </row>
    <row r="439" spans="1:41" ht="14.5">
      <c r="A439" s="58">
        <v>44100</v>
      </c>
      <c r="B439" s="59" t="s">
        <v>615</v>
      </c>
      <c r="C439" s="60" t="s">
        <v>228</v>
      </c>
      <c r="D439" s="60" t="s">
        <v>1003</v>
      </c>
      <c r="E439" s="105">
        <v>6</v>
      </c>
      <c r="F439" s="106">
        <v>7</v>
      </c>
      <c r="G439" s="106">
        <v>11</v>
      </c>
      <c r="H439" s="60">
        <v>24</v>
      </c>
      <c r="I439" s="60">
        <v>26</v>
      </c>
      <c r="J439" s="149">
        <f t="shared" si="417"/>
        <v>50</v>
      </c>
      <c r="K439" s="122">
        <f t="shared" si="400"/>
        <v>0.48</v>
      </c>
      <c r="L439" s="123">
        <f t="shared" si="263"/>
        <v>-8.52</v>
      </c>
      <c r="M439" s="64">
        <v>11</v>
      </c>
      <c r="N439" s="86">
        <v>12</v>
      </c>
      <c r="O439" s="86" t="s">
        <v>994</v>
      </c>
      <c r="P439" s="113">
        <v>11</v>
      </c>
      <c r="Q439" s="113">
        <v>7</v>
      </c>
      <c r="R439" s="103">
        <v>11</v>
      </c>
      <c r="S439" s="103">
        <v>8</v>
      </c>
      <c r="T439" s="103">
        <v>10</v>
      </c>
      <c r="U439" s="103">
        <v>11</v>
      </c>
      <c r="V439" s="69"/>
      <c r="W439" s="104"/>
      <c r="X439" s="67">
        <f t="shared" ref="X439:Y439" si="456">(P439+R439+T439+V439)</f>
        <v>32</v>
      </c>
      <c r="Y439" s="67">
        <f t="shared" si="456"/>
        <v>26</v>
      </c>
      <c r="Z439" s="68">
        <f t="shared" si="265"/>
        <v>58</v>
      </c>
      <c r="AA439" s="150" t="str">
        <f t="shared" si="386"/>
        <v>2B</v>
      </c>
      <c r="AB439" s="70" t="s">
        <v>1003</v>
      </c>
      <c r="AC439" s="70">
        <v>11</v>
      </c>
      <c r="AD439" s="70">
        <v>42</v>
      </c>
      <c r="AE439" s="70">
        <v>45</v>
      </c>
      <c r="AF439" s="70">
        <v>87</v>
      </c>
      <c r="AG439" s="72">
        <f t="shared" si="267"/>
        <v>0.48275862068965519</v>
      </c>
      <c r="AH439" s="73">
        <f t="shared" si="419"/>
        <v>-34.517241379310342</v>
      </c>
      <c r="AI439" s="74">
        <v>8</v>
      </c>
      <c r="AJ439" s="79" t="s">
        <v>1004</v>
      </c>
      <c r="AK439" s="76" t="s">
        <v>936</v>
      </c>
      <c r="AL439" s="67"/>
      <c r="AM439" s="506"/>
      <c r="AN439" s="505"/>
      <c r="AO439" s="515"/>
    </row>
    <row r="440" spans="1:41" ht="14.5">
      <c r="A440" s="58">
        <v>44100</v>
      </c>
      <c r="B440" s="59" t="s">
        <v>615</v>
      </c>
      <c r="C440" s="60" t="s">
        <v>232</v>
      </c>
      <c r="D440" s="60" t="s">
        <v>1005</v>
      </c>
      <c r="E440" s="107">
        <v>7</v>
      </c>
      <c r="F440" s="108">
        <v>10</v>
      </c>
      <c r="G440" s="106">
        <v>4</v>
      </c>
      <c r="H440" s="60">
        <v>21</v>
      </c>
      <c r="I440" s="60">
        <v>33</v>
      </c>
      <c r="J440" s="149">
        <f t="shared" si="417"/>
        <v>54</v>
      </c>
      <c r="K440" s="122">
        <f t="shared" si="400"/>
        <v>0.3888888888888889</v>
      </c>
      <c r="L440" s="123">
        <f t="shared" si="263"/>
        <v>-11.611111111111111</v>
      </c>
      <c r="M440" s="64">
        <v>14</v>
      </c>
      <c r="N440" s="64">
        <v>4</v>
      </c>
      <c r="O440" s="64" t="s">
        <v>1006</v>
      </c>
      <c r="P440" s="103">
        <v>11</v>
      </c>
      <c r="Q440" s="103">
        <v>9</v>
      </c>
      <c r="R440" s="103">
        <v>8</v>
      </c>
      <c r="S440" s="103">
        <v>11</v>
      </c>
      <c r="T440" s="103"/>
      <c r="U440" s="103"/>
      <c r="V440" s="69"/>
      <c r="W440" s="104"/>
      <c r="X440" s="67">
        <f t="shared" ref="X440:Y440" si="457">(P440+R440+T440+V440)</f>
        <v>19</v>
      </c>
      <c r="Y440" s="67">
        <f t="shared" si="457"/>
        <v>20</v>
      </c>
      <c r="Z440" s="68">
        <f t="shared" si="265"/>
        <v>39</v>
      </c>
      <c r="AA440" s="150" t="str">
        <f t="shared" si="386"/>
        <v>2C</v>
      </c>
      <c r="AB440" s="70" t="s">
        <v>1005</v>
      </c>
      <c r="AC440" s="70">
        <v>14</v>
      </c>
      <c r="AD440" s="70">
        <v>27</v>
      </c>
      <c r="AE440" s="70">
        <v>44</v>
      </c>
      <c r="AF440" s="70">
        <v>71</v>
      </c>
      <c r="AG440" s="72">
        <f t="shared" si="267"/>
        <v>0.38028169014084506</v>
      </c>
      <c r="AH440" s="73">
        <f t="shared" si="419"/>
        <v>-49.619718309859152</v>
      </c>
      <c r="AI440" s="74">
        <v>15</v>
      </c>
      <c r="AJ440" s="79" t="s">
        <v>1007</v>
      </c>
      <c r="AK440" s="76" t="s">
        <v>1008</v>
      </c>
      <c r="AL440" s="67"/>
      <c r="AM440" s="506"/>
      <c r="AN440" s="505"/>
      <c r="AO440" s="515"/>
    </row>
    <row r="441" spans="1:41" ht="14.5">
      <c r="A441" s="58">
        <v>44100</v>
      </c>
      <c r="B441" s="59" t="s">
        <v>615</v>
      </c>
      <c r="C441" s="60" t="s">
        <v>237</v>
      </c>
      <c r="D441" s="60" t="s">
        <v>997</v>
      </c>
      <c r="E441" s="109">
        <v>11</v>
      </c>
      <c r="F441" s="110">
        <v>11</v>
      </c>
      <c r="G441" s="111">
        <v>4</v>
      </c>
      <c r="H441" s="60">
        <v>26</v>
      </c>
      <c r="I441" s="60">
        <v>25</v>
      </c>
      <c r="J441" s="149">
        <f t="shared" si="417"/>
        <v>51</v>
      </c>
      <c r="K441" s="122">
        <f t="shared" si="400"/>
        <v>0.50980392156862742</v>
      </c>
      <c r="L441" s="123">
        <f t="shared" si="263"/>
        <v>-6.4901960784313726</v>
      </c>
      <c r="M441" s="64">
        <v>8</v>
      </c>
      <c r="N441" s="86">
        <v>13</v>
      </c>
      <c r="O441" s="86" t="s">
        <v>1009</v>
      </c>
      <c r="P441" s="113">
        <v>9</v>
      </c>
      <c r="Q441" s="113">
        <v>11</v>
      </c>
      <c r="R441" s="113"/>
      <c r="S441" s="113"/>
      <c r="T441" s="113"/>
      <c r="U441" s="113"/>
      <c r="V441" s="93"/>
      <c r="W441" s="114"/>
      <c r="X441" s="67">
        <f t="shared" ref="X441:Y441" si="458">(P441+R441+T441+V441)</f>
        <v>9</v>
      </c>
      <c r="Y441" s="67">
        <f t="shared" si="458"/>
        <v>11</v>
      </c>
      <c r="Z441" s="68">
        <f t="shared" si="265"/>
        <v>20</v>
      </c>
      <c r="AA441" s="150" t="str">
        <f t="shared" si="386"/>
        <v>2D</v>
      </c>
      <c r="AB441" s="70" t="s">
        <v>997</v>
      </c>
      <c r="AC441" s="70">
        <v>8</v>
      </c>
      <c r="AD441" s="70">
        <v>34</v>
      </c>
      <c r="AE441" s="70">
        <v>36</v>
      </c>
      <c r="AF441" s="70">
        <v>70</v>
      </c>
      <c r="AG441" s="72">
        <f t="shared" si="267"/>
        <v>0.48571428571428571</v>
      </c>
      <c r="AH441" s="73">
        <f t="shared" si="419"/>
        <v>-42.514285714285712</v>
      </c>
      <c r="AI441" s="74">
        <v>13</v>
      </c>
      <c r="AJ441" s="79" t="s">
        <v>518</v>
      </c>
      <c r="AK441" s="76" t="s">
        <v>780</v>
      </c>
      <c r="AL441" s="67"/>
      <c r="AM441" s="506"/>
      <c r="AN441" s="505"/>
      <c r="AO441" s="515"/>
    </row>
    <row r="442" spans="1:41" ht="14.5">
      <c r="A442" s="58">
        <v>44100</v>
      </c>
      <c r="B442" s="59" t="s">
        <v>615</v>
      </c>
      <c r="C442" s="60" t="s">
        <v>241</v>
      </c>
      <c r="D442" s="60" t="s">
        <v>995</v>
      </c>
      <c r="E442" s="100">
        <v>1</v>
      </c>
      <c r="F442" s="101">
        <v>2</v>
      </c>
      <c r="G442" s="101">
        <v>9</v>
      </c>
      <c r="H442" s="60">
        <v>12</v>
      </c>
      <c r="I442" s="60">
        <v>33</v>
      </c>
      <c r="J442" s="149">
        <f t="shared" si="417"/>
        <v>45</v>
      </c>
      <c r="K442" s="122">
        <f t="shared" si="400"/>
        <v>0.26666666666666666</v>
      </c>
      <c r="L442" s="123">
        <f t="shared" si="263"/>
        <v>-20.733333333333334</v>
      </c>
      <c r="M442" s="64">
        <v>16</v>
      </c>
      <c r="N442" s="64">
        <v>6</v>
      </c>
      <c r="O442" s="64" t="s">
        <v>996</v>
      </c>
      <c r="P442" s="103">
        <v>8</v>
      </c>
      <c r="Q442" s="103">
        <v>11</v>
      </c>
      <c r="R442" s="103"/>
      <c r="S442" s="103"/>
      <c r="T442" s="103"/>
      <c r="U442" s="103"/>
      <c r="V442" s="69"/>
      <c r="W442" s="104"/>
      <c r="X442" s="67">
        <f t="shared" ref="X442:Y442" si="459">(P442+R442+T442+V442)</f>
        <v>8</v>
      </c>
      <c r="Y442" s="67">
        <f t="shared" si="459"/>
        <v>11</v>
      </c>
      <c r="Z442" s="68">
        <f t="shared" si="265"/>
        <v>19</v>
      </c>
      <c r="AA442" s="150" t="str">
        <f t="shared" si="386"/>
        <v>3A</v>
      </c>
      <c r="AB442" s="70" t="s">
        <v>995</v>
      </c>
      <c r="AC442" s="70">
        <v>16</v>
      </c>
      <c r="AD442" s="70">
        <v>15</v>
      </c>
      <c r="AE442" s="70">
        <v>44</v>
      </c>
      <c r="AF442" s="70">
        <v>59</v>
      </c>
      <c r="AG442" s="72">
        <f t="shared" si="267"/>
        <v>0.25423728813559321</v>
      </c>
      <c r="AH442" s="73">
        <f t="shared" si="419"/>
        <v>-61.745762711864408</v>
      </c>
      <c r="AI442" s="74">
        <v>16</v>
      </c>
      <c r="AJ442" s="79" t="s">
        <v>1010</v>
      </c>
      <c r="AK442" s="76" t="s">
        <v>1011</v>
      </c>
      <c r="AL442" s="67"/>
      <c r="AM442" s="506"/>
      <c r="AN442" s="505"/>
      <c r="AO442" s="515"/>
    </row>
    <row r="443" spans="1:41" ht="14.5">
      <c r="A443" s="58">
        <v>44100</v>
      </c>
      <c r="B443" s="59" t="s">
        <v>615</v>
      </c>
      <c r="C443" s="60" t="s">
        <v>246</v>
      </c>
      <c r="D443" s="60" t="s">
        <v>1012</v>
      </c>
      <c r="E443" s="105">
        <v>11</v>
      </c>
      <c r="F443" s="106">
        <v>11</v>
      </c>
      <c r="G443" s="106">
        <v>3</v>
      </c>
      <c r="H443" s="60">
        <v>25</v>
      </c>
      <c r="I443" s="60">
        <v>22</v>
      </c>
      <c r="J443" s="149">
        <f t="shared" si="417"/>
        <v>47</v>
      </c>
      <c r="K443" s="122">
        <f t="shared" si="400"/>
        <v>0.53191489361702127</v>
      </c>
      <c r="L443" s="123">
        <f t="shared" si="263"/>
        <v>-7.4680851063829792</v>
      </c>
      <c r="M443" s="64">
        <v>7</v>
      </c>
      <c r="N443" s="86">
        <v>11</v>
      </c>
      <c r="O443" s="86" t="s">
        <v>1003</v>
      </c>
      <c r="P443" s="113">
        <v>11</v>
      </c>
      <c r="Q443" s="113">
        <v>8</v>
      </c>
      <c r="R443" s="103">
        <v>7</v>
      </c>
      <c r="S443" s="103">
        <v>11</v>
      </c>
      <c r="T443" s="103"/>
      <c r="U443" s="103"/>
      <c r="V443" s="69"/>
      <c r="W443" s="104"/>
      <c r="X443" s="67">
        <f t="shared" ref="X443:Y443" si="460">(P443+R443+T443+V443)</f>
        <v>18</v>
      </c>
      <c r="Y443" s="67">
        <f t="shared" si="460"/>
        <v>19</v>
      </c>
      <c r="Z443" s="68">
        <f t="shared" si="265"/>
        <v>37</v>
      </c>
      <c r="AA443" s="150" t="str">
        <f t="shared" si="386"/>
        <v>3B</v>
      </c>
      <c r="AB443" s="70" t="s">
        <v>1012</v>
      </c>
      <c r="AC443" s="70">
        <v>7</v>
      </c>
      <c r="AD443" s="70">
        <v>35</v>
      </c>
      <c r="AE443" s="70">
        <v>33</v>
      </c>
      <c r="AF443" s="70">
        <v>68</v>
      </c>
      <c r="AG443" s="72">
        <f t="shared" si="267"/>
        <v>0.51470588235294112</v>
      </c>
      <c r="AH443" s="73">
        <f t="shared" si="419"/>
        <v>-41.485294117647058</v>
      </c>
      <c r="AI443" s="74">
        <v>12</v>
      </c>
      <c r="AJ443" s="79" t="s">
        <v>1013</v>
      </c>
      <c r="AK443" s="76" t="s">
        <v>512</v>
      </c>
      <c r="AL443" s="67"/>
      <c r="AM443" s="506"/>
      <c r="AN443" s="505"/>
      <c r="AO443" s="515"/>
    </row>
    <row r="444" spans="1:41" ht="14.5">
      <c r="A444" s="58">
        <v>44100</v>
      </c>
      <c r="B444" s="59" t="s">
        <v>615</v>
      </c>
      <c r="C444" s="60" t="s">
        <v>251</v>
      </c>
      <c r="D444" s="60" t="s">
        <v>128</v>
      </c>
      <c r="E444" s="107">
        <v>11</v>
      </c>
      <c r="F444" s="108">
        <v>11</v>
      </c>
      <c r="G444" s="106">
        <v>11</v>
      </c>
      <c r="H444" s="60">
        <v>33</v>
      </c>
      <c r="I444" s="60">
        <v>13</v>
      </c>
      <c r="J444" s="149">
        <f t="shared" si="417"/>
        <v>46</v>
      </c>
      <c r="K444" s="122">
        <f t="shared" si="400"/>
        <v>0.71739130434782605</v>
      </c>
      <c r="L444" s="123">
        <f t="shared" si="263"/>
        <v>0.71739130434782605</v>
      </c>
      <c r="M444" s="64">
        <v>1</v>
      </c>
      <c r="N444" s="64">
        <v>3</v>
      </c>
      <c r="O444" s="64" t="s">
        <v>127</v>
      </c>
      <c r="P444" s="103">
        <v>11</v>
      </c>
      <c r="Q444" s="103">
        <v>6</v>
      </c>
      <c r="R444" s="103">
        <v>11</v>
      </c>
      <c r="S444" s="103">
        <v>7</v>
      </c>
      <c r="T444" s="103">
        <v>11</v>
      </c>
      <c r="U444" s="103">
        <v>10</v>
      </c>
      <c r="V444" s="69">
        <v>11</v>
      </c>
      <c r="W444" s="104">
        <v>9</v>
      </c>
      <c r="X444" s="67">
        <f t="shared" ref="X444:Y444" si="461">(P444+R444+T444+V444)</f>
        <v>44</v>
      </c>
      <c r="Y444" s="67">
        <f t="shared" si="461"/>
        <v>32</v>
      </c>
      <c r="Z444" s="68">
        <f t="shared" si="265"/>
        <v>76</v>
      </c>
      <c r="AA444" s="150" t="str">
        <f t="shared" si="386"/>
        <v>3C</v>
      </c>
      <c r="AB444" s="70" t="s">
        <v>128</v>
      </c>
      <c r="AC444" s="70">
        <v>1</v>
      </c>
      <c r="AD444" s="70">
        <v>75</v>
      </c>
      <c r="AE444" s="70">
        <v>39</v>
      </c>
      <c r="AF444" s="70">
        <v>114</v>
      </c>
      <c r="AG444" s="72">
        <f t="shared" si="267"/>
        <v>0.65789473684210531</v>
      </c>
      <c r="AH444" s="73">
        <f t="shared" si="419"/>
        <v>-1.3421052631578947</v>
      </c>
      <c r="AI444" s="74">
        <v>2</v>
      </c>
      <c r="AJ444" s="79" t="s">
        <v>525</v>
      </c>
      <c r="AK444" s="76" t="s">
        <v>793</v>
      </c>
      <c r="AL444" s="67"/>
      <c r="AM444" s="506"/>
      <c r="AN444" s="505"/>
      <c r="AO444" s="515"/>
    </row>
    <row r="445" spans="1:41" ht="14.5">
      <c r="A445" s="58">
        <v>44100</v>
      </c>
      <c r="B445" s="59" t="s">
        <v>615</v>
      </c>
      <c r="C445" s="60" t="s">
        <v>256</v>
      </c>
      <c r="D445" s="60" t="s">
        <v>1014</v>
      </c>
      <c r="E445" s="109">
        <v>8</v>
      </c>
      <c r="F445" s="110">
        <v>10</v>
      </c>
      <c r="G445" s="111">
        <v>11</v>
      </c>
      <c r="H445" s="60">
        <v>29</v>
      </c>
      <c r="I445" s="60">
        <v>31</v>
      </c>
      <c r="J445" s="149">
        <f t="shared" si="417"/>
        <v>60</v>
      </c>
      <c r="K445" s="122">
        <f t="shared" si="400"/>
        <v>0.48333333333333334</v>
      </c>
      <c r="L445" s="123">
        <f t="shared" si="263"/>
        <v>-3.5166666666666666</v>
      </c>
      <c r="M445" s="64">
        <v>10</v>
      </c>
      <c r="N445" s="86">
        <v>14</v>
      </c>
      <c r="O445" s="86" t="s">
        <v>1005</v>
      </c>
      <c r="P445" s="113">
        <v>6</v>
      </c>
      <c r="Q445" s="113">
        <v>11</v>
      </c>
      <c r="R445" s="113"/>
      <c r="S445" s="113"/>
      <c r="T445" s="103"/>
      <c r="U445" s="103"/>
      <c r="V445" s="69"/>
      <c r="W445" s="104"/>
      <c r="X445" s="67">
        <f t="shared" ref="X445:Y445" si="462">(P445+R445+T445+V445)</f>
        <v>6</v>
      </c>
      <c r="Y445" s="67">
        <f t="shared" si="462"/>
        <v>11</v>
      </c>
      <c r="Z445" s="68">
        <f t="shared" si="265"/>
        <v>17</v>
      </c>
      <c r="AA445" s="150" t="str">
        <f t="shared" si="386"/>
        <v>3D</v>
      </c>
      <c r="AB445" s="70" t="s">
        <v>1014</v>
      </c>
      <c r="AC445" s="70">
        <v>10</v>
      </c>
      <c r="AD445" s="70">
        <v>48</v>
      </c>
      <c r="AE445" s="70">
        <v>52</v>
      </c>
      <c r="AF445" s="70">
        <v>100</v>
      </c>
      <c r="AG445" s="72">
        <f t="shared" si="267"/>
        <v>0.48</v>
      </c>
      <c r="AH445" s="73">
        <f t="shared" si="419"/>
        <v>-28.52</v>
      </c>
      <c r="AI445" s="74">
        <v>5</v>
      </c>
      <c r="AJ445" s="79" t="s">
        <v>585</v>
      </c>
      <c r="AK445" s="76" t="s">
        <v>753</v>
      </c>
      <c r="AL445" s="67"/>
      <c r="AM445" s="506"/>
      <c r="AN445" s="505"/>
      <c r="AO445" s="515"/>
    </row>
    <row r="446" spans="1:41" ht="14.5">
      <c r="A446" s="58">
        <v>44100</v>
      </c>
      <c r="B446" s="59" t="s">
        <v>615</v>
      </c>
      <c r="C446" s="60" t="s">
        <v>261</v>
      </c>
      <c r="D446" s="60" t="s">
        <v>1009</v>
      </c>
      <c r="E446" s="100">
        <v>9</v>
      </c>
      <c r="F446" s="101">
        <v>5</v>
      </c>
      <c r="G446" s="101">
        <v>9</v>
      </c>
      <c r="H446" s="60">
        <v>23</v>
      </c>
      <c r="I446" s="60">
        <v>33</v>
      </c>
      <c r="J446" s="149">
        <f t="shared" si="417"/>
        <v>56</v>
      </c>
      <c r="K446" s="122">
        <f t="shared" si="400"/>
        <v>0.4107142857142857</v>
      </c>
      <c r="L446" s="123">
        <f t="shared" si="263"/>
        <v>-9.5892857142857135</v>
      </c>
      <c r="M446" s="64">
        <v>13</v>
      </c>
      <c r="N446" s="64">
        <v>7</v>
      </c>
      <c r="O446" s="64" t="s">
        <v>1012</v>
      </c>
      <c r="P446" s="103">
        <v>10</v>
      </c>
      <c r="Q446" s="103">
        <v>11</v>
      </c>
      <c r="R446" s="103"/>
      <c r="S446" s="103"/>
      <c r="T446" s="103"/>
      <c r="U446" s="103"/>
      <c r="V446" s="69"/>
      <c r="W446" s="104"/>
      <c r="X446" s="67">
        <f t="shared" ref="X446:Y446" si="463">(P446+R446+T446+V446)</f>
        <v>10</v>
      </c>
      <c r="Y446" s="67">
        <f t="shared" si="463"/>
        <v>11</v>
      </c>
      <c r="Z446" s="68">
        <f t="shared" si="265"/>
        <v>21</v>
      </c>
      <c r="AA446" s="150" t="str">
        <f t="shared" si="386"/>
        <v>4A</v>
      </c>
      <c r="AB446" s="70" t="s">
        <v>1009</v>
      </c>
      <c r="AC446" s="70">
        <v>13</v>
      </c>
      <c r="AD446" s="70">
        <v>32</v>
      </c>
      <c r="AE446" s="70">
        <v>44</v>
      </c>
      <c r="AF446" s="70">
        <v>76</v>
      </c>
      <c r="AG446" s="72">
        <f t="shared" si="267"/>
        <v>0.42105263157894735</v>
      </c>
      <c r="AH446" s="73">
        <f t="shared" si="419"/>
        <v>-44.578947368421055</v>
      </c>
      <c r="AI446" s="74">
        <v>14</v>
      </c>
      <c r="AJ446" s="79" t="s">
        <v>874</v>
      </c>
      <c r="AK446" s="76" t="s">
        <v>791</v>
      </c>
      <c r="AL446" s="67"/>
      <c r="AM446" s="506"/>
      <c r="AN446" s="505"/>
      <c r="AO446" s="515"/>
    </row>
    <row r="447" spans="1:41" ht="14.5">
      <c r="A447" s="58">
        <v>44100</v>
      </c>
      <c r="B447" s="59" t="s">
        <v>615</v>
      </c>
      <c r="C447" s="60" t="s">
        <v>268</v>
      </c>
      <c r="D447" s="60" t="s">
        <v>1002</v>
      </c>
      <c r="E447" s="105">
        <v>11</v>
      </c>
      <c r="F447" s="106">
        <v>11</v>
      </c>
      <c r="G447" s="106">
        <v>10</v>
      </c>
      <c r="H447" s="60">
        <v>32</v>
      </c>
      <c r="I447" s="60">
        <v>27</v>
      </c>
      <c r="J447" s="149">
        <f t="shared" si="417"/>
        <v>59</v>
      </c>
      <c r="K447" s="122">
        <f t="shared" si="400"/>
        <v>0.5423728813559322</v>
      </c>
      <c r="L447" s="123">
        <f t="shared" si="263"/>
        <v>-0.4576271186440678</v>
      </c>
      <c r="M447" s="64">
        <v>5</v>
      </c>
      <c r="N447" s="86">
        <v>10</v>
      </c>
      <c r="O447" s="86" t="s">
        <v>1014</v>
      </c>
      <c r="P447" s="113">
        <v>11</v>
      </c>
      <c r="Q447" s="113">
        <v>10</v>
      </c>
      <c r="R447" s="103">
        <v>8</v>
      </c>
      <c r="S447" s="103">
        <v>11</v>
      </c>
      <c r="T447" s="103"/>
      <c r="U447" s="103"/>
      <c r="V447" s="69"/>
      <c r="W447" s="104"/>
      <c r="X447" s="67">
        <f t="shared" ref="X447:Y447" si="464">(P447+R447+T447+V447)</f>
        <v>19</v>
      </c>
      <c r="Y447" s="67">
        <f t="shared" si="464"/>
        <v>21</v>
      </c>
      <c r="Z447" s="68">
        <f t="shared" si="265"/>
        <v>40</v>
      </c>
      <c r="AA447" s="150" t="str">
        <f t="shared" si="386"/>
        <v>4B</v>
      </c>
      <c r="AB447" s="70" t="s">
        <v>1002</v>
      </c>
      <c r="AC447" s="70">
        <v>5</v>
      </c>
      <c r="AD447" s="70">
        <v>39</v>
      </c>
      <c r="AE447" s="70">
        <v>38</v>
      </c>
      <c r="AF447" s="70">
        <v>77</v>
      </c>
      <c r="AG447" s="72">
        <f t="shared" si="267"/>
        <v>0.50649350649350644</v>
      </c>
      <c r="AH447" s="73">
        <f t="shared" si="419"/>
        <v>-37.493506493506494</v>
      </c>
      <c r="AI447" s="74">
        <v>10</v>
      </c>
      <c r="AJ447" s="79" t="s">
        <v>940</v>
      </c>
      <c r="AK447" s="76" t="s">
        <v>632</v>
      </c>
      <c r="AL447" s="67"/>
      <c r="AM447" s="506"/>
      <c r="AN447" s="505"/>
      <c r="AO447" s="515"/>
    </row>
    <row r="448" spans="1:41" ht="14.5">
      <c r="A448" s="58">
        <v>44100</v>
      </c>
      <c r="B448" s="59" t="s">
        <v>615</v>
      </c>
      <c r="C448" s="60" t="s">
        <v>271</v>
      </c>
      <c r="D448" s="60" t="s">
        <v>1000</v>
      </c>
      <c r="E448" s="107">
        <v>4</v>
      </c>
      <c r="F448" s="108">
        <v>11</v>
      </c>
      <c r="G448" s="106">
        <v>11</v>
      </c>
      <c r="H448" s="60">
        <v>26</v>
      </c>
      <c r="I448" s="60">
        <v>26</v>
      </c>
      <c r="J448" s="149">
        <f t="shared" si="417"/>
        <v>52</v>
      </c>
      <c r="K448" s="122">
        <f t="shared" si="400"/>
        <v>0.5</v>
      </c>
      <c r="L448" s="123">
        <f t="shared" si="263"/>
        <v>-6.5</v>
      </c>
      <c r="M448" s="64">
        <v>9</v>
      </c>
      <c r="N448" s="64">
        <v>2</v>
      </c>
      <c r="O448" s="64" t="s">
        <v>991</v>
      </c>
      <c r="P448" s="103">
        <v>9</v>
      </c>
      <c r="Q448" s="103">
        <v>11</v>
      </c>
      <c r="R448" s="103"/>
      <c r="S448" s="103"/>
      <c r="T448" s="103"/>
      <c r="U448" s="103"/>
      <c r="V448" s="69"/>
      <c r="W448" s="104"/>
      <c r="X448" s="67">
        <f t="shared" ref="X448:Y448" si="465">(P448+R448+T448+V448)</f>
        <v>9</v>
      </c>
      <c r="Y448" s="67">
        <f t="shared" si="465"/>
        <v>11</v>
      </c>
      <c r="Z448" s="68">
        <f t="shared" si="265"/>
        <v>20</v>
      </c>
      <c r="AA448" s="150" t="str">
        <f t="shared" si="386"/>
        <v>4C</v>
      </c>
      <c r="AB448" s="70" t="s">
        <v>1000</v>
      </c>
      <c r="AC448" s="70">
        <v>9</v>
      </c>
      <c r="AD448" s="70">
        <v>39</v>
      </c>
      <c r="AE448" s="70">
        <v>45</v>
      </c>
      <c r="AF448" s="70">
        <v>84</v>
      </c>
      <c r="AG448" s="72">
        <f t="shared" si="267"/>
        <v>0.4642857142857143</v>
      </c>
      <c r="AH448" s="73">
        <f t="shared" si="419"/>
        <v>-37.535714285714285</v>
      </c>
      <c r="AI448" s="74">
        <v>11</v>
      </c>
      <c r="AJ448" s="79" t="s">
        <v>917</v>
      </c>
      <c r="AK448" s="76" t="s">
        <v>1015</v>
      </c>
      <c r="AL448" s="67"/>
      <c r="AM448" s="506"/>
      <c r="AN448" s="505"/>
      <c r="AO448" s="515"/>
    </row>
    <row r="449" spans="1:41" ht="14.5">
      <c r="A449" s="87">
        <v>44100</v>
      </c>
      <c r="B449" s="88" t="s">
        <v>615</v>
      </c>
      <c r="C449" s="89" t="s">
        <v>276</v>
      </c>
      <c r="D449" s="89" t="s">
        <v>1006</v>
      </c>
      <c r="E449" s="109">
        <v>11</v>
      </c>
      <c r="F449" s="110">
        <v>7</v>
      </c>
      <c r="G449" s="111">
        <v>11</v>
      </c>
      <c r="H449" s="89">
        <v>29</v>
      </c>
      <c r="I449" s="89">
        <v>24</v>
      </c>
      <c r="J449" s="152">
        <f t="shared" si="417"/>
        <v>53</v>
      </c>
      <c r="K449" s="153">
        <f t="shared" si="400"/>
        <v>0.54716981132075471</v>
      </c>
      <c r="L449" s="154">
        <f t="shared" si="263"/>
        <v>-3.4528301886792452</v>
      </c>
      <c r="M449" s="86">
        <v>4</v>
      </c>
      <c r="N449" s="86">
        <v>15</v>
      </c>
      <c r="O449" s="86" t="s">
        <v>999</v>
      </c>
      <c r="P449" s="113">
        <v>11</v>
      </c>
      <c r="Q449" s="113">
        <v>9</v>
      </c>
      <c r="R449" s="113">
        <v>11</v>
      </c>
      <c r="S449" s="113">
        <v>8</v>
      </c>
      <c r="T449" s="113">
        <v>10</v>
      </c>
      <c r="U449" s="113">
        <v>11</v>
      </c>
      <c r="V449" s="93"/>
      <c r="W449" s="114"/>
      <c r="X449" s="92">
        <f t="shared" ref="X449:Y449" si="466">(P449+R449+T449+V449)</f>
        <v>32</v>
      </c>
      <c r="Y449" s="92">
        <f t="shared" si="466"/>
        <v>28</v>
      </c>
      <c r="Z449" s="84">
        <f t="shared" si="265"/>
        <v>60</v>
      </c>
      <c r="AA449" s="155" t="str">
        <f t="shared" si="386"/>
        <v>4D</v>
      </c>
      <c r="AB449" s="94" t="s">
        <v>1006</v>
      </c>
      <c r="AC449" s="94">
        <v>4</v>
      </c>
      <c r="AD449" s="94">
        <v>48</v>
      </c>
      <c r="AE449" s="94">
        <v>44</v>
      </c>
      <c r="AF449" s="94">
        <v>92</v>
      </c>
      <c r="AG449" s="95">
        <f t="shared" si="267"/>
        <v>0.52173913043478259</v>
      </c>
      <c r="AH449" s="96">
        <f t="shared" si="419"/>
        <v>-28.478260869565219</v>
      </c>
      <c r="AI449" s="97">
        <v>4</v>
      </c>
      <c r="AJ449" s="98" t="s">
        <v>1016</v>
      </c>
      <c r="AK449" s="81" t="s">
        <v>647</v>
      </c>
      <c r="AL449" s="67"/>
      <c r="AM449" s="506"/>
      <c r="AN449" s="505"/>
      <c r="AO449" s="515"/>
    </row>
    <row r="450" spans="1:41" ht="14.5">
      <c r="A450" s="58">
        <v>44121</v>
      </c>
      <c r="B450" s="59" t="s">
        <v>428</v>
      </c>
      <c r="C450" s="60" t="s">
        <v>205</v>
      </c>
      <c r="D450" s="60" t="s">
        <v>1017</v>
      </c>
      <c r="E450" s="100">
        <v>11</v>
      </c>
      <c r="F450" s="101">
        <v>11</v>
      </c>
      <c r="G450" s="101">
        <v>4</v>
      </c>
      <c r="H450" s="60">
        <v>26</v>
      </c>
      <c r="I450" s="60">
        <v>30</v>
      </c>
      <c r="J450" s="149">
        <f t="shared" si="417"/>
        <v>56</v>
      </c>
      <c r="K450" s="122">
        <f t="shared" si="400"/>
        <v>0.4642857142857143</v>
      </c>
      <c r="L450" s="123">
        <f t="shared" si="263"/>
        <v>-6.5357142857142856</v>
      </c>
      <c r="M450" s="64">
        <v>10</v>
      </c>
      <c r="N450" s="61">
        <v>1</v>
      </c>
      <c r="O450" s="61" t="s">
        <v>1018</v>
      </c>
      <c r="P450" s="115">
        <v>11</v>
      </c>
      <c r="Q450" s="115">
        <v>4</v>
      </c>
      <c r="R450" s="115">
        <v>11</v>
      </c>
      <c r="S450" s="115">
        <v>4</v>
      </c>
      <c r="T450" s="115">
        <v>11</v>
      </c>
      <c r="U450" s="115">
        <v>8</v>
      </c>
      <c r="V450" s="116">
        <v>11</v>
      </c>
      <c r="W450" s="117">
        <v>9</v>
      </c>
      <c r="X450" s="67">
        <f t="shared" ref="X450:Y450" si="467">(P450+R450+T450+V450)</f>
        <v>44</v>
      </c>
      <c r="Y450" s="67">
        <f t="shared" si="467"/>
        <v>25</v>
      </c>
      <c r="Z450" s="68">
        <f t="shared" si="265"/>
        <v>69</v>
      </c>
      <c r="AA450" s="150" t="str">
        <f t="shared" si="386"/>
        <v>1A</v>
      </c>
      <c r="AB450" s="70" t="s">
        <v>1017</v>
      </c>
      <c r="AC450" s="70">
        <v>10</v>
      </c>
      <c r="AD450" s="70">
        <v>31</v>
      </c>
      <c r="AE450" s="70">
        <v>41</v>
      </c>
      <c r="AF450" s="70">
        <v>72</v>
      </c>
      <c r="AG450" s="72">
        <f t="shared" si="267"/>
        <v>0.43055555555555558</v>
      </c>
      <c r="AH450" s="73">
        <f t="shared" si="419"/>
        <v>-45.569444444444443</v>
      </c>
      <c r="AI450" s="74">
        <v>10</v>
      </c>
      <c r="AJ450" s="79" t="s">
        <v>421</v>
      </c>
      <c r="AK450" s="76" t="s">
        <v>929</v>
      </c>
      <c r="AL450" s="67"/>
      <c r="AM450" s="506"/>
      <c r="AN450" s="505"/>
      <c r="AO450" s="515"/>
    </row>
    <row r="451" spans="1:41" ht="14.5">
      <c r="A451" s="58">
        <v>44121</v>
      </c>
      <c r="B451" s="59" t="s">
        <v>428</v>
      </c>
      <c r="C451" s="60" t="s">
        <v>211</v>
      </c>
      <c r="D451" s="60" t="s">
        <v>1019</v>
      </c>
      <c r="E451" s="105">
        <v>10</v>
      </c>
      <c r="F451" s="106">
        <v>5</v>
      </c>
      <c r="G451" s="106">
        <v>5</v>
      </c>
      <c r="H451" s="60">
        <v>20</v>
      </c>
      <c r="I451" s="60">
        <v>33</v>
      </c>
      <c r="J451" s="149">
        <f t="shared" si="417"/>
        <v>53</v>
      </c>
      <c r="K451" s="122">
        <f t="shared" si="400"/>
        <v>0.37735849056603776</v>
      </c>
      <c r="L451" s="123">
        <f t="shared" si="263"/>
        <v>-12.622641509433961</v>
      </c>
      <c r="M451" s="64">
        <v>13</v>
      </c>
      <c r="N451" s="86">
        <v>16</v>
      </c>
      <c r="O451" s="86" t="s">
        <v>1020</v>
      </c>
      <c r="P451" s="113">
        <v>4</v>
      </c>
      <c r="Q451" s="113">
        <v>11</v>
      </c>
      <c r="R451" s="103"/>
      <c r="S451" s="103"/>
      <c r="T451" s="103"/>
      <c r="U451" s="103"/>
      <c r="V451" s="69"/>
      <c r="W451" s="104"/>
      <c r="X451" s="67">
        <f t="shared" ref="X451:Y451" si="468">(P451+R451+T451+V451)</f>
        <v>4</v>
      </c>
      <c r="Y451" s="67">
        <f t="shared" si="468"/>
        <v>11</v>
      </c>
      <c r="Z451" s="68">
        <f t="shared" si="265"/>
        <v>15</v>
      </c>
      <c r="AA451" s="150" t="str">
        <f t="shared" si="386"/>
        <v>1B</v>
      </c>
      <c r="AB451" s="70" t="s">
        <v>1019</v>
      </c>
      <c r="AC451" s="70">
        <v>13</v>
      </c>
      <c r="AD451" s="70">
        <v>21</v>
      </c>
      <c r="AE451" s="70">
        <v>44</v>
      </c>
      <c r="AF451" s="70">
        <v>65</v>
      </c>
      <c r="AG451" s="72">
        <f t="shared" si="267"/>
        <v>0.32307692307692309</v>
      </c>
      <c r="AH451" s="73">
        <f t="shared" si="419"/>
        <v>-55.676923076923075</v>
      </c>
      <c r="AI451" s="74">
        <v>15</v>
      </c>
      <c r="AJ451" s="79" t="s">
        <v>655</v>
      </c>
      <c r="AK451" s="76" t="s">
        <v>837</v>
      </c>
      <c r="AL451" s="67"/>
      <c r="AM451" s="506"/>
      <c r="AN451" s="505"/>
      <c r="AO451" s="515"/>
    </row>
    <row r="452" spans="1:41" ht="14.5">
      <c r="A452" s="58">
        <v>44121</v>
      </c>
      <c r="B452" s="59" t="s">
        <v>428</v>
      </c>
      <c r="C452" s="60" t="s">
        <v>216</v>
      </c>
      <c r="D452" s="60" t="s">
        <v>1021</v>
      </c>
      <c r="E452" s="107">
        <v>7</v>
      </c>
      <c r="F452" s="108">
        <v>9</v>
      </c>
      <c r="G452" s="106">
        <v>11</v>
      </c>
      <c r="H452" s="60">
        <v>27</v>
      </c>
      <c r="I452" s="60">
        <v>27</v>
      </c>
      <c r="J452" s="149">
        <f t="shared" si="417"/>
        <v>54</v>
      </c>
      <c r="K452" s="122">
        <f t="shared" si="400"/>
        <v>0.5</v>
      </c>
      <c r="L452" s="123">
        <f t="shared" si="263"/>
        <v>-5.5</v>
      </c>
      <c r="M452" s="64">
        <v>8</v>
      </c>
      <c r="N452" s="64">
        <v>8</v>
      </c>
      <c r="O452" s="64" t="s">
        <v>1021</v>
      </c>
      <c r="P452" s="103">
        <v>10</v>
      </c>
      <c r="Q452" s="103">
        <v>11</v>
      </c>
      <c r="R452" s="103"/>
      <c r="S452" s="103"/>
      <c r="T452" s="103"/>
      <c r="U452" s="103"/>
      <c r="V452" s="69"/>
      <c r="W452" s="104"/>
      <c r="X452" s="67">
        <f t="shared" ref="X452:Y452" si="469">(P452+R452+T452+V452)</f>
        <v>10</v>
      </c>
      <c r="Y452" s="67">
        <f t="shared" si="469"/>
        <v>11</v>
      </c>
      <c r="Z452" s="68">
        <f t="shared" si="265"/>
        <v>21</v>
      </c>
      <c r="AA452" s="150" t="str">
        <f t="shared" si="386"/>
        <v>1C</v>
      </c>
      <c r="AB452" s="70" t="s">
        <v>1021</v>
      </c>
      <c r="AC452" s="70">
        <v>8</v>
      </c>
      <c r="AD452" s="70">
        <v>37</v>
      </c>
      <c r="AE452" s="70">
        <v>38</v>
      </c>
      <c r="AF452" s="70">
        <v>75</v>
      </c>
      <c r="AG452" s="72">
        <f t="shared" si="267"/>
        <v>0.49333333333333335</v>
      </c>
      <c r="AH452" s="73">
        <f t="shared" si="419"/>
        <v>-39.506666666666668</v>
      </c>
      <c r="AI452" s="74">
        <v>9</v>
      </c>
      <c r="AJ452" s="79" t="s">
        <v>971</v>
      </c>
      <c r="AK452" s="85" t="s">
        <v>785</v>
      </c>
      <c r="AL452" s="67"/>
      <c r="AM452" s="506"/>
      <c r="AN452" s="505"/>
      <c r="AO452" s="515"/>
    </row>
    <row r="453" spans="1:41" ht="14.5">
      <c r="A453" s="58">
        <v>44121</v>
      </c>
      <c r="B453" s="59" t="s">
        <v>428</v>
      </c>
      <c r="C453" s="60" t="s">
        <v>221</v>
      </c>
      <c r="D453" s="60" t="s">
        <v>133</v>
      </c>
      <c r="E453" s="109">
        <v>11</v>
      </c>
      <c r="F453" s="110">
        <v>11</v>
      </c>
      <c r="G453" s="111">
        <v>11</v>
      </c>
      <c r="H453" s="60">
        <v>33</v>
      </c>
      <c r="I453" s="60">
        <v>16</v>
      </c>
      <c r="J453" s="149">
        <f t="shared" si="417"/>
        <v>49</v>
      </c>
      <c r="K453" s="122">
        <f t="shared" si="400"/>
        <v>0.67346938775510201</v>
      </c>
      <c r="L453" s="123">
        <f t="shared" si="263"/>
        <v>0.67346938775510201</v>
      </c>
      <c r="M453" s="64">
        <v>3</v>
      </c>
      <c r="N453" s="86">
        <v>9</v>
      </c>
      <c r="O453" s="86" t="s">
        <v>1022</v>
      </c>
      <c r="P453" s="113">
        <v>11</v>
      </c>
      <c r="Q453" s="113">
        <v>10</v>
      </c>
      <c r="R453" s="113">
        <v>4</v>
      </c>
      <c r="S453" s="113">
        <v>11</v>
      </c>
      <c r="T453" s="103"/>
      <c r="U453" s="103"/>
      <c r="V453" s="69"/>
      <c r="W453" s="104"/>
      <c r="X453" s="67">
        <f t="shared" ref="X453:Y453" si="470">(P453+R453+T453+V453)</f>
        <v>15</v>
      </c>
      <c r="Y453" s="67">
        <f t="shared" si="470"/>
        <v>21</v>
      </c>
      <c r="Z453" s="68">
        <f t="shared" si="265"/>
        <v>36</v>
      </c>
      <c r="AA453" s="150" t="str">
        <f t="shared" si="386"/>
        <v>1D</v>
      </c>
      <c r="AB453" s="70" t="s">
        <v>133</v>
      </c>
      <c r="AC453" s="70">
        <v>3</v>
      </c>
      <c r="AD453" s="70">
        <v>75</v>
      </c>
      <c r="AE453" s="70">
        <v>49</v>
      </c>
      <c r="AF453" s="70">
        <v>124</v>
      </c>
      <c r="AG453" s="72">
        <f t="shared" si="267"/>
        <v>0.60483870967741937</v>
      </c>
      <c r="AH453" s="73">
        <f t="shared" si="419"/>
        <v>-1.3951612903225805</v>
      </c>
      <c r="AI453" s="74">
        <v>2</v>
      </c>
      <c r="AJ453" s="79" t="s">
        <v>866</v>
      </c>
      <c r="AK453" s="76" t="s">
        <v>585</v>
      </c>
      <c r="AL453" s="67"/>
      <c r="AM453" s="506"/>
      <c r="AN453" s="505"/>
      <c r="AO453" s="515"/>
    </row>
    <row r="454" spans="1:41" ht="14.5">
      <c r="A454" s="58">
        <v>44121</v>
      </c>
      <c r="B454" s="59" t="s">
        <v>428</v>
      </c>
      <c r="C454" s="60" t="s">
        <v>224</v>
      </c>
      <c r="D454" s="60" t="s">
        <v>1023</v>
      </c>
      <c r="E454" s="100">
        <v>11</v>
      </c>
      <c r="F454" s="101">
        <v>10</v>
      </c>
      <c r="G454" s="101">
        <v>11</v>
      </c>
      <c r="H454" s="60">
        <v>32</v>
      </c>
      <c r="I454" s="60">
        <v>24</v>
      </c>
      <c r="J454" s="149">
        <f t="shared" si="417"/>
        <v>56</v>
      </c>
      <c r="K454" s="122">
        <f t="shared" si="400"/>
        <v>0.5714285714285714</v>
      </c>
      <c r="L454" s="123">
        <f t="shared" si="263"/>
        <v>-0.4285714285714286</v>
      </c>
      <c r="M454" s="64">
        <v>4</v>
      </c>
      <c r="N454" s="64">
        <v>5</v>
      </c>
      <c r="O454" s="64" t="s">
        <v>1024</v>
      </c>
      <c r="P454" s="103">
        <v>11</v>
      </c>
      <c r="Q454" s="103">
        <v>2</v>
      </c>
      <c r="R454" s="103">
        <v>4</v>
      </c>
      <c r="S454" s="103">
        <v>11</v>
      </c>
      <c r="T454" s="103"/>
      <c r="U454" s="103"/>
      <c r="V454" s="69"/>
      <c r="W454" s="104"/>
      <c r="X454" s="67">
        <f t="shared" ref="X454:Y454" si="471">(P454+R454+T454+V454)</f>
        <v>15</v>
      </c>
      <c r="Y454" s="67">
        <f t="shared" si="471"/>
        <v>13</v>
      </c>
      <c r="Z454" s="68">
        <f t="shared" si="265"/>
        <v>28</v>
      </c>
      <c r="AA454" s="150" t="str">
        <f t="shared" si="386"/>
        <v>2A</v>
      </c>
      <c r="AB454" s="70" t="s">
        <v>1023</v>
      </c>
      <c r="AC454" s="70">
        <v>4</v>
      </c>
      <c r="AD454" s="70">
        <v>62</v>
      </c>
      <c r="AE454" s="70">
        <v>40</v>
      </c>
      <c r="AF454" s="70">
        <v>102</v>
      </c>
      <c r="AG454" s="72">
        <f t="shared" si="267"/>
        <v>0.60784313725490191</v>
      </c>
      <c r="AH454" s="73">
        <f t="shared" si="419"/>
        <v>-14.392156862745098</v>
      </c>
      <c r="AI454" s="74">
        <v>4</v>
      </c>
      <c r="AJ454" s="79" t="s">
        <v>908</v>
      </c>
      <c r="AK454" s="76" t="s">
        <v>632</v>
      </c>
      <c r="AL454" s="67"/>
      <c r="AM454" s="506"/>
      <c r="AN454" s="505"/>
      <c r="AO454" s="515"/>
    </row>
    <row r="455" spans="1:41" ht="14.5">
      <c r="A455" s="58">
        <v>44121</v>
      </c>
      <c r="B455" s="59" t="s">
        <v>428</v>
      </c>
      <c r="C455" s="60" t="s">
        <v>228</v>
      </c>
      <c r="D455" s="60" t="s">
        <v>1025</v>
      </c>
      <c r="E455" s="105">
        <v>7</v>
      </c>
      <c r="F455" s="106">
        <v>6</v>
      </c>
      <c r="G455" s="106">
        <v>7</v>
      </c>
      <c r="H455" s="60">
        <v>20</v>
      </c>
      <c r="I455" s="60">
        <v>33</v>
      </c>
      <c r="J455" s="149">
        <f t="shared" si="417"/>
        <v>53</v>
      </c>
      <c r="K455" s="122">
        <f t="shared" si="400"/>
        <v>0.37735849056603776</v>
      </c>
      <c r="L455" s="123">
        <f t="shared" si="263"/>
        <v>-12.622641509433961</v>
      </c>
      <c r="M455" s="64">
        <v>14</v>
      </c>
      <c r="N455" s="86">
        <v>12</v>
      </c>
      <c r="O455" s="86" t="s">
        <v>1026</v>
      </c>
      <c r="P455" s="113">
        <v>2</v>
      </c>
      <c r="Q455" s="113">
        <v>11</v>
      </c>
      <c r="R455" s="103"/>
      <c r="S455" s="103"/>
      <c r="T455" s="103"/>
      <c r="U455" s="103"/>
      <c r="V455" s="69"/>
      <c r="W455" s="104"/>
      <c r="X455" s="67">
        <f t="shared" ref="X455:Y455" si="472">(P455+R455+T455+V455)</f>
        <v>2</v>
      </c>
      <c r="Y455" s="67">
        <f t="shared" si="472"/>
        <v>11</v>
      </c>
      <c r="Z455" s="68">
        <f t="shared" si="265"/>
        <v>13</v>
      </c>
      <c r="AA455" s="150" t="str">
        <f t="shared" si="386"/>
        <v>2B</v>
      </c>
      <c r="AB455" s="70" t="s">
        <v>1025</v>
      </c>
      <c r="AC455" s="70">
        <v>14</v>
      </c>
      <c r="AD455" s="70">
        <v>25</v>
      </c>
      <c r="AE455" s="70">
        <v>44</v>
      </c>
      <c r="AF455" s="70">
        <v>69</v>
      </c>
      <c r="AG455" s="72">
        <f t="shared" si="267"/>
        <v>0.36231884057971014</v>
      </c>
      <c r="AH455" s="73">
        <f t="shared" si="419"/>
        <v>-51.637681159420289</v>
      </c>
      <c r="AI455" s="74">
        <v>13</v>
      </c>
      <c r="AJ455" s="79" t="s">
        <v>820</v>
      </c>
      <c r="AK455" s="76" t="s">
        <v>687</v>
      </c>
      <c r="AL455" s="67"/>
      <c r="AM455" s="506"/>
      <c r="AN455" s="505"/>
      <c r="AO455" s="515"/>
    </row>
    <row r="456" spans="1:41" ht="14.5">
      <c r="A456" s="58">
        <v>44121</v>
      </c>
      <c r="B456" s="59" t="s">
        <v>428</v>
      </c>
      <c r="C456" s="60" t="s">
        <v>232</v>
      </c>
      <c r="D456" s="60" t="s">
        <v>1024</v>
      </c>
      <c r="E456" s="107">
        <v>11</v>
      </c>
      <c r="F456" s="108">
        <v>11</v>
      </c>
      <c r="G456" s="106">
        <v>11</v>
      </c>
      <c r="H456" s="60">
        <v>33</v>
      </c>
      <c r="I456" s="60">
        <v>26</v>
      </c>
      <c r="J456" s="149">
        <f t="shared" si="417"/>
        <v>59</v>
      </c>
      <c r="K456" s="122">
        <f t="shared" si="400"/>
        <v>0.55932203389830504</v>
      </c>
      <c r="L456" s="123">
        <f t="shared" si="263"/>
        <v>0.55932203389830504</v>
      </c>
      <c r="M456" s="64">
        <v>5</v>
      </c>
      <c r="N456" s="64">
        <v>4</v>
      </c>
      <c r="O456" s="64" t="s">
        <v>1023</v>
      </c>
      <c r="P456" s="103">
        <v>11</v>
      </c>
      <c r="Q456" s="103">
        <v>1</v>
      </c>
      <c r="R456" s="103">
        <v>11</v>
      </c>
      <c r="S456" s="103">
        <v>4</v>
      </c>
      <c r="T456" s="103">
        <v>8</v>
      </c>
      <c r="U456" s="103">
        <v>11</v>
      </c>
      <c r="V456" s="69"/>
      <c r="W456" s="104"/>
      <c r="X456" s="67">
        <f t="shared" ref="X456:Y456" si="473">(P456+R456+T456+V456)</f>
        <v>30</v>
      </c>
      <c r="Y456" s="67">
        <f t="shared" si="473"/>
        <v>16</v>
      </c>
      <c r="Z456" s="68">
        <f t="shared" si="265"/>
        <v>46</v>
      </c>
      <c r="AA456" s="150" t="str">
        <f t="shared" si="386"/>
        <v>2C</v>
      </c>
      <c r="AB456" s="70" t="s">
        <v>1024</v>
      </c>
      <c r="AC456" s="70">
        <v>5</v>
      </c>
      <c r="AD456" s="70">
        <v>48</v>
      </c>
      <c r="AE456" s="70">
        <v>39</v>
      </c>
      <c r="AF456" s="70">
        <v>87</v>
      </c>
      <c r="AG456" s="72">
        <f t="shared" si="267"/>
        <v>0.55172413793103448</v>
      </c>
      <c r="AH456" s="73">
        <f t="shared" si="419"/>
        <v>-28.448275862068964</v>
      </c>
      <c r="AI456" s="74">
        <v>5</v>
      </c>
      <c r="AJ456" s="79" t="s">
        <v>559</v>
      </c>
      <c r="AK456" s="76" t="s">
        <v>1027</v>
      </c>
      <c r="AL456" s="67"/>
      <c r="AM456" s="506"/>
      <c r="AN456" s="505"/>
      <c r="AO456" s="515"/>
    </row>
    <row r="457" spans="1:41" ht="14.5">
      <c r="A457" s="58">
        <v>44121</v>
      </c>
      <c r="B457" s="59" t="s">
        <v>428</v>
      </c>
      <c r="C457" s="60" t="s">
        <v>237</v>
      </c>
      <c r="D457" s="60" t="s">
        <v>1022</v>
      </c>
      <c r="E457" s="109">
        <v>9</v>
      </c>
      <c r="F457" s="110">
        <v>11</v>
      </c>
      <c r="G457" s="111">
        <v>6</v>
      </c>
      <c r="H457" s="60">
        <v>26</v>
      </c>
      <c r="I457" s="60">
        <v>28</v>
      </c>
      <c r="J457" s="149">
        <f t="shared" si="417"/>
        <v>54</v>
      </c>
      <c r="K457" s="122">
        <f t="shared" si="400"/>
        <v>0.48148148148148145</v>
      </c>
      <c r="L457" s="123">
        <f t="shared" si="263"/>
        <v>-6.5185185185185182</v>
      </c>
      <c r="M457" s="64">
        <v>9</v>
      </c>
      <c r="N457" s="86">
        <v>13</v>
      </c>
      <c r="O457" s="86" t="s">
        <v>1019</v>
      </c>
      <c r="P457" s="113">
        <v>1</v>
      </c>
      <c r="Q457" s="113">
        <v>11</v>
      </c>
      <c r="R457" s="113"/>
      <c r="S457" s="113"/>
      <c r="T457" s="113"/>
      <c r="U457" s="113"/>
      <c r="V457" s="93"/>
      <c r="W457" s="114"/>
      <c r="X457" s="67">
        <f t="shared" ref="X457:Y457" si="474">(P457+R457+T457+V457)</f>
        <v>1</v>
      </c>
      <c r="Y457" s="67">
        <f t="shared" si="474"/>
        <v>11</v>
      </c>
      <c r="Z457" s="68">
        <f t="shared" si="265"/>
        <v>12</v>
      </c>
      <c r="AA457" s="150" t="str">
        <f t="shared" si="386"/>
        <v>2D</v>
      </c>
      <c r="AB457" s="70" t="s">
        <v>1022</v>
      </c>
      <c r="AC457" s="70">
        <v>9</v>
      </c>
      <c r="AD457" s="70">
        <v>41</v>
      </c>
      <c r="AE457" s="70">
        <v>49</v>
      </c>
      <c r="AF457" s="70">
        <v>90</v>
      </c>
      <c r="AG457" s="72">
        <f t="shared" si="267"/>
        <v>0.45555555555555555</v>
      </c>
      <c r="AH457" s="73">
        <f t="shared" si="419"/>
        <v>-35.544444444444444</v>
      </c>
      <c r="AI457" s="74">
        <v>8</v>
      </c>
      <c r="AJ457" s="79" t="s">
        <v>23</v>
      </c>
      <c r="AK457" s="76" t="s">
        <v>1007</v>
      </c>
      <c r="AL457" s="67"/>
      <c r="AM457" s="506"/>
      <c r="AN457" s="505"/>
      <c r="AO457" s="515"/>
    </row>
    <row r="458" spans="1:41" ht="14.5">
      <c r="A458" s="58">
        <v>44121</v>
      </c>
      <c r="B458" s="59" t="s">
        <v>428</v>
      </c>
      <c r="C458" s="60" t="s">
        <v>241</v>
      </c>
      <c r="D458" s="60" t="s">
        <v>1028</v>
      </c>
      <c r="E458" s="100">
        <v>11</v>
      </c>
      <c r="F458" s="101">
        <v>11</v>
      </c>
      <c r="G458" s="101">
        <v>6</v>
      </c>
      <c r="H458" s="60">
        <v>28</v>
      </c>
      <c r="I458" s="60">
        <v>26</v>
      </c>
      <c r="J458" s="149">
        <f t="shared" si="417"/>
        <v>54</v>
      </c>
      <c r="K458" s="122">
        <f t="shared" si="400"/>
        <v>0.51851851851851849</v>
      </c>
      <c r="L458" s="123">
        <f t="shared" si="263"/>
        <v>-4.4814814814814818</v>
      </c>
      <c r="M458" s="64">
        <v>7</v>
      </c>
      <c r="N458" s="64">
        <v>6</v>
      </c>
      <c r="O458" s="64" t="s">
        <v>1029</v>
      </c>
      <c r="P458" s="103">
        <v>11</v>
      </c>
      <c r="Q458" s="103">
        <v>8</v>
      </c>
      <c r="R458" s="103">
        <v>7</v>
      </c>
      <c r="S458" s="103">
        <v>11</v>
      </c>
      <c r="T458" s="103"/>
      <c r="U458" s="103"/>
      <c r="V458" s="69"/>
      <c r="W458" s="104"/>
      <c r="X458" s="67">
        <f t="shared" ref="X458:Y458" si="475">(P458+R458+T458+V458)</f>
        <v>18</v>
      </c>
      <c r="Y458" s="67">
        <f t="shared" si="475"/>
        <v>19</v>
      </c>
      <c r="Z458" s="68">
        <f t="shared" si="265"/>
        <v>37</v>
      </c>
      <c r="AA458" s="150" t="str">
        <f t="shared" si="386"/>
        <v>3A</v>
      </c>
      <c r="AB458" s="70" t="s">
        <v>1028</v>
      </c>
      <c r="AC458" s="70">
        <v>7</v>
      </c>
      <c r="AD458" s="70">
        <v>43</v>
      </c>
      <c r="AE458" s="70">
        <v>42</v>
      </c>
      <c r="AF458" s="70">
        <v>85</v>
      </c>
      <c r="AG458" s="72">
        <f t="shared" si="267"/>
        <v>0.50588235294117645</v>
      </c>
      <c r="AH458" s="73">
        <f t="shared" si="419"/>
        <v>-33.494117647058822</v>
      </c>
      <c r="AI458" s="74">
        <v>7</v>
      </c>
      <c r="AJ458" s="79" t="s">
        <v>260</v>
      </c>
      <c r="AK458" s="76" t="s">
        <v>876</v>
      </c>
      <c r="AL458" s="67"/>
      <c r="AM458" s="506"/>
      <c r="AN458" s="505"/>
      <c r="AO458" s="515"/>
    </row>
    <row r="459" spans="1:41" ht="14.5">
      <c r="A459" s="58">
        <v>44121</v>
      </c>
      <c r="B459" s="59" t="s">
        <v>428</v>
      </c>
      <c r="C459" s="60" t="s">
        <v>246</v>
      </c>
      <c r="D459" s="60" t="s">
        <v>1020</v>
      </c>
      <c r="E459" s="105">
        <v>9</v>
      </c>
      <c r="F459" s="106">
        <v>3</v>
      </c>
      <c r="G459" s="106">
        <v>5</v>
      </c>
      <c r="H459" s="60">
        <v>17</v>
      </c>
      <c r="I459" s="60">
        <v>33</v>
      </c>
      <c r="J459" s="149">
        <f t="shared" si="417"/>
        <v>50</v>
      </c>
      <c r="K459" s="122">
        <f t="shared" si="400"/>
        <v>0.34</v>
      </c>
      <c r="L459" s="123">
        <f t="shared" si="263"/>
        <v>-15.66</v>
      </c>
      <c r="M459" s="64">
        <v>16</v>
      </c>
      <c r="N459" s="86">
        <v>11</v>
      </c>
      <c r="O459" s="86" t="s">
        <v>1030</v>
      </c>
      <c r="P459" s="113">
        <v>8</v>
      </c>
      <c r="Q459" s="113">
        <v>11</v>
      </c>
      <c r="R459" s="103"/>
      <c r="S459" s="103"/>
      <c r="T459" s="103"/>
      <c r="U459" s="103"/>
      <c r="V459" s="69"/>
      <c r="W459" s="104"/>
      <c r="X459" s="67">
        <f t="shared" ref="X459:Y459" si="476">(P459+R459+T459+V459)</f>
        <v>8</v>
      </c>
      <c r="Y459" s="67">
        <f t="shared" si="476"/>
        <v>11</v>
      </c>
      <c r="Z459" s="68">
        <f t="shared" si="265"/>
        <v>19</v>
      </c>
      <c r="AA459" s="150" t="str">
        <f t="shared" si="386"/>
        <v>3B</v>
      </c>
      <c r="AB459" s="70" t="s">
        <v>1020</v>
      </c>
      <c r="AC459" s="70">
        <v>16</v>
      </c>
      <c r="AD459" s="70">
        <v>21</v>
      </c>
      <c r="AE459" s="70">
        <v>44</v>
      </c>
      <c r="AF459" s="70">
        <v>65</v>
      </c>
      <c r="AG459" s="72">
        <f t="shared" si="267"/>
        <v>0.32307692307692309</v>
      </c>
      <c r="AH459" s="73">
        <f t="shared" si="419"/>
        <v>-55.676923076923075</v>
      </c>
      <c r="AI459" s="74">
        <v>16</v>
      </c>
      <c r="AJ459" s="79" t="s">
        <v>267</v>
      </c>
      <c r="AK459" s="76" t="s">
        <v>919</v>
      </c>
      <c r="AL459" s="67"/>
      <c r="AM459" s="506"/>
      <c r="AN459" s="505"/>
      <c r="AO459" s="515"/>
    </row>
    <row r="460" spans="1:41" ht="14.5">
      <c r="A460" s="58">
        <v>44121</v>
      </c>
      <c r="B460" s="59" t="s">
        <v>428</v>
      </c>
      <c r="C460" s="60" t="s">
        <v>251</v>
      </c>
      <c r="D460" s="60" t="s">
        <v>1030</v>
      </c>
      <c r="E460" s="107">
        <v>4</v>
      </c>
      <c r="F460" s="108">
        <v>6</v>
      </c>
      <c r="G460" s="106">
        <v>11</v>
      </c>
      <c r="H460" s="60">
        <v>21</v>
      </c>
      <c r="I460" s="60">
        <v>27</v>
      </c>
      <c r="J460" s="149">
        <f t="shared" si="417"/>
        <v>48</v>
      </c>
      <c r="K460" s="122">
        <f t="shared" si="400"/>
        <v>0.4375</v>
      </c>
      <c r="L460" s="123">
        <f t="shared" si="263"/>
        <v>-11.5625</v>
      </c>
      <c r="M460" s="64">
        <v>11</v>
      </c>
      <c r="N460" s="64">
        <v>3</v>
      </c>
      <c r="O460" s="64" t="s">
        <v>133</v>
      </c>
      <c r="P460" s="103">
        <v>11</v>
      </c>
      <c r="Q460" s="103">
        <v>5</v>
      </c>
      <c r="R460" s="103">
        <v>11</v>
      </c>
      <c r="S460" s="103">
        <v>7</v>
      </c>
      <c r="T460" s="103">
        <v>11</v>
      </c>
      <c r="U460" s="103">
        <v>10</v>
      </c>
      <c r="V460" s="69">
        <v>9</v>
      </c>
      <c r="W460" s="104">
        <v>11</v>
      </c>
      <c r="X460" s="67">
        <f t="shared" ref="X460:Y460" si="477">(P460+R460+T460+V460)</f>
        <v>42</v>
      </c>
      <c r="Y460" s="67">
        <f t="shared" si="477"/>
        <v>33</v>
      </c>
      <c r="Z460" s="68">
        <f t="shared" si="265"/>
        <v>75</v>
      </c>
      <c r="AA460" s="150" t="str">
        <f t="shared" si="386"/>
        <v>3C</v>
      </c>
      <c r="AB460" s="70" t="s">
        <v>1030</v>
      </c>
      <c r="AC460" s="70">
        <v>11</v>
      </c>
      <c r="AD460" s="70">
        <v>29</v>
      </c>
      <c r="AE460" s="70">
        <v>38</v>
      </c>
      <c r="AF460" s="70">
        <v>67</v>
      </c>
      <c r="AG460" s="72">
        <f t="shared" si="267"/>
        <v>0.43283582089552236</v>
      </c>
      <c r="AH460" s="73">
        <f t="shared" si="419"/>
        <v>-47.567164179104481</v>
      </c>
      <c r="AI460" s="74">
        <v>11</v>
      </c>
      <c r="AJ460" s="79" t="s">
        <v>1031</v>
      </c>
      <c r="AK460" s="76" t="s">
        <v>525</v>
      </c>
      <c r="AL460" s="67"/>
      <c r="AM460" s="506"/>
      <c r="AN460" s="505"/>
      <c r="AO460" s="515"/>
    </row>
    <row r="461" spans="1:41" ht="14.5">
      <c r="A461" s="58">
        <v>44121</v>
      </c>
      <c r="B461" s="59" t="s">
        <v>428</v>
      </c>
      <c r="C461" s="60" t="s">
        <v>256</v>
      </c>
      <c r="D461" s="60" t="s">
        <v>1018</v>
      </c>
      <c r="E461" s="109">
        <v>11</v>
      </c>
      <c r="F461" s="110">
        <v>11</v>
      </c>
      <c r="G461" s="111">
        <v>11</v>
      </c>
      <c r="H461" s="60">
        <v>33</v>
      </c>
      <c r="I461" s="60">
        <v>13</v>
      </c>
      <c r="J461" s="149">
        <f t="shared" si="417"/>
        <v>46</v>
      </c>
      <c r="K461" s="122">
        <f t="shared" si="400"/>
        <v>0.71739130434782605</v>
      </c>
      <c r="L461" s="123">
        <f t="shared" si="263"/>
        <v>0.71739130434782605</v>
      </c>
      <c r="M461" s="64">
        <v>1</v>
      </c>
      <c r="N461" s="86">
        <v>14</v>
      </c>
      <c r="O461" s="86" t="s">
        <v>1025</v>
      </c>
      <c r="P461" s="113">
        <v>5</v>
      </c>
      <c r="Q461" s="113">
        <v>11</v>
      </c>
      <c r="R461" s="113"/>
      <c r="S461" s="113"/>
      <c r="T461" s="103"/>
      <c r="U461" s="103"/>
      <c r="V461" s="69"/>
      <c r="W461" s="104"/>
      <c r="X461" s="67">
        <f t="shared" ref="X461:Y461" si="478">(P461+R461+T461+V461)</f>
        <v>5</v>
      </c>
      <c r="Y461" s="67">
        <f t="shared" si="478"/>
        <v>11</v>
      </c>
      <c r="Z461" s="68">
        <f t="shared" si="265"/>
        <v>16</v>
      </c>
      <c r="AA461" s="150" t="str">
        <f t="shared" si="386"/>
        <v>3D</v>
      </c>
      <c r="AB461" s="70" t="s">
        <v>1018</v>
      </c>
      <c r="AC461" s="70">
        <v>1</v>
      </c>
      <c r="AD461" s="70">
        <v>77</v>
      </c>
      <c r="AE461" s="70">
        <v>38</v>
      </c>
      <c r="AF461" s="70">
        <v>115</v>
      </c>
      <c r="AG461" s="72">
        <f t="shared" si="267"/>
        <v>0.66956521739130437</v>
      </c>
      <c r="AH461" s="73">
        <f t="shared" si="419"/>
        <v>0.66956521739130437</v>
      </c>
      <c r="AI461" s="74">
        <v>1</v>
      </c>
      <c r="AJ461" s="79" t="s">
        <v>827</v>
      </c>
      <c r="AK461" s="76" t="s">
        <v>753</v>
      </c>
      <c r="AL461" s="67"/>
      <c r="AM461" s="506"/>
      <c r="AN461" s="505"/>
      <c r="AO461" s="515"/>
    </row>
    <row r="462" spans="1:41" ht="14.5">
      <c r="A462" s="58">
        <v>44121</v>
      </c>
      <c r="B462" s="59" t="s">
        <v>428</v>
      </c>
      <c r="C462" s="60" t="s">
        <v>261</v>
      </c>
      <c r="D462" s="60" t="s">
        <v>1032</v>
      </c>
      <c r="E462" s="100">
        <v>2</v>
      </c>
      <c r="F462" s="101">
        <v>6</v>
      </c>
      <c r="G462" s="101">
        <v>11</v>
      </c>
      <c r="H462" s="60">
        <v>19</v>
      </c>
      <c r="I462" s="60">
        <v>32</v>
      </c>
      <c r="J462" s="149">
        <f t="shared" si="417"/>
        <v>51</v>
      </c>
      <c r="K462" s="122">
        <f t="shared" si="400"/>
        <v>0.37254901960784315</v>
      </c>
      <c r="L462" s="123">
        <f t="shared" si="263"/>
        <v>-13.627450980392156</v>
      </c>
      <c r="M462" s="64">
        <v>15</v>
      </c>
      <c r="N462" s="64">
        <v>7</v>
      </c>
      <c r="O462" s="64" t="s">
        <v>1028</v>
      </c>
      <c r="P462" s="103">
        <v>11</v>
      </c>
      <c r="Q462" s="103">
        <v>5</v>
      </c>
      <c r="R462" s="103">
        <v>4</v>
      </c>
      <c r="S462" s="103">
        <v>11</v>
      </c>
      <c r="T462" s="103"/>
      <c r="U462" s="103"/>
      <c r="V462" s="69"/>
      <c r="W462" s="104"/>
      <c r="X462" s="67">
        <f t="shared" ref="X462:Y462" si="479">(P462+R462+T462+V462)</f>
        <v>15</v>
      </c>
      <c r="Y462" s="67">
        <f t="shared" si="479"/>
        <v>16</v>
      </c>
      <c r="Z462" s="68">
        <f t="shared" si="265"/>
        <v>31</v>
      </c>
      <c r="AA462" s="150" t="str">
        <f t="shared" si="386"/>
        <v>4A</v>
      </c>
      <c r="AB462" s="70" t="s">
        <v>1032</v>
      </c>
      <c r="AC462" s="70">
        <v>15</v>
      </c>
      <c r="AD462" s="70">
        <v>26</v>
      </c>
      <c r="AE462" s="70">
        <v>43</v>
      </c>
      <c r="AF462" s="70">
        <v>69</v>
      </c>
      <c r="AG462" s="72">
        <f t="shared" si="267"/>
        <v>0.37681159420289856</v>
      </c>
      <c r="AH462" s="73">
        <f t="shared" si="419"/>
        <v>-50.623188405797102</v>
      </c>
      <c r="AI462" s="74">
        <v>12</v>
      </c>
      <c r="AJ462" s="79" t="s">
        <v>978</v>
      </c>
      <c r="AK462" s="76" t="s">
        <v>648</v>
      </c>
      <c r="AL462" s="67"/>
      <c r="AM462" s="506"/>
      <c r="AN462" s="505"/>
      <c r="AO462" s="515"/>
    </row>
    <row r="463" spans="1:41" ht="14.5">
      <c r="A463" s="58">
        <v>44121</v>
      </c>
      <c r="B463" s="59" t="s">
        <v>428</v>
      </c>
      <c r="C463" s="60" t="s">
        <v>268</v>
      </c>
      <c r="D463" s="60" t="s">
        <v>1033</v>
      </c>
      <c r="E463" s="105">
        <v>11</v>
      </c>
      <c r="F463" s="106">
        <v>11</v>
      </c>
      <c r="G463" s="106">
        <v>11</v>
      </c>
      <c r="H463" s="60">
        <v>33</v>
      </c>
      <c r="I463" s="60">
        <v>14</v>
      </c>
      <c r="J463" s="149">
        <f t="shared" si="417"/>
        <v>47</v>
      </c>
      <c r="K463" s="122">
        <f t="shared" si="400"/>
        <v>0.7021276595744681</v>
      </c>
      <c r="L463" s="123">
        <f t="shared" si="263"/>
        <v>0.7021276595744681</v>
      </c>
      <c r="M463" s="64">
        <v>2</v>
      </c>
      <c r="N463" s="86">
        <v>10</v>
      </c>
      <c r="O463" s="86" t="s">
        <v>1017</v>
      </c>
      <c r="P463" s="113">
        <v>5</v>
      </c>
      <c r="Q463" s="113">
        <v>11</v>
      </c>
      <c r="R463" s="103"/>
      <c r="S463" s="103"/>
      <c r="T463" s="103"/>
      <c r="U463" s="103"/>
      <c r="V463" s="69"/>
      <c r="W463" s="104"/>
      <c r="X463" s="67">
        <f t="shared" ref="X463:Y463" si="480">(P463+R463+T463+V463)</f>
        <v>5</v>
      </c>
      <c r="Y463" s="67">
        <f t="shared" si="480"/>
        <v>11</v>
      </c>
      <c r="Z463" s="68">
        <f t="shared" si="265"/>
        <v>16</v>
      </c>
      <c r="AA463" s="150" t="str">
        <f t="shared" si="386"/>
        <v>4B</v>
      </c>
      <c r="AB463" s="70" t="s">
        <v>1033</v>
      </c>
      <c r="AC463" s="70">
        <v>2</v>
      </c>
      <c r="AD463" s="70">
        <v>65</v>
      </c>
      <c r="AE463" s="70">
        <v>36</v>
      </c>
      <c r="AF463" s="70">
        <v>101</v>
      </c>
      <c r="AG463" s="72">
        <f t="shared" si="267"/>
        <v>0.64356435643564358</v>
      </c>
      <c r="AH463" s="73">
        <f t="shared" si="419"/>
        <v>-11.356435643564357</v>
      </c>
      <c r="AI463" s="74">
        <v>3</v>
      </c>
      <c r="AJ463" s="75" t="s">
        <v>227</v>
      </c>
      <c r="AK463" s="76" t="s">
        <v>1034</v>
      </c>
      <c r="AL463" s="67"/>
      <c r="AM463" s="506"/>
      <c r="AN463" s="505"/>
      <c r="AO463" s="515"/>
    </row>
    <row r="464" spans="1:41" ht="14.5">
      <c r="A464" s="58">
        <v>44121</v>
      </c>
      <c r="B464" s="59" t="s">
        <v>428</v>
      </c>
      <c r="C464" s="60" t="s">
        <v>271</v>
      </c>
      <c r="D464" s="60" t="s">
        <v>1029</v>
      </c>
      <c r="E464" s="107">
        <v>11</v>
      </c>
      <c r="F464" s="108">
        <v>11</v>
      </c>
      <c r="G464" s="106">
        <v>8</v>
      </c>
      <c r="H464" s="60">
        <v>30</v>
      </c>
      <c r="I464" s="60">
        <v>25</v>
      </c>
      <c r="J464" s="149">
        <f t="shared" si="417"/>
        <v>55</v>
      </c>
      <c r="K464" s="122">
        <f t="shared" si="400"/>
        <v>0.54545454545454541</v>
      </c>
      <c r="L464" s="123">
        <f t="shared" si="263"/>
        <v>-2.4545454545454546</v>
      </c>
      <c r="M464" s="64">
        <v>6</v>
      </c>
      <c r="N464" s="64">
        <v>2</v>
      </c>
      <c r="O464" s="64" t="s">
        <v>1033</v>
      </c>
      <c r="P464" s="103">
        <v>11</v>
      </c>
      <c r="Q464" s="103">
        <v>7</v>
      </c>
      <c r="R464" s="103">
        <v>11</v>
      </c>
      <c r="S464" s="103">
        <v>4</v>
      </c>
      <c r="T464" s="103">
        <v>10</v>
      </c>
      <c r="U464" s="103">
        <v>11</v>
      </c>
      <c r="V464" s="69"/>
      <c r="W464" s="104"/>
      <c r="X464" s="67">
        <f t="shared" ref="X464:Y464" si="481">(P464+R464+T464+V464)</f>
        <v>32</v>
      </c>
      <c r="Y464" s="67">
        <f t="shared" si="481"/>
        <v>22</v>
      </c>
      <c r="Z464" s="68">
        <f t="shared" si="265"/>
        <v>54</v>
      </c>
      <c r="AA464" s="150" t="str">
        <f t="shared" si="386"/>
        <v>4C</v>
      </c>
      <c r="AB464" s="70" t="s">
        <v>1029</v>
      </c>
      <c r="AC464" s="70">
        <v>6</v>
      </c>
      <c r="AD464" s="70">
        <v>48</v>
      </c>
      <c r="AE464" s="70">
        <v>44</v>
      </c>
      <c r="AF464" s="70">
        <v>92</v>
      </c>
      <c r="AG464" s="72">
        <f t="shared" si="267"/>
        <v>0.52173913043478259</v>
      </c>
      <c r="AH464" s="73">
        <f t="shared" si="419"/>
        <v>-28.478260869565219</v>
      </c>
      <c r="AI464" s="74">
        <v>6</v>
      </c>
      <c r="AJ464" s="79" t="s">
        <v>858</v>
      </c>
      <c r="AK464" s="76" t="s">
        <v>638</v>
      </c>
      <c r="AL464" s="67"/>
      <c r="AM464" s="506"/>
      <c r="AN464" s="505"/>
      <c r="AO464" s="515"/>
    </row>
    <row r="465" spans="1:41" ht="14.5">
      <c r="A465" s="87">
        <v>44121</v>
      </c>
      <c r="B465" s="88" t="s">
        <v>428</v>
      </c>
      <c r="C465" s="89" t="s">
        <v>276</v>
      </c>
      <c r="D465" s="89" t="s">
        <v>1026</v>
      </c>
      <c r="E465" s="109">
        <v>8</v>
      </c>
      <c r="F465" s="110">
        <v>4</v>
      </c>
      <c r="G465" s="111">
        <v>10</v>
      </c>
      <c r="H465" s="89">
        <v>22</v>
      </c>
      <c r="I465" s="89">
        <v>33</v>
      </c>
      <c r="J465" s="152">
        <f t="shared" si="417"/>
        <v>55</v>
      </c>
      <c r="K465" s="153">
        <f t="shared" si="400"/>
        <v>0.4</v>
      </c>
      <c r="L465" s="154">
        <f t="shared" si="263"/>
        <v>-10.6</v>
      </c>
      <c r="M465" s="86">
        <v>12</v>
      </c>
      <c r="N465" s="86">
        <v>15</v>
      </c>
      <c r="O465" s="86" t="s">
        <v>1032</v>
      </c>
      <c r="P465" s="113">
        <v>7</v>
      </c>
      <c r="Q465" s="113">
        <v>11</v>
      </c>
      <c r="R465" s="113"/>
      <c r="S465" s="113"/>
      <c r="T465" s="113"/>
      <c r="U465" s="113"/>
      <c r="V465" s="93"/>
      <c r="W465" s="114"/>
      <c r="X465" s="92">
        <f t="shared" ref="X465:Y465" si="482">(P465+R465+T465+V465)</f>
        <v>7</v>
      </c>
      <c r="Y465" s="92">
        <f t="shared" si="482"/>
        <v>11</v>
      </c>
      <c r="Z465" s="84">
        <f t="shared" si="265"/>
        <v>18</v>
      </c>
      <c r="AA465" s="155" t="str">
        <f t="shared" si="386"/>
        <v>4D</v>
      </c>
      <c r="AB465" s="94" t="s">
        <v>1026</v>
      </c>
      <c r="AC465" s="94">
        <v>12</v>
      </c>
      <c r="AD465" s="94">
        <v>24</v>
      </c>
      <c r="AE465" s="94">
        <v>44</v>
      </c>
      <c r="AF465" s="94">
        <v>68</v>
      </c>
      <c r="AG465" s="95">
        <f t="shared" si="267"/>
        <v>0.35294117647058826</v>
      </c>
      <c r="AH465" s="96">
        <f t="shared" si="419"/>
        <v>-52.647058823529413</v>
      </c>
      <c r="AI465" s="97">
        <v>14</v>
      </c>
      <c r="AJ465" s="98" t="s">
        <v>848</v>
      </c>
      <c r="AK465" s="81" t="s">
        <v>780</v>
      </c>
      <c r="AL465" s="67"/>
      <c r="AM465" s="506"/>
      <c r="AN465" s="505"/>
      <c r="AO465" s="515"/>
    </row>
    <row r="466" spans="1:41" ht="14.5">
      <c r="A466" s="58">
        <v>44352</v>
      </c>
      <c r="B466" s="59" t="s">
        <v>615</v>
      </c>
      <c r="C466" s="60" t="s">
        <v>205</v>
      </c>
      <c r="D466" s="60" t="s">
        <v>1035</v>
      </c>
      <c r="E466" s="100">
        <v>8</v>
      </c>
      <c r="F466" s="101">
        <v>10</v>
      </c>
      <c r="G466" s="101">
        <v>9</v>
      </c>
      <c r="H466" s="60">
        <v>27</v>
      </c>
      <c r="I466" s="60">
        <v>33</v>
      </c>
      <c r="J466" s="149">
        <f t="shared" si="417"/>
        <v>60</v>
      </c>
      <c r="K466" s="122">
        <f t="shared" si="400"/>
        <v>0.45</v>
      </c>
      <c r="L466" s="123">
        <f t="shared" si="263"/>
        <v>-5.55</v>
      </c>
      <c r="M466" s="64">
        <v>12</v>
      </c>
      <c r="N466" s="61">
        <v>1</v>
      </c>
      <c r="O466" s="61" t="s">
        <v>135</v>
      </c>
      <c r="P466" s="115">
        <v>11</v>
      </c>
      <c r="Q466" s="115">
        <v>3</v>
      </c>
      <c r="R466" s="115">
        <v>11</v>
      </c>
      <c r="S466" s="115">
        <v>3</v>
      </c>
      <c r="T466" s="115">
        <v>11</v>
      </c>
      <c r="U466" s="115">
        <v>8</v>
      </c>
      <c r="V466" s="116">
        <v>5</v>
      </c>
      <c r="W466" s="117">
        <v>11</v>
      </c>
      <c r="X466" s="67">
        <f t="shared" ref="X466:Y466" si="483">(P466+R466+T466+V466)</f>
        <v>38</v>
      </c>
      <c r="Y466" s="67">
        <f t="shared" si="483"/>
        <v>25</v>
      </c>
      <c r="Z466" s="68">
        <f t="shared" si="265"/>
        <v>63</v>
      </c>
      <c r="AA466" s="150" t="str">
        <f t="shared" si="386"/>
        <v>1A</v>
      </c>
      <c r="AB466" s="70" t="s">
        <v>1035</v>
      </c>
      <c r="AC466" s="70">
        <v>12</v>
      </c>
      <c r="AD466" s="70">
        <v>31</v>
      </c>
      <c r="AE466" s="70">
        <v>44</v>
      </c>
      <c r="AF466" s="70">
        <v>75</v>
      </c>
      <c r="AG466" s="72">
        <f t="shared" si="267"/>
        <v>0.41333333333333333</v>
      </c>
      <c r="AH466" s="73">
        <f t="shared" si="419"/>
        <v>-45.586666666666666</v>
      </c>
      <c r="AI466" s="74">
        <v>13</v>
      </c>
      <c r="AJ466" s="79" t="s">
        <v>1036</v>
      </c>
      <c r="AK466" s="76" t="s">
        <v>512</v>
      </c>
      <c r="AL466" s="67"/>
      <c r="AM466" s="506"/>
      <c r="AN466" s="505"/>
      <c r="AO466" s="515"/>
    </row>
    <row r="467" spans="1:41" ht="14.5">
      <c r="A467" s="58">
        <v>44352</v>
      </c>
      <c r="B467" s="59" t="s">
        <v>615</v>
      </c>
      <c r="C467" s="60" t="s">
        <v>211</v>
      </c>
      <c r="D467" s="60" t="s">
        <v>135</v>
      </c>
      <c r="E467" s="105">
        <v>11</v>
      </c>
      <c r="F467" s="106">
        <v>11</v>
      </c>
      <c r="G467" s="106">
        <v>11</v>
      </c>
      <c r="H467" s="60">
        <v>33</v>
      </c>
      <c r="I467" s="60">
        <v>17</v>
      </c>
      <c r="J467" s="149">
        <f t="shared" si="417"/>
        <v>50</v>
      </c>
      <c r="K467" s="122">
        <f t="shared" si="400"/>
        <v>0.66</v>
      </c>
      <c r="L467" s="123">
        <f t="shared" si="263"/>
        <v>0.66</v>
      </c>
      <c r="M467" s="64">
        <v>1</v>
      </c>
      <c r="N467" s="86">
        <v>16</v>
      </c>
      <c r="O467" s="86" t="s">
        <v>1037</v>
      </c>
      <c r="P467" s="113">
        <v>3</v>
      </c>
      <c r="Q467" s="113">
        <v>11</v>
      </c>
      <c r="R467" s="103"/>
      <c r="S467" s="103"/>
      <c r="T467" s="103"/>
      <c r="U467" s="103"/>
      <c r="V467" s="69"/>
      <c r="W467" s="104"/>
      <c r="X467" s="67">
        <f t="shared" ref="X467:Y467" si="484">(P467+R467+T467+V467)</f>
        <v>3</v>
      </c>
      <c r="Y467" s="67">
        <f t="shared" si="484"/>
        <v>11</v>
      </c>
      <c r="Z467" s="68">
        <f t="shared" si="265"/>
        <v>14</v>
      </c>
      <c r="AA467" s="150" t="str">
        <f t="shared" si="386"/>
        <v>1B</v>
      </c>
      <c r="AB467" s="70" t="s">
        <v>135</v>
      </c>
      <c r="AC467" s="70">
        <v>1</v>
      </c>
      <c r="AD467" s="70">
        <v>71</v>
      </c>
      <c r="AE467" s="70">
        <v>42</v>
      </c>
      <c r="AF467" s="70">
        <v>113</v>
      </c>
      <c r="AG467" s="72">
        <f t="shared" si="267"/>
        <v>0.62831858407079644</v>
      </c>
      <c r="AH467" s="73">
        <f t="shared" si="419"/>
        <v>-5.3716814159292037</v>
      </c>
      <c r="AI467" s="74">
        <v>2</v>
      </c>
      <c r="AJ467" s="79" t="s">
        <v>1013</v>
      </c>
      <c r="AK467" s="76" t="s">
        <v>932</v>
      </c>
      <c r="AL467" s="67"/>
      <c r="AM467" s="506"/>
      <c r="AN467" s="505"/>
      <c r="AO467" s="515"/>
    </row>
    <row r="468" spans="1:41" ht="14.5">
      <c r="A468" s="58">
        <v>44352</v>
      </c>
      <c r="B468" s="59" t="s">
        <v>615</v>
      </c>
      <c r="C468" s="60" t="s">
        <v>216</v>
      </c>
      <c r="D468" s="60" t="s">
        <v>1038</v>
      </c>
      <c r="E468" s="107">
        <v>10</v>
      </c>
      <c r="F468" s="108">
        <v>11</v>
      </c>
      <c r="G468" s="106">
        <v>4</v>
      </c>
      <c r="H468" s="60">
        <v>25</v>
      </c>
      <c r="I468" s="60">
        <v>32</v>
      </c>
      <c r="J468" s="149">
        <f t="shared" si="417"/>
        <v>57</v>
      </c>
      <c r="K468" s="122">
        <f t="shared" si="400"/>
        <v>0.43859649122807015</v>
      </c>
      <c r="L468" s="123">
        <f t="shared" si="263"/>
        <v>-7.5614035087719298</v>
      </c>
      <c r="M468" s="64">
        <v>13</v>
      </c>
      <c r="N468" s="64">
        <v>8</v>
      </c>
      <c r="O468" s="64" t="s">
        <v>1039</v>
      </c>
      <c r="P468" s="103">
        <v>11</v>
      </c>
      <c r="Q468" s="103">
        <v>9</v>
      </c>
      <c r="R468" s="103">
        <v>3</v>
      </c>
      <c r="S468" s="103">
        <v>11</v>
      </c>
      <c r="T468" s="103"/>
      <c r="U468" s="103"/>
      <c r="V468" s="69"/>
      <c r="W468" s="104"/>
      <c r="X468" s="67">
        <f t="shared" ref="X468:Y468" si="485">(P468+R468+T468+V468)</f>
        <v>14</v>
      </c>
      <c r="Y468" s="67">
        <f t="shared" si="485"/>
        <v>20</v>
      </c>
      <c r="Z468" s="68">
        <f t="shared" si="265"/>
        <v>34</v>
      </c>
      <c r="AA468" s="150" t="str">
        <f t="shared" si="386"/>
        <v>1C</v>
      </c>
      <c r="AB468" s="70" t="s">
        <v>1038</v>
      </c>
      <c r="AC468" s="70">
        <v>13</v>
      </c>
      <c r="AD468" s="70">
        <v>43</v>
      </c>
      <c r="AE468" s="70">
        <v>51</v>
      </c>
      <c r="AF468" s="70">
        <v>94</v>
      </c>
      <c r="AG468" s="72">
        <f t="shared" si="267"/>
        <v>0.45744680851063829</v>
      </c>
      <c r="AH468" s="73">
        <f t="shared" si="419"/>
        <v>-33.542553191489361</v>
      </c>
      <c r="AI468" s="74">
        <v>7</v>
      </c>
      <c r="AJ468" s="79" t="s">
        <v>525</v>
      </c>
      <c r="AK468" s="76" t="s">
        <v>1001</v>
      </c>
      <c r="AL468" s="67"/>
      <c r="AM468" s="506"/>
      <c r="AN468" s="505"/>
      <c r="AO468" s="515"/>
    </row>
    <row r="469" spans="1:41" ht="14.5">
      <c r="A469" s="58">
        <v>44352</v>
      </c>
      <c r="B469" s="59" t="s">
        <v>615</v>
      </c>
      <c r="C469" s="60" t="s">
        <v>221</v>
      </c>
      <c r="D469" s="60" t="s">
        <v>1040</v>
      </c>
      <c r="E469" s="109">
        <v>11</v>
      </c>
      <c r="F469" s="110">
        <v>5</v>
      </c>
      <c r="G469" s="111">
        <v>11</v>
      </c>
      <c r="H469" s="60">
        <v>27</v>
      </c>
      <c r="I469" s="60">
        <v>30</v>
      </c>
      <c r="J469" s="149">
        <f t="shared" si="417"/>
        <v>57</v>
      </c>
      <c r="K469" s="122">
        <f t="shared" si="400"/>
        <v>0.47368421052631576</v>
      </c>
      <c r="L469" s="123">
        <f t="shared" si="263"/>
        <v>-5.5263157894736841</v>
      </c>
      <c r="M469" s="64">
        <v>11</v>
      </c>
      <c r="N469" s="86">
        <v>9</v>
      </c>
      <c r="O469" s="86" t="s">
        <v>1041</v>
      </c>
      <c r="P469" s="113">
        <v>9</v>
      </c>
      <c r="Q469" s="113">
        <v>11</v>
      </c>
      <c r="R469" s="113"/>
      <c r="S469" s="113"/>
      <c r="T469" s="103"/>
      <c r="U469" s="103"/>
      <c r="V469" s="69"/>
      <c r="W469" s="104"/>
      <c r="X469" s="67">
        <f t="shared" ref="X469:Y469" si="486">(P469+R469+T469+V469)</f>
        <v>9</v>
      </c>
      <c r="Y469" s="67">
        <f t="shared" si="486"/>
        <v>11</v>
      </c>
      <c r="Z469" s="68">
        <f t="shared" si="265"/>
        <v>20</v>
      </c>
      <c r="AA469" s="150" t="str">
        <f t="shared" si="386"/>
        <v>1D</v>
      </c>
      <c r="AB469" s="70" t="s">
        <v>1040</v>
      </c>
      <c r="AC469" s="70">
        <v>11</v>
      </c>
      <c r="AD469" s="70">
        <v>35</v>
      </c>
      <c r="AE469" s="70">
        <v>41</v>
      </c>
      <c r="AF469" s="70">
        <v>76</v>
      </c>
      <c r="AG469" s="72">
        <f t="shared" si="267"/>
        <v>0.46052631578947367</v>
      </c>
      <c r="AH469" s="73">
        <f t="shared" si="419"/>
        <v>-41.539473684210527</v>
      </c>
      <c r="AI469" s="74">
        <v>12</v>
      </c>
      <c r="AJ469" s="79" t="s">
        <v>585</v>
      </c>
      <c r="AK469" s="76" t="s">
        <v>442</v>
      </c>
      <c r="AL469" s="67"/>
      <c r="AM469" s="506"/>
      <c r="AN469" s="505"/>
      <c r="AO469" s="515"/>
    </row>
    <row r="470" spans="1:41" ht="14.5">
      <c r="A470" s="58">
        <v>44352</v>
      </c>
      <c r="B470" s="59" t="s">
        <v>615</v>
      </c>
      <c r="C470" s="60" t="s">
        <v>224</v>
      </c>
      <c r="D470" s="60" t="s">
        <v>1042</v>
      </c>
      <c r="E470" s="100">
        <v>4</v>
      </c>
      <c r="F470" s="101">
        <v>4</v>
      </c>
      <c r="G470" s="101">
        <v>3</v>
      </c>
      <c r="H470" s="60">
        <v>11</v>
      </c>
      <c r="I470" s="60">
        <v>33</v>
      </c>
      <c r="J470" s="149">
        <f t="shared" si="417"/>
        <v>44</v>
      </c>
      <c r="K470" s="122">
        <f t="shared" si="400"/>
        <v>0.25</v>
      </c>
      <c r="L470" s="123">
        <f t="shared" si="263"/>
        <v>-21.75</v>
      </c>
      <c r="M470" s="64">
        <v>15</v>
      </c>
      <c r="N470" s="64">
        <v>5</v>
      </c>
      <c r="O470" s="64" t="s">
        <v>1043</v>
      </c>
      <c r="P470" s="103">
        <v>11</v>
      </c>
      <c r="Q470" s="103">
        <v>4</v>
      </c>
      <c r="R470" s="103">
        <v>11</v>
      </c>
      <c r="S470" s="103">
        <v>7</v>
      </c>
      <c r="T470" s="103">
        <v>8</v>
      </c>
      <c r="U470" s="103">
        <v>11</v>
      </c>
      <c r="V470" s="69"/>
      <c r="W470" s="104"/>
      <c r="X470" s="67">
        <f t="shared" ref="X470:Y470" si="487">(P470+R470+T470+V470)</f>
        <v>30</v>
      </c>
      <c r="Y470" s="67">
        <f t="shared" si="487"/>
        <v>22</v>
      </c>
      <c r="Z470" s="68">
        <f t="shared" si="265"/>
        <v>52</v>
      </c>
      <c r="AA470" s="150" t="str">
        <f t="shared" si="386"/>
        <v>2A</v>
      </c>
      <c r="AB470" s="70" t="s">
        <v>1042</v>
      </c>
      <c r="AC470" s="70">
        <v>15</v>
      </c>
      <c r="AD470" s="70">
        <v>13</v>
      </c>
      <c r="AE470" s="70">
        <v>44</v>
      </c>
      <c r="AF470" s="70">
        <v>57</v>
      </c>
      <c r="AG470" s="72">
        <f t="shared" si="267"/>
        <v>0.22807017543859648</v>
      </c>
      <c r="AH470" s="73">
        <f t="shared" si="419"/>
        <v>-63.771929824561404</v>
      </c>
      <c r="AI470" s="74">
        <v>16</v>
      </c>
      <c r="AJ470" s="79" t="s">
        <v>1044</v>
      </c>
      <c r="AK470" s="76" t="s">
        <v>1045</v>
      </c>
      <c r="AL470" s="67"/>
      <c r="AM470" s="506"/>
      <c r="AN470" s="505"/>
      <c r="AO470" s="515"/>
    </row>
    <row r="471" spans="1:41" ht="14.5">
      <c r="A471" s="58">
        <v>44352</v>
      </c>
      <c r="B471" s="59" t="s">
        <v>615</v>
      </c>
      <c r="C471" s="60" t="s">
        <v>228</v>
      </c>
      <c r="D471" s="60" t="s">
        <v>1046</v>
      </c>
      <c r="E471" s="105">
        <v>11</v>
      </c>
      <c r="F471" s="106">
        <v>11</v>
      </c>
      <c r="G471" s="106">
        <v>11</v>
      </c>
      <c r="H471" s="60">
        <v>33</v>
      </c>
      <c r="I471" s="60">
        <v>21</v>
      </c>
      <c r="J471" s="149">
        <f t="shared" si="417"/>
        <v>54</v>
      </c>
      <c r="K471" s="122">
        <f t="shared" si="400"/>
        <v>0.61111111111111116</v>
      </c>
      <c r="L471" s="123">
        <f t="shared" si="263"/>
        <v>0.61111111111111116</v>
      </c>
      <c r="M471" s="64">
        <v>3</v>
      </c>
      <c r="N471" s="86">
        <v>12</v>
      </c>
      <c r="O471" s="86" t="s">
        <v>1035</v>
      </c>
      <c r="P471" s="113">
        <v>4</v>
      </c>
      <c r="Q471" s="113">
        <v>11</v>
      </c>
      <c r="R471" s="103"/>
      <c r="S471" s="103"/>
      <c r="T471" s="103"/>
      <c r="U471" s="103"/>
      <c r="V471" s="69"/>
      <c r="W471" s="104"/>
      <c r="X471" s="67">
        <f t="shared" ref="X471:Y471" si="488">(P471+R471+T471+V471)</f>
        <v>4</v>
      </c>
      <c r="Y471" s="67">
        <f t="shared" si="488"/>
        <v>11</v>
      </c>
      <c r="Z471" s="68">
        <f t="shared" si="265"/>
        <v>15</v>
      </c>
      <c r="AA471" s="150" t="str">
        <f t="shared" si="386"/>
        <v>2B</v>
      </c>
      <c r="AB471" s="70" t="s">
        <v>1046</v>
      </c>
      <c r="AC471" s="70">
        <v>3</v>
      </c>
      <c r="AD471" s="70">
        <v>59</v>
      </c>
      <c r="AE471" s="70">
        <v>39</v>
      </c>
      <c r="AF471" s="70">
        <v>98</v>
      </c>
      <c r="AG471" s="72">
        <f t="shared" si="267"/>
        <v>0.60204081632653061</v>
      </c>
      <c r="AH471" s="73">
        <f t="shared" si="419"/>
        <v>-17.397959183673468</v>
      </c>
      <c r="AI471" s="74">
        <v>4</v>
      </c>
      <c r="AJ471" s="79" t="s">
        <v>928</v>
      </c>
      <c r="AK471" s="76" t="s">
        <v>1047</v>
      </c>
      <c r="AL471" s="67"/>
      <c r="AM471" s="506"/>
      <c r="AN471" s="505"/>
      <c r="AO471" s="515"/>
    </row>
    <row r="472" spans="1:41" ht="14.5">
      <c r="A472" s="58">
        <v>44352</v>
      </c>
      <c r="B472" s="59" t="s">
        <v>615</v>
      </c>
      <c r="C472" s="60" t="s">
        <v>232</v>
      </c>
      <c r="D472" s="60" t="s">
        <v>1039</v>
      </c>
      <c r="E472" s="107">
        <v>10</v>
      </c>
      <c r="F472" s="108">
        <v>11</v>
      </c>
      <c r="G472" s="106">
        <v>10</v>
      </c>
      <c r="H472" s="60">
        <v>31</v>
      </c>
      <c r="I472" s="60">
        <v>26</v>
      </c>
      <c r="J472" s="149">
        <f t="shared" si="417"/>
        <v>57</v>
      </c>
      <c r="K472" s="122">
        <f t="shared" si="400"/>
        <v>0.54385964912280704</v>
      </c>
      <c r="L472" s="123">
        <f t="shared" si="263"/>
        <v>-1.4561403508771931</v>
      </c>
      <c r="M472" s="64">
        <v>8</v>
      </c>
      <c r="N472" s="64">
        <v>4</v>
      </c>
      <c r="O472" s="64" t="s">
        <v>1048</v>
      </c>
      <c r="P472" s="103">
        <v>8</v>
      </c>
      <c r="Q472" s="103">
        <v>11</v>
      </c>
      <c r="R472" s="103"/>
      <c r="S472" s="103"/>
      <c r="T472" s="103"/>
      <c r="U472" s="103"/>
      <c r="V472" s="69"/>
      <c r="W472" s="104"/>
      <c r="X472" s="67">
        <f t="shared" ref="X472:Y472" si="489">(P472+R472+T472+V472)</f>
        <v>8</v>
      </c>
      <c r="Y472" s="67">
        <f t="shared" si="489"/>
        <v>11</v>
      </c>
      <c r="Z472" s="68">
        <f t="shared" si="265"/>
        <v>19</v>
      </c>
      <c r="AA472" s="150" t="str">
        <f t="shared" si="386"/>
        <v>2C</v>
      </c>
      <c r="AB472" s="70" t="s">
        <v>1039</v>
      </c>
      <c r="AC472" s="70">
        <v>8</v>
      </c>
      <c r="AD472" s="70">
        <v>45</v>
      </c>
      <c r="AE472" s="70">
        <v>46</v>
      </c>
      <c r="AF472" s="70">
        <v>91</v>
      </c>
      <c r="AG472" s="72">
        <f t="shared" si="267"/>
        <v>0.49450549450549453</v>
      </c>
      <c r="AH472" s="73">
        <f t="shared" si="419"/>
        <v>-31.505494505494504</v>
      </c>
      <c r="AI472" s="74">
        <v>6</v>
      </c>
      <c r="AJ472" s="79" t="s">
        <v>1049</v>
      </c>
      <c r="AK472" s="76" t="s">
        <v>1008</v>
      </c>
      <c r="AL472" s="67"/>
      <c r="AM472" s="506"/>
      <c r="AN472" s="505"/>
      <c r="AO472" s="515"/>
    </row>
    <row r="473" spans="1:41" ht="14.5">
      <c r="A473" s="58">
        <v>44352</v>
      </c>
      <c r="B473" s="59" t="s">
        <v>615</v>
      </c>
      <c r="C473" s="60" t="s">
        <v>237</v>
      </c>
      <c r="D473" s="60" t="s">
        <v>1050</v>
      </c>
      <c r="E473" s="109">
        <v>11</v>
      </c>
      <c r="F473" s="110">
        <v>7</v>
      </c>
      <c r="G473" s="111">
        <v>11</v>
      </c>
      <c r="H473" s="60">
        <v>29</v>
      </c>
      <c r="I473" s="60">
        <v>24</v>
      </c>
      <c r="J473" s="149">
        <f t="shared" si="417"/>
        <v>53</v>
      </c>
      <c r="K473" s="122">
        <f t="shared" si="400"/>
        <v>0.54716981132075471</v>
      </c>
      <c r="L473" s="123">
        <f t="shared" si="263"/>
        <v>-3.4528301886792452</v>
      </c>
      <c r="M473" s="64">
        <v>7</v>
      </c>
      <c r="N473" s="86">
        <v>13</v>
      </c>
      <c r="O473" s="86" t="s">
        <v>1038</v>
      </c>
      <c r="P473" s="113">
        <v>11</v>
      </c>
      <c r="Q473" s="113">
        <v>8</v>
      </c>
      <c r="R473" s="113">
        <v>7</v>
      </c>
      <c r="S473" s="113">
        <v>11</v>
      </c>
      <c r="T473" s="113"/>
      <c r="U473" s="113"/>
      <c r="V473" s="93"/>
      <c r="W473" s="114"/>
      <c r="X473" s="67">
        <f t="shared" ref="X473:Y473" si="490">(P473+R473+T473+V473)</f>
        <v>18</v>
      </c>
      <c r="Y473" s="67">
        <f t="shared" si="490"/>
        <v>19</v>
      </c>
      <c r="Z473" s="68">
        <f t="shared" si="265"/>
        <v>37</v>
      </c>
      <c r="AA473" s="150" t="str">
        <f t="shared" si="386"/>
        <v>2D</v>
      </c>
      <c r="AB473" s="70" t="s">
        <v>1050</v>
      </c>
      <c r="AC473" s="70">
        <v>7</v>
      </c>
      <c r="AD473" s="70">
        <v>39</v>
      </c>
      <c r="AE473" s="70">
        <v>35</v>
      </c>
      <c r="AF473" s="70">
        <v>74</v>
      </c>
      <c r="AG473" s="72">
        <f t="shared" si="267"/>
        <v>0.52702702702702697</v>
      </c>
      <c r="AH473" s="73">
        <f t="shared" si="419"/>
        <v>-37.472972972972975</v>
      </c>
      <c r="AI473" s="74">
        <v>10</v>
      </c>
      <c r="AJ473" s="79" t="s">
        <v>1051</v>
      </c>
      <c r="AK473" s="76" t="s">
        <v>1052</v>
      </c>
      <c r="AL473" s="67"/>
      <c r="AM473" s="506"/>
      <c r="AN473" s="505"/>
      <c r="AO473" s="515"/>
    </row>
    <row r="474" spans="1:41" ht="14.5">
      <c r="A474" s="58">
        <v>44352</v>
      </c>
      <c r="B474" s="59" t="s">
        <v>615</v>
      </c>
      <c r="C474" s="60" t="s">
        <v>241</v>
      </c>
      <c r="D474" s="60" t="s">
        <v>1043</v>
      </c>
      <c r="E474" s="100">
        <v>11</v>
      </c>
      <c r="F474" s="101">
        <v>8</v>
      </c>
      <c r="G474" s="101">
        <v>11</v>
      </c>
      <c r="H474" s="60">
        <v>30</v>
      </c>
      <c r="I474" s="60">
        <v>23</v>
      </c>
      <c r="J474" s="149">
        <f t="shared" si="417"/>
        <v>53</v>
      </c>
      <c r="K474" s="122">
        <f t="shared" si="400"/>
        <v>0.56603773584905659</v>
      </c>
      <c r="L474" s="123">
        <f t="shared" si="263"/>
        <v>-2.4339622641509435</v>
      </c>
      <c r="M474" s="64">
        <v>5</v>
      </c>
      <c r="N474" s="64">
        <v>6</v>
      </c>
      <c r="O474" s="64" t="s">
        <v>1053</v>
      </c>
      <c r="P474" s="103">
        <v>11</v>
      </c>
      <c r="Q474" s="103">
        <v>8</v>
      </c>
      <c r="R474" s="103">
        <v>7</v>
      </c>
      <c r="S474" s="103">
        <v>11</v>
      </c>
      <c r="T474" s="103"/>
      <c r="U474" s="103"/>
      <c r="V474" s="69"/>
      <c r="W474" s="104"/>
      <c r="X474" s="67">
        <f t="shared" ref="X474:Y474" si="491">(P474+R474+T474+V474)</f>
        <v>18</v>
      </c>
      <c r="Y474" s="67">
        <f t="shared" si="491"/>
        <v>19</v>
      </c>
      <c r="Z474" s="68">
        <f t="shared" si="265"/>
        <v>37</v>
      </c>
      <c r="AA474" s="150" t="str">
        <f t="shared" si="386"/>
        <v>3A</v>
      </c>
      <c r="AB474" s="70" t="s">
        <v>1043</v>
      </c>
      <c r="AC474" s="70">
        <v>5</v>
      </c>
      <c r="AD474" s="70">
        <v>60</v>
      </c>
      <c r="AE474" s="70">
        <v>45</v>
      </c>
      <c r="AF474" s="70">
        <v>105</v>
      </c>
      <c r="AG474" s="72">
        <f t="shared" si="267"/>
        <v>0.5714285714285714</v>
      </c>
      <c r="AH474" s="73">
        <f t="shared" si="419"/>
        <v>-16.428571428571427</v>
      </c>
      <c r="AI474" s="74">
        <v>3</v>
      </c>
      <c r="AJ474" s="79" t="s">
        <v>1054</v>
      </c>
      <c r="AK474" s="76" t="s">
        <v>1055</v>
      </c>
      <c r="AL474" s="67"/>
      <c r="AM474" s="506"/>
      <c r="AN474" s="505"/>
      <c r="AO474" s="515"/>
    </row>
    <row r="475" spans="1:41" ht="14.5">
      <c r="A475" s="58">
        <v>44352</v>
      </c>
      <c r="B475" s="59" t="s">
        <v>615</v>
      </c>
      <c r="C475" s="60" t="s">
        <v>246</v>
      </c>
      <c r="D475" s="60" t="s">
        <v>1056</v>
      </c>
      <c r="E475" s="105">
        <v>4</v>
      </c>
      <c r="F475" s="106">
        <v>6</v>
      </c>
      <c r="G475" s="106">
        <v>5</v>
      </c>
      <c r="H475" s="60">
        <v>15</v>
      </c>
      <c r="I475" s="60">
        <v>33</v>
      </c>
      <c r="J475" s="149">
        <f t="shared" si="417"/>
        <v>48</v>
      </c>
      <c r="K475" s="122">
        <f t="shared" si="400"/>
        <v>0.3125</v>
      </c>
      <c r="L475" s="123">
        <f t="shared" si="263"/>
        <v>-17.6875</v>
      </c>
      <c r="M475" s="64">
        <v>14</v>
      </c>
      <c r="N475" s="86">
        <v>11</v>
      </c>
      <c r="O475" s="86" t="s">
        <v>1040</v>
      </c>
      <c r="P475" s="113">
        <v>8</v>
      </c>
      <c r="Q475" s="113">
        <v>11</v>
      </c>
      <c r="R475" s="103"/>
      <c r="S475" s="103"/>
      <c r="T475" s="103"/>
      <c r="U475" s="103"/>
      <c r="V475" s="69"/>
      <c r="W475" s="104"/>
      <c r="X475" s="67">
        <f t="shared" ref="X475:Y475" si="492">(P475+R475+T475+V475)</f>
        <v>8</v>
      </c>
      <c r="Y475" s="67">
        <f t="shared" si="492"/>
        <v>11</v>
      </c>
      <c r="Z475" s="68">
        <f t="shared" si="265"/>
        <v>19</v>
      </c>
      <c r="AA475" s="150" t="str">
        <f t="shared" si="386"/>
        <v>3B</v>
      </c>
      <c r="AB475" s="70" t="s">
        <v>1056</v>
      </c>
      <c r="AC475" s="70">
        <v>14</v>
      </c>
      <c r="AD475" s="70">
        <v>15</v>
      </c>
      <c r="AE475" s="70">
        <v>44</v>
      </c>
      <c r="AF475" s="70">
        <v>59</v>
      </c>
      <c r="AG475" s="72">
        <f t="shared" si="267"/>
        <v>0.25423728813559321</v>
      </c>
      <c r="AH475" s="73">
        <f t="shared" si="419"/>
        <v>-61.745762711864408</v>
      </c>
      <c r="AI475" s="74">
        <v>14</v>
      </c>
      <c r="AJ475" s="79" t="s">
        <v>1057</v>
      </c>
      <c r="AK475" s="76" t="s">
        <v>793</v>
      </c>
      <c r="AL475" s="67"/>
      <c r="AM475" s="506"/>
      <c r="AN475" s="505"/>
      <c r="AO475" s="515"/>
    </row>
    <row r="476" spans="1:41" ht="14.5">
      <c r="A476" s="58">
        <v>44352</v>
      </c>
      <c r="B476" s="59" t="s">
        <v>615</v>
      </c>
      <c r="C476" s="60" t="s">
        <v>251</v>
      </c>
      <c r="D476" s="60" t="s">
        <v>1048</v>
      </c>
      <c r="E476" s="107">
        <v>11</v>
      </c>
      <c r="F476" s="108">
        <v>11</v>
      </c>
      <c r="G476" s="106">
        <v>11</v>
      </c>
      <c r="H476" s="60">
        <v>33</v>
      </c>
      <c r="I476" s="60">
        <v>22</v>
      </c>
      <c r="J476" s="149">
        <f t="shared" si="417"/>
        <v>55</v>
      </c>
      <c r="K476" s="122">
        <f t="shared" si="400"/>
        <v>0.6</v>
      </c>
      <c r="L476" s="123">
        <f t="shared" si="263"/>
        <v>0.6</v>
      </c>
      <c r="M476" s="64">
        <v>4</v>
      </c>
      <c r="N476" s="64">
        <v>3</v>
      </c>
      <c r="O476" s="64" t="s">
        <v>1046</v>
      </c>
      <c r="P476" s="103">
        <v>11</v>
      </c>
      <c r="Q476" s="103">
        <v>0</v>
      </c>
      <c r="R476" s="103">
        <v>11</v>
      </c>
      <c r="S476" s="103">
        <v>7</v>
      </c>
      <c r="T476" s="103">
        <v>4</v>
      </c>
      <c r="U476" s="103">
        <v>11</v>
      </c>
      <c r="V476" s="69"/>
      <c r="W476" s="104"/>
      <c r="X476" s="67">
        <f t="shared" ref="X476:Y476" si="493">(P476+R476+T476+V476)</f>
        <v>26</v>
      </c>
      <c r="Y476" s="67">
        <f t="shared" si="493"/>
        <v>18</v>
      </c>
      <c r="Z476" s="68">
        <f t="shared" si="265"/>
        <v>44</v>
      </c>
      <c r="AA476" s="150" t="str">
        <f t="shared" si="386"/>
        <v>3C</v>
      </c>
      <c r="AB476" s="70" t="s">
        <v>1048</v>
      </c>
      <c r="AC476" s="70">
        <v>4</v>
      </c>
      <c r="AD476" s="70">
        <v>41</v>
      </c>
      <c r="AE476" s="70">
        <v>33</v>
      </c>
      <c r="AF476" s="70">
        <v>74</v>
      </c>
      <c r="AG476" s="72">
        <f t="shared" si="267"/>
        <v>0.55405405405405406</v>
      </c>
      <c r="AH476" s="73">
        <f t="shared" si="419"/>
        <v>-35.445945945945944</v>
      </c>
      <c r="AI476" s="74">
        <v>9</v>
      </c>
      <c r="AJ476" s="79" t="s">
        <v>1058</v>
      </c>
      <c r="AK476" s="76" t="s">
        <v>447</v>
      </c>
      <c r="AL476" s="67"/>
      <c r="AM476" s="506"/>
      <c r="AN476" s="505"/>
      <c r="AO476" s="515"/>
    </row>
    <row r="477" spans="1:41" ht="14.5">
      <c r="A477" s="58">
        <v>44352</v>
      </c>
      <c r="B477" s="59" t="s">
        <v>615</v>
      </c>
      <c r="C477" s="60" t="s">
        <v>256</v>
      </c>
      <c r="D477" s="60" t="s">
        <v>1059</v>
      </c>
      <c r="E477" s="109">
        <v>9</v>
      </c>
      <c r="F477" s="110">
        <v>11</v>
      </c>
      <c r="G477" s="111">
        <v>8</v>
      </c>
      <c r="H477" s="60">
        <v>28</v>
      </c>
      <c r="I477" s="60">
        <v>28</v>
      </c>
      <c r="J477" s="149">
        <f t="shared" si="417"/>
        <v>56</v>
      </c>
      <c r="K477" s="122">
        <f t="shared" si="400"/>
        <v>0.5</v>
      </c>
      <c r="L477" s="123">
        <f t="shared" si="263"/>
        <v>-4.5</v>
      </c>
      <c r="M477" s="64">
        <v>10</v>
      </c>
      <c r="N477" s="86">
        <v>14</v>
      </c>
      <c r="O477" s="86" t="s">
        <v>1056</v>
      </c>
      <c r="P477" s="113">
        <v>0</v>
      </c>
      <c r="Q477" s="113">
        <v>11</v>
      </c>
      <c r="R477" s="113"/>
      <c r="S477" s="113"/>
      <c r="T477" s="103"/>
      <c r="U477" s="103"/>
      <c r="V477" s="69"/>
      <c r="W477" s="104"/>
      <c r="X477" s="67">
        <f t="shared" ref="X477:Y477" si="494">(P477+R477+T477+V477)</f>
        <v>0</v>
      </c>
      <c r="Y477" s="67">
        <f t="shared" si="494"/>
        <v>11</v>
      </c>
      <c r="Z477" s="68">
        <f t="shared" si="265"/>
        <v>11</v>
      </c>
      <c r="AA477" s="150" t="str">
        <f t="shared" si="386"/>
        <v>3D</v>
      </c>
      <c r="AB477" s="70" t="s">
        <v>1059</v>
      </c>
      <c r="AC477" s="70">
        <v>10</v>
      </c>
      <c r="AD477" s="70">
        <v>42</v>
      </c>
      <c r="AE477" s="70">
        <v>49</v>
      </c>
      <c r="AF477" s="70">
        <v>91</v>
      </c>
      <c r="AG477" s="72">
        <f t="shared" si="267"/>
        <v>0.46153846153846156</v>
      </c>
      <c r="AH477" s="73">
        <f t="shared" si="419"/>
        <v>-34.53846153846154</v>
      </c>
      <c r="AI477" s="74">
        <v>8</v>
      </c>
      <c r="AJ477" s="79" t="s">
        <v>1034</v>
      </c>
      <c r="AK477" s="76" t="s">
        <v>1060</v>
      </c>
      <c r="AL477" s="67"/>
      <c r="AM477" s="506"/>
      <c r="AN477" s="505"/>
      <c r="AO477" s="515"/>
    </row>
    <row r="478" spans="1:41" ht="14.5">
      <c r="A478" s="58">
        <v>44352</v>
      </c>
      <c r="B478" s="59" t="s">
        <v>615</v>
      </c>
      <c r="C478" s="60" t="s">
        <v>261</v>
      </c>
      <c r="D478" s="60" t="s">
        <v>1037</v>
      </c>
      <c r="E478" s="100">
        <v>0</v>
      </c>
      <c r="F478" s="101">
        <v>6</v>
      </c>
      <c r="G478" s="101">
        <v>5</v>
      </c>
      <c r="H478" s="60">
        <v>11</v>
      </c>
      <c r="I478" s="60">
        <v>33</v>
      </c>
      <c r="J478" s="149">
        <f t="shared" si="417"/>
        <v>44</v>
      </c>
      <c r="K478" s="122">
        <f t="shared" si="400"/>
        <v>0.25</v>
      </c>
      <c r="L478" s="123">
        <f t="shared" si="263"/>
        <v>-21.75</v>
      </c>
      <c r="M478" s="64">
        <v>16</v>
      </c>
      <c r="N478" s="64">
        <v>7</v>
      </c>
      <c r="O478" s="64" t="s">
        <v>1050</v>
      </c>
      <c r="P478" s="103">
        <v>10</v>
      </c>
      <c r="Q478" s="103">
        <v>11</v>
      </c>
      <c r="R478" s="103"/>
      <c r="S478" s="103"/>
      <c r="T478" s="103"/>
      <c r="U478" s="103"/>
      <c r="V478" s="69"/>
      <c r="W478" s="104"/>
      <c r="X478" s="67">
        <f t="shared" ref="X478:Y478" si="495">(P478+R478+T478+V478)</f>
        <v>10</v>
      </c>
      <c r="Y478" s="67">
        <f t="shared" si="495"/>
        <v>11</v>
      </c>
      <c r="Z478" s="68">
        <f t="shared" si="265"/>
        <v>21</v>
      </c>
      <c r="AA478" s="150" t="str">
        <f t="shared" si="386"/>
        <v>4A</v>
      </c>
      <c r="AB478" s="70" t="s">
        <v>1037</v>
      </c>
      <c r="AC478" s="70">
        <v>16</v>
      </c>
      <c r="AD478" s="70">
        <v>14</v>
      </c>
      <c r="AE478" s="70">
        <v>44</v>
      </c>
      <c r="AF478" s="70">
        <v>58</v>
      </c>
      <c r="AG478" s="72">
        <f t="shared" si="267"/>
        <v>0.2413793103448276</v>
      </c>
      <c r="AH478" s="73">
        <f t="shared" si="419"/>
        <v>-62.758620689655174</v>
      </c>
      <c r="AI478" s="74">
        <v>15</v>
      </c>
      <c r="AJ478" s="79" t="s">
        <v>648</v>
      </c>
      <c r="AK478" s="76" t="s">
        <v>791</v>
      </c>
      <c r="AL478" s="67"/>
      <c r="AM478" s="506"/>
      <c r="AN478" s="505"/>
      <c r="AO478" s="515"/>
    </row>
    <row r="479" spans="1:41" ht="14.5">
      <c r="A479" s="58">
        <v>44352</v>
      </c>
      <c r="B479" s="59" t="s">
        <v>615</v>
      </c>
      <c r="C479" s="60" t="s">
        <v>268</v>
      </c>
      <c r="D479" s="60" t="s">
        <v>134</v>
      </c>
      <c r="E479" s="105">
        <v>11</v>
      </c>
      <c r="F479" s="106">
        <v>11</v>
      </c>
      <c r="G479" s="106">
        <v>7</v>
      </c>
      <c r="H479" s="60">
        <v>29</v>
      </c>
      <c r="I479" s="60">
        <v>16</v>
      </c>
      <c r="J479" s="149">
        <f t="shared" si="417"/>
        <v>45</v>
      </c>
      <c r="K479" s="122">
        <f t="shared" si="400"/>
        <v>0.64444444444444449</v>
      </c>
      <c r="L479" s="123">
        <f t="shared" si="263"/>
        <v>-3.3555555555555556</v>
      </c>
      <c r="M479" s="64">
        <v>2</v>
      </c>
      <c r="N479" s="86">
        <v>10</v>
      </c>
      <c r="O479" s="86" t="s">
        <v>1059</v>
      </c>
      <c r="P479" s="113">
        <v>11</v>
      </c>
      <c r="Q479" s="113">
        <v>10</v>
      </c>
      <c r="R479" s="103">
        <v>3</v>
      </c>
      <c r="S479" s="103">
        <v>11</v>
      </c>
      <c r="T479" s="103"/>
      <c r="U479" s="103"/>
      <c r="V479" s="69"/>
      <c r="W479" s="104"/>
      <c r="X479" s="67">
        <f t="shared" ref="X479:Y479" si="496">(P479+R479+T479+V479)</f>
        <v>14</v>
      </c>
      <c r="Y479" s="67">
        <f t="shared" si="496"/>
        <v>21</v>
      </c>
      <c r="Z479" s="68">
        <f t="shared" si="265"/>
        <v>35</v>
      </c>
      <c r="AA479" s="150" t="str">
        <f t="shared" si="386"/>
        <v>4B</v>
      </c>
      <c r="AB479" s="70" t="s">
        <v>134</v>
      </c>
      <c r="AC479" s="70">
        <v>2</v>
      </c>
      <c r="AD479" s="70">
        <v>73</v>
      </c>
      <c r="AE479" s="70">
        <v>30</v>
      </c>
      <c r="AF479" s="70">
        <v>103</v>
      </c>
      <c r="AG479" s="72">
        <f t="shared" si="267"/>
        <v>0.70873786407766992</v>
      </c>
      <c r="AH479" s="73">
        <f t="shared" si="419"/>
        <v>-3.29126213592233</v>
      </c>
      <c r="AI479" s="74">
        <v>1</v>
      </c>
      <c r="AJ479" s="79" t="s">
        <v>753</v>
      </c>
      <c r="AK479" s="76" t="s">
        <v>1061</v>
      </c>
      <c r="AL479" s="67"/>
      <c r="AM479" s="506"/>
      <c r="AN479" s="505"/>
      <c r="AO479" s="515"/>
    </row>
    <row r="480" spans="1:41" ht="14.5">
      <c r="A480" s="58">
        <v>44352</v>
      </c>
      <c r="B480" s="59" t="s">
        <v>615</v>
      </c>
      <c r="C480" s="60" t="s">
        <v>271</v>
      </c>
      <c r="D480" s="60" t="s">
        <v>1041</v>
      </c>
      <c r="E480" s="107">
        <v>5</v>
      </c>
      <c r="F480" s="108">
        <v>11</v>
      </c>
      <c r="G480" s="106">
        <v>11</v>
      </c>
      <c r="H480" s="60">
        <v>27</v>
      </c>
      <c r="I480" s="60">
        <v>24</v>
      </c>
      <c r="J480" s="149">
        <f t="shared" si="417"/>
        <v>51</v>
      </c>
      <c r="K480" s="122">
        <f t="shared" si="400"/>
        <v>0.52941176470588236</v>
      </c>
      <c r="L480" s="123">
        <f t="shared" si="263"/>
        <v>-5.4705882352941178</v>
      </c>
      <c r="M480" s="64">
        <v>9</v>
      </c>
      <c r="N480" s="64">
        <v>2</v>
      </c>
      <c r="O480" s="64" t="s">
        <v>134</v>
      </c>
      <c r="P480" s="103">
        <v>11</v>
      </c>
      <c r="Q480" s="103">
        <v>2</v>
      </c>
      <c r="R480" s="103">
        <v>11</v>
      </c>
      <c r="S480" s="103">
        <v>3</v>
      </c>
      <c r="T480" s="103">
        <v>11</v>
      </c>
      <c r="U480" s="103">
        <v>4</v>
      </c>
      <c r="V480" s="69">
        <v>11</v>
      </c>
      <c r="W480" s="104">
        <v>5</v>
      </c>
      <c r="X480" s="67">
        <f t="shared" ref="X480:Y480" si="497">(P480+R480+T480+V480)</f>
        <v>44</v>
      </c>
      <c r="Y480" s="67">
        <f t="shared" si="497"/>
        <v>14</v>
      </c>
      <c r="Z480" s="68">
        <f t="shared" si="265"/>
        <v>58</v>
      </c>
      <c r="AA480" s="150" t="str">
        <f t="shared" si="386"/>
        <v>4C</v>
      </c>
      <c r="AB480" s="70" t="s">
        <v>1041</v>
      </c>
      <c r="AC480" s="70">
        <v>9</v>
      </c>
      <c r="AD480" s="70">
        <v>36</v>
      </c>
      <c r="AE480" s="70">
        <v>35</v>
      </c>
      <c r="AF480" s="70">
        <v>71</v>
      </c>
      <c r="AG480" s="72">
        <f t="shared" si="267"/>
        <v>0.50704225352112675</v>
      </c>
      <c r="AH480" s="73">
        <f t="shared" si="419"/>
        <v>-40.492957746478872</v>
      </c>
      <c r="AI480" s="74">
        <v>11</v>
      </c>
      <c r="AJ480" s="79" t="s">
        <v>780</v>
      </c>
      <c r="AK480" s="76" t="s">
        <v>1062</v>
      </c>
      <c r="AL480" s="67"/>
      <c r="AM480" s="506"/>
      <c r="AN480" s="505"/>
      <c r="AO480" s="515"/>
    </row>
    <row r="481" spans="1:41" ht="14.5">
      <c r="A481" s="87">
        <v>44352</v>
      </c>
      <c r="B481" s="88" t="s">
        <v>615</v>
      </c>
      <c r="C481" s="89" t="s">
        <v>276</v>
      </c>
      <c r="D481" s="89" t="s">
        <v>1053</v>
      </c>
      <c r="E481" s="109">
        <v>11</v>
      </c>
      <c r="F481" s="110">
        <v>5</v>
      </c>
      <c r="G481" s="111">
        <v>11</v>
      </c>
      <c r="H481" s="89">
        <v>27</v>
      </c>
      <c r="I481" s="89">
        <v>21</v>
      </c>
      <c r="J481" s="152">
        <f t="shared" si="417"/>
        <v>48</v>
      </c>
      <c r="K481" s="153">
        <f t="shared" si="400"/>
        <v>0.5625</v>
      </c>
      <c r="L481" s="154">
        <f t="shared" si="263"/>
        <v>-5.4375</v>
      </c>
      <c r="M481" s="86">
        <v>6</v>
      </c>
      <c r="N481" s="86">
        <v>15</v>
      </c>
      <c r="O481" s="86" t="s">
        <v>1042</v>
      </c>
      <c r="P481" s="113">
        <v>2</v>
      </c>
      <c r="Q481" s="113">
        <v>11</v>
      </c>
      <c r="R481" s="113"/>
      <c r="S481" s="113"/>
      <c r="T481" s="113"/>
      <c r="U481" s="113"/>
      <c r="V481" s="93"/>
      <c r="W481" s="114"/>
      <c r="X481" s="92">
        <f t="shared" ref="X481:Y481" si="498">(P481+R481+T481+V481)</f>
        <v>2</v>
      </c>
      <c r="Y481" s="92">
        <f t="shared" si="498"/>
        <v>11</v>
      </c>
      <c r="Z481" s="84">
        <f t="shared" si="265"/>
        <v>13</v>
      </c>
      <c r="AA481" s="155" t="str">
        <f t="shared" si="386"/>
        <v>4D</v>
      </c>
      <c r="AB481" s="94" t="s">
        <v>1053</v>
      </c>
      <c r="AC481" s="94">
        <v>6</v>
      </c>
      <c r="AD481" s="94">
        <v>45</v>
      </c>
      <c r="AE481" s="94">
        <v>40</v>
      </c>
      <c r="AF481" s="94">
        <v>85</v>
      </c>
      <c r="AG481" s="95">
        <f t="shared" si="267"/>
        <v>0.52941176470588236</v>
      </c>
      <c r="AH481" s="96">
        <f t="shared" si="419"/>
        <v>-31.470588235294116</v>
      </c>
      <c r="AI481" s="97">
        <v>5</v>
      </c>
      <c r="AJ481" s="98" t="s">
        <v>687</v>
      </c>
      <c r="AK481" s="81" t="s">
        <v>1063</v>
      </c>
      <c r="AL481" s="67"/>
      <c r="AM481" s="507"/>
      <c r="AN481" s="508"/>
      <c r="AO481" s="515"/>
    </row>
    <row r="482" spans="1:41" ht="14.5">
      <c r="A482" s="58">
        <v>44436</v>
      </c>
      <c r="B482" s="59" t="s">
        <v>204</v>
      </c>
      <c r="C482" s="60" t="s">
        <v>205</v>
      </c>
      <c r="D482" s="60" t="s">
        <v>1064</v>
      </c>
      <c r="E482" s="100">
        <v>1</v>
      </c>
      <c r="F482" s="101">
        <v>9</v>
      </c>
      <c r="G482" s="101">
        <v>11</v>
      </c>
      <c r="H482" s="60">
        <v>21</v>
      </c>
      <c r="I482" s="60">
        <v>30</v>
      </c>
      <c r="J482" s="149">
        <f t="shared" si="417"/>
        <v>51</v>
      </c>
      <c r="K482" s="122">
        <f t="shared" si="400"/>
        <v>0.41176470588235292</v>
      </c>
      <c r="L482" s="123">
        <f t="shared" si="263"/>
        <v>-11.588235294117647</v>
      </c>
      <c r="M482" s="64">
        <v>12</v>
      </c>
      <c r="N482" s="61">
        <v>1</v>
      </c>
      <c r="O482" s="61" t="s">
        <v>1065</v>
      </c>
      <c r="P482" s="115">
        <v>11</v>
      </c>
      <c r="Q482" s="115">
        <v>4</v>
      </c>
      <c r="R482" s="115">
        <v>9</v>
      </c>
      <c r="S482" s="115">
        <v>11</v>
      </c>
      <c r="T482" s="115"/>
      <c r="U482" s="115"/>
      <c r="V482" s="116"/>
      <c r="W482" s="117"/>
      <c r="X482" s="67">
        <f t="shared" ref="X482:Y482" si="499">(P482+R482+T482+V482)</f>
        <v>20</v>
      </c>
      <c r="Y482" s="67">
        <f t="shared" si="499"/>
        <v>15</v>
      </c>
      <c r="Z482" s="68">
        <f t="shared" si="265"/>
        <v>35</v>
      </c>
      <c r="AA482" s="150" t="str">
        <f t="shared" si="386"/>
        <v>1A</v>
      </c>
      <c r="AB482" s="70" t="s">
        <v>1064</v>
      </c>
      <c r="AC482" s="70">
        <v>12</v>
      </c>
      <c r="AD482" s="70">
        <v>27</v>
      </c>
      <c r="AE482" s="70">
        <v>41</v>
      </c>
      <c r="AF482" s="70">
        <v>68</v>
      </c>
      <c r="AG482" s="72">
        <f t="shared" si="267"/>
        <v>0.39705882352941174</v>
      </c>
      <c r="AH482" s="73">
        <f t="shared" si="419"/>
        <v>-49.602941176470587</v>
      </c>
      <c r="AI482" s="74">
        <v>13</v>
      </c>
      <c r="AJ482" s="79" t="s">
        <v>227</v>
      </c>
      <c r="AK482" s="76" t="s">
        <v>1066</v>
      </c>
      <c r="AL482" s="67"/>
      <c r="AM482" s="506"/>
      <c r="AN482" s="505"/>
      <c r="AO482" s="515"/>
    </row>
    <row r="483" spans="1:41" ht="14.5">
      <c r="A483" s="58">
        <v>44436</v>
      </c>
      <c r="B483" s="59" t="s">
        <v>204</v>
      </c>
      <c r="C483" s="60" t="s">
        <v>211</v>
      </c>
      <c r="D483" s="60" t="s">
        <v>1067</v>
      </c>
      <c r="E483" s="105">
        <v>11</v>
      </c>
      <c r="F483" s="106">
        <v>11</v>
      </c>
      <c r="G483" s="106">
        <v>11</v>
      </c>
      <c r="H483" s="60">
        <v>33</v>
      </c>
      <c r="I483" s="60">
        <v>12</v>
      </c>
      <c r="J483" s="149">
        <f t="shared" si="417"/>
        <v>45</v>
      </c>
      <c r="K483" s="122">
        <f t="shared" si="400"/>
        <v>0.73333333333333328</v>
      </c>
      <c r="L483" s="123">
        <f t="shared" si="263"/>
        <v>0.73333333333333328</v>
      </c>
      <c r="M483" s="64">
        <v>2</v>
      </c>
      <c r="N483" s="86">
        <v>16</v>
      </c>
      <c r="O483" s="86" t="s">
        <v>1068</v>
      </c>
      <c r="P483" s="113">
        <v>4</v>
      </c>
      <c r="Q483" s="113">
        <v>11</v>
      </c>
      <c r="R483" s="103"/>
      <c r="S483" s="103"/>
      <c r="T483" s="103"/>
      <c r="U483" s="103"/>
      <c r="V483" s="69"/>
      <c r="W483" s="104"/>
      <c r="X483" s="67">
        <f t="shared" ref="X483:Y483" si="500">(P483+R483+T483+V483)</f>
        <v>4</v>
      </c>
      <c r="Y483" s="67">
        <f t="shared" si="500"/>
        <v>11</v>
      </c>
      <c r="Z483" s="68">
        <f t="shared" si="265"/>
        <v>15</v>
      </c>
      <c r="AA483" s="150" t="str">
        <f t="shared" si="386"/>
        <v>1B</v>
      </c>
      <c r="AB483" s="70" t="s">
        <v>1067</v>
      </c>
      <c r="AC483" s="70">
        <v>2</v>
      </c>
      <c r="AD483" s="70">
        <v>52</v>
      </c>
      <c r="AE483" s="70">
        <v>29</v>
      </c>
      <c r="AF483" s="70">
        <v>81</v>
      </c>
      <c r="AG483" s="72">
        <f t="shared" si="267"/>
        <v>0.64197530864197527</v>
      </c>
      <c r="AH483" s="73">
        <f t="shared" si="419"/>
        <v>-24.358024691358025</v>
      </c>
      <c r="AI483" s="74">
        <v>7</v>
      </c>
      <c r="AJ483" s="79" t="s">
        <v>990</v>
      </c>
      <c r="AK483" s="76" t="s">
        <v>1069</v>
      </c>
      <c r="AL483" s="67"/>
      <c r="AM483" s="506"/>
      <c r="AN483" s="505"/>
      <c r="AO483" s="515"/>
    </row>
    <row r="484" spans="1:41" ht="14.5">
      <c r="A484" s="58">
        <v>44436</v>
      </c>
      <c r="B484" s="59" t="s">
        <v>204</v>
      </c>
      <c r="C484" s="60" t="s">
        <v>216</v>
      </c>
      <c r="D484" s="60" t="s">
        <v>1070</v>
      </c>
      <c r="E484" s="107">
        <v>11</v>
      </c>
      <c r="F484" s="108">
        <v>11</v>
      </c>
      <c r="G484" s="106">
        <v>4</v>
      </c>
      <c r="H484" s="60">
        <v>26</v>
      </c>
      <c r="I484" s="60">
        <v>25</v>
      </c>
      <c r="J484" s="149">
        <f t="shared" si="417"/>
        <v>51</v>
      </c>
      <c r="K484" s="122">
        <f t="shared" si="400"/>
        <v>0.50980392156862742</v>
      </c>
      <c r="L484" s="123">
        <f t="shared" si="263"/>
        <v>-6.4901960784313726</v>
      </c>
      <c r="M484" s="64">
        <v>7</v>
      </c>
      <c r="N484" s="64">
        <v>8</v>
      </c>
      <c r="O484" s="64" t="s">
        <v>1071</v>
      </c>
      <c r="P484" s="103">
        <v>11</v>
      </c>
      <c r="Q484" s="103">
        <v>9</v>
      </c>
      <c r="R484" s="103">
        <v>11</v>
      </c>
      <c r="S484" s="103">
        <v>9</v>
      </c>
      <c r="T484" s="103">
        <v>5</v>
      </c>
      <c r="U484" s="103">
        <v>11</v>
      </c>
      <c r="V484" s="69"/>
      <c r="W484" s="104"/>
      <c r="X484" s="67">
        <f t="shared" ref="X484:Y484" si="501">(P484+R484+T484+V484)</f>
        <v>27</v>
      </c>
      <c r="Y484" s="67">
        <f t="shared" si="501"/>
        <v>29</v>
      </c>
      <c r="Z484" s="68">
        <f t="shared" si="265"/>
        <v>56</v>
      </c>
      <c r="AA484" s="150" t="str">
        <f t="shared" si="386"/>
        <v>1C</v>
      </c>
      <c r="AB484" s="70" t="s">
        <v>1070</v>
      </c>
      <c r="AC484" s="70">
        <v>7</v>
      </c>
      <c r="AD484" s="70">
        <v>55</v>
      </c>
      <c r="AE484" s="70">
        <v>50</v>
      </c>
      <c r="AF484" s="70">
        <v>105</v>
      </c>
      <c r="AG484" s="72">
        <f t="shared" si="267"/>
        <v>0.52380952380952384</v>
      </c>
      <c r="AH484" s="73">
        <f t="shared" si="419"/>
        <v>-21.476190476190474</v>
      </c>
      <c r="AI484" s="74">
        <v>3</v>
      </c>
      <c r="AJ484" s="79" t="s">
        <v>977</v>
      </c>
      <c r="AK484" s="76" t="s">
        <v>820</v>
      </c>
      <c r="AL484" s="67"/>
      <c r="AM484" s="506"/>
      <c r="AN484" s="505"/>
      <c r="AO484" s="515"/>
    </row>
    <row r="485" spans="1:41" ht="14.5">
      <c r="A485" s="58">
        <v>44436</v>
      </c>
      <c r="B485" s="59" t="s">
        <v>204</v>
      </c>
      <c r="C485" s="60" t="s">
        <v>221</v>
      </c>
      <c r="D485" s="60" t="s">
        <v>1072</v>
      </c>
      <c r="E485" s="109">
        <v>5</v>
      </c>
      <c r="F485" s="110">
        <v>7</v>
      </c>
      <c r="G485" s="111">
        <v>8</v>
      </c>
      <c r="H485" s="60">
        <v>20</v>
      </c>
      <c r="I485" s="60">
        <v>33</v>
      </c>
      <c r="J485" s="149">
        <f t="shared" si="417"/>
        <v>53</v>
      </c>
      <c r="K485" s="122">
        <f t="shared" si="400"/>
        <v>0.37735849056603776</v>
      </c>
      <c r="L485" s="123">
        <f t="shared" si="263"/>
        <v>-12.622641509433961</v>
      </c>
      <c r="M485" s="64">
        <v>13</v>
      </c>
      <c r="N485" s="86">
        <v>9</v>
      </c>
      <c r="O485" s="86" t="s">
        <v>1073</v>
      </c>
      <c r="P485" s="113">
        <v>9</v>
      </c>
      <c r="Q485" s="113">
        <v>11</v>
      </c>
      <c r="R485" s="113"/>
      <c r="S485" s="113"/>
      <c r="T485" s="103"/>
      <c r="U485" s="103"/>
      <c r="V485" s="69"/>
      <c r="W485" s="104"/>
      <c r="X485" s="67">
        <f t="shared" ref="X485:Y485" si="502">(P485+R485+T485+V485)</f>
        <v>9</v>
      </c>
      <c r="Y485" s="67">
        <f t="shared" si="502"/>
        <v>11</v>
      </c>
      <c r="Z485" s="68">
        <f t="shared" si="265"/>
        <v>20</v>
      </c>
      <c r="AA485" s="150" t="str">
        <f t="shared" si="386"/>
        <v>1D</v>
      </c>
      <c r="AB485" s="70" t="s">
        <v>1072</v>
      </c>
      <c r="AC485" s="70">
        <v>13</v>
      </c>
      <c r="AD485" s="70">
        <v>28</v>
      </c>
      <c r="AE485" s="70">
        <v>44</v>
      </c>
      <c r="AF485" s="70">
        <v>72</v>
      </c>
      <c r="AG485" s="72">
        <f t="shared" si="267"/>
        <v>0.3888888888888889</v>
      </c>
      <c r="AH485" s="73">
        <f t="shared" si="419"/>
        <v>-48.611111111111114</v>
      </c>
      <c r="AI485" s="74">
        <v>11</v>
      </c>
      <c r="AJ485" s="79" t="s">
        <v>827</v>
      </c>
      <c r="AK485" s="76" t="s">
        <v>1074</v>
      </c>
      <c r="AL485" s="67"/>
      <c r="AM485" s="506"/>
      <c r="AN485" s="505"/>
      <c r="AO485" s="515"/>
    </row>
    <row r="486" spans="1:41" ht="14.5">
      <c r="A486" s="58">
        <v>44436</v>
      </c>
      <c r="B486" s="59" t="s">
        <v>204</v>
      </c>
      <c r="C486" s="60" t="s">
        <v>224</v>
      </c>
      <c r="D486" s="60" t="s">
        <v>1075</v>
      </c>
      <c r="E486" s="100">
        <v>2</v>
      </c>
      <c r="F486" s="101">
        <v>8</v>
      </c>
      <c r="G486" s="101">
        <v>11</v>
      </c>
      <c r="H486" s="60">
        <v>21</v>
      </c>
      <c r="I486" s="60">
        <v>26</v>
      </c>
      <c r="J486" s="149">
        <f t="shared" si="417"/>
        <v>47</v>
      </c>
      <c r="K486" s="122">
        <f t="shared" si="400"/>
        <v>0.44680851063829785</v>
      </c>
      <c r="L486" s="123">
        <f t="shared" si="263"/>
        <v>-11.553191489361701</v>
      </c>
      <c r="M486" s="64">
        <v>11</v>
      </c>
      <c r="N486" s="64">
        <v>5</v>
      </c>
      <c r="O486" s="64" t="s">
        <v>1076</v>
      </c>
      <c r="P486" s="103">
        <v>11</v>
      </c>
      <c r="Q486" s="103">
        <v>6</v>
      </c>
      <c r="R486" s="103">
        <v>8</v>
      </c>
      <c r="S486" s="103">
        <v>11</v>
      </c>
      <c r="T486" s="103"/>
      <c r="U486" s="103"/>
      <c r="V486" s="69"/>
      <c r="W486" s="104"/>
      <c r="X486" s="67">
        <f t="shared" ref="X486:Y486" si="503">(P486+R486+T486+V486)</f>
        <v>19</v>
      </c>
      <c r="Y486" s="67">
        <f t="shared" si="503"/>
        <v>17</v>
      </c>
      <c r="Z486" s="68">
        <f t="shared" si="265"/>
        <v>36</v>
      </c>
      <c r="AA486" s="150" t="str">
        <f t="shared" si="386"/>
        <v>2A</v>
      </c>
      <c r="AB486" s="70" t="s">
        <v>1075</v>
      </c>
      <c r="AC486" s="70">
        <v>11</v>
      </c>
      <c r="AD486" s="70">
        <v>27</v>
      </c>
      <c r="AE486" s="70">
        <v>37</v>
      </c>
      <c r="AF486" s="70">
        <v>64</v>
      </c>
      <c r="AG486" s="72">
        <f t="shared" si="267"/>
        <v>0.421875</v>
      </c>
      <c r="AH486" s="73">
        <f t="shared" si="419"/>
        <v>-49.578125</v>
      </c>
      <c r="AI486" s="74">
        <v>12</v>
      </c>
      <c r="AJ486" s="79" t="s">
        <v>863</v>
      </c>
      <c r="AK486" s="76" t="s">
        <v>1077</v>
      </c>
      <c r="AL486" s="67"/>
      <c r="AM486" s="506"/>
      <c r="AN486" s="505"/>
      <c r="AO486" s="515"/>
    </row>
    <row r="487" spans="1:41" ht="14.5">
      <c r="A487" s="58">
        <v>44436</v>
      </c>
      <c r="B487" s="59" t="s">
        <v>204</v>
      </c>
      <c r="C487" s="60" t="s">
        <v>228</v>
      </c>
      <c r="D487" s="60" t="s">
        <v>1065</v>
      </c>
      <c r="E487" s="105">
        <v>11</v>
      </c>
      <c r="F487" s="106">
        <v>11</v>
      </c>
      <c r="G487" s="106">
        <v>11</v>
      </c>
      <c r="H487" s="60">
        <v>33</v>
      </c>
      <c r="I487" s="60">
        <v>11</v>
      </c>
      <c r="J487" s="149">
        <f t="shared" si="417"/>
        <v>44</v>
      </c>
      <c r="K487" s="122">
        <f t="shared" si="400"/>
        <v>0.75</v>
      </c>
      <c r="L487" s="123">
        <f t="shared" si="263"/>
        <v>0.75</v>
      </c>
      <c r="M487" s="64">
        <v>1</v>
      </c>
      <c r="N487" s="86">
        <v>12</v>
      </c>
      <c r="O487" s="86" t="s">
        <v>1064</v>
      </c>
      <c r="P487" s="113">
        <v>6</v>
      </c>
      <c r="Q487" s="113">
        <v>11</v>
      </c>
      <c r="R487" s="103"/>
      <c r="S487" s="103"/>
      <c r="T487" s="103"/>
      <c r="U487" s="103"/>
      <c r="V487" s="69"/>
      <c r="W487" s="104"/>
      <c r="X487" s="67">
        <f t="shared" ref="X487:Y487" si="504">(P487+R487+T487+V487)</f>
        <v>6</v>
      </c>
      <c r="Y487" s="67">
        <f t="shared" si="504"/>
        <v>11</v>
      </c>
      <c r="Z487" s="68">
        <f t="shared" si="265"/>
        <v>17</v>
      </c>
      <c r="AA487" s="150" t="str">
        <f t="shared" si="386"/>
        <v>2B</v>
      </c>
      <c r="AB487" s="70" t="s">
        <v>1065</v>
      </c>
      <c r="AC487" s="70">
        <v>1</v>
      </c>
      <c r="AD487" s="70">
        <v>53</v>
      </c>
      <c r="AE487" s="70">
        <v>26</v>
      </c>
      <c r="AF487" s="70">
        <v>79</v>
      </c>
      <c r="AG487" s="72">
        <f t="shared" si="267"/>
        <v>0.67088607594936711</v>
      </c>
      <c r="AH487" s="73">
        <f t="shared" si="419"/>
        <v>-23.329113924050631</v>
      </c>
      <c r="AI487" s="74">
        <v>5</v>
      </c>
      <c r="AJ487" s="79" t="s">
        <v>988</v>
      </c>
      <c r="AK487" s="76" t="s">
        <v>984</v>
      </c>
      <c r="AL487" s="67"/>
      <c r="AM487" s="506"/>
      <c r="AN487" s="505"/>
      <c r="AO487" s="515"/>
    </row>
    <row r="488" spans="1:41" ht="14.5">
      <c r="A488" s="58">
        <v>44436</v>
      </c>
      <c r="B488" s="59" t="s">
        <v>204</v>
      </c>
      <c r="C488" s="60" t="s">
        <v>232</v>
      </c>
      <c r="D488" s="60" t="s">
        <v>1073</v>
      </c>
      <c r="E488" s="107">
        <v>11</v>
      </c>
      <c r="F488" s="108">
        <v>11</v>
      </c>
      <c r="G488" s="106">
        <v>6</v>
      </c>
      <c r="H488" s="60">
        <v>28</v>
      </c>
      <c r="I488" s="60">
        <v>27</v>
      </c>
      <c r="J488" s="149">
        <f t="shared" si="417"/>
        <v>55</v>
      </c>
      <c r="K488" s="122">
        <f t="shared" si="400"/>
        <v>0.50909090909090904</v>
      </c>
      <c r="L488" s="123">
        <f t="shared" si="263"/>
        <v>-4.4909090909090912</v>
      </c>
      <c r="M488" s="64">
        <v>9</v>
      </c>
      <c r="N488" s="64">
        <v>4</v>
      </c>
      <c r="O488" s="64" t="s">
        <v>138</v>
      </c>
      <c r="P488" s="103">
        <v>11</v>
      </c>
      <c r="Q488" s="103">
        <v>8</v>
      </c>
      <c r="R488" s="103">
        <v>11</v>
      </c>
      <c r="S488" s="103">
        <v>8</v>
      </c>
      <c r="T488" s="103">
        <v>11</v>
      </c>
      <c r="U488" s="103">
        <v>5</v>
      </c>
      <c r="V488" s="69">
        <v>7</v>
      </c>
      <c r="W488" s="104">
        <v>11</v>
      </c>
      <c r="X488" s="67">
        <f t="shared" ref="X488:Y488" si="505">(P488+R488+T488+V488)</f>
        <v>40</v>
      </c>
      <c r="Y488" s="67">
        <f t="shared" si="505"/>
        <v>32</v>
      </c>
      <c r="Z488" s="68">
        <f t="shared" si="265"/>
        <v>72</v>
      </c>
      <c r="AA488" s="150" t="str">
        <f t="shared" si="386"/>
        <v>2C</v>
      </c>
      <c r="AB488" s="70" t="s">
        <v>1073</v>
      </c>
      <c r="AC488" s="70">
        <v>9</v>
      </c>
      <c r="AD488" s="70">
        <v>37</v>
      </c>
      <c r="AE488" s="70">
        <v>38</v>
      </c>
      <c r="AF488" s="70">
        <v>75</v>
      </c>
      <c r="AG488" s="72">
        <f t="shared" si="267"/>
        <v>0.49333333333333335</v>
      </c>
      <c r="AH488" s="73">
        <f t="shared" si="419"/>
        <v>-39.506666666666668</v>
      </c>
      <c r="AI488" s="74">
        <v>9</v>
      </c>
      <c r="AJ488" s="79" t="s">
        <v>1078</v>
      </c>
      <c r="AK488" s="76" t="s">
        <v>1079</v>
      </c>
      <c r="AL488" s="67"/>
      <c r="AM488" s="506"/>
      <c r="AN488" s="505"/>
      <c r="AO488" s="515"/>
    </row>
    <row r="489" spans="1:41" ht="14.5">
      <c r="A489" s="58">
        <v>44436</v>
      </c>
      <c r="B489" s="59" t="s">
        <v>204</v>
      </c>
      <c r="C489" s="60" t="s">
        <v>237</v>
      </c>
      <c r="D489" s="60" t="s">
        <v>1068</v>
      </c>
      <c r="E489" s="109">
        <v>8</v>
      </c>
      <c r="F489" s="110">
        <v>3</v>
      </c>
      <c r="G489" s="111">
        <v>4</v>
      </c>
      <c r="H489" s="60">
        <v>15</v>
      </c>
      <c r="I489" s="60">
        <v>33</v>
      </c>
      <c r="J489" s="149">
        <f t="shared" si="417"/>
        <v>48</v>
      </c>
      <c r="K489" s="122">
        <f t="shared" si="400"/>
        <v>0.3125</v>
      </c>
      <c r="L489" s="123">
        <f t="shared" si="263"/>
        <v>-17.6875</v>
      </c>
      <c r="M489" s="64">
        <v>16</v>
      </c>
      <c r="N489" s="86">
        <v>13</v>
      </c>
      <c r="O489" s="86" t="s">
        <v>1072</v>
      </c>
      <c r="P489" s="113">
        <v>8</v>
      </c>
      <c r="Q489" s="113">
        <v>11</v>
      </c>
      <c r="R489" s="113"/>
      <c r="S489" s="113"/>
      <c r="T489" s="113"/>
      <c r="U489" s="113"/>
      <c r="V489" s="93"/>
      <c r="W489" s="114"/>
      <c r="X489" s="67">
        <f t="shared" ref="X489:Y489" si="506">(P489+R489+T489+V489)</f>
        <v>8</v>
      </c>
      <c r="Y489" s="67">
        <f t="shared" si="506"/>
        <v>11</v>
      </c>
      <c r="Z489" s="68">
        <f t="shared" si="265"/>
        <v>19</v>
      </c>
      <c r="AA489" s="150" t="str">
        <f t="shared" si="386"/>
        <v>2D</v>
      </c>
      <c r="AB489" s="70" t="s">
        <v>1068</v>
      </c>
      <c r="AC489" s="70">
        <v>16</v>
      </c>
      <c r="AD489" s="70">
        <v>19</v>
      </c>
      <c r="AE489" s="70">
        <v>44</v>
      </c>
      <c r="AF489" s="70">
        <v>63</v>
      </c>
      <c r="AG489" s="72">
        <f t="shared" si="267"/>
        <v>0.30158730158730157</v>
      </c>
      <c r="AH489" s="73">
        <f t="shared" si="419"/>
        <v>-57.698412698412696</v>
      </c>
      <c r="AI489" s="74">
        <v>16</v>
      </c>
      <c r="AJ489" s="79" t="s">
        <v>976</v>
      </c>
      <c r="AK489" s="76" t="s">
        <v>1080</v>
      </c>
      <c r="AL489" s="67"/>
      <c r="AM489" s="506"/>
      <c r="AN489" s="505"/>
      <c r="AO489" s="515"/>
    </row>
    <row r="490" spans="1:41" ht="14.5">
      <c r="A490" s="58">
        <v>44436</v>
      </c>
      <c r="B490" s="59" t="s">
        <v>204</v>
      </c>
      <c r="C490" s="60" t="s">
        <v>241</v>
      </c>
      <c r="D490" s="60" t="s">
        <v>1081</v>
      </c>
      <c r="E490" s="100">
        <v>7</v>
      </c>
      <c r="F490" s="101">
        <v>7</v>
      </c>
      <c r="G490" s="101">
        <v>4</v>
      </c>
      <c r="H490" s="60">
        <v>18</v>
      </c>
      <c r="I490" s="60">
        <v>33</v>
      </c>
      <c r="J490" s="149">
        <f t="shared" si="417"/>
        <v>51</v>
      </c>
      <c r="K490" s="122">
        <f t="shared" si="400"/>
        <v>0.35294117647058826</v>
      </c>
      <c r="L490" s="123">
        <f t="shared" si="263"/>
        <v>-14.647058823529411</v>
      </c>
      <c r="M490" s="64">
        <v>15</v>
      </c>
      <c r="N490" s="64">
        <v>6</v>
      </c>
      <c r="O490" s="64" t="s">
        <v>137</v>
      </c>
      <c r="P490" s="103">
        <v>11</v>
      </c>
      <c r="Q490" s="103">
        <v>6</v>
      </c>
      <c r="R490" s="103">
        <v>11</v>
      </c>
      <c r="S490" s="103">
        <v>9</v>
      </c>
      <c r="T490" s="103">
        <v>11</v>
      </c>
      <c r="U490" s="103">
        <v>7</v>
      </c>
      <c r="V490" s="69">
        <v>11</v>
      </c>
      <c r="W490" s="104">
        <v>7</v>
      </c>
      <c r="X490" s="67">
        <f t="shared" ref="X490:Y490" si="507">(P490+R490+T490+V490)</f>
        <v>44</v>
      </c>
      <c r="Y490" s="67">
        <f t="shared" si="507"/>
        <v>29</v>
      </c>
      <c r="Z490" s="68">
        <f t="shared" si="265"/>
        <v>73</v>
      </c>
      <c r="AA490" s="150" t="str">
        <f t="shared" si="386"/>
        <v>3A</v>
      </c>
      <c r="AB490" s="70" t="s">
        <v>1081</v>
      </c>
      <c r="AC490" s="70">
        <v>15</v>
      </c>
      <c r="AD490" s="70">
        <v>24</v>
      </c>
      <c r="AE490" s="70">
        <v>44</v>
      </c>
      <c r="AF490" s="70">
        <v>68</v>
      </c>
      <c r="AG490" s="72">
        <f t="shared" si="267"/>
        <v>0.35294117647058826</v>
      </c>
      <c r="AH490" s="73">
        <f t="shared" si="419"/>
        <v>-52.647058823529413</v>
      </c>
      <c r="AI490" s="74">
        <v>14</v>
      </c>
      <c r="AJ490" s="79" t="s">
        <v>1082</v>
      </c>
      <c r="AK490" s="76" t="s">
        <v>337</v>
      </c>
      <c r="AL490" s="67"/>
      <c r="AM490" s="506"/>
      <c r="AN490" s="505"/>
      <c r="AO490" s="515"/>
    </row>
    <row r="491" spans="1:41" ht="14.5">
      <c r="A491" s="58">
        <v>44436</v>
      </c>
      <c r="B491" s="59" t="s">
        <v>204</v>
      </c>
      <c r="C491" s="60" t="s">
        <v>246</v>
      </c>
      <c r="D491" s="60" t="s">
        <v>1083</v>
      </c>
      <c r="E491" s="105">
        <v>11</v>
      </c>
      <c r="F491" s="106">
        <v>11</v>
      </c>
      <c r="G491" s="106">
        <v>11</v>
      </c>
      <c r="H491" s="60">
        <v>33</v>
      </c>
      <c r="I491" s="60">
        <v>22</v>
      </c>
      <c r="J491" s="149">
        <f t="shared" si="417"/>
        <v>55</v>
      </c>
      <c r="K491" s="122">
        <f t="shared" si="400"/>
        <v>0.6</v>
      </c>
      <c r="L491" s="123">
        <f t="shared" si="263"/>
        <v>0.6</v>
      </c>
      <c r="M491" s="64">
        <v>3</v>
      </c>
      <c r="N491" s="86">
        <v>11</v>
      </c>
      <c r="O491" s="86" t="s">
        <v>1075</v>
      </c>
      <c r="P491" s="113">
        <v>6</v>
      </c>
      <c r="Q491" s="113">
        <v>11</v>
      </c>
      <c r="R491" s="103"/>
      <c r="S491" s="103"/>
      <c r="T491" s="103"/>
      <c r="U491" s="103"/>
      <c r="V491" s="69"/>
      <c r="W491" s="104"/>
      <c r="X491" s="67">
        <f t="shared" ref="X491:Y491" si="508">(P491+R491+T491+V491)</f>
        <v>6</v>
      </c>
      <c r="Y491" s="67">
        <f t="shared" si="508"/>
        <v>11</v>
      </c>
      <c r="Z491" s="68">
        <f t="shared" si="265"/>
        <v>17</v>
      </c>
      <c r="AA491" s="150" t="str">
        <f t="shared" si="386"/>
        <v>3B</v>
      </c>
      <c r="AB491" s="70" t="s">
        <v>1083</v>
      </c>
      <c r="AC491" s="70">
        <v>3</v>
      </c>
      <c r="AD491" s="70">
        <v>53</v>
      </c>
      <c r="AE491" s="70">
        <v>33</v>
      </c>
      <c r="AF491" s="70">
        <v>86</v>
      </c>
      <c r="AG491" s="72">
        <f t="shared" si="267"/>
        <v>0.61627906976744184</v>
      </c>
      <c r="AH491" s="73">
        <f t="shared" si="419"/>
        <v>-23.38372093023256</v>
      </c>
      <c r="AI491" s="74">
        <v>6</v>
      </c>
      <c r="AJ491" s="79" t="s">
        <v>1084</v>
      </c>
      <c r="AK491" s="76" t="s">
        <v>1085</v>
      </c>
      <c r="AL491" s="67"/>
      <c r="AM491" s="506"/>
      <c r="AN491" s="505"/>
      <c r="AO491" s="515"/>
    </row>
    <row r="492" spans="1:41" ht="14.5">
      <c r="A492" s="58">
        <v>44436</v>
      </c>
      <c r="B492" s="59" t="s">
        <v>204</v>
      </c>
      <c r="C492" s="60" t="s">
        <v>251</v>
      </c>
      <c r="D492" s="60" t="s">
        <v>1076</v>
      </c>
      <c r="E492" s="107">
        <v>11</v>
      </c>
      <c r="F492" s="108">
        <v>11</v>
      </c>
      <c r="G492" s="106">
        <v>9</v>
      </c>
      <c r="H492" s="60">
        <v>31</v>
      </c>
      <c r="I492" s="60">
        <v>28</v>
      </c>
      <c r="J492" s="149">
        <f t="shared" si="417"/>
        <v>59</v>
      </c>
      <c r="K492" s="122">
        <f t="shared" si="400"/>
        <v>0.52542372881355937</v>
      </c>
      <c r="L492" s="123">
        <f t="shared" si="263"/>
        <v>-1.4745762711864407</v>
      </c>
      <c r="M492" s="64">
        <v>5</v>
      </c>
      <c r="N492" s="64">
        <v>3</v>
      </c>
      <c r="O492" s="64" t="s">
        <v>1083</v>
      </c>
      <c r="P492" s="103">
        <v>11</v>
      </c>
      <c r="Q492" s="103">
        <v>0</v>
      </c>
      <c r="R492" s="103">
        <v>9</v>
      </c>
      <c r="S492" s="103">
        <v>11</v>
      </c>
      <c r="T492" s="103"/>
      <c r="U492" s="103"/>
      <c r="V492" s="69"/>
      <c r="W492" s="104"/>
      <c r="X492" s="67">
        <f t="shared" ref="X492:Y492" si="509">(P492+R492+T492+V492)</f>
        <v>20</v>
      </c>
      <c r="Y492" s="67">
        <f t="shared" si="509"/>
        <v>11</v>
      </c>
      <c r="Z492" s="68">
        <f t="shared" si="265"/>
        <v>31</v>
      </c>
      <c r="AA492" s="150" t="str">
        <f t="shared" si="386"/>
        <v>3C</v>
      </c>
      <c r="AB492" s="70" t="s">
        <v>1076</v>
      </c>
      <c r="AC492" s="70">
        <v>5</v>
      </c>
      <c r="AD492" s="70">
        <v>50</v>
      </c>
      <c r="AE492" s="70">
        <v>45</v>
      </c>
      <c r="AF492" s="70">
        <v>95</v>
      </c>
      <c r="AG492" s="72">
        <f t="shared" si="267"/>
        <v>0.52631578947368418</v>
      </c>
      <c r="AH492" s="73">
        <f t="shared" si="419"/>
        <v>-26.473684210526315</v>
      </c>
      <c r="AI492" s="74">
        <v>8</v>
      </c>
      <c r="AJ492" s="79" t="s">
        <v>983</v>
      </c>
      <c r="AK492" s="76" t="s">
        <v>1086</v>
      </c>
      <c r="AL492" s="67"/>
      <c r="AM492" s="506"/>
      <c r="AN492" s="505"/>
      <c r="AO492" s="515"/>
    </row>
    <row r="493" spans="1:41" ht="14.5">
      <c r="A493" s="58">
        <v>44436</v>
      </c>
      <c r="B493" s="59" t="s">
        <v>204</v>
      </c>
      <c r="C493" s="60" t="s">
        <v>256</v>
      </c>
      <c r="D493" s="60" t="s">
        <v>1071</v>
      </c>
      <c r="E493" s="109">
        <v>10</v>
      </c>
      <c r="F493" s="110">
        <v>6</v>
      </c>
      <c r="G493" s="111">
        <v>11</v>
      </c>
      <c r="H493" s="60">
        <v>27</v>
      </c>
      <c r="I493" s="60">
        <v>26</v>
      </c>
      <c r="J493" s="149">
        <f t="shared" si="417"/>
        <v>53</v>
      </c>
      <c r="K493" s="122">
        <f t="shared" si="400"/>
        <v>0.50943396226415094</v>
      </c>
      <c r="L493" s="123">
        <f t="shared" si="263"/>
        <v>-5.4905660377358494</v>
      </c>
      <c r="M493" s="64">
        <v>8</v>
      </c>
      <c r="N493" s="86">
        <v>14</v>
      </c>
      <c r="O493" s="86" t="s">
        <v>1087</v>
      </c>
      <c r="P493" s="113">
        <v>0</v>
      </c>
      <c r="Q493" s="113">
        <v>11</v>
      </c>
      <c r="R493" s="113"/>
      <c r="S493" s="113"/>
      <c r="T493" s="103"/>
      <c r="U493" s="103"/>
      <c r="V493" s="69"/>
      <c r="W493" s="104"/>
      <c r="X493" s="67">
        <f t="shared" ref="X493:Y493" si="510">(P493+R493+T493+V493)</f>
        <v>0</v>
      </c>
      <c r="Y493" s="67">
        <f t="shared" si="510"/>
        <v>11</v>
      </c>
      <c r="Z493" s="68">
        <f t="shared" si="265"/>
        <v>11</v>
      </c>
      <c r="AA493" s="150" t="str">
        <f t="shared" si="386"/>
        <v>3D</v>
      </c>
      <c r="AB493" s="70" t="s">
        <v>1071</v>
      </c>
      <c r="AC493" s="70">
        <v>8</v>
      </c>
      <c r="AD493" s="70">
        <v>54</v>
      </c>
      <c r="AE493" s="70">
        <v>55</v>
      </c>
      <c r="AF493" s="70">
        <v>109</v>
      </c>
      <c r="AG493" s="72">
        <f t="shared" si="267"/>
        <v>0.49541284403669728</v>
      </c>
      <c r="AH493" s="73">
        <f t="shared" si="419"/>
        <v>-22.504587155963304</v>
      </c>
      <c r="AI493" s="74">
        <v>4</v>
      </c>
      <c r="AJ493" s="79" t="s">
        <v>715</v>
      </c>
      <c r="AK493" s="76" t="s">
        <v>738</v>
      </c>
      <c r="AL493" s="67"/>
      <c r="AM493" s="506"/>
      <c r="AN493" s="505"/>
      <c r="AO493" s="515"/>
    </row>
    <row r="494" spans="1:41" ht="14.5">
      <c r="A494" s="58">
        <v>44436</v>
      </c>
      <c r="B494" s="59" t="s">
        <v>204</v>
      </c>
      <c r="C494" s="60" t="s">
        <v>261</v>
      </c>
      <c r="D494" s="60" t="s">
        <v>1087</v>
      </c>
      <c r="E494" s="100">
        <v>5</v>
      </c>
      <c r="F494" s="101">
        <v>7</v>
      </c>
      <c r="G494" s="101">
        <v>8</v>
      </c>
      <c r="H494" s="60">
        <v>20</v>
      </c>
      <c r="I494" s="60">
        <v>33</v>
      </c>
      <c r="J494" s="149">
        <f t="shared" si="417"/>
        <v>53</v>
      </c>
      <c r="K494" s="122">
        <f t="shared" si="400"/>
        <v>0.37735849056603776</v>
      </c>
      <c r="L494" s="123">
        <f t="shared" si="263"/>
        <v>-12.622641509433961</v>
      </c>
      <c r="M494" s="64">
        <v>14</v>
      </c>
      <c r="N494" s="64">
        <v>7</v>
      </c>
      <c r="O494" s="64" t="s">
        <v>1070</v>
      </c>
      <c r="P494" s="103">
        <v>11</v>
      </c>
      <c r="Q494" s="103">
        <v>6</v>
      </c>
      <c r="R494" s="103">
        <v>11</v>
      </c>
      <c r="S494" s="103">
        <v>8</v>
      </c>
      <c r="T494" s="103">
        <v>7</v>
      </c>
      <c r="U494" s="103">
        <v>11</v>
      </c>
      <c r="V494" s="69"/>
      <c r="W494" s="104"/>
      <c r="X494" s="67">
        <f t="shared" ref="X494:Y494" si="511">(P494+R494+T494+V494)</f>
        <v>29</v>
      </c>
      <c r="Y494" s="67">
        <f t="shared" si="511"/>
        <v>25</v>
      </c>
      <c r="Z494" s="68">
        <f t="shared" si="265"/>
        <v>54</v>
      </c>
      <c r="AA494" s="150" t="str">
        <f t="shared" si="386"/>
        <v>4A</v>
      </c>
      <c r="AB494" s="70" t="s">
        <v>1087</v>
      </c>
      <c r="AC494" s="70">
        <v>14</v>
      </c>
      <c r="AD494" s="70">
        <v>20</v>
      </c>
      <c r="AE494" s="70">
        <v>44</v>
      </c>
      <c r="AF494" s="70">
        <v>64</v>
      </c>
      <c r="AG494" s="72">
        <f t="shared" si="267"/>
        <v>0.3125</v>
      </c>
      <c r="AH494" s="73">
        <f t="shared" si="419"/>
        <v>-56.6875</v>
      </c>
      <c r="AI494" s="74">
        <v>15</v>
      </c>
      <c r="AJ494" s="79" t="s">
        <v>417</v>
      </c>
      <c r="AK494" s="76" t="s">
        <v>210</v>
      </c>
      <c r="AL494" s="67"/>
      <c r="AM494" s="506"/>
      <c r="AN494" s="505"/>
      <c r="AO494" s="515"/>
    </row>
    <row r="495" spans="1:41" ht="14.5">
      <c r="A495" s="58">
        <v>44436</v>
      </c>
      <c r="B495" s="59" t="s">
        <v>204</v>
      </c>
      <c r="C495" s="60" t="s">
        <v>268</v>
      </c>
      <c r="D495" s="60" t="s">
        <v>138</v>
      </c>
      <c r="E495" s="105">
        <v>11</v>
      </c>
      <c r="F495" s="106">
        <v>11</v>
      </c>
      <c r="G495" s="106">
        <v>11</v>
      </c>
      <c r="H495" s="60">
        <v>33</v>
      </c>
      <c r="I495" s="60">
        <v>23</v>
      </c>
      <c r="J495" s="149">
        <f t="shared" si="417"/>
        <v>56</v>
      </c>
      <c r="K495" s="122">
        <f t="shared" si="400"/>
        <v>0.5892857142857143</v>
      </c>
      <c r="L495" s="123">
        <f t="shared" si="263"/>
        <v>0.5892857142857143</v>
      </c>
      <c r="M495" s="64">
        <v>4</v>
      </c>
      <c r="N495" s="86">
        <v>10</v>
      </c>
      <c r="O495" s="86" t="s">
        <v>1088</v>
      </c>
      <c r="P495" s="113">
        <v>6</v>
      </c>
      <c r="Q495" s="113">
        <v>11</v>
      </c>
      <c r="R495" s="103"/>
      <c r="S495" s="103"/>
      <c r="T495" s="103"/>
      <c r="U495" s="103"/>
      <c r="V495" s="69"/>
      <c r="W495" s="104"/>
      <c r="X495" s="67">
        <f t="shared" ref="X495:Y495" si="512">(P495+R495+T495+V495)</f>
        <v>6</v>
      </c>
      <c r="Y495" s="67">
        <f t="shared" si="512"/>
        <v>11</v>
      </c>
      <c r="Z495" s="68">
        <f t="shared" si="265"/>
        <v>17</v>
      </c>
      <c r="AA495" s="150" t="str">
        <f t="shared" si="386"/>
        <v>4B</v>
      </c>
      <c r="AB495" s="70" t="s">
        <v>138</v>
      </c>
      <c r="AC495" s="70">
        <v>4</v>
      </c>
      <c r="AD495" s="70">
        <v>73</v>
      </c>
      <c r="AE495" s="70">
        <v>55</v>
      </c>
      <c r="AF495" s="70">
        <v>128</v>
      </c>
      <c r="AG495" s="72">
        <f t="shared" si="267"/>
        <v>0.5703125</v>
      </c>
      <c r="AH495" s="73">
        <f t="shared" si="419"/>
        <v>-3.4296875</v>
      </c>
      <c r="AI495" s="74">
        <v>2</v>
      </c>
      <c r="AJ495" s="79" t="s">
        <v>971</v>
      </c>
      <c r="AK495" s="76" t="s">
        <v>655</v>
      </c>
      <c r="AL495" s="67"/>
      <c r="AM495" s="506"/>
      <c r="AN495" s="505"/>
      <c r="AO495" s="515"/>
    </row>
    <row r="496" spans="1:41" ht="14.5">
      <c r="A496" s="58">
        <v>44436</v>
      </c>
      <c r="B496" s="59" t="s">
        <v>204</v>
      </c>
      <c r="C496" s="60" t="s">
        <v>271</v>
      </c>
      <c r="D496" s="60" t="s">
        <v>1088</v>
      </c>
      <c r="E496" s="107">
        <v>9</v>
      </c>
      <c r="F496" s="108">
        <v>11</v>
      </c>
      <c r="G496" s="106">
        <v>10</v>
      </c>
      <c r="H496" s="60">
        <v>30</v>
      </c>
      <c r="I496" s="60">
        <v>29</v>
      </c>
      <c r="J496" s="149">
        <f t="shared" si="417"/>
        <v>59</v>
      </c>
      <c r="K496" s="122">
        <f t="shared" si="400"/>
        <v>0.50847457627118642</v>
      </c>
      <c r="L496" s="123">
        <f t="shared" si="263"/>
        <v>-2.4915254237288136</v>
      </c>
      <c r="M496" s="64">
        <v>10</v>
      </c>
      <c r="N496" s="64">
        <v>2</v>
      </c>
      <c r="O496" s="64" t="s">
        <v>1067</v>
      </c>
      <c r="P496" s="103">
        <v>11</v>
      </c>
      <c r="Q496" s="103">
        <v>6</v>
      </c>
      <c r="R496" s="103">
        <v>8</v>
      </c>
      <c r="S496" s="103">
        <v>11</v>
      </c>
      <c r="T496" s="103"/>
      <c r="U496" s="103"/>
      <c r="V496" s="69"/>
      <c r="W496" s="104"/>
      <c r="X496" s="67">
        <f t="shared" ref="X496:Y496" si="513">(P496+R496+T496+V496)</f>
        <v>19</v>
      </c>
      <c r="Y496" s="67">
        <f t="shared" si="513"/>
        <v>17</v>
      </c>
      <c r="Z496" s="68">
        <f t="shared" si="265"/>
        <v>36</v>
      </c>
      <c r="AA496" s="150" t="str">
        <f t="shared" si="386"/>
        <v>4C</v>
      </c>
      <c r="AB496" s="70" t="s">
        <v>1088</v>
      </c>
      <c r="AC496" s="70">
        <v>10</v>
      </c>
      <c r="AD496" s="70">
        <v>36</v>
      </c>
      <c r="AE496" s="70">
        <v>40</v>
      </c>
      <c r="AF496" s="70">
        <v>76</v>
      </c>
      <c r="AG496" s="72">
        <f t="shared" si="267"/>
        <v>0.47368421052631576</v>
      </c>
      <c r="AH496" s="73">
        <f t="shared" si="419"/>
        <v>-40.526315789473685</v>
      </c>
      <c r="AI496" s="74">
        <v>10</v>
      </c>
      <c r="AJ496" s="79" t="s">
        <v>768</v>
      </c>
      <c r="AK496" s="76" t="s">
        <v>1089</v>
      </c>
      <c r="AL496" s="67"/>
      <c r="AM496" s="506"/>
      <c r="AN496" s="505"/>
      <c r="AO496" s="515"/>
    </row>
    <row r="497" spans="1:41" ht="14.5">
      <c r="A497" s="87">
        <v>44436</v>
      </c>
      <c r="B497" s="88" t="s">
        <v>204</v>
      </c>
      <c r="C497" s="89" t="s">
        <v>276</v>
      </c>
      <c r="D497" s="89" t="s">
        <v>137</v>
      </c>
      <c r="E497" s="109">
        <v>11</v>
      </c>
      <c r="F497" s="110">
        <v>8</v>
      </c>
      <c r="G497" s="111">
        <v>11</v>
      </c>
      <c r="H497" s="89">
        <v>30</v>
      </c>
      <c r="I497" s="89">
        <v>28</v>
      </c>
      <c r="J497" s="152">
        <f t="shared" si="417"/>
        <v>58</v>
      </c>
      <c r="K497" s="153">
        <f t="shared" si="400"/>
        <v>0.51724137931034486</v>
      </c>
      <c r="L497" s="154">
        <f t="shared" si="263"/>
        <v>-2.4827586206896552</v>
      </c>
      <c r="M497" s="86">
        <v>6</v>
      </c>
      <c r="N497" s="86">
        <v>15</v>
      </c>
      <c r="O497" s="86" t="s">
        <v>1081</v>
      </c>
      <c r="P497" s="113">
        <v>6</v>
      </c>
      <c r="Q497" s="113">
        <v>11</v>
      </c>
      <c r="R497" s="113"/>
      <c r="S497" s="113"/>
      <c r="T497" s="113"/>
      <c r="U497" s="113"/>
      <c r="V497" s="93"/>
      <c r="W497" s="114"/>
      <c r="X497" s="92">
        <f t="shared" ref="X497:Y497" si="514">(P497+R497+T497+V497)</f>
        <v>6</v>
      </c>
      <c r="Y497" s="92">
        <f t="shared" si="514"/>
        <v>11</v>
      </c>
      <c r="Z497" s="84">
        <f t="shared" si="265"/>
        <v>17</v>
      </c>
      <c r="AA497" s="155" t="str">
        <f t="shared" si="386"/>
        <v>4D</v>
      </c>
      <c r="AB497" s="94" t="s">
        <v>137</v>
      </c>
      <c r="AC497" s="94">
        <v>6</v>
      </c>
      <c r="AD497" s="94">
        <v>74</v>
      </c>
      <c r="AE497" s="94">
        <v>57</v>
      </c>
      <c r="AF497" s="94">
        <v>131</v>
      </c>
      <c r="AG497" s="95">
        <f t="shared" si="267"/>
        <v>0.56488549618320616</v>
      </c>
      <c r="AH497" s="96">
        <f t="shared" si="419"/>
        <v>-2.4351145038167941</v>
      </c>
      <c r="AI497" s="97">
        <v>1</v>
      </c>
      <c r="AJ497" s="98" t="s">
        <v>858</v>
      </c>
      <c r="AK497" s="81" t="s">
        <v>1090</v>
      </c>
      <c r="AL497" s="67"/>
      <c r="AM497" s="506"/>
      <c r="AN497" s="505"/>
      <c r="AO497" s="515"/>
    </row>
    <row r="498" spans="1:41" ht="14.5">
      <c r="A498" s="58">
        <v>44485</v>
      </c>
      <c r="B498" s="59" t="s">
        <v>428</v>
      </c>
      <c r="C498" s="60" t="s">
        <v>205</v>
      </c>
      <c r="D498" s="60" t="s">
        <v>1091</v>
      </c>
      <c r="E498" s="100">
        <v>7</v>
      </c>
      <c r="F498" s="101">
        <v>9</v>
      </c>
      <c r="G498" s="101">
        <v>11</v>
      </c>
      <c r="H498" s="60">
        <v>27</v>
      </c>
      <c r="I498" s="60">
        <v>29</v>
      </c>
      <c r="J498" s="149">
        <f t="shared" si="417"/>
        <v>56</v>
      </c>
      <c r="K498" s="122">
        <f t="shared" si="400"/>
        <v>0.48214285714285715</v>
      </c>
      <c r="L498" s="123">
        <f t="shared" si="263"/>
        <v>-5.5178571428571432</v>
      </c>
      <c r="M498" s="64">
        <v>9</v>
      </c>
      <c r="N498" s="61">
        <v>1</v>
      </c>
      <c r="O498" s="61" t="s">
        <v>1092</v>
      </c>
      <c r="P498" s="115">
        <v>11</v>
      </c>
      <c r="Q498" s="115">
        <v>5</v>
      </c>
      <c r="R498" s="115">
        <v>5</v>
      </c>
      <c r="S498" s="115">
        <v>11</v>
      </c>
      <c r="T498" s="115"/>
      <c r="U498" s="115"/>
      <c r="V498" s="116"/>
      <c r="W498" s="117"/>
      <c r="X498" s="67">
        <f t="shared" ref="X498:Y498" si="515">(P498+R498+T498+V498)</f>
        <v>16</v>
      </c>
      <c r="Y498" s="67">
        <f t="shared" si="515"/>
        <v>16</v>
      </c>
      <c r="Z498" s="68">
        <f t="shared" si="265"/>
        <v>32</v>
      </c>
      <c r="AA498" s="150" t="str">
        <f t="shared" si="386"/>
        <v>1A</v>
      </c>
      <c r="AB498" s="70" t="s">
        <v>1091</v>
      </c>
      <c r="AC498" s="70">
        <v>9</v>
      </c>
      <c r="AD498" s="70">
        <v>32</v>
      </c>
      <c r="AE498" s="70">
        <v>40</v>
      </c>
      <c r="AF498" s="70">
        <v>72</v>
      </c>
      <c r="AG498" s="72">
        <f t="shared" si="267"/>
        <v>0.44444444444444442</v>
      </c>
      <c r="AH498" s="73">
        <f t="shared" si="419"/>
        <v>-44.555555555555557</v>
      </c>
      <c r="AI498" s="74">
        <v>12</v>
      </c>
      <c r="AJ498" s="79" t="s">
        <v>1093</v>
      </c>
      <c r="AK498" s="76" t="s">
        <v>655</v>
      </c>
      <c r="AL498" s="67"/>
      <c r="AM498" s="506"/>
      <c r="AN498" s="505"/>
      <c r="AO498" s="515"/>
    </row>
    <row r="499" spans="1:41" ht="14.5">
      <c r="A499" s="58">
        <v>44485</v>
      </c>
      <c r="B499" s="59" t="s">
        <v>428</v>
      </c>
      <c r="C499" s="60" t="s">
        <v>211</v>
      </c>
      <c r="D499" s="60" t="s">
        <v>1094</v>
      </c>
      <c r="E499" s="105">
        <v>11</v>
      </c>
      <c r="F499" s="106">
        <v>11</v>
      </c>
      <c r="G499" s="106">
        <v>11</v>
      </c>
      <c r="H499" s="60">
        <v>33</v>
      </c>
      <c r="I499" s="60">
        <v>16</v>
      </c>
      <c r="J499" s="149">
        <f t="shared" si="417"/>
        <v>49</v>
      </c>
      <c r="K499" s="122">
        <f t="shared" si="400"/>
        <v>0.67346938775510201</v>
      </c>
      <c r="L499" s="123">
        <f t="shared" si="263"/>
        <v>0.67346938775510201</v>
      </c>
      <c r="M499" s="64">
        <v>2</v>
      </c>
      <c r="N499" s="86">
        <v>16</v>
      </c>
      <c r="O499" s="86" t="s">
        <v>1095</v>
      </c>
      <c r="P499" s="113">
        <v>5</v>
      </c>
      <c r="Q499" s="113">
        <v>11</v>
      </c>
      <c r="R499" s="103"/>
      <c r="S499" s="103"/>
      <c r="T499" s="103"/>
      <c r="U499" s="103"/>
      <c r="V499" s="69"/>
      <c r="W499" s="104"/>
      <c r="X499" s="67">
        <f t="shared" ref="X499:Y499" si="516">(P499+R499+T499+V499)</f>
        <v>5</v>
      </c>
      <c r="Y499" s="67">
        <f t="shared" si="516"/>
        <v>11</v>
      </c>
      <c r="Z499" s="68">
        <f t="shared" si="265"/>
        <v>16</v>
      </c>
      <c r="AA499" s="150" t="str">
        <f t="shared" si="386"/>
        <v>1B</v>
      </c>
      <c r="AB499" s="70" t="s">
        <v>1094</v>
      </c>
      <c r="AC499" s="70">
        <v>2</v>
      </c>
      <c r="AD499" s="70">
        <v>61</v>
      </c>
      <c r="AE499" s="70">
        <v>38</v>
      </c>
      <c r="AF499" s="70">
        <v>99</v>
      </c>
      <c r="AG499" s="72">
        <f t="shared" si="267"/>
        <v>0.61616161616161613</v>
      </c>
      <c r="AH499" s="73">
        <f t="shared" si="419"/>
        <v>-15.383838383838384</v>
      </c>
      <c r="AI499" s="74">
        <v>4</v>
      </c>
      <c r="AJ499" s="79" t="s">
        <v>780</v>
      </c>
      <c r="AK499" s="76" t="s">
        <v>820</v>
      </c>
      <c r="AL499" s="67"/>
      <c r="AM499" s="506"/>
      <c r="AN499" s="505"/>
      <c r="AO499" s="515"/>
    </row>
    <row r="500" spans="1:41" ht="14.5">
      <c r="A500" s="58">
        <v>44485</v>
      </c>
      <c r="B500" s="59" t="s">
        <v>428</v>
      </c>
      <c r="C500" s="60" t="s">
        <v>216</v>
      </c>
      <c r="D500" s="60" t="s">
        <v>1096</v>
      </c>
      <c r="E500" s="107">
        <v>11</v>
      </c>
      <c r="F500" s="108">
        <v>11</v>
      </c>
      <c r="G500" s="106">
        <v>7</v>
      </c>
      <c r="H500" s="60">
        <v>29</v>
      </c>
      <c r="I500" s="60">
        <v>24</v>
      </c>
      <c r="J500" s="149">
        <f t="shared" si="417"/>
        <v>53</v>
      </c>
      <c r="K500" s="122">
        <f t="shared" si="400"/>
        <v>0.54716981132075471</v>
      </c>
      <c r="L500" s="123">
        <f t="shared" si="263"/>
        <v>-3.4528301886792452</v>
      </c>
      <c r="M500" s="64">
        <v>7</v>
      </c>
      <c r="N500" s="64">
        <v>8</v>
      </c>
      <c r="O500" s="64" t="s">
        <v>140</v>
      </c>
      <c r="P500" s="103">
        <v>11</v>
      </c>
      <c r="Q500" s="103">
        <v>5</v>
      </c>
      <c r="R500" s="103">
        <v>11</v>
      </c>
      <c r="S500" s="103">
        <v>5</v>
      </c>
      <c r="T500" s="103">
        <v>11</v>
      </c>
      <c r="U500" s="103">
        <v>9</v>
      </c>
      <c r="V500" s="69">
        <v>9</v>
      </c>
      <c r="W500" s="104">
        <v>11</v>
      </c>
      <c r="X500" s="67">
        <f t="shared" ref="X500:Y500" si="517">(P500+R500+T500+V500)</f>
        <v>42</v>
      </c>
      <c r="Y500" s="67">
        <f t="shared" si="517"/>
        <v>30</v>
      </c>
      <c r="Z500" s="68">
        <f t="shared" si="265"/>
        <v>72</v>
      </c>
      <c r="AA500" s="150" t="str">
        <f t="shared" si="386"/>
        <v>1C</v>
      </c>
      <c r="AB500" s="70" t="s">
        <v>1096</v>
      </c>
      <c r="AC500" s="70">
        <v>7</v>
      </c>
      <c r="AD500" s="70">
        <v>46</v>
      </c>
      <c r="AE500" s="70">
        <v>44</v>
      </c>
      <c r="AF500" s="70">
        <v>90</v>
      </c>
      <c r="AG500" s="72">
        <f t="shared" si="267"/>
        <v>0.51111111111111107</v>
      </c>
      <c r="AH500" s="73">
        <f t="shared" si="419"/>
        <v>-30.488888888888887</v>
      </c>
      <c r="AI500" s="74">
        <v>7</v>
      </c>
      <c r="AJ500" s="79" t="s">
        <v>1034</v>
      </c>
      <c r="AK500" s="76" t="s">
        <v>1069</v>
      </c>
      <c r="AL500" s="67"/>
      <c r="AM500" s="506"/>
      <c r="AN500" s="505"/>
      <c r="AO500" s="515"/>
    </row>
    <row r="501" spans="1:41" ht="14.5">
      <c r="A501" s="58">
        <v>44485</v>
      </c>
      <c r="B501" s="59" t="s">
        <v>428</v>
      </c>
      <c r="C501" s="60" t="s">
        <v>221</v>
      </c>
      <c r="D501" s="60" t="s">
        <v>1095</v>
      </c>
      <c r="E501" s="109">
        <v>4</v>
      </c>
      <c r="F501" s="110">
        <v>2</v>
      </c>
      <c r="G501" s="111">
        <v>7</v>
      </c>
      <c r="H501" s="60">
        <v>13</v>
      </c>
      <c r="I501" s="60">
        <v>33</v>
      </c>
      <c r="J501" s="149">
        <f t="shared" si="417"/>
        <v>46</v>
      </c>
      <c r="K501" s="122">
        <f t="shared" si="400"/>
        <v>0.28260869565217389</v>
      </c>
      <c r="L501" s="123">
        <f t="shared" si="263"/>
        <v>-19.717391304347824</v>
      </c>
      <c r="M501" s="64">
        <v>16</v>
      </c>
      <c r="N501" s="86">
        <v>9</v>
      </c>
      <c r="O501" s="86" t="s">
        <v>1091</v>
      </c>
      <c r="P501" s="113">
        <v>5</v>
      </c>
      <c r="Q501" s="113">
        <v>11</v>
      </c>
      <c r="R501" s="113"/>
      <c r="S501" s="113"/>
      <c r="T501" s="103"/>
      <c r="U501" s="103"/>
      <c r="V501" s="69"/>
      <c r="W501" s="104"/>
      <c r="X501" s="67">
        <f t="shared" ref="X501:Y501" si="518">(P501+R501+T501+V501)</f>
        <v>5</v>
      </c>
      <c r="Y501" s="67">
        <f t="shared" si="518"/>
        <v>11</v>
      </c>
      <c r="Z501" s="68">
        <f t="shared" si="265"/>
        <v>16</v>
      </c>
      <c r="AA501" s="150" t="str">
        <f t="shared" si="386"/>
        <v>1D</v>
      </c>
      <c r="AB501" s="70" t="s">
        <v>1095</v>
      </c>
      <c r="AC501" s="70">
        <v>16</v>
      </c>
      <c r="AD501" s="70">
        <v>18</v>
      </c>
      <c r="AE501" s="70">
        <v>44</v>
      </c>
      <c r="AF501" s="70">
        <v>62</v>
      </c>
      <c r="AG501" s="72">
        <f t="shared" si="267"/>
        <v>0.29032258064516131</v>
      </c>
      <c r="AH501" s="73">
        <f t="shared" si="419"/>
        <v>-58.70967741935484</v>
      </c>
      <c r="AI501" s="74">
        <v>16</v>
      </c>
      <c r="AJ501" s="79" t="s">
        <v>1097</v>
      </c>
      <c r="AK501" s="76" t="s">
        <v>848</v>
      </c>
      <c r="AL501" s="67"/>
      <c r="AM501" s="506"/>
      <c r="AN501" s="505"/>
      <c r="AO501" s="515"/>
    </row>
    <row r="502" spans="1:41" ht="14.5">
      <c r="A502" s="58">
        <v>44485</v>
      </c>
      <c r="B502" s="59" t="s">
        <v>428</v>
      </c>
      <c r="C502" s="60" t="s">
        <v>224</v>
      </c>
      <c r="D502" s="60" t="s">
        <v>1098</v>
      </c>
      <c r="E502" s="100">
        <v>11</v>
      </c>
      <c r="F502" s="101">
        <v>2</v>
      </c>
      <c r="G502" s="101">
        <v>5</v>
      </c>
      <c r="H502" s="60">
        <v>18</v>
      </c>
      <c r="I502" s="60">
        <v>32</v>
      </c>
      <c r="J502" s="149">
        <f t="shared" si="417"/>
        <v>50</v>
      </c>
      <c r="K502" s="122">
        <f t="shared" si="400"/>
        <v>0.36</v>
      </c>
      <c r="L502" s="123">
        <f t="shared" si="263"/>
        <v>-14.64</v>
      </c>
      <c r="M502" s="64">
        <v>14</v>
      </c>
      <c r="N502" s="64">
        <v>5</v>
      </c>
      <c r="O502" s="64" t="s">
        <v>1099</v>
      </c>
      <c r="P502" s="103">
        <v>10</v>
      </c>
      <c r="Q502" s="103">
        <v>11</v>
      </c>
      <c r="R502" s="103"/>
      <c r="S502" s="103"/>
      <c r="T502" s="103"/>
      <c r="U502" s="103"/>
      <c r="V502" s="69"/>
      <c r="W502" s="104"/>
      <c r="X502" s="67">
        <f t="shared" ref="X502:Y502" si="519">(P502+R502+T502+V502)</f>
        <v>10</v>
      </c>
      <c r="Y502" s="67">
        <f t="shared" si="519"/>
        <v>11</v>
      </c>
      <c r="Z502" s="68">
        <f t="shared" si="265"/>
        <v>21</v>
      </c>
      <c r="AA502" s="150" t="str">
        <f t="shared" si="386"/>
        <v>2A</v>
      </c>
      <c r="AB502" s="70" t="s">
        <v>1098</v>
      </c>
      <c r="AC502" s="70">
        <v>14</v>
      </c>
      <c r="AD502" s="70">
        <v>22</v>
      </c>
      <c r="AE502" s="70">
        <v>43</v>
      </c>
      <c r="AF502" s="70">
        <v>65</v>
      </c>
      <c r="AG502" s="72">
        <f t="shared" si="267"/>
        <v>0.33846153846153848</v>
      </c>
      <c r="AH502" s="73">
        <f t="shared" si="419"/>
        <v>-54.661538461538463</v>
      </c>
      <c r="AI502" s="74">
        <v>14</v>
      </c>
      <c r="AJ502" s="79" t="s">
        <v>753</v>
      </c>
      <c r="AK502" s="76" t="s">
        <v>1031</v>
      </c>
      <c r="AL502" s="67"/>
      <c r="AM502" s="506"/>
      <c r="AN502" s="505"/>
      <c r="AO502" s="515"/>
    </row>
    <row r="503" spans="1:41" ht="14.5">
      <c r="A503" s="58">
        <v>44485</v>
      </c>
      <c r="B503" s="59" t="s">
        <v>428</v>
      </c>
      <c r="C503" s="60" t="s">
        <v>228</v>
      </c>
      <c r="D503" s="60" t="s">
        <v>1100</v>
      </c>
      <c r="E503" s="105">
        <v>10</v>
      </c>
      <c r="F503" s="106">
        <v>11</v>
      </c>
      <c r="G503" s="106">
        <v>5</v>
      </c>
      <c r="H503" s="60">
        <v>26</v>
      </c>
      <c r="I503" s="60">
        <v>32</v>
      </c>
      <c r="J503" s="149">
        <f t="shared" si="417"/>
        <v>58</v>
      </c>
      <c r="K503" s="122">
        <f t="shared" si="400"/>
        <v>0.44827586206896552</v>
      </c>
      <c r="L503" s="123">
        <f t="shared" si="263"/>
        <v>-6.5517241379310347</v>
      </c>
      <c r="M503" s="64">
        <v>11</v>
      </c>
      <c r="N503" s="86">
        <v>12</v>
      </c>
      <c r="O503" s="86" t="s">
        <v>1101</v>
      </c>
      <c r="P503" s="113">
        <v>11</v>
      </c>
      <c r="Q503" s="113">
        <v>10</v>
      </c>
      <c r="R503" s="103">
        <v>6</v>
      </c>
      <c r="S503" s="103">
        <v>11</v>
      </c>
      <c r="T503" s="103"/>
      <c r="U503" s="103"/>
      <c r="V503" s="69"/>
      <c r="W503" s="104"/>
      <c r="X503" s="67">
        <f t="shared" ref="X503:Y503" si="520">(P503+R503+T503+V503)</f>
        <v>17</v>
      </c>
      <c r="Y503" s="67">
        <f t="shared" si="520"/>
        <v>21</v>
      </c>
      <c r="Z503" s="68">
        <f t="shared" si="265"/>
        <v>38</v>
      </c>
      <c r="AA503" s="150" t="str">
        <f t="shared" si="386"/>
        <v>2B</v>
      </c>
      <c r="AB503" s="70" t="s">
        <v>1100</v>
      </c>
      <c r="AC503" s="70">
        <v>11</v>
      </c>
      <c r="AD503" s="70">
        <v>36</v>
      </c>
      <c r="AE503" s="70">
        <v>43</v>
      </c>
      <c r="AF503" s="70">
        <v>79</v>
      </c>
      <c r="AG503" s="72">
        <f t="shared" si="267"/>
        <v>0.45569620253164556</v>
      </c>
      <c r="AH503" s="73">
        <f t="shared" si="419"/>
        <v>-40.544303797468352</v>
      </c>
      <c r="AI503" s="74">
        <v>11</v>
      </c>
      <c r="AJ503" s="79" t="s">
        <v>1001</v>
      </c>
      <c r="AK503" s="76" t="s">
        <v>866</v>
      </c>
      <c r="AL503" s="67"/>
      <c r="AM503" s="506"/>
      <c r="AN503" s="505"/>
      <c r="AO503" s="515"/>
    </row>
    <row r="504" spans="1:41" ht="14.5">
      <c r="A504" s="58">
        <v>44485</v>
      </c>
      <c r="B504" s="59" t="s">
        <v>428</v>
      </c>
      <c r="C504" s="60" t="s">
        <v>232</v>
      </c>
      <c r="D504" s="60" t="s">
        <v>1092</v>
      </c>
      <c r="E504" s="107">
        <v>11</v>
      </c>
      <c r="F504" s="108">
        <v>11</v>
      </c>
      <c r="G504" s="106">
        <v>11</v>
      </c>
      <c r="H504" s="60">
        <v>33</v>
      </c>
      <c r="I504" s="60">
        <v>13</v>
      </c>
      <c r="J504" s="149">
        <f t="shared" si="417"/>
        <v>46</v>
      </c>
      <c r="K504" s="122">
        <f t="shared" si="400"/>
        <v>0.71739130434782605</v>
      </c>
      <c r="L504" s="123">
        <f t="shared" si="263"/>
        <v>0.71739130434782605</v>
      </c>
      <c r="M504" s="64">
        <v>1</v>
      </c>
      <c r="N504" s="64">
        <v>4</v>
      </c>
      <c r="O504" s="64" t="s">
        <v>1102</v>
      </c>
      <c r="P504" s="103">
        <v>11</v>
      </c>
      <c r="Q504" s="103">
        <v>1</v>
      </c>
      <c r="R504" s="103">
        <v>11</v>
      </c>
      <c r="S504" s="103">
        <v>6</v>
      </c>
      <c r="T504" s="103">
        <v>9</v>
      </c>
      <c r="U504" s="103">
        <v>11</v>
      </c>
      <c r="V504" s="69"/>
      <c r="W504" s="104"/>
      <c r="X504" s="67">
        <f t="shared" ref="X504:Y504" si="521">(P504+R504+T504+V504)</f>
        <v>31</v>
      </c>
      <c r="Y504" s="67">
        <f t="shared" si="521"/>
        <v>18</v>
      </c>
      <c r="Z504" s="68">
        <f t="shared" si="265"/>
        <v>49</v>
      </c>
      <c r="AA504" s="150" t="str">
        <f t="shared" si="386"/>
        <v>2C</v>
      </c>
      <c r="AB504" s="70" t="s">
        <v>1092</v>
      </c>
      <c r="AC504" s="70">
        <v>1</v>
      </c>
      <c r="AD504" s="70">
        <v>49</v>
      </c>
      <c r="AE504" s="70">
        <v>29</v>
      </c>
      <c r="AF504" s="70">
        <v>78</v>
      </c>
      <c r="AG504" s="72">
        <f t="shared" si="267"/>
        <v>0.62820512820512819</v>
      </c>
      <c r="AH504" s="73">
        <f t="shared" si="419"/>
        <v>-27.371794871794872</v>
      </c>
      <c r="AI504" s="74">
        <v>6</v>
      </c>
      <c r="AJ504" s="79" t="s">
        <v>1062</v>
      </c>
      <c r="AK504" s="76" t="s">
        <v>978</v>
      </c>
      <c r="AL504" s="67"/>
      <c r="AM504" s="506"/>
      <c r="AN504" s="505"/>
      <c r="AO504" s="515"/>
    </row>
    <row r="505" spans="1:41" ht="14.5">
      <c r="A505" s="58">
        <v>44485</v>
      </c>
      <c r="B505" s="59" t="s">
        <v>428</v>
      </c>
      <c r="C505" s="60" t="s">
        <v>237</v>
      </c>
      <c r="D505" s="60" t="s">
        <v>140</v>
      </c>
      <c r="E505" s="109">
        <v>6</v>
      </c>
      <c r="F505" s="110">
        <v>10</v>
      </c>
      <c r="G505" s="111">
        <v>11</v>
      </c>
      <c r="H505" s="60">
        <v>27</v>
      </c>
      <c r="I505" s="60">
        <v>27</v>
      </c>
      <c r="J505" s="149">
        <f t="shared" si="417"/>
        <v>54</v>
      </c>
      <c r="K505" s="122">
        <f t="shared" si="400"/>
        <v>0.5</v>
      </c>
      <c r="L505" s="123">
        <f t="shared" si="263"/>
        <v>-5.5</v>
      </c>
      <c r="M505" s="64">
        <v>8</v>
      </c>
      <c r="N505" s="86">
        <v>13</v>
      </c>
      <c r="O505" s="86" t="s">
        <v>1103</v>
      </c>
      <c r="P505" s="113">
        <v>1</v>
      </c>
      <c r="Q505" s="113">
        <v>11</v>
      </c>
      <c r="R505" s="113"/>
      <c r="S505" s="113"/>
      <c r="T505" s="113"/>
      <c r="U505" s="113"/>
      <c r="V505" s="93"/>
      <c r="W505" s="114"/>
      <c r="X505" s="67">
        <f t="shared" ref="X505:Y505" si="522">(P505+R505+T505+V505)</f>
        <v>1</v>
      </c>
      <c r="Y505" s="67">
        <f t="shared" si="522"/>
        <v>11</v>
      </c>
      <c r="Z505" s="68">
        <f t="shared" si="265"/>
        <v>12</v>
      </c>
      <c r="AA505" s="150" t="str">
        <f t="shared" si="386"/>
        <v>2D</v>
      </c>
      <c r="AB505" s="70" t="s">
        <v>140</v>
      </c>
      <c r="AC505" s="70">
        <v>8</v>
      </c>
      <c r="AD505" s="70">
        <v>69</v>
      </c>
      <c r="AE505" s="70">
        <v>57</v>
      </c>
      <c r="AF505" s="70">
        <v>126</v>
      </c>
      <c r="AG505" s="72">
        <f t="shared" si="267"/>
        <v>0.54761904761904767</v>
      </c>
      <c r="AH505" s="73">
        <f t="shared" si="419"/>
        <v>-7.4523809523809526</v>
      </c>
      <c r="AI505" s="74">
        <v>2</v>
      </c>
      <c r="AJ505" s="79" t="s">
        <v>525</v>
      </c>
      <c r="AK505" s="76" t="s">
        <v>1104</v>
      </c>
      <c r="AL505" s="67"/>
      <c r="AM505" s="506"/>
      <c r="AN505" s="505"/>
      <c r="AO505" s="515"/>
    </row>
    <row r="506" spans="1:41" ht="14.5">
      <c r="A506" s="58">
        <v>44485</v>
      </c>
      <c r="B506" s="59" t="s">
        <v>428</v>
      </c>
      <c r="C506" s="60" t="s">
        <v>241</v>
      </c>
      <c r="D506" s="60" t="s">
        <v>1105</v>
      </c>
      <c r="E506" s="100">
        <v>11</v>
      </c>
      <c r="F506" s="101">
        <v>11</v>
      </c>
      <c r="G506" s="101">
        <v>11</v>
      </c>
      <c r="H506" s="60">
        <v>33</v>
      </c>
      <c r="I506" s="60">
        <v>26</v>
      </c>
      <c r="J506" s="149">
        <f t="shared" si="417"/>
        <v>59</v>
      </c>
      <c r="K506" s="122">
        <f t="shared" si="400"/>
        <v>0.55932203389830504</v>
      </c>
      <c r="L506" s="123">
        <f t="shared" si="263"/>
        <v>0.55932203389830504</v>
      </c>
      <c r="M506" s="64">
        <v>6</v>
      </c>
      <c r="N506" s="64">
        <v>6</v>
      </c>
      <c r="O506" s="64" t="s">
        <v>1106</v>
      </c>
      <c r="P506" s="103">
        <v>11</v>
      </c>
      <c r="Q506" s="103">
        <v>10</v>
      </c>
      <c r="R506" s="103">
        <v>6</v>
      </c>
      <c r="S506" s="103">
        <v>11</v>
      </c>
      <c r="T506" s="103"/>
      <c r="U506" s="103"/>
      <c r="V506" s="69"/>
      <c r="W506" s="104"/>
      <c r="X506" s="67">
        <f t="shared" ref="X506:Y506" si="523">(P506+R506+T506+V506)</f>
        <v>17</v>
      </c>
      <c r="Y506" s="67">
        <f t="shared" si="523"/>
        <v>21</v>
      </c>
      <c r="Z506" s="68">
        <f t="shared" si="265"/>
        <v>38</v>
      </c>
      <c r="AA506" s="150" t="str">
        <f t="shared" si="386"/>
        <v>3A</v>
      </c>
      <c r="AB506" s="70" t="s">
        <v>1105</v>
      </c>
      <c r="AC506" s="70">
        <v>6</v>
      </c>
      <c r="AD506" s="70">
        <v>50</v>
      </c>
      <c r="AE506" s="70">
        <v>47</v>
      </c>
      <c r="AF506" s="70">
        <v>97</v>
      </c>
      <c r="AG506" s="72">
        <f t="shared" si="267"/>
        <v>0.51546391752577314</v>
      </c>
      <c r="AH506" s="73">
        <f t="shared" si="419"/>
        <v>-26.484536082474229</v>
      </c>
      <c r="AI506" s="74">
        <v>5</v>
      </c>
      <c r="AJ506" s="79" t="s">
        <v>1007</v>
      </c>
      <c r="AK506" s="76" t="s">
        <v>1107</v>
      </c>
      <c r="AL506" s="67"/>
      <c r="AM506" s="506"/>
      <c r="AN506" s="505"/>
      <c r="AO506" s="515"/>
    </row>
    <row r="507" spans="1:41" ht="14.5">
      <c r="A507" s="58">
        <v>44485</v>
      </c>
      <c r="B507" s="59" t="s">
        <v>428</v>
      </c>
      <c r="C507" s="60" t="s">
        <v>246</v>
      </c>
      <c r="D507" s="60" t="s">
        <v>1101</v>
      </c>
      <c r="E507" s="105">
        <v>9</v>
      </c>
      <c r="F507" s="106">
        <v>9</v>
      </c>
      <c r="G507" s="106">
        <v>8</v>
      </c>
      <c r="H507" s="60">
        <v>26</v>
      </c>
      <c r="I507" s="60">
        <v>33</v>
      </c>
      <c r="J507" s="149">
        <f t="shared" si="417"/>
        <v>59</v>
      </c>
      <c r="K507" s="122">
        <f t="shared" si="400"/>
        <v>0.44067796610169491</v>
      </c>
      <c r="L507" s="123">
        <f t="shared" si="263"/>
        <v>-6.5593220338983054</v>
      </c>
      <c r="M507" s="64">
        <v>12</v>
      </c>
      <c r="N507" s="86">
        <v>11</v>
      </c>
      <c r="O507" s="86" t="s">
        <v>1100</v>
      </c>
      <c r="P507" s="113">
        <v>10</v>
      </c>
      <c r="Q507" s="113">
        <v>11</v>
      </c>
      <c r="R507" s="103"/>
      <c r="S507" s="103"/>
      <c r="T507" s="103"/>
      <c r="U507" s="103"/>
      <c r="V507" s="69"/>
      <c r="W507" s="104"/>
      <c r="X507" s="67">
        <f t="shared" ref="X507:Y507" si="524">(P507+R507+T507+V507)</f>
        <v>10</v>
      </c>
      <c r="Y507" s="67">
        <f t="shared" si="524"/>
        <v>11</v>
      </c>
      <c r="Z507" s="68">
        <f t="shared" si="265"/>
        <v>21</v>
      </c>
      <c r="AA507" s="150" t="str">
        <f t="shared" si="386"/>
        <v>3B</v>
      </c>
      <c r="AB507" s="70" t="s">
        <v>1101</v>
      </c>
      <c r="AC507" s="70">
        <v>12</v>
      </c>
      <c r="AD507" s="70">
        <v>43</v>
      </c>
      <c r="AE507" s="70">
        <v>54</v>
      </c>
      <c r="AF507" s="70">
        <v>97</v>
      </c>
      <c r="AG507" s="72">
        <f t="shared" si="267"/>
        <v>0.44329896907216493</v>
      </c>
      <c r="AH507" s="73">
        <f t="shared" si="419"/>
        <v>-33.556701030927833</v>
      </c>
      <c r="AI507" s="74">
        <v>8</v>
      </c>
      <c r="AJ507" s="79" t="s">
        <v>1108</v>
      </c>
      <c r="AK507" s="76" t="s">
        <v>1090</v>
      </c>
      <c r="AL507" s="67"/>
      <c r="AM507" s="506"/>
      <c r="AN507" s="505"/>
      <c r="AO507" s="515"/>
    </row>
    <row r="508" spans="1:41" ht="14.5">
      <c r="A508" s="58">
        <v>44485</v>
      </c>
      <c r="B508" s="59" t="s">
        <v>428</v>
      </c>
      <c r="C508" s="60" t="s">
        <v>251</v>
      </c>
      <c r="D508" s="60" t="s">
        <v>1102</v>
      </c>
      <c r="E508" s="107">
        <v>11</v>
      </c>
      <c r="F508" s="108">
        <v>9</v>
      </c>
      <c r="G508" s="106">
        <v>11</v>
      </c>
      <c r="H508" s="60">
        <v>31</v>
      </c>
      <c r="I508" s="60">
        <v>24</v>
      </c>
      <c r="J508" s="149">
        <f t="shared" si="417"/>
        <v>55</v>
      </c>
      <c r="K508" s="122">
        <f t="shared" si="400"/>
        <v>0.5636363636363636</v>
      </c>
      <c r="L508" s="123">
        <f t="shared" si="263"/>
        <v>-1.4363636363636365</v>
      </c>
      <c r="M508" s="64">
        <v>4</v>
      </c>
      <c r="N508" s="64">
        <v>3</v>
      </c>
      <c r="O508" s="64" t="s">
        <v>139</v>
      </c>
      <c r="P508" s="103">
        <v>11</v>
      </c>
      <c r="Q508" s="103">
        <v>4</v>
      </c>
      <c r="R508" s="103">
        <v>11</v>
      </c>
      <c r="S508" s="103">
        <v>6</v>
      </c>
      <c r="T508" s="103">
        <v>11</v>
      </c>
      <c r="U508" s="103">
        <v>6</v>
      </c>
      <c r="V508" s="69">
        <v>11</v>
      </c>
      <c r="W508" s="104">
        <v>9</v>
      </c>
      <c r="X508" s="67">
        <f t="shared" ref="X508:Y508" si="525">(P508+R508+T508+V508)</f>
        <v>44</v>
      </c>
      <c r="Y508" s="67">
        <f t="shared" si="525"/>
        <v>25</v>
      </c>
      <c r="Z508" s="68">
        <f t="shared" si="265"/>
        <v>69</v>
      </c>
      <c r="AA508" s="150" t="str">
        <f t="shared" si="386"/>
        <v>3C</v>
      </c>
      <c r="AB508" s="70" t="s">
        <v>1102</v>
      </c>
      <c r="AC508" s="70">
        <v>4</v>
      </c>
      <c r="AD508" s="70">
        <v>62</v>
      </c>
      <c r="AE508" s="70">
        <v>42</v>
      </c>
      <c r="AF508" s="70">
        <v>104</v>
      </c>
      <c r="AG508" s="72">
        <f t="shared" si="267"/>
        <v>0.59615384615384615</v>
      </c>
      <c r="AH508" s="73">
        <f t="shared" si="419"/>
        <v>-14.403846153846153</v>
      </c>
      <c r="AI508" s="74">
        <v>3</v>
      </c>
      <c r="AJ508" s="79" t="s">
        <v>1055</v>
      </c>
      <c r="AK508" s="76" t="s">
        <v>858</v>
      </c>
      <c r="AL508" s="67"/>
      <c r="AM508" s="506"/>
      <c r="AN508" s="505"/>
      <c r="AO508" s="515"/>
    </row>
    <row r="509" spans="1:41" ht="14.5">
      <c r="A509" s="58">
        <v>44485</v>
      </c>
      <c r="B509" s="59" t="s">
        <v>428</v>
      </c>
      <c r="C509" s="60" t="s">
        <v>256</v>
      </c>
      <c r="D509" s="60" t="s">
        <v>1103</v>
      </c>
      <c r="E509" s="109">
        <v>5</v>
      </c>
      <c r="F509" s="110">
        <v>11</v>
      </c>
      <c r="G509" s="111">
        <v>8</v>
      </c>
      <c r="H509" s="60">
        <v>24</v>
      </c>
      <c r="I509" s="60">
        <v>31</v>
      </c>
      <c r="J509" s="149">
        <f t="shared" si="417"/>
        <v>55</v>
      </c>
      <c r="K509" s="122">
        <f t="shared" si="400"/>
        <v>0.43636363636363634</v>
      </c>
      <c r="L509" s="123">
        <f t="shared" si="263"/>
        <v>-8.5636363636363644</v>
      </c>
      <c r="M509" s="64">
        <v>13</v>
      </c>
      <c r="N509" s="86">
        <v>14</v>
      </c>
      <c r="O509" s="86" t="s">
        <v>1098</v>
      </c>
      <c r="P509" s="113">
        <v>4</v>
      </c>
      <c r="Q509" s="113">
        <v>11</v>
      </c>
      <c r="R509" s="113"/>
      <c r="S509" s="113"/>
      <c r="T509" s="103"/>
      <c r="U509" s="103"/>
      <c r="V509" s="69"/>
      <c r="W509" s="104"/>
      <c r="X509" s="67">
        <f t="shared" ref="X509:Y509" si="526">(P509+R509+T509+V509)</f>
        <v>4</v>
      </c>
      <c r="Y509" s="67">
        <f t="shared" si="526"/>
        <v>11</v>
      </c>
      <c r="Z509" s="68">
        <f t="shared" si="265"/>
        <v>15</v>
      </c>
      <c r="AA509" s="150" t="str">
        <f t="shared" si="386"/>
        <v>3D</v>
      </c>
      <c r="AB509" s="70" t="s">
        <v>1103</v>
      </c>
      <c r="AC509" s="70">
        <v>13</v>
      </c>
      <c r="AD509" s="70">
        <v>25</v>
      </c>
      <c r="AE509" s="70">
        <v>42</v>
      </c>
      <c r="AF509" s="70">
        <v>67</v>
      </c>
      <c r="AG509" s="72">
        <f t="shared" si="267"/>
        <v>0.37313432835820898</v>
      </c>
      <c r="AH509" s="73">
        <f t="shared" si="419"/>
        <v>-51.626865671641788</v>
      </c>
      <c r="AI509" s="74">
        <v>13</v>
      </c>
      <c r="AJ509" s="79" t="s">
        <v>687</v>
      </c>
      <c r="AK509" s="76" t="s">
        <v>1066</v>
      </c>
      <c r="AL509" s="67"/>
      <c r="AM509" s="506"/>
      <c r="AN509" s="505"/>
      <c r="AO509" s="515"/>
    </row>
    <row r="510" spans="1:41" ht="14.5">
      <c r="A510" s="58">
        <v>44485</v>
      </c>
      <c r="B510" s="59" t="s">
        <v>428</v>
      </c>
      <c r="C510" s="60" t="s">
        <v>261</v>
      </c>
      <c r="D510" s="60" t="s">
        <v>1109</v>
      </c>
      <c r="E510" s="100">
        <v>3</v>
      </c>
      <c r="F510" s="101">
        <v>10</v>
      </c>
      <c r="G510" s="101">
        <v>4</v>
      </c>
      <c r="H510" s="60">
        <v>17</v>
      </c>
      <c r="I510" s="60">
        <v>33</v>
      </c>
      <c r="J510" s="149">
        <f t="shared" si="417"/>
        <v>50</v>
      </c>
      <c r="K510" s="122">
        <f t="shared" si="400"/>
        <v>0.34</v>
      </c>
      <c r="L510" s="123">
        <f t="shared" si="263"/>
        <v>-15.66</v>
      </c>
      <c r="M510" s="64">
        <v>15</v>
      </c>
      <c r="N510" s="64">
        <v>7</v>
      </c>
      <c r="O510" s="64" t="s">
        <v>1096</v>
      </c>
      <c r="P510" s="103">
        <v>11</v>
      </c>
      <c r="Q510" s="103">
        <v>9</v>
      </c>
      <c r="R510" s="103">
        <v>6</v>
      </c>
      <c r="S510" s="103">
        <v>11</v>
      </c>
      <c r="T510" s="103"/>
      <c r="U510" s="103"/>
      <c r="V510" s="69"/>
      <c r="W510" s="104"/>
      <c r="X510" s="67">
        <f t="shared" ref="X510:Y510" si="527">(P510+R510+T510+V510)</f>
        <v>17</v>
      </c>
      <c r="Y510" s="67">
        <f t="shared" si="527"/>
        <v>20</v>
      </c>
      <c r="Z510" s="68">
        <f t="shared" si="265"/>
        <v>37</v>
      </c>
      <c r="AA510" s="150" t="str">
        <f t="shared" si="386"/>
        <v>4A</v>
      </c>
      <c r="AB510" s="70" t="s">
        <v>1109</v>
      </c>
      <c r="AC510" s="70">
        <v>15</v>
      </c>
      <c r="AD510" s="70">
        <v>22</v>
      </c>
      <c r="AE510" s="70">
        <v>44</v>
      </c>
      <c r="AF510" s="70">
        <v>66</v>
      </c>
      <c r="AG510" s="72">
        <f t="shared" si="267"/>
        <v>0.33333333333333331</v>
      </c>
      <c r="AH510" s="73">
        <f t="shared" si="419"/>
        <v>-54.666666666666664</v>
      </c>
      <c r="AI510" s="74">
        <v>15</v>
      </c>
      <c r="AJ510" s="79" t="s">
        <v>632</v>
      </c>
      <c r="AK510" s="76" t="s">
        <v>1086</v>
      </c>
      <c r="AL510" s="67"/>
      <c r="AM510" s="506"/>
      <c r="AN510" s="505"/>
      <c r="AO510" s="515"/>
    </row>
    <row r="511" spans="1:41" ht="14.5">
      <c r="A511" s="58">
        <v>44485</v>
      </c>
      <c r="B511" s="59" t="s">
        <v>428</v>
      </c>
      <c r="C511" s="60" t="s">
        <v>268</v>
      </c>
      <c r="D511" s="60" t="s">
        <v>1099</v>
      </c>
      <c r="E511" s="105">
        <v>11</v>
      </c>
      <c r="F511" s="106">
        <v>9</v>
      </c>
      <c r="G511" s="106">
        <v>11</v>
      </c>
      <c r="H511" s="60">
        <v>31</v>
      </c>
      <c r="I511" s="60">
        <v>24</v>
      </c>
      <c r="J511" s="149">
        <f t="shared" si="417"/>
        <v>55</v>
      </c>
      <c r="K511" s="122">
        <f t="shared" si="400"/>
        <v>0.5636363636363636</v>
      </c>
      <c r="L511" s="123">
        <f t="shared" si="263"/>
        <v>-1.4363636363636365</v>
      </c>
      <c r="M511" s="64">
        <v>5</v>
      </c>
      <c r="N511" s="86">
        <v>10</v>
      </c>
      <c r="O511" s="86" t="s">
        <v>1110</v>
      </c>
      <c r="P511" s="113">
        <v>9</v>
      </c>
      <c r="Q511" s="113">
        <v>11</v>
      </c>
      <c r="R511" s="103"/>
      <c r="S511" s="103"/>
      <c r="T511" s="103"/>
      <c r="U511" s="103"/>
      <c r="V511" s="69"/>
      <c r="W511" s="104"/>
      <c r="X511" s="67">
        <f t="shared" ref="X511:Y511" si="528">(P511+R511+T511+V511)</f>
        <v>9</v>
      </c>
      <c r="Y511" s="67">
        <f t="shared" si="528"/>
        <v>11</v>
      </c>
      <c r="Z511" s="68">
        <f t="shared" si="265"/>
        <v>20</v>
      </c>
      <c r="AA511" s="150" t="str">
        <f t="shared" si="386"/>
        <v>4B</v>
      </c>
      <c r="AB511" s="70" t="s">
        <v>1099</v>
      </c>
      <c r="AC511" s="70">
        <v>5</v>
      </c>
      <c r="AD511" s="70">
        <v>41</v>
      </c>
      <c r="AE511" s="70">
        <v>35</v>
      </c>
      <c r="AF511" s="70">
        <v>76</v>
      </c>
      <c r="AG511" s="72">
        <f t="shared" si="267"/>
        <v>0.53947368421052633</v>
      </c>
      <c r="AH511" s="73">
        <f t="shared" si="419"/>
        <v>-35.460526315789473</v>
      </c>
      <c r="AI511" s="74">
        <v>9</v>
      </c>
      <c r="AJ511" s="79" t="s">
        <v>639</v>
      </c>
      <c r="AK511" s="76" t="s">
        <v>23</v>
      </c>
      <c r="AL511" s="67"/>
      <c r="AM511" s="506"/>
      <c r="AN511" s="505"/>
      <c r="AO511" s="515"/>
    </row>
    <row r="512" spans="1:41" ht="14.5">
      <c r="A512" s="58">
        <v>44485</v>
      </c>
      <c r="B512" s="59" t="s">
        <v>428</v>
      </c>
      <c r="C512" s="60" t="s">
        <v>271</v>
      </c>
      <c r="D512" s="60" t="s">
        <v>1110</v>
      </c>
      <c r="E512" s="107">
        <v>7</v>
      </c>
      <c r="F512" s="108">
        <v>11</v>
      </c>
      <c r="G512" s="106">
        <v>10</v>
      </c>
      <c r="H512" s="60">
        <v>28</v>
      </c>
      <c r="I512" s="60">
        <v>32</v>
      </c>
      <c r="J512" s="149">
        <f t="shared" si="417"/>
        <v>60</v>
      </c>
      <c r="K512" s="122">
        <f t="shared" si="400"/>
        <v>0.46666666666666667</v>
      </c>
      <c r="L512" s="123">
        <f t="shared" ref="L512:L657" si="529">IF(J512&gt;0,K512-(33-H512),)</f>
        <v>-4.5333333333333332</v>
      </c>
      <c r="M512" s="64">
        <v>10</v>
      </c>
      <c r="N512" s="64">
        <v>2</v>
      </c>
      <c r="O512" s="64" t="s">
        <v>1094</v>
      </c>
      <c r="P512" s="103">
        <v>11</v>
      </c>
      <c r="Q512" s="103">
        <v>5</v>
      </c>
      <c r="R512" s="103">
        <v>11</v>
      </c>
      <c r="S512" s="103">
        <v>6</v>
      </c>
      <c r="T512" s="103">
        <v>6</v>
      </c>
      <c r="U512" s="103">
        <v>11</v>
      </c>
      <c r="V512" s="69"/>
      <c r="W512" s="104"/>
      <c r="X512" s="67">
        <f t="shared" ref="X512:Y512" si="530">(P512+R512+T512+V512)</f>
        <v>28</v>
      </c>
      <c r="Y512" s="67">
        <f t="shared" si="530"/>
        <v>22</v>
      </c>
      <c r="Z512" s="68">
        <f t="shared" ref="Z512:Z657" si="531">X512+Y512</f>
        <v>50</v>
      </c>
      <c r="AA512" s="150" t="str">
        <f t="shared" si="386"/>
        <v>4C</v>
      </c>
      <c r="AB512" s="70" t="s">
        <v>1110</v>
      </c>
      <c r="AC512" s="70">
        <v>10</v>
      </c>
      <c r="AD512" s="70">
        <v>37</v>
      </c>
      <c r="AE512" s="70">
        <v>43</v>
      </c>
      <c r="AF512" s="70">
        <v>80</v>
      </c>
      <c r="AG512" s="72">
        <f t="shared" ref="AG512:AG657" si="532">AD512/AF512</f>
        <v>0.46250000000000002</v>
      </c>
      <c r="AH512" s="73">
        <f t="shared" si="419"/>
        <v>-39.537500000000001</v>
      </c>
      <c r="AI512" s="74">
        <v>10</v>
      </c>
      <c r="AJ512" s="79" t="s">
        <v>932</v>
      </c>
      <c r="AK512" s="76" t="s">
        <v>1074</v>
      </c>
      <c r="AL512" s="67"/>
      <c r="AM512" s="506"/>
      <c r="AN512" s="505"/>
      <c r="AO512" s="515"/>
    </row>
    <row r="513" spans="1:41" ht="14.5">
      <c r="A513" s="87">
        <v>44485</v>
      </c>
      <c r="B513" s="88" t="s">
        <v>428</v>
      </c>
      <c r="C513" s="89" t="s">
        <v>276</v>
      </c>
      <c r="D513" s="89" t="s">
        <v>139</v>
      </c>
      <c r="E513" s="109">
        <v>11</v>
      </c>
      <c r="F513" s="110">
        <v>11</v>
      </c>
      <c r="G513" s="111">
        <v>11</v>
      </c>
      <c r="H513" s="89">
        <v>33</v>
      </c>
      <c r="I513" s="89">
        <v>20</v>
      </c>
      <c r="J513" s="152">
        <f t="shared" si="417"/>
        <v>53</v>
      </c>
      <c r="K513" s="153">
        <f t="shared" si="400"/>
        <v>0.62264150943396224</v>
      </c>
      <c r="L513" s="154">
        <f t="shared" si="529"/>
        <v>0.62264150943396224</v>
      </c>
      <c r="M513" s="86">
        <v>3</v>
      </c>
      <c r="N513" s="86">
        <v>15</v>
      </c>
      <c r="O513" s="86" t="s">
        <v>1109</v>
      </c>
      <c r="P513" s="113">
        <v>5</v>
      </c>
      <c r="Q513" s="113">
        <v>11</v>
      </c>
      <c r="R513" s="113"/>
      <c r="S513" s="113"/>
      <c r="T513" s="113"/>
      <c r="U513" s="113"/>
      <c r="V513" s="93"/>
      <c r="W513" s="114"/>
      <c r="X513" s="92">
        <f t="shared" ref="X513:Y513" si="533">(P513+R513+T513+V513)</f>
        <v>5</v>
      </c>
      <c r="Y513" s="92">
        <f t="shared" si="533"/>
        <v>11</v>
      </c>
      <c r="Z513" s="84">
        <f t="shared" si="531"/>
        <v>16</v>
      </c>
      <c r="AA513" s="155" t="str">
        <f t="shared" si="386"/>
        <v>4D</v>
      </c>
      <c r="AB513" s="94" t="s">
        <v>139</v>
      </c>
      <c r="AC513" s="94">
        <v>3</v>
      </c>
      <c r="AD513" s="94">
        <v>77</v>
      </c>
      <c r="AE513" s="94">
        <v>45</v>
      </c>
      <c r="AF513" s="94">
        <v>122</v>
      </c>
      <c r="AG513" s="95">
        <f t="shared" si="532"/>
        <v>0.63114754098360659</v>
      </c>
      <c r="AH513" s="96">
        <f t="shared" si="419"/>
        <v>0.63114754098360659</v>
      </c>
      <c r="AI513" s="97">
        <v>1</v>
      </c>
      <c r="AJ513" s="98" t="s">
        <v>876</v>
      </c>
      <c r="AK513" s="81" t="s">
        <v>260</v>
      </c>
      <c r="AL513" s="67"/>
      <c r="AM513" s="506"/>
      <c r="AN513" s="505"/>
      <c r="AO513" s="515"/>
    </row>
    <row r="514" spans="1:41" ht="14.5">
      <c r="A514" s="58">
        <v>44800</v>
      </c>
      <c r="B514" s="59" t="s">
        <v>204</v>
      </c>
      <c r="C514" s="60" t="s">
        <v>205</v>
      </c>
      <c r="D514" s="60" t="s">
        <v>1111</v>
      </c>
      <c r="E514" s="100">
        <v>11</v>
      </c>
      <c r="F514" s="101">
        <v>2</v>
      </c>
      <c r="G514" s="101">
        <v>4</v>
      </c>
      <c r="H514" s="60">
        <v>17</v>
      </c>
      <c r="I514" s="60">
        <v>32</v>
      </c>
      <c r="J514" s="149">
        <f t="shared" si="417"/>
        <v>49</v>
      </c>
      <c r="K514" s="122">
        <f t="shared" si="400"/>
        <v>0.34693877551020408</v>
      </c>
      <c r="L514" s="123">
        <f t="shared" si="529"/>
        <v>-15.653061224489797</v>
      </c>
      <c r="M514" s="64">
        <v>13</v>
      </c>
      <c r="N514" s="61">
        <v>1</v>
      </c>
      <c r="O514" s="61" t="s">
        <v>142</v>
      </c>
      <c r="P514" s="115">
        <v>11</v>
      </c>
      <c r="Q514" s="115">
        <v>2</v>
      </c>
      <c r="R514" s="115">
        <v>11</v>
      </c>
      <c r="S514" s="115">
        <v>2</v>
      </c>
      <c r="T514" s="115">
        <v>11</v>
      </c>
      <c r="U514" s="115">
        <v>6</v>
      </c>
      <c r="V514" s="116">
        <v>8</v>
      </c>
      <c r="W514" s="117">
        <v>11</v>
      </c>
      <c r="X514" s="67">
        <f t="shared" ref="X514:Y514" si="534">(P514+R514+T514+V514)</f>
        <v>41</v>
      </c>
      <c r="Y514" s="67">
        <f t="shared" si="534"/>
        <v>21</v>
      </c>
      <c r="Z514" s="68">
        <f t="shared" si="531"/>
        <v>62</v>
      </c>
      <c r="AA514" s="150" t="str">
        <f t="shared" si="386"/>
        <v>1A</v>
      </c>
      <c r="AB514" s="70" t="s">
        <v>1111</v>
      </c>
      <c r="AC514" s="70">
        <v>13</v>
      </c>
      <c r="AD514" s="70">
        <v>21</v>
      </c>
      <c r="AE514" s="70">
        <v>43</v>
      </c>
      <c r="AF514" s="70">
        <v>64</v>
      </c>
      <c r="AG514" s="72">
        <f t="shared" si="532"/>
        <v>0.328125</v>
      </c>
      <c r="AH514" s="73">
        <f t="shared" si="419"/>
        <v>-55.671875</v>
      </c>
      <c r="AI514" s="74">
        <v>13</v>
      </c>
      <c r="AJ514" s="79" t="s">
        <v>971</v>
      </c>
      <c r="AK514" s="76" t="s">
        <v>1112</v>
      </c>
      <c r="AL514" s="67"/>
      <c r="AM514" s="506"/>
      <c r="AN514" s="505"/>
      <c r="AO514" s="515"/>
    </row>
    <row r="515" spans="1:41" ht="14.5">
      <c r="A515" s="58">
        <v>44800</v>
      </c>
      <c r="B515" s="59" t="s">
        <v>204</v>
      </c>
      <c r="C515" s="60" t="s">
        <v>211</v>
      </c>
      <c r="D515" s="60" t="s">
        <v>1113</v>
      </c>
      <c r="E515" s="105">
        <v>10</v>
      </c>
      <c r="F515" s="106">
        <v>5</v>
      </c>
      <c r="G515" s="106">
        <v>1</v>
      </c>
      <c r="H515" s="60">
        <v>16</v>
      </c>
      <c r="I515" s="60">
        <v>33</v>
      </c>
      <c r="J515" s="149">
        <f t="shared" si="417"/>
        <v>49</v>
      </c>
      <c r="K515" s="122">
        <f t="shared" si="400"/>
        <v>0.32653061224489793</v>
      </c>
      <c r="L515" s="123">
        <f t="shared" si="529"/>
        <v>-16.673469387755102</v>
      </c>
      <c r="M515" s="64">
        <v>14</v>
      </c>
      <c r="N515" s="86">
        <v>16</v>
      </c>
      <c r="O515" s="86" t="s">
        <v>1114</v>
      </c>
      <c r="P515" s="113">
        <v>2</v>
      </c>
      <c r="Q515" s="113">
        <v>11</v>
      </c>
      <c r="R515" s="103"/>
      <c r="S515" s="103"/>
      <c r="T515" s="103"/>
      <c r="U515" s="103"/>
      <c r="V515" s="69"/>
      <c r="W515" s="104"/>
      <c r="X515" s="67">
        <f t="shared" ref="X515:Y515" si="535">(P515+R515+T515+V515)</f>
        <v>2</v>
      </c>
      <c r="Y515" s="67">
        <f t="shared" si="535"/>
        <v>11</v>
      </c>
      <c r="Z515" s="68">
        <f t="shared" si="531"/>
        <v>13</v>
      </c>
      <c r="AA515" s="150" t="str">
        <f t="shared" si="386"/>
        <v>1B</v>
      </c>
      <c r="AB515" s="70" t="s">
        <v>1113</v>
      </c>
      <c r="AC515" s="70">
        <v>14</v>
      </c>
      <c r="AD515" s="70">
        <v>19</v>
      </c>
      <c r="AE515" s="70">
        <v>44</v>
      </c>
      <c r="AF515" s="70">
        <v>63</v>
      </c>
      <c r="AG515" s="72">
        <f t="shared" si="532"/>
        <v>0.30158730158730157</v>
      </c>
      <c r="AH515" s="73">
        <f t="shared" si="419"/>
        <v>-57.698412698412696</v>
      </c>
      <c r="AI515" s="74">
        <v>14</v>
      </c>
      <c r="AJ515" s="79" t="s">
        <v>716</v>
      </c>
      <c r="AK515" s="76" t="s">
        <v>1115</v>
      </c>
      <c r="AL515" s="67"/>
      <c r="AM515" s="506"/>
      <c r="AN515" s="505"/>
      <c r="AO515" s="515"/>
    </row>
    <row r="516" spans="1:41" ht="14.5">
      <c r="A516" s="58">
        <v>44800</v>
      </c>
      <c r="B516" s="59" t="s">
        <v>204</v>
      </c>
      <c r="C516" s="60" t="s">
        <v>216</v>
      </c>
      <c r="D516" s="60" t="s">
        <v>142</v>
      </c>
      <c r="E516" s="107">
        <v>11</v>
      </c>
      <c r="F516" s="108">
        <v>11</v>
      </c>
      <c r="G516" s="106">
        <v>11</v>
      </c>
      <c r="H516" s="60">
        <v>33</v>
      </c>
      <c r="I516" s="60">
        <v>11</v>
      </c>
      <c r="J516" s="149">
        <f t="shared" si="417"/>
        <v>44</v>
      </c>
      <c r="K516" s="122">
        <f t="shared" si="400"/>
        <v>0.75</v>
      </c>
      <c r="L516" s="123">
        <f t="shared" si="529"/>
        <v>0.75</v>
      </c>
      <c r="M516" s="64">
        <v>1</v>
      </c>
      <c r="N516" s="64">
        <v>8</v>
      </c>
      <c r="O516" s="64" t="s">
        <v>1116</v>
      </c>
      <c r="P516" s="103">
        <v>11</v>
      </c>
      <c r="Q516" s="103">
        <v>8</v>
      </c>
      <c r="R516" s="103">
        <v>2</v>
      </c>
      <c r="S516" s="103">
        <v>11</v>
      </c>
      <c r="T516" s="103"/>
      <c r="U516" s="103"/>
      <c r="V516" s="69"/>
      <c r="W516" s="104"/>
      <c r="X516" s="67">
        <f t="shared" ref="X516:Y516" si="536">(P516+R516+T516+V516)</f>
        <v>13</v>
      </c>
      <c r="Y516" s="67">
        <f t="shared" si="536"/>
        <v>19</v>
      </c>
      <c r="Z516" s="68">
        <f t="shared" si="531"/>
        <v>32</v>
      </c>
      <c r="AA516" s="150" t="str">
        <f t="shared" si="386"/>
        <v>1C</v>
      </c>
      <c r="AB516" s="70" t="s">
        <v>142</v>
      </c>
      <c r="AC516" s="70">
        <v>1</v>
      </c>
      <c r="AD516" s="70">
        <v>74</v>
      </c>
      <c r="AE516" s="70">
        <v>32</v>
      </c>
      <c r="AF516" s="70">
        <v>106</v>
      </c>
      <c r="AG516" s="72">
        <f t="shared" si="532"/>
        <v>0.69811320754716977</v>
      </c>
      <c r="AH516" s="73">
        <f t="shared" si="419"/>
        <v>-2.3018867924528301</v>
      </c>
      <c r="AI516" s="74">
        <v>2</v>
      </c>
      <c r="AJ516" s="79" t="s">
        <v>1117</v>
      </c>
      <c r="AK516" s="76" t="s">
        <v>1090</v>
      </c>
      <c r="AL516" s="67"/>
      <c r="AM516" s="506"/>
      <c r="AN516" s="505"/>
      <c r="AO516" s="515"/>
    </row>
    <row r="517" spans="1:41" ht="14.5">
      <c r="A517" s="58">
        <v>44800</v>
      </c>
      <c r="B517" s="59" t="s">
        <v>204</v>
      </c>
      <c r="C517" s="60" t="s">
        <v>221</v>
      </c>
      <c r="D517" s="60" t="s">
        <v>1118</v>
      </c>
      <c r="E517" s="109">
        <v>8</v>
      </c>
      <c r="F517" s="110">
        <v>11</v>
      </c>
      <c r="G517" s="111">
        <v>11</v>
      </c>
      <c r="H517" s="60">
        <v>30</v>
      </c>
      <c r="I517" s="60">
        <v>20</v>
      </c>
      <c r="J517" s="149">
        <f t="shared" si="417"/>
        <v>50</v>
      </c>
      <c r="K517" s="122">
        <f t="shared" si="400"/>
        <v>0.6</v>
      </c>
      <c r="L517" s="123">
        <f t="shared" si="529"/>
        <v>-2.4</v>
      </c>
      <c r="M517" s="64">
        <v>6</v>
      </c>
      <c r="N517" s="86">
        <v>9</v>
      </c>
      <c r="O517" s="86" t="s">
        <v>1119</v>
      </c>
      <c r="P517" s="113">
        <v>8</v>
      </c>
      <c r="Q517" s="113">
        <v>11</v>
      </c>
      <c r="R517" s="113"/>
      <c r="S517" s="113"/>
      <c r="T517" s="103"/>
      <c r="U517" s="103"/>
      <c r="V517" s="69"/>
      <c r="W517" s="104"/>
      <c r="X517" s="67">
        <f t="shared" ref="X517:Y517" si="537">(P517+R517+T517+V517)</f>
        <v>8</v>
      </c>
      <c r="Y517" s="67">
        <f t="shared" si="537"/>
        <v>11</v>
      </c>
      <c r="Z517" s="68">
        <f t="shared" si="531"/>
        <v>19</v>
      </c>
      <c r="AA517" s="150" t="str">
        <f t="shared" si="386"/>
        <v>1D</v>
      </c>
      <c r="AB517" s="70" t="s">
        <v>1118</v>
      </c>
      <c r="AC517" s="70">
        <v>6</v>
      </c>
      <c r="AD517" s="70">
        <v>57</v>
      </c>
      <c r="AE517" s="70">
        <v>41</v>
      </c>
      <c r="AF517" s="70">
        <v>98</v>
      </c>
      <c r="AG517" s="72">
        <f t="shared" si="532"/>
        <v>0.58163265306122447</v>
      </c>
      <c r="AH517" s="73">
        <f t="shared" si="419"/>
        <v>-19.418367346938776</v>
      </c>
      <c r="AI517" s="74">
        <v>3</v>
      </c>
      <c r="AJ517" s="79" t="s">
        <v>982</v>
      </c>
      <c r="AK517" s="76" t="s">
        <v>768</v>
      </c>
      <c r="AL517" s="67"/>
      <c r="AM517" s="506"/>
      <c r="AN517" s="505"/>
      <c r="AO517" s="515"/>
    </row>
    <row r="518" spans="1:41" ht="14.5">
      <c r="A518" s="58">
        <v>44800</v>
      </c>
      <c r="B518" s="59" t="s">
        <v>204</v>
      </c>
      <c r="C518" s="60" t="s">
        <v>224</v>
      </c>
      <c r="D518" s="60" t="s">
        <v>1120</v>
      </c>
      <c r="E518" s="100">
        <v>11</v>
      </c>
      <c r="F518" s="101">
        <v>11</v>
      </c>
      <c r="G518" s="101">
        <v>5</v>
      </c>
      <c r="H518" s="60">
        <v>27</v>
      </c>
      <c r="I518" s="60">
        <v>23</v>
      </c>
      <c r="J518" s="149">
        <f t="shared" si="417"/>
        <v>50</v>
      </c>
      <c r="K518" s="122">
        <f t="shared" si="400"/>
        <v>0.54</v>
      </c>
      <c r="L518" s="123">
        <f t="shared" si="529"/>
        <v>-5.46</v>
      </c>
      <c r="M518" s="64">
        <v>7</v>
      </c>
      <c r="N518" s="64">
        <v>5</v>
      </c>
      <c r="O518" s="64" t="s">
        <v>1121</v>
      </c>
      <c r="P518" s="103">
        <v>11</v>
      </c>
      <c r="Q518" s="103">
        <v>9</v>
      </c>
      <c r="R518" s="103">
        <v>5</v>
      </c>
      <c r="S518" s="103">
        <v>11</v>
      </c>
      <c r="T518" s="103"/>
      <c r="U518" s="103"/>
      <c r="V518" s="69"/>
      <c r="W518" s="104"/>
      <c r="X518" s="67">
        <f t="shared" ref="X518:Y518" si="538">(P518+R518+T518+V518)</f>
        <v>16</v>
      </c>
      <c r="Y518" s="67">
        <f t="shared" si="538"/>
        <v>20</v>
      </c>
      <c r="Z518" s="68">
        <f t="shared" si="531"/>
        <v>36</v>
      </c>
      <c r="AA518" s="150" t="str">
        <f t="shared" si="386"/>
        <v>2A</v>
      </c>
      <c r="AB518" s="70" t="s">
        <v>1120</v>
      </c>
      <c r="AC518" s="70">
        <v>7</v>
      </c>
      <c r="AD518" s="70">
        <v>32</v>
      </c>
      <c r="AE518" s="70">
        <v>34</v>
      </c>
      <c r="AF518" s="70">
        <v>66</v>
      </c>
      <c r="AG518" s="72">
        <f t="shared" si="532"/>
        <v>0.48484848484848486</v>
      </c>
      <c r="AH518" s="73">
        <f t="shared" si="419"/>
        <v>-44.515151515151516</v>
      </c>
      <c r="AI518" s="74">
        <v>9</v>
      </c>
      <c r="AJ518" s="79" t="s">
        <v>321</v>
      </c>
      <c r="AK518" s="76" t="s">
        <v>210</v>
      </c>
      <c r="AL518" s="67"/>
      <c r="AM518" s="506"/>
      <c r="AN518" s="505"/>
      <c r="AO518" s="515"/>
    </row>
    <row r="519" spans="1:41" ht="14.5">
      <c r="A519" s="58">
        <v>44800</v>
      </c>
      <c r="B519" s="59" t="s">
        <v>204</v>
      </c>
      <c r="C519" s="60" t="s">
        <v>228</v>
      </c>
      <c r="D519" s="60" t="s">
        <v>1122</v>
      </c>
      <c r="E519" s="105">
        <v>9</v>
      </c>
      <c r="F519" s="106">
        <v>0</v>
      </c>
      <c r="G519" s="106">
        <v>4</v>
      </c>
      <c r="H519" s="60">
        <v>13</v>
      </c>
      <c r="I519" s="60">
        <v>33</v>
      </c>
      <c r="J519" s="149">
        <f t="shared" si="417"/>
        <v>46</v>
      </c>
      <c r="K519" s="122">
        <f t="shared" si="400"/>
        <v>0.28260869565217389</v>
      </c>
      <c r="L519" s="123">
        <f t="shared" si="529"/>
        <v>-19.717391304347824</v>
      </c>
      <c r="M519" s="64">
        <v>15</v>
      </c>
      <c r="N519" s="86">
        <v>12</v>
      </c>
      <c r="O519" s="86" t="s">
        <v>1123</v>
      </c>
      <c r="P519" s="113">
        <v>9</v>
      </c>
      <c r="Q519" s="113">
        <v>11</v>
      </c>
      <c r="R519" s="103"/>
      <c r="S519" s="103"/>
      <c r="T519" s="103"/>
      <c r="U519" s="103"/>
      <c r="V519" s="69"/>
      <c r="W519" s="104"/>
      <c r="X519" s="67">
        <f t="shared" ref="X519:Y519" si="539">(P519+R519+T519+V519)</f>
        <v>9</v>
      </c>
      <c r="Y519" s="67">
        <f t="shared" si="539"/>
        <v>11</v>
      </c>
      <c r="Z519" s="68">
        <f t="shared" si="531"/>
        <v>20</v>
      </c>
      <c r="AA519" s="150" t="str">
        <f t="shared" si="386"/>
        <v>2B</v>
      </c>
      <c r="AB519" s="70" t="s">
        <v>1122</v>
      </c>
      <c r="AC519" s="70">
        <v>15</v>
      </c>
      <c r="AD519" s="70">
        <v>16</v>
      </c>
      <c r="AE519" s="70">
        <v>44</v>
      </c>
      <c r="AF519" s="70">
        <v>60</v>
      </c>
      <c r="AG519" s="72">
        <f t="shared" si="532"/>
        <v>0.26666666666666666</v>
      </c>
      <c r="AH519" s="73">
        <f t="shared" si="419"/>
        <v>-60.733333333333334</v>
      </c>
      <c r="AI519" s="74">
        <v>15</v>
      </c>
      <c r="AJ519" s="79" t="s">
        <v>662</v>
      </c>
      <c r="AK519" s="76" t="s">
        <v>23</v>
      </c>
      <c r="AL519" s="67"/>
      <c r="AM519" s="506"/>
      <c r="AN519" s="505"/>
      <c r="AO519" s="515"/>
    </row>
    <row r="520" spans="1:41" ht="14.5">
      <c r="A520" s="58">
        <v>44800</v>
      </c>
      <c r="B520" s="59" t="s">
        <v>204</v>
      </c>
      <c r="C520" s="60" t="s">
        <v>232</v>
      </c>
      <c r="D520" s="60" t="s">
        <v>1119</v>
      </c>
      <c r="E520" s="107">
        <v>7</v>
      </c>
      <c r="F520" s="108">
        <v>3</v>
      </c>
      <c r="G520" s="106">
        <v>11</v>
      </c>
      <c r="H520" s="60">
        <v>21</v>
      </c>
      <c r="I520" s="60">
        <v>26</v>
      </c>
      <c r="J520" s="149">
        <f t="shared" si="417"/>
        <v>47</v>
      </c>
      <c r="K520" s="122">
        <f t="shared" si="400"/>
        <v>0.44680851063829785</v>
      </c>
      <c r="L520" s="123">
        <f t="shared" si="529"/>
        <v>-11.553191489361701</v>
      </c>
      <c r="M520" s="64">
        <v>9</v>
      </c>
      <c r="N520" s="64">
        <v>4</v>
      </c>
      <c r="O520" s="64" t="s">
        <v>1124</v>
      </c>
      <c r="P520" s="103">
        <v>11</v>
      </c>
      <c r="Q520" s="103">
        <v>4</v>
      </c>
      <c r="R520" s="103">
        <v>11</v>
      </c>
      <c r="S520" s="103">
        <v>5</v>
      </c>
      <c r="T520" s="103">
        <v>6</v>
      </c>
      <c r="U520" s="103">
        <v>11</v>
      </c>
      <c r="V520" s="69"/>
      <c r="W520" s="104"/>
      <c r="X520" s="67">
        <f t="shared" ref="X520:Y520" si="540">(P520+R520+T520+V520)</f>
        <v>28</v>
      </c>
      <c r="Y520" s="67">
        <f t="shared" si="540"/>
        <v>20</v>
      </c>
      <c r="Z520" s="68">
        <f t="shared" si="531"/>
        <v>48</v>
      </c>
      <c r="AA520" s="150" t="str">
        <f t="shared" si="386"/>
        <v>2C</v>
      </c>
      <c r="AB520" s="70" t="s">
        <v>1119</v>
      </c>
      <c r="AC520" s="70">
        <v>9</v>
      </c>
      <c r="AD520" s="70">
        <v>29</v>
      </c>
      <c r="AE520" s="70">
        <v>37</v>
      </c>
      <c r="AF520" s="70">
        <v>66</v>
      </c>
      <c r="AG520" s="72">
        <f t="shared" si="532"/>
        <v>0.43939393939393939</v>
      </c>
      <c r="AH520" s="73">
        <f t="shared" si="419"/>
        <v>-47.560606060606062</v>
      </c>
      <c r="AI520" s="74">
        <v>10</v>
      </c>
      <c r="AJ520" s="79" t="s">
        <v>715</v>
      </c>
      <c r="AK520" s="76" t="s">
        <v>1079</v>
      </c>
      <c r="AL520" s="67"/>
      <c r="AM520" s="506"/>
      <c r="AN520" s="505"/>
      <c r="AO520" s="515"/>
    </row>
    <row r="521" spans="1:41" ht="14.5">
      <c r="A521" s="58">
        <v>44800</v>
      </c>
      <c r="B521" s="59" t="s">
        <v>204</v>
      </c>
      <c r="C521" s="60" t="s">
        <v>237</v>
      </c>
      <c r="D521" s="60" t="s">
        <v>1125</v>
      </c>
      <c r="E521" s="109">
        <v>11</v>
      </c>
      <c r="F521" s="110">
        <v>11</v>
      </c>
      <c r="G521" s="111">
        <v>11</v>
      </c>
      <c r="H521" s="60">
        <v>33</v>
      </c>
      <c r="I521" s="60">
        <v>12</v>
      </c>
      <c r="J521" s="149">
        <f t="shared" si="417"/>
        <v>45</v>
      </c>
      <c r="K521" s="122">
        <f t="shared" si="400"/>
        <v>0.73333333333333328</v>
      </c>
      <c r="L521" s="123">
        <f t="shared" si="529"/>
        <v>0.73333333333333328</v>
      </c>
      <c r="M521" s="64">
        <v>3</v>
      </c>
      <c r="N521" s="86">
        <v>13</v>
      </c>
      <c r="O521" s="86" t="s">
        <v>1111</v>
      </c>
      <c r="P521" s="113">
        <v>4</v>
      </c>
      <c r="Q521" s="113">
        <v>11</v>
      </c>
      <c r="R521" s="113"/>
      <c r="S521" s="113"/>
      <c r="T521" s="113"/>
      <c r="U521" s="113"/>
      <c r="V521" s="93"/>
      <c r="W521" s="114"/>
      <c r="X521" s="67">
        <f t="shared" ref="X521:Y521" si="541">(P521+R521+T521+V521)</f>
        <v>4</v>
      </c>
      <c r="Y521" s="67">
        <f t="shared" si="541"/>
        <v>11</v>
      </c>
      <c r="Z521" s="68">
        <f t="shared" si="531"/>
        <v>15</v>
      </c>
      <c r="AA521" s="150" t="str">
        <f t="shared" si="386"/>
        <v>2D</v>
      </c>
      <c r="AB521" s="70" t="s">
        <v>1125</v>
      </c>
      <c r="AC521" s="70">
        <v>3</v>
      </c>
      <c r="AD521" s="70">
        <v>48</v>
      </c>
      <c r="AE521" s="70">
        <v>26</v>
      </c>
      <c r="AF521" s="70">
        <v>74</v>
      </c>
      <c r="AG521" s="72">
        <f t="shared" si="532"/>
        <v>0.64864864864864868</v>
      </c>
      <c r="AH521" s="73">
        <f t="shared" si="419"/>
        <v>-28.351351351351351</v>
      </c>
      <c r="AI521" s="74">
        <v>6</v>
      </c>
      <c r="AJ521" s="79" t="s">
        <v>863</v>
      </c>
      <c r="AK521" s="76" t="s">
        <v>1107</v>
      </c>
      <c r="AL521" s="67"/>
      <c r="AM521" s="506"/>
      <c r="AN521" s="505"/>
      <c r="AO521" s="515"/>
    </row>
    <row r="522" spans="1:41" ht="14.5">
      <c r="A522" s="58">
        <v>44800</v>
      </c>
      <c r="B522" s="59" t="s">
        <v>204</v>
      </c>
      <c r="C522" s="60" t="s">
        <v>241</v>
      </c>
      <c r="D522" s="60" t="s">
        <v>1126</v>
      </c>
      <c r="E522" s="100">
        <v>9</v>
      </c>
      <c r="F522" s="101">
        <v>11</v>
      </c>
      <c r="G522" s="101">
        <v>3</v>
      </c>
      <c r="H522" s="60">
        <v>23</v>
      </c>
      <c r="I522" s="60">
        <v>30</v>
      </c>
      <c r="J522" s="149">
        <f t="shared" si="417"/>
        <v>53</v>
      </c>
      <c r="K522" s="122">
        <f t="shared" si="400"/>
        <v>0.43396226415094341</v>
      </c>
      <c r="L522" s="123">
        <f t="shared" si="529"/>
        <v>-9.566037735849056</v>
      </c>
      <c r="M522" s="64">
        <v>11</v>
      </c>
      <c r="N522" s="64">
        <v>6</v>
      </c>
      <c r="O522" s="64" t="s">
        <v>1118</v>
      </c>
      <c r="P522" s="103">
        <v>11</v>
      </c>
      <c r="Q522" s="103">
        <v>6</v>
      </c>
      <c r="R522" s="103">
        <v>11</v>
      </c>
      <c r="S522" s="103">
        <v>4</v>
      </c>
      <c r="T522" s="103">
        <v>5</v>
      </c>
      <c r="U522" s="103">
        <v>11</v>
      </c>
      <c r="V522" s="69"/>
      <c r="W522" s="104"/>
      <c r="X522" s="67">
        <f t="shared" ref="X522:Y522" si="542">(P522+R522+T522+V522)</f>
        <v>27</v>
      </c>
      <c r="Y522" s="67">
        <f t="shared" si="542"/>
        <v>21</v>
      </c>
      <c r="Z522" s="68">
        <f t="shared" si="531"/>
        <v>48</v>
      </c>
      <c r="AA522" s="150" t="str">
        <f t="shared" si="386"/>
        <v>3A</v>
      </c>
      <c r="AB522" s="70" t="s">
        <v>1126</v>
      </c>
      <c r="AC522" s="70">
        <v>11</v>
      </c>
      <c r="AD522" s="70">
        <v>29</v>
      </c>
      <c r="AE522" s="70">
        <v>41</v>
      </c>
      <c r="AF522" s="70">
        <v>70</v>
      </c>
      <c r="AG522" s="72">
        <f t="shared" si="532"/>
        <v>0.41428571428571431</v>
      </c>
      <c r="AH522" s="73">
        <f t="shared" si="419"/>
        <v>-47.585714285714289</v>
      </c>
      <c r="AI522" s="74">
        <v>11</v>
      </c>
      <c r="AJ522" s="79" t="s">
        <v>1104</v>
      </c>
      <c r="AK522" s="76" t="s">
        <v>1086</v>
      </c>
      <c r="AL522" s="67"/>
      <c r="AM522" s="506"/>
      <c r="AN522" s="505"/>
      <c r="AO522" s="515"/>
    </row>
    <row r="523" spans="1:41" ht="14.5">
      <c r="A523" s="58">
        <v>44800</v>
      </c>
      <c r="B523" s="59" t="s">
        <v>204</v>
      </c>
      <c r="C523" s="60" t="s">
        <v>246</v>
      </c>
      <c r="D523" s="60" t="s">
        <v>1116</v>
      </c>
      <c r="E523" s="105">
        <v>11</v>
      </c>
      <c r="F523" s="106">
        <v>10</v>
      </c>
      <c r="G523" s="106">
        <v>8</v>
      </c>
      <c r="H523" s="60">
        <v>29</v>
      </c>
      <c r="I523" s="60">
        <v>31</v>
      </c>
      <c r="J523" s="149">
        <f t="shared" si="417"/>
        <v>60</v>
      </c>
      <c r="K523" s="122">
        <f t="shared" si="400"/>
        <v>0.48333333333333334</v>
      </c>
      <c r="L523" s="123">
        <f t="shared" si="529"/>
        <v>-3.5166666666666666</v>
      </c>
      <c r="M523" s="64">
        <v>8</v>
      </c>
      <c r="N523" s="86">
        <v>11</v>
      </c>
      <c r="O523" s="86" t="s">
        <v>1126</v>
      </c>
      <c r="P523" s="113">
        <v>6</v>
      </c>
      <c r="Q523" s="113">
        <v>11</v>
      </c>
      <c r="R523" s="103"/>
      <c r="S523" s="103"/>
      <c r="T523" s="103"/>
      <c r="U523" s="103"/>
      <c r="V523" s="69"/>
      <c r="W523" s="104"/>
      <c r="X523" s="67">
        <f t="shared" ref="X523:Y523" si="543">(P523+R523+T523+V523)</f>
        <v>6</v>
      </c>
      <c r="Y523" s="67">
        <f t="shared" si="543"/>
        <v>11</v>
      </c>
      <c r="Z523" s="68">
        <f t="shared" si="531"/>
        <v>17</v>
      </c>
      <c r="AA523" s="150" t="str">
        <f t="shared" si="386"/>
        <v>3B</v>
      </c>
      <c r="AB523" s="70" t="s">
        <v>1116</v>
      </c>
      <c r="AC523" s="70">
        <v>8</v>
      </c>
      <c r="AD523" s="70">
        <v>42</v>
      </c>
      <c r="AE523" s="70">
        <v>50</v>
      </c>
      <c r="AF523" s="70">
        <v>92</v>
      </c>
      <c r="AG523" s="72">
        <f t="shared" si="532"/>
        <v>0.45652173913043476</v>
      </c>
      <c r="AH523" s="73">
        <f t="shared" si="419"/>
        <v>-34.543478260869563</v>
      </c>
      <c r="AI523" s="74">
        <v>7</v>
      </c>
      <c r="AJ523" s="79" t="s">
        <v>707</v>
      </c>
      <c r="AK523" s="76" t="s">
        <v>820</v>
      </c>
      <c r="AL523" s="67"/>
      <c r="AM523" s="506"/>
      <c r="AN523" s="505"/>
      <c r="AO523" s="515"/>
    </row>
    <row r="524" spans="1:41" ht="14.5">
      <c r="A524" s="58">
        <v>44800</v>
      </c>
      <c r="B524" s="59" t="s">
        <v>204</v>
      </c>
      <c r="C524" s="60" t="s">
        <v>251</v>
      </c>
      <c r="D524" s="60" t="s">
        <v>1127</v>
      </c>
      <c r="E524" s="107">
        <v>5</v>
      </c>
      <c r="F524" s="108">
        <v>8</v>
      </c>
      <c r="G524" s="106">
        <v>11</v>
      </c>
      <c r="H524" s="60">
        <v>24</v>
      </c>
      <c r="I524" s="60">
        <v>30</v>
      </c>
      <c r="J524" s="149">
        <f t="shared" si="417"/>
        <v>54</v>
      </c>
      <c r="K524" s="122">
        <f t="shared" si="400"/>
        <v>0.44444444444444442</v>
      </c>
      <c r="L524" s="123">
        <f t="shared" si="529"/>
        <v>-8.5555555555555554</v>
      </c>
      <c r="M524" s="64">
        <v>10</v>
      </c>
      <c r="N524" s="64">
        <v>3</v>
      </c>
      <c r="O524" s="64" t="s">
        <v>1125</v>
      </c>
      <c r="P524" s="103">
        <v>11</v>
      </c>
      <c r="Q524" s="103">
        <v>3</v>
      </c>
      <c r="R524" s="103">
        <v>4</v>
      </c>
      <c r="S524" s="103">
        <v>11</v>
      </c>
      <c r="T524" s="103"/>
      <c r="U524" s="103"/>
      <c r="V524" s="69"/>
      <c r="W524" s="104"/>
      <c r="X524" s="67">
        <f t="shared" ref="X524:Y524" si="544">(P524+R524+T524+V524)</f>
        <v>15</v>
      </c>
      <c r="Y524" s="67">
        <f t="shared" si="544"/>
        <v>14</v>
      </c>
      <c r="Z524" s="68">
        <f t="shared" si="531"/>
        <v>29</v>
      </c>
      <c r="AA524" s="150" t="str">
        <f t="shared" si="386"/>
        <v>3C</v>
      </c>
      <c r="AB524" s="70" t="s">
        <v>1127</v>
      </c>
      <c r="AC524" s="70">
        <v>10</v>
      </c>
      <c r="AD524" s="70">
        <v>36</v>
      </c>
      <c r="AE524" s="70">
        <v>46</v>
      </c>
      <c r="AF524" s="70">
        <v>82</v>
      </c>
      <c r="AG524" s="72">
        <f t="shared" si="532"/>
        <v>0.43902439024390244</v>
      </c>
      <c r="AH524" s="73">
        <f t="shared" si="419"/>
        <v>-40.560975609756099</v>
      </c>
      <c r="AI524" s="74">
        <v>8</v>
      </c>
      <c r="AJ524" s="79" t="s">
        <v>1128</v>
      </c>
      <c r="AK524" s="76" t="s">
        <v>1129</v>
      </c>
      <c r="AL524" s="67"/>
      <c r="AM524" s="506"/>
      <c r="AN524" s="505"/>
      <c r="AO524" s="515"/>
    </row>
    <row r="525" spans="1:41" ht="14.5">
      <c r="A525" s="58">
        <v>44800</v>
      </c>
      <c r="B525" s="59" t="s">
        <v>204</v>
      </c>
      <c r="C525" s="60" t="s">
        <v>256</v>
      </c>
      <c r="D525" s="60" t="s">
        <v>1121</v>
      </c>
      <c r="E525" s="109">
        <v>11</v>
      </c>
      <c r="F525" s="110">
        <v>11</v>
      </c>
      <c r="G525" s="111">
        <v>11</v>
      </c>
      <c r="H525" s="60">
        <v>33</v>
      </c>
      <c r="I525" s="60">
        <v>18</v>
      </c>
      <c r="J525" s="149">
        <f t="shared" si="417"/>
        <v>51</v>
      </c>
      <c r="K525" s="122">
        <f t="shared" si="400"/>
        <v>0.6470588235294118</v>
      </c>
      <c r="L525" s="123">
        <f t="shared" si="529"/>
        <v>0.6470588235294118</v>
      </c>
      <c r="M525" s="64">
        <v>5</v>
      </c>
      <c r="N525" s="86">
        <v>14</v>
      </c>
      <c r="O525" s="86" t="s">
        <v>1113</v>
      </c>
      <c r="P525" s="113">
        <v>3</v>
      </c>
      <c r="Q525" s="113">
        <v>11</v>
      </c>
      <c r="R525" s="113"/>
      <c r="S525" s="113"/>
      <c r="T525" s="103"/>
      <c r="U525" s="103"/>
      <c r="V525" s="69"/>
      <c r="W525" s="104"/>
      <c r="X525" s="67">
        <f t="shared" ref="X525:Y525" si="545">(P525+R525+T525+V525)</f>
        <v>3</v>
      </c>
      <c r="Y525" s="67">
        <f t="shared" si="545"/>
        <v>11</v>
      </c>
      <c r="Z525" s="68">
        <f t="shared" si="531"/>
        <v>14</v>
      </c>
      <c r="AA525" s="150" t="str">
        <f t="shared" si="386"/>
        <v>3D</v>
      </c>
      <c r="AB525" s="70" t="s">
        <v>1121</v>
      </c>
      <c r="AC525" s="70">
        <v>5</v>
      </c>
      <c r="AD525" s="70">
        <v>49</v>
      </c>
      <c r="AE525" s="70">
        <v>38</v>
      </c>
      <c r="AF525" s="70">
        <v>87</v>
      </c>
      <c r="AG525" s="72">
        <f t="shared" si="532"/>
        <v>0.56321839080459768</v>
      </c>
      <c r="AH525" s="73">
        <f t="shared" si="419"/>
        <v>-27.436781609195403</v>
      </c>
      <c r="AI525" s="74">
        <v>5</v>
      </c>
      <c r="AJ525" s="79" t="s">
        <v>983</v>
      </c>
      <c r="AK525" s="76" t="s">
        <v>1074</v>
      </c>
      <c r="AL525" s="67"/>
      <c r="AM525" s="506"/>
      <c r="AN525" s="505"/>
      <c r="AO525" s="515"/>
    </row>
    <row r="526" spans="1:41" ht="14.5">
      <c r="A526" s="58">
        <v>44800</v>
      </c>
      <c r="B526" s="59" t="s">
        <v>204</v>
      </c>
      <c r="C526" s="60" t="s">
        <v>261</v>
      </c>
      <c r="D526" s="60" t="s">
        <v>1114</v>
      </c>
      <c r="E526" s="100">
        <v>1</v>
      </c>
      <c r="F526" s="101">
        <v>9</v>
      </c>
      <c r="G526" s="101">
        <v>1</v>
      </c>
      <c r="H526" s="60">
        <v>11</v>
      </c>
      <c r="I526" s="60">
        <v>33</v>
      </c>
      <c r="J526" s="149">
        <f t="shared" si="417"/>
        <v>44</v>
      </c>
      <c r="K526" s="122">
        <f t="shared" si="400"/>
        <v>0.25</v>
      </c>
      <c r="L526" s="123">
        <f t="shared" si="529"/>
        <v>-21.75</v>
      </c>
      <c r="M526" s="64">
        <v>16</v>
      </c>
      <c r="N526" s="64">
        <v>7</v>
      </c>
      <c r="O526" s="64" t="s">
        <v>1120</v>
      </c>
      <c r="P526" s="103">
        <v>5</v>
      </c>
      <c r="Q526" s="103">
        <v>11</v>
      </c>
      <c r="R526" s="103"/>
      <c r="S526" s="103"/>
      <c r="T526" s="103"/>
      <c r="U526" s="103"/>
      <c r="V526" s="69"/>
      <c r="W526" s="104"/>
      <c r="X526" s="67">
        <f t="shared" ref="X526:Y526" si="546">(P526+R526+T526+V526)</f>
        <v>5</v>
      </c>
      <c r="Y526" s="67">
        <f t="shared" si="546"/>
        <v>11</v>
      </c>
      <c r="Z526" s="68">
        <f t="shared" si="531"/>
        <v>16</v>
      </c>
      <c r="AA526" s="150" t="str">
        <f t="shared" si="386"/>
        <v>4A</v>
      </c>
      <c r="AB526" s="70" t="s">
        <v>1114</v>
      </c>
      <c r="AC526" s="70">
        <v>16</v>
      </c>
      <c r="AD526" s="70">
        <v>13</v>
      </c>
      <c r="AE526" s="70">
        <v>44</v>
      </c>
      <c r="AF526" s="70">
        <v>57</v>
      </c>
      <c r="AG526" s="72">
        <f t="shared" si="532"/>
        <v>0.22807017543859648</v>
      </c>
      <c r="AH526" s="73">
        <f t="shared" si="419"/>
        <v>-63.771929824561404</v>
      </c>
      <c r="AI526" s="74">
        <v>16</v>
      </c>
      <c r="AJ526" s="79" t="s">
        <v>244</v>
      </c>
      <c r="AK526" s="76" t="s">
        <v>1080</v>
      </c>
      <c r="AL526" s="67"/>
      <c r="AM526" s="506"/>
      <c r="AN526" s="505"/>
      <c r="AO526" s="515"/>
    </row>
    <row r="527" spans="1:41" ht="14.5">
      <c r="A527" s="58">
        <v>44800</v>
      </c>
      <c r="B527" s="59" t="s">
        <v>204</v>
      </c>
      <c r="C527" s="60" t="s">
        <v>268</v>
      </c>
      <c r="D527" s="60" t="s">
        <v>141</v>
      </c>
      <c r="E527" s="105">
        <v>11</v>
      </c>
      <c r="F527" s="106">
        <v>11</v>
      </c>
      <c r="G527" s="106">
        <v>11</v>
      </c>
      <c r="H527" s="60">
        <v>33</v>
      </c>
      <c r="I527" s="60">
        <v>11</v>
      </c>
      <c r="J527" s="149">
        <f t="shared" si="417"/>
        <v>44</v>
      </c>
      <c r="K527" s="122">
        <f t="shared" si="400"/>
        <v>0.75</v>
      </c>
      <c r="L527" s="123">
        <f t="shared" si="529"/>
        <v>0.75</v>
      </c>
      <c r="M527" s="64">
        <v>2</v>
      </c>
      <c r="N527" s="86">
        <v>10</v>
      </c>
      <c r="O527" s="86" t="s">
        <v>1127</v>
      </c>
      <c r="P527" s="113">
        <v>11</v>
      </c>
      <c r="Q527" s="113">
        <v>5</v>
      </c>
      <c r="R527" s="103">
        <v>1</v>
      </c>
      <c r="S527" s="103">
        <v>11</v>
      </c>
      <c r="T527" s="103"/>
      <c r="U527" s="103"/>
      <c r="V527" s="69"/>
      <c r="W527" s="104"/>
      <c r="X527" s="67">
        <f t="shared" ref="X527:Y527" si="547">(P527+R527+T527+V527)</f>
        <v>12</v>
      </c>
      <c r="Y527" s="67">
        <f t="shared" si="547"/>
        <v>16</v>
      </c>
      <c r="Z527" s="68">
        <f t="shared" si="531"/>
        <v>28</v>
      </c>
      <c r="AA527" s="150" t="str">
        <f t="shared" si="386"/>
        <v>4B</v>
      </c>
      <c r="AB527" s="70" t="s">
        <v>141</v>
      </c>
      <c r="AC527" s="70">
        <v>2</v>
      </c>
      <c r="AD527" s="70">
        <v>77</v>
      </c>
      <c r="AE527" s="70">
        <v>28</v>
      </c>
      <c r="AF527" s="70">
        <v>105</v>
      </c>
      <c r="AG527" s="72">
        <f t="shared" si="532"/>
        <v>0.73333333333333328</v>
      </c>
      <c r="AH527" s="73">
        <f t="shared" si="419"/>
        <v>0.73333333333333328</v>
      </c>
      <c r="AI527" s="74">
        <v>1</v>
      </c>
      <c r="AJ527" s="79" t="s">
        <v>858</v>
      </c>
      <c r="AK527" s="76" t="s">
        <v>984</v>
      </c>
      <c r="AL527" s="67"/>
      <c r="AM527" s="506"/>
      <c r="AN527" s="505"/>
      <c r="AO527" s="515"/>
    </row>
    <row r="528" spans="1:41" ht="14.5">
      <c r="A528" s="58">
        <v>44800</v>
      </c>
      <c r="B528" s="59" t="s">
        <v>204</v>
      </c>
      <c r="C528" s="60" t="s">
        <v>271</v>
      </c>
      <c r="D528" s="60" t="s">
        <v>1123</v>
      </c>
      <c r="E528" s="107">
        <v>3</v>
      </c>
      <c r="F528" s="108">
        <v>11</v>
      </c>
      <c r="G528" s="106">
        <v>4</v>
      </c>
      <c r="H528" s="60">
        <v>18</v>
      </c>
      <c r="I528" s="60">
        <v>31</v>
      </c>
      <c r="J528" s="149">
        <f t="shared" si="417"/>
        <v>49</v>
      </c>
      <c r="K528" s="122">
        <f t="shared" si="400"/>
        <v>0.36734693877551022</v>
      </c>
      <c r="L528" s="123">
        <f t="shared" si="529"/>
        <v>-14.63265306122449</v>
      </c>
      <c r="M528" s="64">
        <v>12</v>
      </c>
      <c r="N528" s="64">
        <v>2</v>
      </c>
      <c r="O528" s="64" t="s">
        <v>141</v>
      </c>
      <c r="P528" s="103">
        <v>11</v>
      </c>
      <c r="Q528" s="103">
        <v>3</v>
      </c>
      <c r="R528" s="103">
        <v>11</v>
      </c>
      <c r="S528" s="103">
        <v>1</v>
      </c>
      <c r="T528" s="103">
        <v>11</v>
      </c>
      <c r="U528" s="103">
        <v>5</v>
      </c>
      <c r="V528" s="69">
        <v>11</v>
      </c>
      <c r="W528" s="104">
        <v>8</v>
      </c>
      <c r="X528" s="67">
        <f t="shared" ref="X528:Y528" si="548">(P528+R528+T528+V528)</f>
        <v>44</v>
      </c>
      <c r="Y528" s="67">
        <f t="shared" si="548"/>
        <v>17</v>
      </c>
      <c r="Z528" s="68">
        <f t="shared" si="531"/>
        <v>61</v>
      </c>
      <c r="AA528" s="150" t="str">
        <f t="shared" si="386"/>
        <v>4C</v>
      </c>
      <c r="AB528" s="70" t="s">
        <v>1123</v>
      </c>
      <c r="AC528" s="70">
        <v>12</v>
      </c>
      <c r="AD528" s="70">
        <v>27</v>
      </c>
      <c r="AE528" s="70">
        <v>42</v>
      </c>
      <c r="AF528" s="70">
        <v>69</v>
      </c>
      <c r="AG528" s="72">
        <f t="shared" si="532"/>
        <v>0.39130434782608697</v>
      </c>
      <c r="AH528" s="73">
        <f t="shared" si="419"/>
        <v>-49.608695652173914</v>
      </c>
      <c r="AI528" s="74">
        <v>12</v>
      </c>
      <c r="AJ528" s="79" t="s">
        <v>1130</v>
      </c>
      <c r="AK528" s="76" t="s">
        <v>1131</v>
      </c>
      <c r="AL528" s="67"/>
      <c r="AM528" s="506"/>
      <c r="AN528" s="505"/>
      <c r="AO528" s="515"/>
    </row>
    <row r="529" spans="1:41" ht="14.5">
      <c r="A529" s="87">
        <v>44800</v>
      </c>
      <c r="B529" s="88" t="s">
        <v>204</v>
      </c>
      <c r="C529" s="89" t="s">
        <v>276</v>
      </c>
      <c r="D529" s="89" t="s">
        <v>1124</v>
      </c>
      <c r="E529" s="109">
        <v>11</v>
      </c>
      <c r="F529" s="110">
        <v>6</v>
      </c>
      <c r="G529" s="111">
        <v>11</v>
      </c>
      <c r="H529" s="89">
        <v>28</v>
      </c>
      <c r="I529" s="89">
        <v>15</v>
      </c>
      <c r="J529" s="152">
        <f t="shared" si="417"/>
        <v>43</v>
      </c>
      <c r="K529" s="153">
        <f t="shared" si="400"/>
        <v>0.65116279069767447</v>
      </c>
      <c r="L529" s="154">
        <f t="shared" si="529"/>
        <v>-4.3488372093023253</v>
      </c>
      <c r="M529" s="86">
        <v>4</v>
      </c>
      <c r="N529" s="86">
        <v>15</v>
      </c>
      <c r="O529" s="86" t="s">
        <v>1122</v>
      </c>
      <c r="P529" s="113">
        <v>3</v>
      </c>
      <c r="Q529" s="113">
        <v>11</v>
      </c>
      <c r="R529" s="113"/>
      <c r="S529" s="113"/>
      <c r="T529" s="113"/>
      <c r="U529" s="113"/>
      <c r="V529" s="93"/>
      <c r="W529" s="114"/>
      <c r="X529" s="92">
        <f t="shared" ref="X529:Y529" si="549">(P529+R529+T529+V529)</f>
        <v>3</v>
      </c>
      <c r="Y529" s="92">
        <f t="shared" si="549"/>
        <v>11</v>
      </c>
      <c r="Z529" s="84">
        <f t="shared" si="531"/>
        <v>14</v>
      </c>
      <c r="AA529" s="155" t="str">
        <f t="shared" si="386"/>
        <v>4D</v>
      </c>
      <c r="AB529" s="94" t="s">
        <v>1124</v>
      </c>
      <c r="AC529" s="94">
        <v>4</v>
      </c>
      <c r="AD529" s="94">
        <v>56</v>
      </c>
      <c r="AE529" s="94">
        <v>35</v>
      </c>
      <c r="AF529" s="94">
        <v>91</v>
      </c>
      <c r="AG529" s="95">
        <f t="shared" si="532"/>
        <v>0.61538461538461542</v>
      </c>
      <c r="AH529" s="96">
        <f t="shared" si="419"/>
        <v>-20.384615384615383</v>
      </c>
      <c r="AI529" s="97">
        <v>4</v>
      </c>
      <c r="AJ529" s="98" t="s">
        <v>260</v>
      </c>
      <c r="AK529" s="81" t="s">
        <v>1132</v>
      </c>
      <c r="AL529" s="67"/>
      <c r="AM529" s="506"/>
      <c r="AN529" s="505"/>
      <c r="AO529" s="515"/>
    </row>
    <row r="530" spans="1:41" ht="14.5">
      <c r="A530" s="58">
        <v>44821</v>
      </c>
      <c r="B530" s="59" t="s">
        <v>615</v>
      </c>
      <c r="C530" s="60" t="s">
        <v>205</v>
      </c>
      <c r="D530" s="60" t="s">
        <v>1133</v>
      </c>
      <c r="E530" s="100">
        <v>11</v>
      </c>
      <c r="F530" s="101">
        <v>9</v>
      </c>
      <c r="G530" s="101">
        <v>11</v>
      </c>
      <c r="H530" s="60">
        <v>31</v>
      </c>
      <c r="I530" s="60">
        <v>25</v>
      </c>
      <c r="J530" s="149">
        <f t="shared" si="417"/>
        <v>56</v>
      </c>
      <c r="K530" s="122">
        <f t="shared" si="400"/>
        <v>0.5535714285714286</v>
      </c>
      <c r="L530" s="123">
        <f t="shared" si="529"/>
        <v>-1.4464285714285714</v>
      </c>
      <c r="M530" s="64">
        <v>5</v>
      </c>
      <c r="N530" s="61">
        <v>1</v>
      </c>
      <c r="O530" s="61" t="s">
        <v>145</v>
      </c>
      <c r="P530" s="115">
        <v>11</v>
      </c>
      <c r="Q530" s="115">
        <v>2</v>
      </c>
      <c r="R530" s="115">
        <v>11</v>
      </c>
      <c r="S530" s="115">
        <v>3</v>
      </c>
      <c r="T530" s="115">
        <v>11</v>
      </c>
      <c r="U530" s="115">
        <v>7</v>
      </c>
      <c r="V530" s="116">
        <v>8</v>
      </c>
      <c r="W530" s="117">
        <v>11</v>
      </c>
      <c r="X530" s="67">
        <f t="shared" ref="X530:Y530" si="550">(P530+R530+T530+V530)</f>
        <v>41</v>
      </c>
      <c r="Y530" s="67">
        <f t="shared" si="550"/>
        <v>23</v>
      </c>
      <c r="Z530" s="68">
        <f t="shared" si="531"/>
        <v>64</v>
      </c>
      <c r="AA530" s="150" t="str">
        <f t="shared" si="386"/>
        <v>1A</v>
      </c>
      <c r="AB530" s="70" t="s">
        <v>1133</v>
      </c>
      <c r="AC530" s="70">
        <v>5</v>
      </c>
      <c r="AD530" s="70">
        <v>40</v>
      </c>
      <c r="AE530" s="70">
        <v>36</v>
      </c>
      <c r="AF530" s="70">
        <v>76</v>
      </c>
      <c r="AG530" s="72">
        <f t="shared" si="532"/>
        <v>0.52631578947368418</v>
      </c>
      <c r="AH530" s="73">
        <f t="shared" si="419"/>
        <v>-36.473684210526315</v>
      </c>
      <c r="AI530" s="74">
        <v>7</v>
      </c>
      <c r="AJ530" s="79" t="s">
        <v>687</v>
      </c>
      <c r="AK530" s="76" t="s">
        <v>1134</v>
      </c>
      <c r="AL530" s="67"/>
      <c r="AM530" s="506"/>
      <c r="AN530" s="505"/>
      <c r="AO530" s="515"/>
    </row>
    <row r="531" spans="1:41" ht="14.5">
      <c r="A531" s="58">
        <v>44821</v>
      </c>
      <c r="B531" s="59" t="s">
        <v>615</v>
      </c>
      <c r="C531" s="60" t="s">
        <v>211</v>
      </c>
      <c r="D531" s="60" t="s">
        <v>1135</v>
      </c>
      <c r="E531" s="105">
        <v>4</v>
      </c>
      <c r="F531" s="106">
        <v>11</v>
      </c>
      <c r="G531" s="106">
        <v>9</v>
      </c>
      <c r="H531" s="60">
        <v>24</v>
      </c>
      <c r="I531" s="60">
        <v>29</v>
      </c>
      <c r="J531" s="149">
        <f t="shared" si="417"/>
        <v>53</v>
      </c>
      <c r="K531" s="122">
        <f t="shared" si="400"/>
        <v>0.45283018867924529</v>
      </c>
      <c r="L531" s="123">
        <f t="shared" si="529"/>
        <v>-8.5471698113207548</v>
      </c>
      <c r="M531" s="64">
        <v>11</v>
      </c>
      <c r="N531" s="86">
        <v>16</v>
      </c>
      <c r="O531" s="86" t="s">
        <v>1136</v>
      </c>
      <c r="P531" s="113">
        <v>2</v>
      </c>
      <c r="Q531" s="113">
        <v>11</v>
      </c>
      <c r="R531" s="103"/>
      <c r="S531" s="103"/>
      <c r="T531" s="103"/>
      <c r="U531" s="103"/>
      <c r="V531" s="69"/>
      <c r="W531" s="104"/>
      <c r="X531" s="67">
        <f t="shared" ref="X531:Y531" si="551">(P531+R531+T531+V531)</f>
        <v>2</v>
      </c>
      <c r="Y531" s="67">
        <f t="shared" si="551"/>
        <v>11</v>
      </c>
      <c r="Z531" s="68">
        <f t="shared" si="531"/>
        <v>13</v>
      </c>
      <c r="AA531" s="150" t="str">
        <f t="shared" si="386"/>
        <v>1B</v>
      </c>
      <c r="AB531" s="70" t="s">
        <v>1135</v>
      </c>
      <c r="AC531" s="70">
        <v>11</v>
      </c>
      <c r="AD531" s="70">
        <v>30</v>
      </c>
      <c r="AE531" s="70">
        <v>40</v>
      </c>
      <c r="AF531" s="70">
        <v>70</v>
      </c>
      <c r="AG531" s="72">
        <f t="shared" si="532"/>
        <v>0.42857142857142855</v>
      </c>
      <c r="AH531" s="73">
        <f t="shared" si="419"/>
        <v>-46.571428571428569</v>
      </c>
      <c r="AI531" s="74">
        <v>13</v>
      </c>
      <c r="AJ531" s="79" t="s">
        <v>1137</v>
      </c>
      <c r="AK531" s="76" t="s">
        <v>1138</v>
      </c>
      <c r="AL531" s="67"/>
      <c r="AM531" s="506"/>
      <c r="AN531" s="505"/>
      <c r="AO531" s="515"/>
    </row>
    <row r="532" spans="1:41" ht="14.5">
      <c r="A532" s="58">
        <v>44821</v>
      </c>
      <c r="B532" s="59" t="s">
        <v>615</v>
      </c>
      <c r="C532" s="60" t="s">
        <v>216</v>
      </c>
      <c r="D532" s="60" t="s">
        <v>144</v>
      </c>
      <c r="E532" s="107">
        <v>11</v>
      </c>
      <c r="F532" s="108">
        <v>11</v>
      </c>
      <c r="G532" s="106">
        <v>11</v>
      </c>
      <c r="H532" s="60">
        <v>33</v>
      </c>
      <c r="I532" s="60">
        <v>24</v>
      </c>
      <c r="J532" s="149">
        <f t="shared" si="417"/>
        <v>57</v>
      </c>
      <c r="K532" s="122">
        <f t="shared" si="400"/>
        <v>0.57894736842105265</v>
      </c>
      <c r="L532" s="123">
        <f t="shared" si="529"/>
        <v>0.57894736842105265</v>
      </c>
      <c r="M532" s="64">
        <v>3</v>
      </c>
      <c r="N532" s="64">
        <v>8</v>
      </c>
      <c r="O532" s="64" t="s">
        <v>1139</v>
      </c>
      <c r="P532" s="103">
        <v>11</v>
      </c>
      <c r="Q532" s="103">
        <v>10</v>
      </c>
      <c r="R532" s="103">
        <v>3</v>
      </c>
      <c r="S532" s="103">
        <v>11</v>
      </c>
      <c r="T532" s="103"/>
      <c r="U532" s="103"/>
      <c r="V532" s="69"/>
      <c r="W532" s="104"/>
      <c r="X532" s="67">
        <f t="shared" ref="X532:Y532" si="552">(P532+R532+T532+V532)</f>
        <v>14</v>
      </c>
      <c r="Y532" s="67">
        <f t="shared" si="552"/>
        <v>21</v>
      </c>
      <c r="Z532" s="68">
        <f t="shared" si="531"/>
        <v>35</v>
      </c>
      <c r="AA532" s="150" t="str">
        <f t="shared" si="386"/>
        <v>1C</v>
      </c>
      <c r="AB532" s="70" t="s">
        <v>144</v>
      </c>
      <c r="AC532" s="70">
        <v>3</v>
      </c>
      <c r="AD532" s="70">
        <v>77</v>
      </c>
      <c r="AE532" s="70">
        <v>47</v>
      </c>
      <c r="AF532" s="70">
        <v>124</v>
      </c>
      <c r="AG532" s="72">
        <f t="shared" si="532"/>
        <v>0.62096774193548387</v>
      </c>
      <c r="AH532" s="73">
        <f t="shared" si="419"/>
        <v>0.62096774193548387</v>
      </c>
      <c r="AI532" s="74">
        <v>1</v>
      </c>
      <c r="AJ532" s="79" t="s">
        <v>876</v>
      </c>
      <c r="AK532" s="76" t="s">
        <v>1140</v>
      </c>
      <c r="AL532" s="67"/>
      <c r="AM532" s="506"/>
      <c r="AN532" s="505"/>
      <c r="AO532" s="515"/>
    </row>
    <row r="533" spans="1:41" ht="14.5">
      <c r="A533" s="58">
        <v>44821</v>
      </c>
      <c r="B533" s="59" t="s">
        <v>615</v>
      </c>
      <c r="C533" s="60" t="s">
        <v>221</v>
      </c>
      <c r="D533" s="60" t="s">
        <v>1141</v>
      </c>
      <c r="E533" s="109">
        <v>6</v>
      </c>
      <c r="F533" s="110">
        <v>7</v>
      </c>
      <c r="G533" s="111">
        <v>10</v>
      </c>
      <c r="H533" s="60">
        <v>23</v>
      </c>
      <c r="I533" s="60">
        <v>33</v>
      </c>
      <c r="J533" s="149">
        <f t="shared" si="417"/>
        <v>56</v>
      </c>
      <c r="K533" s="122">
        <f t="shared" si="400"/>
        <v>0.4107142857142857</v>
      </c>
      <c r="L533" s="123">
        <f t="shared" si="529"/>
        <v>-9.5892857142857135</v>
      </c>
      <c r="M533" s="64">
        <v>13</v>
      </c>
      <c r="N533" s="86">
        <v>9</v>
      </c>
      <c r="O533" s="86" t="s">
        <v>1142</v>
      </c>
      <c r="P533" s="113">
        <v>10</v>
      </c>
      <c r="Q533" s="113">
        <v>11</v>
      </c>
      <c r="R533" s="113"/>
      <c r="S533" s="113"/>
      <c r="T533" s="103"/>
      <c r="U533" s="103"/>
      <c r="V533" s="69"/>
      <c r="W533" s="104"/>
      <c r="X533" s="67">
        <f t="shared" ref="X533:Y533" si="553">(P533+R533+T533+V533)</f>
        <v>10</v>
      </c>
      <c r="Y533" s="67">
        <f t="shared" si="553"/>
        <v>11</v>
      </c>
      <c r="Z533" s="68">
        <f t="shared" si="531"/>
        <v>21</v>
      </c>
      <c r="AA533" s="150" t="str">
        <f t="shared" si="386"/>
        <v>1D</v>
      </c>
      <c r="AB533" s="70" t="s">
        <v>1141</v>
      </c>
      <c r="AC533" s="70">
        <v>13</v>
      </c>
      <c r="AD533" s="70">
        <v>52</v>
      </c>
      <c r="AE533" s="70">
        <v>59</v>
      </c>
      <c r="AF533" s="70">
        <v>111</v>
      </c>
      <c r="AG533" s="72">
        <f t="shared" si="532"/>
        <v>0.46846846846846846</v>
      </c>
      <c r="AH533" s="73">
        <f t="shared" si="419"/>
        <v>-24.531531531531531</v>
      </c>
      <c r="AI533" s="74">
        <v>4</v>
      </c>
      <c r="AJ533" s="79" t="s">
        <v>1062</v>
      </c>
      <c r="AK533" s="76" t="s">
        <v>1143</v>
      </c>
      <c r="AL533" s="67"/>
      <c r="AM533" s="506"/>
      <c r="AN533" s="505"/>
      <c r="AO533" s="515"/>
    </row>
    <row r="534" spans="1:41" ht="14.5">
      <c r="A534" s="58">
        <v>44821</v>
      </c>
      <c r="B534" s="59" t="s">
        <v>615</v>
      </c>
      <c r="C534" s="60" t="s">
        <v>224</v>
      </c>
      <c r="D534" s="60" t="s">
        <v>1144</v>
      </c>
      <c r="E534" s="100">
        <v>9</v>
      </c>
      <c r="F534" s="101">
        <v>11</v>
      </c>
      <c r="G534" s="101">
        <v>4</v>
      </c>
      <c r="H534" s="60">
        <v>24</v>
      </c>
      <c r="I534" s="60">
        <v>28</v>
      </c>
      <c r="J534" s="149">
        <f t="shared" si="417"/>
        <v>52</v>
      </c>
      <c r="K534" s="122">
        <f t="shared" si="400"/>
        <v>0.46153846153846156</v>
      </c>
      <c r="L534" s="123">
        <f t="shared" si="529"/>
        <v>-8.5384615384615383</v>
      </c>
      <c r="M534" s="64">
        <v>10</v>
      </c>
      <c r="N534" s="64">
        <v>5</v>
      </c>
      <c r="O534" s="64" t="s">
        <v>1133</v>
      </c>
      <c r="P534" s="103">
        <v>9</v>
      </c>
      <c r="Q534" s="103">
        <v>11</v>
      </c>
      <c r="R534" s="103"/>
      <c r="S534" s="103"/>
      <c r="T534" s="103"/>
      <c r="U534" s="103"/>
      <c r="V534" s="69"/>
      <c r="W534" s="104"/>
      <c r="X534" s="67">
        <f t="shared" ref="X534:Y534" si="554">(P534+R534+T534+V534)</f>
        <v>9</v>
      </c>
      <c r="Y534" s="67">
        <f t="shared" si="554"/>
        <v>11</v>
      </c>
      <c r="Z534" s="68">
        <f t="shared" si="531"/>
        <v>20</v>
      </c>
      <c r="AA534" s="150" t="str">
        <f t="shared" si="386"/>
        <v>2A</v>
      </c>
      <c r="AB534" s="70" t="s">
        <v>1144</v>
      </c>
      <c r="AC534" s="70">
        <v>10</v>
      </c>
      <c r="AD534" s="70">
        <v>33</v>
      </c>
      <c r="AE534" s="70">
        <v>39</v>
      </c>
      <c r="AF534" s="70">
        <v>72</v>
      </c>
      <c r="AG534" s="72">
        <f t="shared" si="532"/>
        <v>0.45833333333333331</v>
      </c>
      <c r="AH534" s="73">
        <f t="shared" si="419"/>
        <v>-43.541666666666664</v>
      </c>
      <c r="AI534" s="74">
        <v>12</v>
      </c>
      <c r="AJ534" s="79" t="s">
        <v>1145</v>
      </c>
      <c r="AK534" s="76" t="s">
        <v>1146</v>
      </c>
      <c r="AL534" s="67"/>
      <c r="AM534" s="506"/>
      <c r="AN534" s="505"/>
      <c r="AO534" s="515"/>
    </row>
    <row r="535" spans="1:41" ht="14.5">
      <c r="A535" s="58">
        <v>44821</v>
      </c>
      <c r="B535" s="59" t="s">
        <v>615</v>
      </c>
      <c r="C535" s="60" t="s">
        <v>228</v>
      </c>
      <c r="D535" s="60" t="s">
        <v>1142</v>
      </c>
      <c r="E535" s="105">
        <v>11</v>
      </c>
      <c r="F535" s="106">
        <v>5</v>
      </c>
      <c r="G535" s="106">
        <v>11</v>
      </c>
      <c r="H535" s="60">
        <v>27</v>
      </c>
      <c r="I535" s="60">
        <v>29</v>
      </c>
      <c r="J535" s="149">
        <f t="shared" si="417"/>
        <v>56</v>
      </c>
      <c r="K535" s="122">
        <f t="shared" si="400"/>
        <v>0.48214285714285715</v>
      </c>
      <c r="L535" s="123">
        <f t="shared" si="529"/>
        <v>-5.5178571428571432</v>
      </c>
      <c r="M535" s="64">
        <v>9</v>
      </c>
      <c r="N535" s="86">
        <v>12</v>
      </c>
      <c r="O535" s="86" t="s">
        <v>1147</v>
      </c>
      <c r="P535" s="113">
        <v>11</v>
      </c>
      <c r="Q535" s="113">
        <v>9</v>
      </c>
      <c r="R535" s="103">
        <v>6</v>
      </c>
      <c r="S535" s="103">
        <v>11</v>
      </c>
      <c r="T535" s="103"/>
      <c r="U535" s="103"/>
      <c r="V535" s="69"/>
      <c r="W535" s="104"/>
      <c r="X535" s="67">
        <f t="shared" ref="X535:Y535" si="555">(P535+R535+T535+V535)</f>
        <v>17</v>
      </c>
      <c r="Y535" s="67">
        <f t="shared" si="555"/>
        <v>20</v>
      </c>
      <c r="Z535" s="68">
        <f t="shared" si="531"/>
        <v>37</v>
      </c>
      <c r="AA535" s="150" t="str">
        <f t="shared" si="386"/>
        <v>2B</v>
      </c>
      <c r="AB535" s="70" t="s">
        <v>1142</v>
      </c>
      <c r="AC535" s="70">
        <v>9</v>
      </c>
      <c r="AD535" s="70">
        <v>37</v>
      </c>
      <c r="AE535" s="70">
        <v>40</v>
      </c>
      <c r="AF535" s="70">
        <v>77</v>
      </c>
      <c r="AG535" s="72">
        <f t="shared" si="532"/>
        <v>0.48051948051948051</v>
      </c>
      <c r="AH535" s="73">
        <f t="shared" si="419"/>
        <v>-39.519480519480517</v>
      </c>
      <c r="AI535" s="74">
        <v>11</v>
      </c>
      <c r="AJ535" s="79" t="s">
        <v>1148</v>
      </c>
      <c r="AK535" s="76" t="s">
        <v>512</v>
      </c>
      <c r="AL535" s="67"/>
      <c r="AM535" s="506"/>
      <c r="AN535" s="505"/>
      <c r="AO535" s="515"/>
    </row>
    <row r="536" spans="1:41" ht="14.5">
      <c r="A536" s="58">
        <v>44821</v>
      </c>
      <c r="B536" s="59" t="s">
        <v>615</v>
      </c>
      <c r="C536" s="60" t="s">
        <v>232</v>
      </c>
      <c r="D536" s="60" t="s">
        <v>1136</v>
      </c>
      <c r="E536" s="107">
        <v>2</v>
      </c>
      <c r="F536" s="108">
        <v>6</v>
      </c>
      <c r="G536" s="106">
        <v>9</v>
      </c>
      <c r="H536" s="60">
        <v>17</v>
      </c>
      <c r="I536" s="60">
        <v>33</v>
      </c>
      <c r="J536" s="149">
        <f t="shared" si="417"/>
        <v>50</v>
      </c>
      <c r="K536" s="122">
        <f t="shared" si="400"/>
        <v>0.34</v>
      </c>
      <c r="L536" s="123">
        <f t="shared" si="529"/>
        <v>-15.66</v>
      </c>
      <c r="M536" s="64">
        <v>16</v>
      </c>
      <c r="N536" s="64">
        <v>4</v>
      </c>
      <c r="O536" s="64" t="s">
        <v>1149</v>
      </c>
      <c r="P536" s="103">
        <v>9</v>
      </c>
      <c r="Q536" s="103">
        <v>11</v>
      </c>
      <c r="R536" s="103"/>
      <c r="S536" s="103"/>
      <c r="T536" s="103"/>
      <c r="U536" s="103"/>
      <c r="V536" s="69"/>
      <c r="W536" s="104"/>
      <c r="X536" s="67">
        <f t="shared" ref="X536:Y536" si="556">(P536+R536+T536+V536)</f>
        <v>9</v>
      </c>
      <c r="Y536" s="67">
        <f t="shared" si="556"/>
        <v>11</v>
      </c>
      <c r="Z536" s="68">
        <f t="shared" si="531"/>
        <v>20</v>
      </c>
      <c r="AA536" s="150" t="str">
        <f t="shared" si="386"/>
        <v>2C</v>
      </c>
      <c r="AB536" s="70" t="s">
        <v>1136</v>
      </c>
      <c r="AC536" s="70">
        <v>16</v>
      </c>
      <c r="AD536" s="70">
        <v>19</v>
      </c>
      <c r="AE536" s="70">
        <v>44</v>
      </c>
      <c r="AF536" s="70">
        <v>63</v>
      </c>
      <c r="AG536" s="72">
        <f t="shared" si="532"/>
        <v>0.30158730158730157</v>
      </c>
      <c r="AH536" s="73">
        <f t="shared" si="419"/>
        <v>-57.698412698412696</v>
      </c>
      <c r="AI536" s="74">
        <v>16</v>
      </c>
      <c r="AJ536" s="79" t="s">
        <v>1150</v>
      </c>
      <c r="AK536" s="76" t="s">
        <v>1151</v>
      </c>
      <c r="AL536" s="67"/>
      <c r="AM536" s="506"/>
      <c r="AN536" s="505"/>
      <c r="AO536" s="515"/>
    </row>
    <row r="537" spans="1:41" ht="14.5">
      <c r="A537" s="58">
        <v>44821</v>
      </c>
      <c r="B537" s="59" t="s">
        <v>615</v>
      </c>
      <c r="C537" s="60" t="s">
        <v>237</v>
      </c>
      <c r="D537" s="60" t="s">
        <v>145</v>
      </c>
      <c r="E537" s="109">
        <v>11</v>
      </c>
      <c r="F537" s="110">
        <v>11</v>
      </c>
      <c r="G537" s="111">
        <v>11</v>
      </c>
      <c r="H537" s="60">
        <v>33</v>
      </c>
      <c r="I537" s="60">
        <v>11</v>
      </c>
      <c r="J537" s="149">
        <f t="shared" si="417"/>
        <v>44</v>
      </c>
      <c r="K537" s="122">
        <f t="shared" si="400"/>
        <v>0.75</v>
      </c>
      <c r="L537" s="123">
        <f t="shared" si="529"/>
        <v>0.75</v>
      </c>
      <c r="M537" s="64">
        <v>1</v>
      </c>
      <c r="N537" s="86">
        <v>13</v>
      </c>
      <c r="O537" s="86" t="s">
        <v>1141</v>
      </c>
      <c r="P537" s="113">
        <v>11</v>
      </c>
      <c r="Q537" s="113">
        <v>9</v>
      </c>
      <c r="R537" s="113">
        <v>11</v>
      </c>
      <c r="S537" s="113">
        <v>6</v>
      </c>
      <c r="T537" s="113">
        <v>7</v>
      </c>
      <c r="U537" s="113">
        <v>11</v>
      </c>
      <c r="V537" s="93"/>
      <c r="W537" s="114"/>
      <c r="X537" s="67">
        <f t="shared" ref="X537:Y537" si="557">(P537+R537+T537+V537)</f>
        <v>29</v>
      </c>
      <c r="Y537" s="67">
        <f t="shared" si="557"/>
        <v>26</v>
      </c>
      <c r="Z537" s="68">
        <f t="shared" si="531"/>
        <v>55</v>
      </c>
      <c r="AA537" s="150" t="str">
        <f t="shared" si="386"/>
        <v>2D</v>
      </c>
      <c r="AB537" s="70" t="s">
        <v>145</v>
      </c>
      <c r="AC537" s="70">
        <v>1</v>
      </c>
      <c r="AD537" s="70">
        <v>74</v>
      </c>
      <c r="AE537" s="70">
        <v>34</v>
      </c>
      <c r="AF537" s="70">
        <v>108</v>
      </c>
      <c r="AG537" s="72">
        <f t="shared" si="532"/>
        <v>0.68518518518518523</v>
      </c>
      <c r="AH537" s="73">
        <f t="shared" si="419"/>
        <v>-2.3148148148148149</v>
      </c>
      <c r="AI537" s="74">
        <v>2</v>
      </c>
      <c r="AJ537" s="79" t="s">
        <v>525</v>
      </c>
      <c r="AK537" s="76" t="s">
        <v>1152</v>
      </c>
      <c r="AL537" s="67"/>
      <c r="AM537" s="506"/>
      <c r="AN537" s="505"/>
      <c r="AO537" s="515"/>
    </row>
    <row r="538" spans="1:41" ht="14.5">
      <c r="A538" s="58">
        <v>44821</v>
      </c>
      <c r="B538" s="59" t="s">
        <v>615</v>
      </c>
      <c r="C538" s="60" t="s">
        <v>241</v>
      </c>
      <c r="D538" s="60" t="s">
        <v>1149</v>
      </c>
      <c r="E538" s="100">
        <v>11</v>
      </c>
      <c r="F538" s="101">
        <v>8</v>
      </c>
      <c r="G538" s="101">
        <v>11</v>
      </c>
      <c r="H538" s="60">
        <v>30</v>
      </c>
      <c r="I538" s="60">
        <v>24</v>
      </c>
      <c r="J538" s="149">
        <f t="shared" si="417"/>
        <v>54</v>
      </c>
      <c r="K538" s="122">
        <f t="shared" si="400"/>
        <v>0.55555555555555558</v>
      </c>
      <c r="L538" s="123">
        <f t="shared" si="529"/>
        <v>-2.4444444444444446</v>
      </c>
      <c r="M538" s="64">
        <v>4</v>
      </c>
      <c r="N538" s="64">
        <v>6</v>
      </c>
      <c r="O538" s="64" t="s">
        <v>1153</v>
      </c>
      <c r="P538" s="103">
        <v>11</v>
      </c>
      <c r="Q538" s="103">
        <v>6</v>
      </c>
      <c r="R538" s="103">
        <v>6</v>
      </c>
      <c r="S538" s="103">
        <v>11</v>
      </c>
      <c r="T538" s="103"/>
      <c r="U538" s="103"/>
      <c r="V538" s="69"/>
      <c r="W538" s="104"/>
      <c r="X538" s="67">
        <f t="shared" ref="X538:Y538" si="558">(P538+R538+T538+V538)</f>
        <v>17</v>
      </c>
      <c r="Y538" s="67">
        <f t="shared" si="558"/>
        <v>17</v>
      </c>
      <c r="Z538" s="68">
        <f t="shared" si="531"/>
        <v>34</v>
      </c>
      <c r="AA538" s="150" t="str">
        <f t="shared" si="386"/>
        <v>3A</v>
      </c>
      <c r="AB538" s="70" t="s">
        <v>1149</v>
      </c>
      <c r="AC538" s="70">
        <v>4</v>
      </c>
      <c r="AD538" s="70">
        <v>39</v>
      </c>
      <c r="AE538" s="70">
        <v>35</v>
      </c>
      <c r="AF538" s="70">
        <v>74</v>
      </c>
      <c r="AG538" s="72">
        <f t="shared" si="532"/>
        <v>0.52702702702702697</v>
      </c>
      <c r="AH538" s="73">
        <f t="shared" si="419"/>
        <v>-37.472972972972975</v>
      </c>
      <c r="AI538" s="74">
        <v>8</v>
      </c>
      <c r="AJ538" s="79" t="s">
        <v>1034</v>
      </c>
      <c r="AK538" s="76" t="s">
        <v>1154</v>
      </c>
      <c r="AL538" s="67"/>
      <c r="AM538" s="506"/>
      <c r="AN538" s="505"/>
      <c r="AO538" s="515"/>
    </row>
    <row r="539" spans="1:41" ht="14.5">
      <c r="A539" s="58">
        <v>44821</v>
      </c>
      <c r="B539" s="59" t="s">
        <v>615</v>
      </c>
      <c r="C539" s="60" t="s">
        <v>246</v>
      </c>
      <c r="D539" s="60" t="s">
        <v>1155</v>
      </c>
      <c r="E539" s="105">
        <v>10</v>
      </c>
      <c r="F539" s="106">
        <v>6</v>
      </c>
      <c r="G539" s="106">
        <v>7</v>
      </c>
      <c r="H539" s="60">
        <v>23</v>
      </c>
      <c r="I539" s="60">
        <v>33</v>
      </c>
      <c r="J539" s="149">
        <f t="shared" si="417"/>
        <v>56</v>
      </c>
      <c r="K539" s="122">
        <f t="shared" si="400"/>
        <v>0.4107142857142857</v>
      </c>
      <c r="L539" s="123">
        <f t="shared" si="529"/>
        <v>-9.5892857142857135</v>
      </c>
      <c r="M539" s="64">
        <v>14</v>
      </c>
      <c r="N539" s="86">
        <v>11</v>
      </c>
      <c r="O539" s="86" t="s">
        <v>1135</v>
      </c>
      <c r="P539" s="113">
        <v>6</v>
      </c>
      <c r="Q539" s="113">
        <v>11</v>
      </c>
      <c r="R539" s="103"/>
      <c r="S539" s="103"/>
      <c r="T539" s="103"/>
      <c r="U539" s="103"/>
      <c r="V539" s="69"/>
      <c r="W539" s="104"/>
      <c r="X539" s="67">
        <f t="shared" ref="X539:Y539" si="559">(P539+R539+T539+V539)</f>
        <v>6</v>
      </c>
      <c r="Y539" s="67">
        <f t="shared" si="559"/>
        <v>11</v>
      </c>
      <c r="Z539" s="68">
        <f t="shared" si="531"/>
        <v>17</v>
      </c>
      <c r="AA539" s="150" t="str">
        <f t="shared" si="386"/>
        <v>3B</v>
      </c>
      <c r="AB539" s="70" t="s">
        <v>1155</v>
      </c>
      <c r="AC539" s="70">
        <v>14</v>
      </c>
      <c r="AD539" s="70">
        <v>26</v>
      </c>
      <c r="AE539" s="70">
        <v>44</v>
      </c>
      <c r="AF539" s="70">
        <v>70</v>
      </c>
      <c r="AG539" s="72">
        <f t="shared" si="532"/>
        <v>0.37142857142857144</v>
      </c>
      <c r="AH539" s="73">
        <f t="shared" si="419"/>
        <v>-50.628571428571426</v>
      </c>
      <c r="AI539" s="74">
        <v>15</v>
      </c>
      <c r="AJ539" s="79" t="s">
        <v>1156</v>
      </c>
      <c r="AK539" s="76" t="s">
        <v>1055</v>
      </c>
      <c r="AL539" s="67"/>
      <c r="AM539" s="506"/>
      <c r="AN539" s="505"/>
      <c r="AO539" s="515"/>
    </row>
    <row r="540" spans="1:41" ht="14.5">
      <c r="A540" s="58">
        <v>44821</v>
      </c>
      <c r="B540" s="59" t="s">
        <v>615</v>
      </c>
      <c r="C540" s="60" t="s">
        <v>251</v>
      </c>
      <c r="D540" s="60" t="s">
        <v>1157</v>
      </c>
      <c r="E540" s="107">
        <v>8</v>
      </c>
      <c r="F540" s="108">
        <v>11</v>
      </c>
      <c r="G540" s="106">
        <v>11</v>
      </c>
      <c r="H540" s="60">
        <v>30</v>
      </c>
      <c r="I540" s="60">
        <v>26</v>
      </c>
      <c r="J540" s="149">
        <f t="shared" si="417"/>
        <v>56</v>
      </c>
      <c r="K540" s="122">
        <f t="shared" si="400"/>
        <v>0.5357142857142857</v>
      </c>
      <c r="L540" s="123">
        <f t="shared" si="529"/>
        <v>-2.4642857142857144</v>
      </c>
      <c r="M540" s="64">
        <v>7</v>
      </c>
      <c r="N540" s="64">
        <v>3</v>
      </c>
      <c r="O540" s="64" t="s">
        <v>144</v>
      </c>
      <c r="P540" s="103">
        <v>11</v>
      </c>
      <c r="Q540" s="103">
        <v>3</v>
      </c>
      <c r="R540" s="103">
        <v>11</v>
      </c>
      <c r="S540" s="103">
        <v>6</v>
      </c>
      <c r="T540" s="103">
        <v>11</v>
      </c>
      <c r="U540" s="103">
        <v>6</v>
      </c>
      <c r="V540" s="69">
        <v>11</v>
      </c>
      <c r="W540" s="104">
        <v>8</v>
      </c>
      <c r="X540" s="67">
        <f t="shared" ref="X540:Y540" si="560">(P540+R540+T540+V540)</f>
        <v>44</v>
      </c>
      <c r="Y540" s="67">
        <f t="shared" si="560"/>
        <v>23</v>
      </c>
      <c r="Z540" s="68">
        <f t="shared" si="531"/>
        <v>67</v>
      </c>
      <c r="AA540" s="150" t="str">
        <f t="shared" si="386"/>
        <v>3C</v>
      </c>
      <c r="AB540" s="70" t="s">
        <v>1157</v>
      </c>
      <c r="AC540" s="70">
        <v>7</v>
      </c>
      <c r="AD540" s="70">
        <v>45</v>
      </c>
      <c r="AE540" s="70">
        <v>46</v>
      </c>
      <c r="AF540" s="70">
        <v>91</v>
      </c>
      <c r="AG540" s="72">
        <f t="shared" si="532"/>
        <v>0.49450549450549453</v>
      </c>
      <c r="AH540" s="73">
        <f t="shared" si="419"/>
        <v>-31.505494505494504</v>
      </c>
      <c r="AI540" s="74">
        <v>6</v>
      </c>
      <c r="AJ540" s="79" t="s">
        <v>940</v>
      </c>
      <c r="AK540" s="76" t="s">
        <v>1001</v>
      </c>
      <c r="AL540" s="67"/>
      <c r="AM540" s="506"/>
      <c r="AN540" s="505"/>
      <c r="AO540" s="515"/>
    </row>
    <row r="541" spans="1:41" ht="14.5">
      <c r="A541" s="58">
        <v>44821</v>
      </c>
      <c r="B541" s="59" t="s">
        <v>615</v>
      </c>
      <c r="C541" s="60" t="s">
        <v>256</v>
      </c>
      <c r="D541" s="60" t="s">
        <v>1139</v>
      </c>
      <c r="E541" s="109">
        <v>11</v>
      </c>
      <c r="F541" s="110">
        <v>11</v>
      </c>
      <c r="G541" s="111">
        <v>3</v>
      </c>
      <c r="H541" s="60">
        <v>25</v>
      </c>
      <c r="I541" s="60">
        <v>25</v>
      </c>
      <c r="J541" s="149">
        <f t="shared" si="417"/>
        <v>50</v>
      </c>
      <c r="K541" s="122">
        <f t="shared" si="400"/>
        <v>0.5</v>
      </c>
      <c r="L541" s="123">
        <f t="shared" si="529"/>
        <v>-7.5</v>
      </c>
      <c r="M541" s="64">
        <v>8</v>
      </c>
      <c r="N541" s="86">
        <v>14</v>
      </c>
      <c r="O541" s="86" t="s">
        <v>1155</v>
      </c>
      <c r="P541" s="113">
        <v>3</v>
      </c>
      <c r="Q541" s="113">
        <v>11</v>
      </c>
      <c r="R541" s="113"/>
      <c r="S541" s="113"/>
      <c r="T541" s="103"/>
      <c r="U541" s="103"/>
      <c r="V541" s="69"/>
      <c r="W541" s="104"/>
      <c r="X541" s="67">
        <f t="shared" ref="X541:Y541" si="561">(P541+R541+T541+V541)</f>
        <v>3</v>
      </c>
      <c r="Y541" s="67">
        <f t="shared" si="561"/>
        <v>11</v>
      </c>
      <c r="Z541" s="68">
        <f t="shared" si="531"/>
        <v>14</v>
      </c>
      <c r="AA541" s="150" t="str">
        <f t="shared" si="386"/>
        <v>3D</v>
      </c>
      <c r="AB541" s="70" t="s">
        <v>1139</v>
      </c>
      <c r="AC541" s="70">
        <v>8</v>
      </c>
      <c r="AD541" s="70">
        <v>39</v>
      </c>
      <c r="AE541" s="70">
        <v>46</v>
      </c>
      <c r="AF541" s="70">
        <v>85</v>
      </c>
      <c r="AG541" s="72">
        <f t="shared" si="532"/>
        <v>0.45882352941176469</v>
      </c>
      <c r="AH541" s="73">
        <f t="shared" si="419"/>
        <v>-37.541176470588233</v>
      </c>
      <c r="AI541" s="74">
        <v>9</v>
      </c>
      <c r="AJ541" s="79" t="s">
        <v>753</v>
      </c>
      <c r="AK541" s="76" t="s">
        <v>1158</v>
      </c>
      <c r="AL541" s="67"/>
      <c r="AM541" s="506"/>
      <c r="AN541" s="505"/>
      <c r="AO541" s="515"/>
    </row>
    <row r="542" spans="1:41" ht="14.5">
      <c r="A542" s="58">
        <v>44821</v>
      </c>
      <c r="B542" s="59" t="s">
        <v>615</v>
      </c>
      <c r="C542" s="60" t="s">
        <v>261</v>
      </c>
      <c r="D542" s="60" t="s">
        <v>1159</v>
      </c>
      <c r="E542" s="100">
        <v>11</v>
      </c>
      <c r="F542" s="101">
        <v>7</v>
      </c>
      <c r="G542" s="101">
        <v>11</v>
      </c>
      <c r="H542" s="60">
        <v>29</v>
      </c>
      <c r="I542" s="60">
        <v>16</v>
      </c>
      <c r="J542" s="149">
        <f t="shared" si="417"/>
        <v>45</v>
      </c>
      <c r="K542" s="122">
        <f t="shared" si="400"/>
        <v>0.64444444444444449</v>
      </c>
      <c r="L542" s="123">
        <f t="shared" si="529"/>
        <v>-3.3555555555555556</v>
      </c>
      <c r="M542" s="64">
        <v>2</v>
      </c>
      <c r="N542" s="64">
        <v>7</v>
      </c>
      <c r="O542" s="64" t="s">
        <v>1157</v>
      </c>
      <c r="P542" s="103">
        <v>11</v>
      </c>
      <c r="Q542" s="103">
        <v>9</v>
      </c>
      <c r="R542" s="103">
        <v>4</v>
      </c>
      <c r="S542" s="103">
        <v>11</v>
      </c>
      <c r="T542" s="103"/>
      <c r="U542" s="103"/>
      <c r="V542" s="69"/>
      <c r="W542" s="104"/>
      <c r="X542" s="67">
        <f t="shared" ref="X542:Y542" si="562">(P542+R542+T542+V542)</f>
        <v>15</v>
      </c>
      <c r="Y542" s="67">
        <f t="shared" si="562"/>
        <v>20</v>
      </c>
      <c r="Z542" s="68">
        <f t="shared" si="531"/>
        <v>35</v>
      </c>
      <c r="AA542" s="150" t="str">
        <f t="shared" si="386"/>
        <v>4A</v>
      </c>
      <c r="AB542" s="70" t="s">
        <v>1159</v>
      </c>
      <c r="AC542" s="70">
        <v>2</v>
      </c>
      <c r="AD542" s="70">
        <v>57</v>
      </c>
      <c r="AE542" s="70">
        <v>38</v>
      </c>
      <c r="AF542" s="70">
        <v>95</v>
      </c>
      <c r="AG542" s="72">
        <f t="shared" si="532"/>
        <v>0.6</v>
      </c>
      <c r="AH542" s="73">
        <f t="shared" si="419"/>
        <v>-19.399999999999999</v>
      </c>
      <c r="AI542" s="74">
        <v>3</v>
      </c>
      <c r="AJ542" s="79" t="s">
        <v>929</v>
      </c>
      <c r="AK542" s="76" t="s">
        <v>1160</v>
      </c>
      <c r="AL542" s="67"/>
      <c r="AM542" s="506"/>
      <c r="AN542" s="505"/>
      <c r="AO542" s="515"/>
    </row>
    <row r="543" spans="1:41" ht="14.5">
      <c r="A543" s="58">
        <v>44821</v>
      </c>
      <c r="B543" s="59" t="s">
        <v>615</v>
      </c>
      <c r="C543" s="60" t="s">
        <v>268</v>
      </c>
      <c r="D543" s="60" t="s">
        <v>1147</v>
      </c>
      <c r="E543" s="105">
        <v>4</v>
      </c>
      <c r="F543" s="106">
        <v>11</v>
      </c>
      <c r="G543" s="106">
        <v>6</v>
      </c>
      <c r="H543" s="60">
        <v>21</v>
      </c>
      <c r="I543" s="60">
        <v>29</v>
      </c>
      <c r="J543" s="149">
        <f t="shared" si="417"/>
        <v>50</v>
      </c>
      <c r="K543" s="122">
        <f t="shared" si="400"/>
        <v>0.42</v>
      </c>
      <c r="L543" s="123">
        <f t="shared" si="529"/>
        <v>-11.58</v>
      </c>
      <c r="M543" s="64">
        <v>12</v>
      </c>
      <c r="N543" s="86">
        <v>10</v>
      </c>
      <c r="O543" s="86" t="s">
        <v>1144</v>
      </c>
      <c r="P543" s="113">
        <v>9</v>
      </c>
      <c r="Q543" s="113">
        <v>11</v>
      </c>
      <c r="R543" s="103"/>
      <c r="S543" s="103"/>
      <c r="T543" s="103"/>
      <c r="U543" s="103"/>
      <c r="V543" s="69"/>
      <c r="W543" s="104"/>
      <c r="X543" s="67">
        <f t="shared" ref="X543:Y543" si="563">(P543+R543+T543+V543)</f>
        <v>9</v>
      </c>
      <c r="Y543" s="67">
        <f t="shared" si="563"/>
        <v>11</v>
      </c>
      <c r="Z543" s="68">
        <f t="shared" si="531"/>
        <v>20</v>
      </c>
      <c r="AA543" s="150" t="str">
        <f t="shared" si="386"/>
        <v>4B</v>
      </c>
      <c r="AB543" s="70" t="s">
        <v>1147</v>
      </c>
      <c r="AC543" s="70">
        <v>12</v>
      </c>
      <c r="AD543" s="70">
        <v>38</v>
      </c>
      <c r="AE543" s="70">
        <v>49</v>
      </c>
      <c r="AF543" s="70">
        <v>87</v>
      </c>
      <c r="AG543" s="72">
        <f t="shared" si="532"/>
        <v>0.43678160919540232</v>
      </c>
      <c r="AH543" s="73">
        <f t="shared" si="419"/>
        <v>-38.5632183908046</v>
      </c>
      <c r="AI543" s="74">
        <v>10</v>
      </c>
      <c r="AJ543" s="79" t="s">
        <v>1052</v>
      </c>
      <c r="AK543" s="76" t="s">
        <v>1161</v>
      </c>
      <c r="AL543" s="67"/>
      <c r="AM543" s="506"/>
      <c r="AN543" s="505"/>
      <c r="AO543" s="515"/>
    </row>
    <row r="544" spans="1:41" ht="14.5">
      <c r="A544" s="58">
        <v>44821</v>
      </c>
      <c r="B544" s="59" t="s">
        <v>615</v>
      </c>
      <c r="C544" s="60" t="s">
        <v>271</v>
      </c>
      <c r="D544" s="60" t="s">
        <v>1153</v>
      </c>
      <c r="E544" s="107">
        <v>7</v>
      </c>
      <c r="F544" s="108">
        <v>11</v>
      </c>
      <c r="G544" s="106">
        <v>11</v>
      </c>
      <c r="H544" s="60">
        <v>29</v>
      </c>
      <c r="I544" s="60">
        <v>24</v>
      </c>
      <c r="J544" s="149">
        <f t="shared" si="417"/>
        <v>53</v>
      </c>
      <c r="K544" s="122">
        <f t="shared" si="400"/>
        <v>0.54716981132075471</v>
      </c>
      <c r="L544" s="123">
        <f t="shared" si="529"/>
        <v>-3.4528301886792452</v>
      </c>
      <c r="M544" s="64">
        <v>6</v>
      </c>
      <c r="N544" s="64">
        <v>2</v>
      </c>
      <c r="O544" s="64" t="s">
        <v>1159</v>
      </c>
      <c r="P544" s="103">
        <v>11</v>
      </c>
      <c r="Q544" s="103">
        <v>7</v>
      </c>
      <c r="R544" s="103">
        <v>11</v>
      </c>
      <c r="S544" s="103">
        <v>4</v>
      </c>
      <c r="T544" s="103">
        <v>6</v>
      </c>
      <c r="U544" s="103">
        <v>11</v>
      </c>
      <c r="V544" s="69"/>
      <c r="W544" s="104"/>
      <c r="X544" s="67">
        <f t="shared" ref="X544:Y544" si="564">(P544+R544+T544+V544)</f>
        <v>28</v>
      </c>
      <c r="Y544" s="67">
        <f t="shared" si="564"/>
        <v>22</v>
      </c>
      <c r="Z544" s="68">
        <f t="shared" si="531"/>
        <v>50</v>
      </c>
      <c r="AA544" s="150" t="str">
        <f t="shared" si="386"/>
        <v>4C</v>
      </c>
      <c r="AB544" s="70" t="s">
        <v>1153</v>
      </c>
      <c r="AC544" s="70">
        <v>6</v>
      </c>
      <c r="AD544" s="70">
        <v>46</v>
      </c>
      <c r="AE544" s="70">
        <v>41</v>
      </c>
      <c r="AF544" s="70">
        <v>87</v>
      </c>
      <c r="AG544" s="72">
        <f t="shared" si="532"/>
        <v>0.52873563218390807</v>
      </c>
      <c r="AH544" s="73">
        <f t="shared" si="419"/>
        <v>-30.47126436781609</v>
      </c>
      <c r="AI544" s="74">
        <v>5</v>
      </c>
      <c r="AJ544" s="79" t="s">
        <v>780</v>
      </c>
      <c r="AK544" s="76" t="s">
        <v>793</v>
      </c>
      <c r="AL544" s="67"/>
      <c r="AM544" s="506"/>
      <c r="AN544" s="505"/>
      <c r="AO544" s="515"/>
    </row>
    <row r="545" spans="1:41" ht="14.5">
      <c r="A545" s="87">
        <v>44821</v>
      </c>
      <c r="B545" s="88" t="s">
        <v>615</v>
      </c>
      <c r="C545" s="89" t="s">
        <v>276</v>
      </c>
      <c r="D545" s="89" t="s">
        <v>1162</v>
      </c>
      <c r="E545" s="109">
        <v>11</v>
      </c>
      <c r="F545" s="110">
        <v>7</v>
      </c>
      <c r="G545" s="111">
        <v>1</v>
      </c>
      <c r="H545" s="89">
        <v>19</v>
      </c>
      <c r="I545" s="89">
        <v>29</v>
      </c>
      <c r="J545" s="152">
        <f t="shared" si="417"/>
        <v>48</v>
      </c>
      <c r="K545" s="153">
        <f t="shared" si="400"/>
        <v>0.39583333333333331</v>
      </c>
      <c r="L545" s="154">
        <f t="shared" si="529"/>
        <v>-13.604166666666666</v>
      </c>
      <c r="M545" s="86">
        <v>15</v>
      </c>
      <c r="N545" s="86">
        <v>15</v>
      </c>
      <c r="O545" s="86" t="s">
        <v>1162</v>
      </c>
      <c r="P545" s="113">
        <v>7</v>
      </c>
      <c r="Q545" s="113">
        <v>11</v>
      </c>
      <c r="R545" s="113"/>
      <c r="S545" s="113"/>
      <c r="T545" s="113"/>
      <c r="U545" s="113"/>
      <c r="V545" s="93"/>
      <c r="W545" s="114"/>
      <c r="X545" s="92">
        <f t="shared" ref="X545:Y545" si="565">(P545+R545+T545+V545)</f>
        <v>7</v>
      </c>
      <c r="Y545" s="92">
        <f t="shared" si="565"/>
        <v>11</v>
      </c>
      <c r="Z545" s="84">
        <f t="shared" si="531"/>
        <v>18</v>
      </c>
      <c r="AA545" s="155" t="str">
        <f t="shared" si="386"/>
        <v>4D</v>
      </c>
      <c r="AB545" s="94" t="s">
        <v>1162</v>
      </c>
      <c r="AC545" s="94">
        <v>15</v>
      </c>
      <c r="AD545" s="94">
        <v>26</v>
      </c>
      <c r="AE545" s="94">
        <v>40</v>
      </c>
      <c r="AF545" s="94">
        <v>66</v>
      </c>
      <c r="AG545" s="95">
        <f t="shared" si="532"/>
        <v>0.39393939393939392</v>
      </c>
      <c r="AH545" s="96">
        <f t="shared" si="419"/>
        <v>-50.606060606060609</v>
      </c>
      <c r="AI545" s="97">
        <v>14</v>
      </c>
      <c r="AJ545" s="98" t="s">
        <v>1163</v>
      </c>
      <c r="AK545" s="81" t="s">
        <v>1164</v>
      </c>
      <c r="AL545" s="67"/>
      <c r="AM545" s="506"/>
      <c r="AN545" s="505"/>
      <c r="AO545" s="515"/>
    </row>
    <row r="546" spans="1:41" ht="14.5">
      <c r="A546" s="58">
        <v>44849</v>
      </c>
      <c r="B546" s="59" t="s">
        <v>428</v>
      </c>
      <c r="C546" s="60" t="s">
        <v>205</v>
      </c>
      <c r="D546" s="60" t="s">
        <v>1165</v>
      </c>
      <c r="E546" s="100">
        <v>4</v>
      </c>
      <c r="F546" s="101">
        <v>11</v>
      </c>
      <c r="G546" s="101">
        <v>2</v>
      </c>
      <c r="H546" s="60">
        <v>17</v>
      </c>
      <c r="I546" s="60">
        <v>24</v>
      </c>
      <c r="J546" s="149">
        <f t="shared" si="417"/>
        <v>41</v>
      </c>
      <c r="K546" s="122">
        <f t="shared" si="400"/>
        <v>0.41463414634146339</v>
      </c>
      <c r="L546" s="123">
        <f t="shared" si="529"/>
        <v>-15.585365853658537</v>
      </c>
      <c r="M546" s="64">
        <v>13</v>
      </c>
      <c r="N546" s="61">
        <v>1</v>
      </c>
      <c r="O546" s="61" t="s">
        <v>1166</v>
      </c>
      <c r="P546" s="115">
        <v>11</v>
      </c>
      <c r="Q546" s="115">
        <v>2</v>
      </c>
      <c r="R546" s="115">
        <v>11</v>
      </c>
      <c r="S546" s="115">
        <v>2</v>
      </c>
      <c r="T546" s="115">
        <v>8</v>
      </c>
      <c r="U546" s="115">
        <v>11</v>
      </c>
      <c r="V546" s="116"/>
      <c r="W546" s="117"/>
      <c r="X546" s="67">
        <f t="shared" ref="X546:Y546" si="566">(P546+R546+T546+V546)</f>
        <v>30</v>
      </c>
      <c r="Y546" s="67">
        <f t="shared" si="566"/>
        <v>15</v>
      </c>
      <c r="Z546" s="68">
        <f t="shared" si="531"/>
        <v>45</v>
      </c>
      <c r="AA546" s="150" t="str">
        <f t="shared" si="386"/>
        <v>1A</v>
      </c>
      <c r="AB546" s="70" t="s">
        <v>1165</v>
      </c>
      <c r="AC546" s="70">
        <v>13</v>
      </c>
      <c r="AD546" s="70">
        <v>19</v>
      </c>
      <c r="AE546" s="70">
        <v>35</v>
      </c>
      <c r="AF546" s="70">
        <v>54</v>
      </c>
      <c r="AG546" s="72">
        <f t="shared" si="532"/>
        <v>0.35185185185185186</v>
      </c>
      <c r="AH546" s="73">
        <f t="shared" si="419"/>
        <v>-57.648148148148145</v>
      </c>
      <c r="AI546" s="74">
        <v>14</v>
      </c>
      <c r="AJ546" s="79" t="s">
        <v>1107</v>
      </c>
      <c r="AK546" s="76" t="s">
        <v>1062</v>
      </c>
      <c r="AL546" s="67"/>
      <c r="AM546" s="506"/>
      <c r="AN546" s="505"/>
      <c r="AO546" s="515"/>
    </row>
    <row r="547" spans="1:41" ht="14.5">
      <c r="A547" s="58">
        <v>44849</v>
      </c>
      <c r="B547" s="59" t="s">
        <v>428</v>
      </c>
      <c r="C547" s="60" t="s">
        <v>211</v>
      </c>
      <c r="D547" s="60" t="s">
        <v>1167</v>
      </c>
      <c r="E547" s="105">
        <v>11</v>
      </c>
      <c r="F547" s="106">
        <v>3</v>
      </c>
      <c r="G547" s="106">
        <v>6</v>
      </c>
      <c r="H547" s="60">
        <v>20</v>
      </c>
      <c r="I547" s="60">
        <v>26</v>
      </c>
      <c r="J547" s="149">
        <f t="shared" si="417"/>
        <v>46</v>
      </c>
      <c r="K547" s="122">
        <f t="shared" si="400"/>
        <v>0.43478260869565216</v>
      </c>
      <c r="L547" s="123">
        <f t="shared" si="529"/>
        <v>-12.565217391304348</v>
      </c>
      <c r="M547" s="64">
        <v>10</v>
      </c>
      <c r="N547" s="86">
        <v>16</v>
      </c>
      <c r="O547" s="86" t="s">
        <v>1168</v>
      </c>
      <c r="P547" s="113">
        <v>2</v>
      </c>
      <c r="Q547" s="113">
        <v>11</v>
      </c>
      <c r="R547" s="103"/>
      <c r="S547" s="103"/>
      <c r="T547" s="103"/>
      <c r="U547" s="103"/>
      <c r="V547" s="69"/>
      <c r="W547" s="104"/>
      <c r="X547" s="67">
        <f t="shared" ref="X547:Y547" si="567">(P547+R547+T547+V547)</f>
        <v>2</v>
      </c>
      <c r="Y547" s="67">
        <f t="shared" si="567"/>
        <v>11</v>
      </c>
      <c r="Z547" s="68">
        <f t="shared" si="531"/>
        <v>13</v>
      </c>
      <c r="AA547" s="150" t="str">
        <f t="shared" si="386"/>
        <v>1B</v>
      </c>
      <c r="AB547" s="70" t="s">
        <v>1167</v>
      </c>
      <c r="AC547" s="70">
        <v>10</v>
      </c>
      <c r="AD547" s="70">
        <v>30</v>
      </c>
      <c r="AE547" s="70">
        <v>37</v>
      </c>
      <c r="AF547" s="70">
        <v>67</v>
      </c>
      <c r="AG547" s="72">
        <f t="shared" si="532"/>
        <v>0.44776119402985076</v>
      </c>
      <c r="AH547" s="73">
        <f t="shared" si="419"/>
        <v>-46.552238805970148</v>
      </c>
      <c r="AI547" s="74">
        <v>12</v>
      </c>
      <c r="AJ547" s="79" t="s">
        <v>874</v>
      </c>
      <c r="AK547" s="76" t="s">
        <v>1074</v>
      </c>
      <c r="AL547" s="67"/>
      <c r="AM547" s="506"/>
      <c r="AN547" s="505"/>
      <c r="AO547" s="515"/>
    </row>
    <row r="548" spans="1:41" ht="14.5">
      <c r="A548" s="58">
        <v>44849</v>
      </c>
      <c r="B548" s="59" t="s">
        <v>428</v>
      </c>
      <c r="C548" s="60" t="s">
        <v>216</v>
      </c>
      <c r="D548" s="60" t="s">
        <v>1169</v>
      </c>
      <c r="E548" s="107">
        <v>2</v>
      </c>
      <c r="F548" s="108">
        <v>2</v>
      </c>
      <c r="G548" s="106">
        <v>11</v>
      </c>
      <c r="H548" s="60">
        <v>15</v>
      </c>
      <c r="I548" s="60">
        <v>28</v>
      </c>
      <c r="J548" s="149">
        <f t="shared" si="417"/>
        <v>43</v>
      </c>
      <c r="K548" s="122">
        <f t="shared" si="400"/>
        <v>0.34883720930232559</v>
      </c>
      <c r="L548" s="123">
        <f t="shared" si="529"/>
        <v>-17.651162790697676</v>
      </c>
      <c r="M548" s="64">
        <v>14</v>
      </c>
      <c r="N548" s="64">
        <v>8</v>
      </c>
      <c r="O548" s="64" t="s">
        <v>1170</v>
      </c>
      <c r="P548" s="103">
        <v>11</v>
      </c>
      <c r="Q548" s="103">
        <v>7</v>
      </c>
      <c r="R548" s="103">
        <v>2</v>
      </c>
      <c r="S548" s="103">
        <v>11</v>
      </c>
      <c r="T548" s="103"/>
      <c r="U548" s="103"/>
      <c r="V548" s="69"/>
      <c r="W548" s="104"/>
      <c r="X548" s="67">
        <f t="shared" ref="X548:Y548" si="568">(P548+R548+T548+V548)</f>
        <v>13</v>
      </c>
      <c r="Y548" s="67">
        <f t="shared" si="568"/>
        <v>18</v>
      </c>
      <c r="Z548" s="68">
        <f t="shared" si="531"/>
        <v>31</v>
      </c>
      <c r="AA548" s="150" t="str">
        <f t="shared" si="386"/>
        <v>1C</v>
      </c>
      <c r="AB548" s="70" t="s">
        <v>1169</v>
      </c>
      <c r="AC548" s="70">
        <v>14</v>
      </c>
      <c r="AD548" s="70">
        <v>35</v>
      </c>
      <c r="AE548" s="70">
        <v>44</v>
      </c>
      <c r="AF548" s="70">
        <v>79</v>
      </c>
      <c r="AG548" s="72">
        <f t="shared" si="532"/>
        <v>0.44303797468354428</v>
      </c>
      <c r="AH548" s="73">
        <f t="shared" si="419"/>
        <v>-41.556962025316459</v>
      </c>
      <c r="AI548" s="74">
        <v>10</v>
      </c>
      <c r="AJ548" s="79" t="s">
        <v>525</v>
      </c>
      <c r="AK548" s="76" t="s">
        <v>559</v>
      </c>
      <c r="AL548" s="67"/>
      <c r="AM548" s="506"/>
      <c r="AN548" s="505"/>
      <c r="AO548" s="515"/>
    </row>
    <row r="549" spans="1:41" ht="14.5">
      <c r="A549" s="58">
        <v>44849</v>
      </c>
      <c r="B549" s="59" t="s">
        <v>428</v>
      </c>
      <c r="C549" s="60" t="s">
        <v>221</v>
      </c>
      <c r="D549" s="60" t="s">
        <v>1166</v>
      </c>
      <c r="E549" s="109">
        <v>11</v>
      </c>
      <c r="F549" s="110">
        <v>11</v>
      </c>
      <c r="G549" s="111">
        <v>11</v>
      </c>
      <c r="H549" s="60">
        <v>33</v>
      </c>
      <c r="I549" s="60">
        <v>7</v>
      </c>
      <c r="J549" s="149">
        <f t="shared" si="417"/>
        <v>40</v>
      </c>
      <c r="K549" s="122">
        <f t="shared" si="400"/>
        <v>0.82499999999999996</v>
      </c>
      <c r="L549" s="123">
        <f t="shared" si="529"/>
        <v>0.82499999999999996</v>
      </c>
      <c r="M549" s="64">
        <v>1</v>
      </c>
      <c r="N549" s="86">
        <v>9</v>
      </c>
      <c r="O549" s="86" t="s">
        <v>1171</v>
      </c>
      <c r="P549" s="113">
        <v>7</v>
      </c>
      <c r="Q549" s="113">
        <v>11</v>
      </c>
      <c r="R549" s="113"/>
      <c r="S549" s="113"/>
      <c r="T549" s="103"/>
      <c r="U549" s="103"/>
      <c r="V549" s="69"/>
      <c r="W549" s="104"/>
      <c r="X549" s="67">
        <f t="shared" ref="X549:Y549" si="569">(P549+R549+T549+V549)</f>
        <v>7</v>
      </c>
      <c r="Y549" s="67">
        <f t="shared" si="569"/>
        <v>11</v>
      </c>
      <c r="Z549" s="68">
        <f t="shared" si="531"/>
        <v>18</v>
      </c>
      <c r="AA549" s="150" t="str">
        <f t="shared" si="386"/>
        <v>1D</v>
      </c>
      <c r="AB549" s="70" t="s">
        <v>1166</v>
      </c>
      <c r="AC549" s="70">
        <v>1</v>
      </c>
      <c r="AD549" s="70">
        <v>63</v>
      </c>
      <c r="AE549" s="70">
        <v>22</v>
      </c>
      <c r="AF549" s="70">
        <v>85</v>
      </c>
      <c r="AG549" s="72">
        <f t="shared" si="532"/>
        <v>0.74117647058823533</v>
      </c>
      <c r="AH549" s="73">
        <f t="shared" si="419"/>
        <v>-13.258823529411764</v>
      </c>
      <c r="AI549" s="74">
        <v>3</v>
      </c>
      <c r="AJ549" s="79" t="s">
        <v>866</v>
      </c>
      <c r="AK549" s="76" t="s">
        <v>1052</v>
      </c>
      <c r="AL549" s="67"/>
      <c r="AM549" s="506"/>
      <c r="AN549" s="505"/>
      <c r="AO549" s="515"/>
    </row>
    <row r="550" spans="1:41" ht="14.5">
      <c r="A550" s="58">
        <v>44849</v>
      </c>
      <c r="B550" s="59" t="s">
        <v>428</v>
      </c>
      <c r="C550" s="60" t="s">
        <v>224</v>
      </c>
      <c r="D550" s="60" t="s">
        <v>1168</v>
      </c>
      <c r="E550" s="100">
        <v>2</v>
      </c>
      <c r="F550" s="101">
        <v>6</v>
      </c>
      <c r="G550" s="101">
        <v>2</v>
      </c>
      <c r="H550" s="60">
        <v>10</v>
      </c>
      <c r="I550" s="60">
        <v>33</v>
      </c>
      <c r="J550" s="149">
        <f t="shared" si="417"/>
        <v>43</v>
      </c>
      <c r="K550" s="122">
        <f t="shared" si="400"/>
        <v>0.23255813953488372</v>
      </c>
      <c r="L550" s="123">
        <f t="shared" si="529"/>
        <v>-22.767441860465116</v>
      </c>
      <c r="M550" s="64">
        <v>16</v>
      </c>
      <c r="N550" s="64">
        <v>5</v>
      </c>
      <c r="O550" s="64" t="s">
        <v>1172</v>
      </c>
      <c r="P550" s="103">
        <v>11</v>
      </c>
      <c r="Q550" s="103">
        <v>8</v>
      </c>
      <c r="R550" s="103">
        <v>10</v>
      </c>
      <c r="S550" s="103">
        <v>11</v>
      </c>
      <c r="T550" s="103"/>
      <c r="U550" s="103"/>
      <c r="V550" s="69"/>
      <c r="W550" s="104"/>
      <c r="X550" s="67">
        <f t="shared" ref="X550:Y550" si="570">(P550+R550+T550+V550)</f>
        <v>21</v>
      </c>
      <c r="Y550" s="67">
        <f t="shared" si="570"/>
        <v>19</v>
      </c>
      <c r="Z550" s="68">
        <f t="shared" si="531"/>
        <v>40</v>
      </c>
      <c r="AA550" s="150" t="str">
        <f t="shared" si="386"/>
        <v>2A</v>
      </c>
      <c r="AB550" s="70" t="s">
        <v>1168</v>
      </c>
      <c r="AC550" s="70">
        <v>16</v>
      </c>
      <c r="AD550" s="70">
        <v>12</v>
      </c>
      <c r="AE550" s="70">
        <v>44</v>
      </c>
      <c r="AF550" s="70">
        <v>56</v>
      </c>
      <c r="AG550" s="72">
        <f t="shared" si="532"/>
        <v>0.21428571428571427</v>
      </c>
      <c r="AH550" s="73">
        <f t="shared" si="419"/>
        <v>-64.785714285714292</v>
      </c>
      <c r="AI550" s="74">
        <v>16</v>
      </c>
      <c r="AJ550" s="79" t="s">
        <v>753</v>
      </c>
      <c r="AK550" s="76" t="s">
        <v>267</v>
      </c>
      <c r="AL550" s="67"/>
      <c r="AM550" s="506"/>
      <c r="AN550" s="505"/>
      <c r="AO550" s="515"/>
    </row>
    <row r="551" spans="1:41" ht="14.5">
      <c r="A551" s="58">
        <v>44849</v>
      </c>
      <c r="B551" s="59" t="s">
        <v>428</v>
      </c>
      <c r="C551" s="60" t="s">
        <v>228</v>
      </c>
      <c r="D551" s="60" t="s">
        <v>1173</v>
      </c>
      <c r="E551" s="105">
        <v>11</v>
      </c>
      <c r="F551" s="106">
        <v>11</v>
      </c>
      <c r="G551" s="106">
        <v>11</v>
      </c>
      <c r="H551" s="60">
        <v>33</v>
      </c>
      <c r="I551" s="60">
        <v>13</v>
      </c>
      <c r="J551" s="149">
        <f t="shared" si="417"/>
        <v>46</v>
      </c>
      <c r="K551" s="122">
        <f t="shared" si="400"/>
        <v>0.71739130434782605</v>
      </c>
      <c r="L551" s="123">
        <f t="shared" si="529"/>
        <v>0.71739130434782605</v>
      </c>
      <c r="M551" s="64">
        <v>2</v>
      </c>
      <c r="N551" s="86">
        <v>12</v>
      </c>
      <c r="O551" s="86" t="s">
        <v>1174</v>
      </c>
      <c r="P551" s="113">
        <v>8</v>
      </c>
      <c r="Q551" s="113">
        <v>11</v>
      </c>
      <c r="R551" s="103"/>
      <c r="S551" s="103"/>
      <c r="T551" s="103"/>
      <c r="U551" s="103"/>
      <c r="V551" s="69"/>
      <c r="W551" s="104"/>
      <c r="X551" s="67">
        <f t="shared" ref="X551:Y551" si="571">(P551+R551+T551+V551)</f>
        <v>8</v>
      </c>
      <c r="Y551" s="67">
        <f t="shared" si="571"/>
        <v>11</v>
      </c>
      <c r="Z551" s="68">
        <f t="shared" si="531"/>
        <v>19</v>
      </c>
      <c r="AA551" s="150" t="str">
        <f t="shared" si="386"/>
        <v>2B</v>
      </c>
      <c r="AB551" s="70" t="s">
        <v>1173</v>
      </c>
      <c r="AC551" s="70">
        <v>2</v>
      </c>
      <c r="AD551" s="70">
        <v>54</v>
      </c>
      <c r="AE551" s="70">
        <v>27</v>
      </c>
      <c r="AF551" s="70">
        <v>81</v>
      </c>
      <c r="AG551" s="72">
        <f t="shared" si="532"/>
        <v>0.66666666666666663</v>
      </c>
      <c r="AH551" s="73">
        <f t="shared" si="419"/>
        <v>-22.333333333333332</v>
      </c>
      <c r="AI551" s="74">
        <v>4</v>
      </c>
      <c r="AJ551" s="79" t="s">
        <v>1090</v>
      </c>
      <c r="AK551" s="76" t="s">
        <v>1175</v>
      </c>
      <c r="AL551" s="67"/>
      <c r="AM551" s="506"/>
      <c r="AN551" s="505"/>
      <c r="AO551" s="515"/>
    </row>
    <row r="552" spans="1:41" ht="14.5">
      <c r="A552" s="58">
        <v>44849</v>
      </c>
      <c r="B552" s="59" t="s">
        <v>428</v>
      </c>
      <c r="C552" s="60" t="s">
        <v>232</v>
      </c>
      <c r="D552" s="60" t="s">
        <v>1174</v>
      </c>
      <c r="E552" s="107">
        <v>4</v>
      </c>
      <c r="F552" s="108">
        <v>11</v>
      </c>
      <c r="G552" s="106">
        <v>5</v>
      </c>
      <c r="H552" s="60">
        <v>20</v>
      </c>
      <c r="I552" s="60">
        <v>28</v>
      </c>
      <c r="J552" s="149">
        <f t="shared" si="417"/>
        <v>48</v>
      </c>
      <c r="K552" s="122">
        <f t="shared" si="400"/>
        <v>0.41666666666666669</v>
      </c>
      <c r="L552" s="123">
        <f t="shared" si="529"/>
        <v>-12.583333333333334</v>
      </c>
      <c r="M552" s="64">
        <v>12</v>
      </c>
      <c r="N552" s="64">
        <v>4</v>
      </c>
      <c r="O552" s="64" t="s">
        <v>146</v>
      </c>
      <c r="P552" s="103">
        <v>11</v>
      </c>
      <c r="Q552" s="103">
        <v>2</v>
      </c>
      <c r="R552" s="103">
        <v>11</v>
      </c>
      <c r="S552" s="103">
        <v>10</v>
      </c>
      <c r="T552" s="103">
        <v>11</v>
      </c>
      <c r="U552" s="103">
        <v>8</v>
      </c>
      <c r="V552" s="69">
        <v>11</v>
      </c>
      <c r="W552" s="104">
        <v>9</v>
      </c>
      <c r="X552" s="67">
        <f t="shared" ref="X552:Y552" si="572">(P552+R552+T552+V552)</f>
        <v>44</v>
      </c>
      <c r="Y552" s="67">
        <f t="shared" si="572"/>
        <v>29</v>
      </c>
      <c r="Z552" s="68">
        <f t="shared" si="531"/>
        <v>73</v>
      </c>
      <c r="AA552" s="150" t="str">
        <f t="shared" si="386"/>
        <v>2C</v>
      </c>
      <c r="AB552" s="70" t="s">
        <v>1174</v>
      </c>
      <c r="AC552" s="70">
        <v>12</v>
      </c>
      <c r="AD552" s="70">
        <v>28</v>
      </c>
      <c r="AE552" s="70">
        <v>39</v>
      </c>
      <c r="AF552" s="70">
        <v>67</v>
      </c>
      <c r="AG552" s="72">
        <f t="shared" si="532"/>
        <v>0.41791044776119401</v>
      </c>
      <c r="AH552" s="73">
        <f t="shared" si="419"/>
        <v>-48.582089552238806</v>
      </c>
      <c r="AI552" s="74">
        <v>13</v>
      </c>
      <c r="AJ552" s="79" t="s">
        <v>260</v>
      </c>
      <c r="AK552" s="76" t="s">
        <v>1148</v>
      </c>
      <c r="AL552" s="67"/>
      <c r="AM552" s="506"/>
      <c r="AN552" s="505"/>
      <c r="AO552" s="515"/>
    </row>
    <row r="553" spans="1:41" ht="14.5">
      <c r="A553" s="58">
        <v>44849</v>
      </c>
      <c r="B553" s="59" t="s">
        <v>428</v>
      </c>
      <c r="C553" s="60" t="s">
        <v>237</v>
      </c>
      <c r="D553" s="60" t="s">
        <v>146</v>
      </c>
      <c r="E553" s="109">
        <v>11</v>
      </c>
      <c r="F553" s="110">
        <v>6</v>
      </c>
      <c r="G553" s="111">
        <v>11</v>
      </c>
      <c r="H553" s="60">
        <v>28</v>
      </c>
      <c r="I553" s="60">
        <v>17</v>
      </c>
      <c r="J553" s="149">
        <f t="shared" si="417"/>
        <v>45</v>
      </c>
      <c r="K553" s="122">
        <f t="shared" si="400"/>
        <v>0.62222222222222223</v>
      </c>
      <c r="L553" s="123">
        <f t="shared" si="529"/>
        <v>-4.3777777777777782</v>
      </c>
      <c r="M553" s="64">
        <v>4</v>
      </c>
      <c r="N553" s="86">
        <v>13</v>
      </c>
      <c r="O553" s="86" t="s">
        <v>1165</v>
      </c>
      <c r="P553" s="113">
        <v>2</v>
      </c>
      <c r="Q553" s="113">
        <v>11</v>
      </c>
      <c r="R553" s="113"/>
      <c r="S553" s="113"/>
      <c r="T553" s="113"/>
      <c r="U553" s="113"/>
      <c r="V553" s="93"/>
      <c r="W553" s="114"/>
      <c r="X553" s="67">
        <f t="shared" ref="X553:Y553" si="573">(P553+R553+T553+V553)</f>
        <v>2</v>
      </c>
      <c r="Y553" s="67">
        <f t="shared" si="573"/>
        <v>11</v>
      </c>
      <c r="Z553" s="68">
        <f t="shared" si="531"/>
        <v>13</v>
      </c>
      <c r="AA553" s="150" t="str">
        <f t="shared" si="386"/>
        <v>2D</v>
      </c>
      <c r="AB553" s="70" t="s">
        <v>146</v>
      </c>
      <c r="AC553" s="70">
        <v>4</v>
      </c>
      <c r="AD553" s="70">
        <v>72</v>
      </c>
      <c r="AE553" s="70">
        <v>46</v>
      </c>
      <c r="AF553" s="70">
        <v>118</v>
      </c>
      <c r="AG553" s="72">
        <f t="shared" si="532"/>
        <v>0.61016949152542377</v>
      </c>
      <c r="AH553" s="73">
        <f t="shared" si="419"/>
        <v>-4.3898305084745761</v>
      </c>
      <c r="AI553" s="74">
        <v>1</v>
      </c>
      <c r="AJ553" s="79" t="s">
        <v>1176</v>
      </c>
      <c r="AK553" s="76" t="s">
        <v>1129</v>
      </c>
      <c r="AL553" s="67"/>
      <c r="AM553" s="506"/>
      <c r="AN553" s="505"/>
      <c r="AO553" s="515"/>
    </row>
    <row r="554" spans="1:41" ht="14.5">
      <c r="A554" s="58">
        <v>44849</v>
      </c>
      <c r="B554" s="59" t="s">
        <v>428</v>
      </c>
      <c r="C554" s="60" t="s">
        <v>241</v>
      </c>
      <c r="D554" s="60" t="s">
        <v>1177</v>
      </c>
      <c r="E554" s="100">
        <v>11</v>
      </c>
      <c r="F554" s="101">
        <v>11</v>
      </c>
      <c r="G554" s="101">
        <v>11</v>
      </c>
      <c r="H554" s="60">
        <v>33</v>
      </c>
      <c r="I554" s="60">
        <v>18</v>
      </c>
      <c r="J554" s="149">
        <f t="shared" si="417"/>
        <v>51</v>
      </c>
      <c r="K554" s="122">
        <f t="shared" si="400"/>
        <v>0.6470588235294118</v>
      </c>
      <c r="L554" s="123">
        <f t="shared" si="529"/>
        <v>0.6470588235294118</v>
      </c>
      <c r="M554" s="64">
        <v>3</v>
      </c>
      <c r="N554" s="64">
        <v>6</v>
      </c>
      <c r="O554" s="64" t="s">
        <v>1178</v>
      </c>
      <c r="P554" s="103">
        <v>8</v>
      </c>
      <c r="Q554" s="103">
        <v>11</v>
      </c>
      <c r="R554" s="103"/>
      <c r="S554" s="103"/>
      <c r="T554" s="103"/>
      <c r="U554" s="103"/>
      <c r="V554" s="69"/>
      <c r="W554" s="104"/>
      <c r="X554" s="67">
        <f t="shared" ref="X554:Y554" si="574">(P554+R554+T554+V554)</f>
        <v>8</v>
      </c>
      <c r="Y554" s="67">
        <f t="shared" si="574"/>
        <v>11</v>
      </c>
      <c r="Z554" s="68">
        <f t="shared" si="531"/>
        <v>19</v>
      </c>
      <c r="AA554" s="150" t="str">
        <f t="shared" si="386"/>
        <v>3A</v>
      </c>
      <c r="AB554" s="70" t="s">
        <v>1177</v>
      </c>
      <c r="AC554" s="70">
        <v>3</v>
      </c>
      <c r="AD554" s="70">
        <v>38</v>
      </c>
      <c r="AE554" s="70">
        <v>29</v>
      </c>
      <c r="AF554" s="70">
        <v>67</v>
      </c>
      <c r="AG554" s="72">
        <f t="shared" si="532"/>
        <v>0.56716417910447758</v>
      </c>
      <c r="AH554" s="73">
        <f t="shared" si="419"/>
        <v>-38.432835820895519</v>
      </c>
      <c r="AI554" s="74">
        <v>9</v>
      </c>
      <c r="AJ554" s="79" t="s">
        <v>687</v>
      </c>
      <c r="AK554" s="76" t="s">
        <v>1069</v>
      </c>
      <c r="AL554" s="67"/>
      <c r="AM554" s="506"/>
      <c r="AN554" s="505"/>
      <c r="AO554" s="515"/>
    </row>
    <row r="555" spans="1:41" ht="14.5">
      <c r="A555" s="58">
        <v>44849</v>
      </c>
      <c r="B555" s="59" t="s">
        <v>428</v>
      </c>
      <c r="C555" s="60" t="s">
        <v>246</v>
      </c>
      <c r="D555" s="60" t="s">
        <v>1178</v>
      </c>
      <c r="E555" s="105">
        <v>9</v>
      </c>
      <c r="F555" s="106">
        <v>11</v>
      </c>
      <c r="G555" s="106">
        <v>11</v>
      </c>
      <c r="H555" s="60">
        <v>31</v>
      </c>
      <c r="I555" s="60">
        <v>28</v>
      </c>
      <c r="J555" s="149">
        <f t="shared" si="417"/>
        <v>59</v>
      </c>
      <c r="K555" s="122">
        <f t="shared" si="400"/>
        <v>0.52542372881355937</v>
      </c>
      <c r="L555" s="123">
        <f t="shared" si="529"/>
        <v>-1.4745762711864407</v>
      </c>
      <c r="M555" s="64">
        <v>6</v>
      </c>
      <c r="N555" s="86">
        <v>11</v>
      </c>
      <c r="O555" s="86" t="s">
        <v>1179</v>
      </c>
      <c r="P555" s="113">
        <v>11</v>
      </c>
      <c r="Q555" s="113">
        <v>8</v>
      </c>
      <c r="R555" s="103">
        <v>11</v>
      </c>
      <c r="S555" s="103">
        <v>9</v>
      </c>
      <c r="T555" s="103">
        <v>7</v>
      </c>
      <c r="U555" s="103">
        <v>11</v>
      </c>
      <c r="V555" s="69"/>
      <c r="W555" s="104"/>
      <c r="X555" s="67">
        <f t="shared" ref="X555:Y555" si="575">(P555+R555+T555+V555)</f>
        <v>29</v>
      </c>
      <c r="Y555" s="67">
        <f t="shared" si="575"/>
        <v>28</v>
      </c>
      <c r="Z555" s="68">
        <f t="shared" si="531"/>
        <v>57</v>
      </c>
      <c r="AA555" s="150" t="str">
        <f t="shared" si="386"/>
        <v>3B</v>
      </c>
      <c r="AB555" s="70" t="s">
        <v>1178</v>
      </c>
      <c r="AC555" s="70">
        <v>6</v>
      </c>
      <c r="AD555" s="70">
        <v>39</v>
      </c>
      <c r="AE555" s="70">
        <v>39</v>
      </c>
      <c r="AF555" s="70">
        <v>78</v>
      </c>
      <c r="AG555" s="72">
        <f t="shared" si="532"/>
        <v>0.5</v>
      </c>
      <c r="AH555" s="73">
        <f t="shared" si="419"/>
        <v>-37.5</v>
      </c>
      <c r="AI555" s="74">
        <v>8</v>
      </c>
      <c r="AJ555" s="79" t="s">
        <v>1180</v>
      </c>
      <c r="AK555" s="76" t="s">
        <v>1161</v>
      </c>
      <c r="AL555" s="67"/>
      <c r="AM555" s="506"/>
      <c r="AN555" s="505"/>
      <c r="AO555" s="515"/>
    </row>
    <row r="556" spans="1:41" ht="14.5">
      <c r="A556" s="58">
        <v>44849</v>
      </c>
      <c r="B556" s="59" t="s">
        <v>428</v>
      </c>
      <c r="C556" s="60" t="s">
        <v>251</v>
      </c>
      <c r="D556" s="60" t="s">
        <v>1181</v>
      </c>
      <c r="E556" s="107">
        <v>5</v>
      </c>
      <c r="F556" s="108">
        <v>2</v>
      </c>
      <c r="G556" s="106">
        <v>9</v>
      </c>
      <c r="H556" s="60">
        <v>16</v>
      </c>
      <c r="I556" s="60">
        <v>33</v>
      </c>
      <c r="J556" s="149">
        <f t="shared" si="417"/>
        <v>49</v>
      </c>
      <c r="K556" s="122">
        <f t="shared" si="400"/>
        <v>0.32653061224489793</v>
      </c>
      <c r="L556" s="123">
        <f t="shared" si="529"/>
        <v>-16.673469387755102</v>
      </c>
      <c r="M556" s="64">
        <v>15</v>
      </c>
      <c r="N556" s="64">
        <v>3</v>
      </c>
      <c r="O556" s="64" t="s">
        <v>1177</v>
      </c>
      <c r="P556" s="103">
        <v>5</v>
      </c>
      <c r="Q556" s="103">
        <v>11</v>
      </c>
      <c r="R556" s="103"/>
      <c r="S556" s="103"/>
      <c r="T556" s="103"/>
      <c r="U556" s="103"/>
      <c r="V556" s="69"/>
      <c r="W556" s="104"/>
      <c r="X556" s="67">
        <f t="shared" ref="X556:Y556" si="576">(P556+R556+T556+V556)</f>
        <v>5</v>
      </c>
      <c r="Y556" s="67">
        <f t="shared" si="576"/>
        <v>11</v>
      </c>
      <c r="Z556" s="68">
        <f t="shared" si="531"/>
        <v>16</v>
      </c>
      <c r="AA556" s="150" t="str">
        <f t="shared" si="386"/>
        <v>3C</v>
      </c>
      <c r="AB556" s="70" t="s">
        <v>1181</v>
      </c>
      <c r="AC556" s="70">
        <v>15</v>
      </c>
      <c r="AD556" s="70">
        <v>19</v>
      </c>
      <c r="AE556" s="70">
        <v>44</v>
      </c>
      <c r="AF556" s="70">
        <v>63</v>
      </c>
      <c r="AG556" s="72">
        <f t="shared" si="532"/>
        <v>0.30158730158730157</v>
      </c>
      <c r="AH556" s="73">
        <f t="shared" si="419"/>
        <v>-57.698412698412696</v>
      </c>
      <c r="AI556" s="74">
        <v>15</v>
      </c>
      <c r="AJ556" s="79" t="s">
        <v>1104</v>
      </c>
      <c r="AK556" s="76" t="s">
        <v>1138</v>
      </c>
      <c r="AL556" s="67"/>
      <c r="AM556" s="506"/>
      <c r="AN556" s="505"/>
      <c r="AO556" s="515"/>
    </row>
    <row r="557" spans="1:41" ht="14.5">
      <c r="A557" s="58">
        <v>44849</v>
      </c>
      <c r="B557" s="59" t="s">
        <v>428</v>
      </c>
      <c r="C557" s="60" t="s">
        <v>256</v>
      </c>
      <c r="D557" s="60" t="s">
        <v>1171</v>
      </c>
      <c r="E557" s="109">
        <v>11</v>
      </c>
      <c r="F557" s="110">
        <v>8</v>
      </c>
      <c r="G557" s="111">
        <v>7</v>
      </c>
      <c r="H557" s="60">
        <v>26</v>
      </c>
      <c r="I557" s="60">
        <v>27</v>
      </c>
      <c r="J557" s="149">
        <f t="shared" si="417"/>
        <v>53</v>
      </c>
      <c r="K557" s="122">
        <f t="shared" si="400"/>
        <v>0.49056603773584906</v>
      </c>
      <c r="L557" s="123">
        <f t="shared" si="529"/>
        <v>-6.5094339622641506</v>
      </c>
      <c r="M557" s="64">
        <v>9</v>
      </c>
      <c r="N557" s="86">
        <v>14</v>
      </c>
      <c r="O557" s="86" t="s">
        <v>1169</v>
      </c>
      <c r="P557" s="113">
        <v>11</v>
      </c>
      <c r="Q557" s="113">
        <v>5</v>
      </c>
      <c r="R557" s="113">
        <v>9</v>
      </c>
      <c r="S557" s="113">
        <v>11</v>
      </c>
      <c r="T557" s="103"/>
      <c r="U557" s="103"/>
      <c r="V557" s="69"/>
      <c r="W557" s="104"/>
      <c r="X557" s="67">
        <f t="shared" ref="X557:Y557" si="577">(P557+R557+T557+V557)</f>
        <v>20</v>
      </c>
      <c r="Y557" s="67">
        <f t="shared" si="577"/>
        <v>16</v>
      </c>
      <c r="Z557" s="68">
        <f t="shared" si="531"/>
        <v>36</v>
      </c>
      <c r="AA557" s="150" t="str">
        <f t="shared" si="386"/>
        <v>3D</v>
      </c>
      <c r="AB557" s="70" t="s">
        <v>1171</v>
      </c>
      <c r="AC557" s="70">
        <v>9</v>
      </c>
      <c r="AD557" s="70">
        <v>33</v>
      </c>
      <c r="AE557" s="70">
        <v>38</v>
      </c>
      <c r="AF557" s="70">
        <v>71</v>
      </c>
      <c r="AG557" s="72">
        <f t="shared" si="532"/>
        <v>0.46478873239436619</v>
      </c>
      <c r="AH557" s="73">
        <f t="shared" si="419"/>
        <v>-43.535211267605632</v>
      </c>
      <c r="AI557" s="74">
        <v>11</v>
      </c>
      <c r="AJ557" s="79" t="s">
        <v>1034</v>
      </c>
      <c r="AK557" s="76" t="s">
        <v>820</v>
      </c>
      <c r="AL557" s="67"/>
      <c r="AM557" s="506"/>
      <c r="AN557" s="505"/>
      <c r="AO557" s="515"/>
    </row>
    <row r="558" spans="1:41" ht="14.5">
      <c r="A558" s="58">
        <v>44849</v>
      </c>
      <c r="B558" s="59" t="s">
        <v>428</v>
      </c>
      <c r="C558" s="60" t="s">
        <v>261</v>
      </c>
      <c r="D558" s="60" t="s">
        <v>147</v>
      </c>
      <c r="E558" s="100">
        <v>7</v>
      </c>
      <c r="F558" s="101">
        <v>11</v>
      </c>
      <c r="G558" s="101">
        <v>11</v>
      </c>
      <c r="H558" s="60">
        <v>29</v>
      </c>
      <c r="I558" s="60">
        <v>28</v>
      </c>
      <c r="J558" s="149">
        <f t="shared" si="417"/>
        <v>57</v>
      </c>
      <c r="K558" s="122">
        <f t="shared" si="400"/>
        <v>0.50877192982456143</v>
      </c>
      <c r="L558" s="123">
        <f t="shared" si="529"/>
        <v>-3.4912280701754383</v>
      </c>
      <c r="M558" s="64">
        <v>7</v>
      </c>
      <c r="N558" s="64">
        <v>7</v>
      </c>
      <c r="O558" s="64" t="s">
        <v>147</v>
      </c>
      <c r="P558" s="103">
        <v>11</v>
      </c>
      <c r="Q558" s="103">
        <v>10</v>
      </c>
      <c r="R558" s="103">
        <v>11</v>
      </c>
      <c r="S558" s="103">
        <v>10</v>
      </c>
      <c r="T558" s="103">
        <v>11</v>
      </c>
      <c r="U558" s="103">
        <v>7</v>
      </c>
      <c r="V558" s="69">
        <v>9</v>
      </c>
      <c r="W558" s="104">
        <v>11</v>
      </c>
      <c r="X558" s="67">
        <f t="shared" ref="X558:Y558" si="578">(P558+R558+T558+V558)</f>
        <v>42</v>
      </c>
      <c r="Y558" s="67">
        <f t="shared" si="578"/>
        <v>38</v>
      </c>
      <c r="Z558" s="68">
        <f t="shared" si="531"/>
        <v>80</v>
      </c>
      <c r="AA558" s="150" t="str">
        <f t="shared" si="386"/>
        <v>4A</v>
      </c>
      <c r="AB558" s="70" t="s">
        <v>147</v>
      </c>
      <c r="AC558" s="70">
        <v>7</v>
      </c>
      <c r="AD558" s="70">
        <v>71</v>
      </c>
      <c r="AE558" s="70">
        <v>66</v>
      </c>
      <c r="AF558" s="70">
        <v>137</v>
      </c>
      <c r="AG558" s="72">
        <f t="shared" si="532"/>
        <v>0.51824817518248179</v>
      </c>
      <c r="AH558" s="73">
        <f t="shared" si="419"/>
        <v>-5.4817518248175183</v>
      </c>
      <c r="AI558" s="74">
        <v>2</v>
      </c>
      <c r="AJ558" s="79" t="s">
        <v>1182</v>
      </c>
      <c r="AK558" s="76" t="s">
        <v>1047</v>
      </c>
      <c r="AL558" s="67"/>
      <c r="AM558" s="506"/>
      <c r="AN558" s="505"/>
      <c r="AO558" s="515"/>
    </row>
    <row r="559" spans="1:41" ht="14.5">
      <c r="A559" s="58">
        <v>44849</v>
      </c>
      <c r="B559" s="59" t="s">
        <v>428</v>
      </c>
      <c r="C559" s="60" t="s">
        <v>268</v>
      </c>
      <c r="D559" s="60" t="s">
        <v>1172</v>
      </c>
      <c r="E559" s="105">
        <v>11</v>
      </c>
      <c r="F559" s="106">
        <v>8</v>
      </c>
      <c r="G559" s="106">
        <v>11</v>
      </c>
      <c r="H559" s="60">
        <v>30</v>
      </c>
      <c r="I559" s="60">
        <v>23</v>
      </c>
      <c r="J559" s="149">
        <f t="shared" si="417"/>
        <v>53</v>
      </c>
      <c r="K559" s="122">
        <f t="shared" si="400"/>
        <v>0.56603773584905659</v>
      </c>
      <c r="L559" s="123">
        <f t="shared" si="529"/>
        <v>-2.4339622641509435</v>
      </c>
      <c r="M559" s="64">
        <v>5</v>
      </c>
      <c r="N559" s="86">
        <v>10</v>
      </c>
      <c r="O559" s="86" t="s">
        <v>1167</v>
      </c>
      <c r="P559" s="113">
        <v>10</v>
      </c>
      <c r="Q559" s="113">
        <v>11</v>
      </c>
      <c r="R559" s="103"/>
      <c r="S559" s="103"/>
      <c r="T559" s="103"/>
      <c r="U559" s="103"/>
      <c r="V559" s="69"/>
      <c r="W559" s="104"/>
      <c r="X559" s="67">
        <f t="shared" ref="X559:Y559" si="579">(P559+R559+T559+V559)</f>
        <v>10</v>
      </c>
      <c r="Y559" s="67">
        <f t="shared" si="579"/>
        <v>11</v>
      </c>
      <c r="Z559" s="68">
        <f t="shared" si="531"/>
        <v>21</v>
      </c>
      <c r="AA559" s="150" t="str">
        <f t="shared" si="386"/>
        <v>4B</v>
      </c>
      <c r="AB559" s="70" t="s">
        <v>1172</v>
      </c>
      <c r="AC559" s="70">
        <v>5</v>
      </c>
      <c r="AD559" s="70">
        <v>51</v>
      </c>
      <c r="AE559" s="70">
        <v>42</v>
      </c>
      <c r="AF559" s="70">
        <v>93</v>
      </c>
      <c r="AG559" s="72">
        <f t="shared" si="532"/>
        <v>0.54838709677419351</v>
      </c>
      <c r="AH559" s="73">
        <f t="shared" si="419"/>
        <v>-25.451612903225808</v>
      </c>
      <c r="AI559" s="74">
        <v>6</v>
      </c>
      <c r="AJ559" s="79" t="s">
        <v>780</v>
      </c>
      <c r="AK559" s="76" t="s">
        <v>1131</v>
      </c>
      <c r="AL559" s="67"/>
      <c r="AM559" s="506"/>
      <c r="AN559" s="505"/>
      <c r="AO559" s="515"/>
    </row>
    <row r="560" spans="1:41" ht="14.5">
      <c r="A560" s="58">
        <v>44849</v>
      </c>
      <c r="B560" s="59" t="s">
        <v>428</v>
      </c>
      <c r="C560" s="60" t="s">
        <v>271</v>
      </c>
      <c r="D560" s="60" t="s">
        <v>1179</v>
      </c>
      <c r="E560" s="107">
        <v>11</v>
      </c>
      <c r="F560" s="108">
        <v>7</v>
      </c>
      <c r="G560" s="106">
        <v>5</v>
      </c>
      <c r="H560" s="60">
        <v>23</v>
      </c>
      <c r="I560" s="60">
        <v>30</v>
      </c>
      <c r="J560" s="149">
        <f t="shared" si="417"/>
        <v>53</v>
      </c>
      <c r="K560" s="122">
        <f t="shared" si="400"/>
        <v>0.43396226415094341</v>
      </c>
      <c r="L560" s="123">
        <f t="shared" si="529"/>
        <v>-9.566037735849056</v>
      </c>
      <c r="M560" s="64">
        <v>11</v>
      </c>
      <c r="N560" s="64">
        <v>2</v>
      </c>
      <c r="O560" s="64" t="s">
        <v>1173</v>
      </c>
      <c r="P560" s="103">
        <v>11</v>
      </c>
      <c r="Q560" s="103">
        <v>3</v>
      </c>
      <c r="R560" s="103">
        <v>10</v>
      </c>
      <c r="S560" s="103">
        <v>11</v>
      </c>
      <c r="T560" s="103"/>
      <c r="U560" s="103"/>
      <c r="V560" s="69"/>
      <c r="W560" s="104"/>
      <c r="X560" s="67">
        <f t="shared" ref="X560:Y560" si="580">(P560+R560+T560+V560)</f>
        <v>21</v>
      </c>
      <c r="Y560" s="67">
        <f t="shared" si="580"/>
        <v>14</v>
      </c>
      <c r="Z560" s="68">
        <f t="shared" si="531"/>
        <v>35</v>
      </c>
      <c r="AA560" s="150" t="str">
        <f t="shared" si="386"/>
        <v>4C</v>
      </c>
      <c r="AB560" s="70" t="s">
        <v>1179</v>
      </c>
      <c r="AC560" s="70">
        <v>11</v>
      </c>
      <c r="AD560" s="70">
        <v>52</v>
      </c>
      <c r="AE560" s="70">
        <v>58</v>
      </c>
      <c r="AF560" s="70">
        <v>110</v>
      </c>
      <c r="AG560" s="72">
        <f t="shared" si="532"/>
        <v>0.47272727272727272</v>
      </c>
      <c r="AH560" s="73">
        <f t="shared" si="419"/>
        <v>-24.527272727272727</v>
      </c>
      <c r="AI560" s="74">
        <v>5</v>
      </c>
      <c r="AJ560" s="79" t="s">
        <v>1183</v>
      </c>
      <c r="AK560" s="76" t="s">
        <v>23</v>
      </c>
      <c r="AL560" s="67"/>
      <c r="AM560" s="506"/>
      <c r="AN560" s="505"/>
      <c r="AO560" s="515"/>
    </row>
    <row r="561" spans="1:41" ht="14.5">
      <c r="A561" s="87">
        <v>44849</v>
      </c>
      <c r="B561" s="88" t="s">
        <v>428</v>
      </c>
      <c r="C561" s="89" t="s">
        <v>276</v>
      </c>
      <c r="D561" s="89" t="s">
        <v>1170</v>
      </c>
      <c r="E561" s="109">
        <v>8</v>
      </c>
      <c r="F561" s="110">
        <v>11</v>
      </c>
      <c r="G561" s="111">
        <v>10</v>
      </c>
      <c r="H561" s="89">
        <v>29</v>
      </c>
      <c r="I561" s="89">
        <v>30</v>
      </c>
      <c r="J561" s="152">
        <f t="shared" si="417"/>
        <v>59</v>
      </c>
      <c r="K561" s="153">
        <f t="shared" si="400"/>
        <v>0.49152542372881358</v>
      </c>
      <c r="L561" s="154">
        <f t="shared" si="529"/>
        <v>-3.5084745762711864</v>
      </c>
      <c r="M561" s="86">
        <v>8</v>
      </c>
      <c r="N561" s="86">
        <v>15</v>
      </c>
      <c r="O561" s="86" t="s">
        <v>1181</v>
      </c>
      <c r="P561" s="113">
        <v>3</v>
      </c>
      <c r="Q561" s="113">
        <v>11</v>
      </c>
      <c r="R561" s="113"/>
      <c r="S561" s="113"/>
      <c r="T561" s="113"/>
      <c r="U561" s="113"/>
      <c r="V561" s="93"/>
      <c r="W561" s="114"/>
      <c r="X561" s="92">
        <f t="shared" ref="X561:Y561" si="581">(P561+R561+T561+V561)</f>
        <v>3</v>
      </c>
      <c r="Y561" s="92">
        <f t="shared" si="581"/>
        <v>11</v>
      </c>
      <c r="Z561" s="84">
        <f t="shared" si="531"/>
        <v>14</v>
      </c>
      <c r="AA561" s="155" t="str">
        <f t="shared" si="386"/>
        <v>4D</v>
      </c>
      <c r="AB561" s="94" t="s">
        <v>1170</v>
      </c>
      <c r="AC561" s="94">
        <v>8</v>
      </c>
      <c r="AD561" s="94">
        <v>42</v>
      </c>
      <c r="AE561" s="94">
        <v>48</v>
      </c>
      <c r="AF561" s="94">
        <v>90</v>
      </c>
      <c r="AG561" s="95">
        <f t="shared" si="532"/>
        <v>0.46666666666666667</v>
      </c>
      <c r="AH561" s="96">
        <f t="shared" si="419"/>
        <v>-34.533333333333331</v>
      </c>
      <c r="AI561" s="97">
        <v>7</v>
      </c>
      <c r="AJ561" s="98" t="s">
        <v>1184</v>
      </c>
      <c r="AK561" s="81" t="s">
        <v>1185</v>
      </c>
      <c r="AL561" s="67"/>
      <c r="AM561" s="506"/>
      <c r="AN561" s="505"/>
      <c r="AO561" s="515"/>
    </row>
    <row r="562" spans="1:41" ht="14.5">
      <c r="A562" s="58">
        <v>45150</v>
      </c>
      <c r="B562" s="59" t="s">
        <v>204</v>
      </c>
      <c r="C562" s="60" t="s">
        <v>205</v>
      </c>
      <c r="D562" s="60" t="s">
        <v>1186</v>
      </c>
      <c r="E562" s="100">
        <v>11</v>
      </c>
      <c r="F562" s="101">
        <v>11</v>
      </c>
      <c r="G562" s="101">
        <v>11</v>
      </c>
      <c r="H562" s="60">
        <v>33</v>
      </c>
      <c r="I562" s="60">
        <v>14</v>
      </c>
      <c r="J562" s="149">
        <f t="shared" si="417"/>
        <v>47</v>
      </c>
      <c r="K562" s="122">
        <f t="shared" si="400"/>
        <v>0.7021276595744681</v>
      </c>
      <c r="L562" s="123">
        <f t="shared" si="529"/>
        <v>0.7021276595744681</v>
      </c>
      <c r="M562" s="64">
        <v>1</v>
      </c>
      <c r="N562" s="61">
        <v>1</v>
      </c>
      <c r="O562" s="61" t="s">
        <v>1186</v>
      </c>
      <c r="P562" s="115">
        <v>11</v>
      </c>
      <c r="Q562" s="115">
        <v>9</v>
      </c>
      <c r="R562" s="115">
        <v>7</v>
      </c>
      <c r="S562" s="115">
        <v>11</v>
      </c>
      <c r="T562" s="115"/>
      <c r="U562" s="115"/>
      <c r="V562" s="116"/>
      <c r="W562" s="117"/>
      <c r="X562" s="67">
        <f t="shared" ref="X562:Y562" si="582">(P562+R562+T562+V562)</f>
        <v>18</v>
      </c>
      <c r="Y562" s="67">
        <f t="shared" si="582"/>
        <v>20</v>
      </c>
      <c r="Z562" s="68">
        <f t="shared" si="531"/>
        <v>38</v>
      </c>
      <c r="AA562" s="150" t="str">
        <f t="shared" si="386"/>
        <v>1A</v>
      </c>
      <c r="AB562" s="70" t="s">
        <v>1186</v>
      </c>
      <c r="AC562" s="70">
        <v>1</v>
      </c>
      <c r="AD562" s="70">
        <v>51</v>
      </c>
      <c r="AE562" s="70">
        <v>34</v>
      </c>
      <c r="AF562" s="70">
        <v>85</v>
      </c>
      <c r="AG562" s="72">
        <f t="shared" si="532"/>
        <v>0.6</v>
      </c>
      <c r="AH562" s="73">
        <f t="shared" si="419"/>
        <v>-25.4</v>
      </c>
      <c r="AI562" s="74">
        <v>6</v>
      </c>
      <c r="AJ562" s="79" t="s">
        <v>971</v>
      </c>
      <c r="AK562" s="76" t="s">
        <v>1074</v>
      </c>
      <c r="AL562" s="67"/>
      <c r="AM562" s="506"/>
      <c r="AN562" s="505"/>
      <c r="AO562" s="515"/>
    </row>
    <row r="563" spans="1:41" ht="14.5">
      <c r="A563" s="58">
        <v>45150</v>
      </c>
      <c r="B563" s="59" t="s">
        <v>204</v>
      </c>
      <c r="C563" s="60" t="s">
        <v>211</v>
      </c>
      <c r="D563" s="60" t="s">
        <v>1187</v>
      </c>
      <c r="E563" s="105">
        <v>10</v>
      </c>
      <c r="F563" s="106">
        <v>11</v>
      </c>
      <c r="G563" s="106">
        <v>11</v>
      </c>
      <c r="H563" s="60">
        <v>32</v>
      </c>
      <c r="I563" s="60">
        <v>21</v>
      </c>
      <c r="J563" s="149">
        <f t="shared" si="417"/>
        <v>53</v>
      </c>
      <c r="K563" s="122">
        <f t="shared" si="400"/>
        <v>0.60377358490566035</v>
      </c>
      <c r="L563" s="123">
        <f t="shared" si="529"/>
        <v>-0.39622641509433965</v>
      </c>
      <c r="M563" s="64">
        <v>4</v>
      </c>
      <c r="N563" s="86">
        <v>16</v>
      </c>
      <c r="O563" s="86" t="s">
        <v>1188</v>
      </c>
      <c r="P563" s="113">
        <v>9</v>
      </c>
      <c r="Q563" s="113">
        <v>11</v>
      </c>
      <c r="R563" s="103"/>
      <c r="S563" s="103"/>
      <c r="T563" s="103"/>
      <c r="U563" s="103"/>
      <c r="V563" s="69"/>
      <c r="W563" s="104"/>
      <c r="X563" s="67">
        <f t="shared" ref="X563:Y563" si="583">(P563+R563+T563+V563)</f>
        <v>9</v>
      </c>
      <c r="Y563" s="67">
        <f t="shared" si="583"/>
        <v>11</v>
      </c>
      <c r="Z563" s="68">
        <f t="shared" si="531"/>
        <v>20</v>
      </c>
      <c r="AA563" s="150" t="str">
        <f t="shared" si="386"/>
        <v>1B</v>
      </c>
      <c r="AB563" s="70" t="s">
        <v>1187</v>
      </c>
      <c r="AC563" s="70">
        <v>4</v>
      </c>
      <c r="AD563" s="70">
        <v>52</v>
      </c>
      <c r="AE563" s="70">
        <v>34</v>
      </c>
      <c r="AF563" s="70">
        <v>86</v>
      </c>
      <c r="AG563" s="72">
        <f t="shared" si="532"/>
        <v>0.60465116279069764</v>
      </c>
      <c r="AH563" s="73">
        <f t="shared" si="419"/>
        <v>-24.395348837209301</v>
      </c>
      <c r="AI563" s="74">
        <v>5</v>
      </c>
      <c r="AJ563" s="79" t="s">
        <v>1189</v>
      </c>
      <c r="AK563" s="85" t="s">
        <v>1086</v>
      </c>
      <c r="AL563" s="67"/>
      <c r="AM563" s="506"/>
      <c r="AN563" s="505"/>
      <c r="AO563" s="515"/>
    </row>
    <row r="564" spans="1:41" ht="14.5">
      <c r="A564" s="58">
        <v>45150</v>
      </c>
      <c r="B564" s="59" t="s">
        <v>204</v>
      </c>
      <c r="C564" s="60" t="s">
        <v>216</v>
      </c>
      <c r="D564" s="60" t="s">
        <v>1190</v>
      </c>
      <c r="E564" s="107">
        <v>11</v>
      </c>
      <c r="F564" s="108">
        <v>4</v>
      </c>
      <c r="G564" s="106">
        <v>5</v>
      </c>
      <c r="H564" s="60">
        <v>20</v>
      </c>
      <c r="I564" s="60">
        <v>32</v>
      </c>
      <c r="J564" s="149">
        <f t="shared" si="417"/>
        <v>52</v>
      </c>
      <c r="K564" s="122">
        <f t="shared" si="400"/>
        <v>0.38461538461538464</v>
      </c>
      <c r="L564" s="123">
        <f t="shared" si="529"/>
        <v>-12.615384615384615</v>
      </c>
      <c r="M564" s="64">
        <v>12</v>
      </c>
      <c r="N564" s="64">
        <v>8</v>
      </c>
      <c r="O564" s="64" t="s">
        <v>150</v>
      </c>
      <c r="P564" s="103">
        <v>11</v>
      </c>
      <c r="Q564" s="103">
        <v>3</v>
      </c>
      <c r="R564" s="103">
        <v>11</v>
      </c>
      <c r="S564" s="103">
        <v>7</v>
      </c>
      <c r="T564" s="103">
        <v>11</v>
      </c>
      <c r="U564" s="103">
        <v>4</v>
      </c>
      <c r="V564" s="69">
        <v>10</v>
      </c>
      <c r="W564" s="104">
        <v>11</v>
      </c>
      <c r="X564" s="67">
        <f t="shared" ref="X564:Y564" si="584">(P564+R564+T564+V564)</f>
        <v>43</v>
      </c>
      <c r="Y564" s="67">
        <f t="shared" si="584"/>
        <v>25</v>
      </c>
      <c r="Z564" s="68">
        <f t="shared" si="531"/>
        <v>68</v>
      </c>
      <c r="AA564" s="150" t="str">
        <f t="shared" si="386"/>
        <v>1C</v>
      </c>
      <c r="AB564" s="70" t="s">
        <v>1190</v>
      </c>
      <c r="AC564" s="70">
        <v>12</v>
      </c>
      <c r="AD564" s="70">
        <v>23</v>
      </c>
      <c r="AE564" s="70">
        <v>43</v>
      </c>
      <c r="AF564" s="70">
        <v>66</v>
      </c>
      <c r="AG564" s="72">
        <f t="shared" si="532"/>
        <v>0.34848484848484851</v>
      </c>
      <c r="AH564" s="73">
        <f t="shared" si="419"/>
        <v>-53.651515151515149</v>
      </c>
      <c r="AI564" s="74">
        <v>11</v>
      </c>
      <c r="AJ564" s="79" t="s">
        <v>1090</v>
      </c>
      <c r="AK564" s="76" t="s">
        <v>1191</v>
      </c>
      <c r="AL564" s="67"/>
      <c r="AM564" s="506"/>
      <c r="AN564" s="505"/>
      <c r="AO564" s="515"/>
    </row>
    <row r="565" spans="1:41" ht="14.5">
      <c r="A565" s="58">
        <v>45150</v>
      </c>
      <c r="B565" s="59" t="s">
        <v>204</v>
      </c>
      <c r="C565" s="60" t="s">
        <v>221</v>
      </c>
      <c r="D565" s="60" t="s">
        <v>1192</v>
      </c>
      <c r="E565" s="109">
        <v>10</v>
      </c>
      <c r="F565" s="110">
        <v>5</v>
      </c>
      <c r="G565" s="111">
        <v>0</v>
      </c>
      <c r="H565" s="60">
        <v>15</v>
      </c>
      <c r="I565" s="60">
        <v>33</v>
      </c>
      <c r="J565" s="149">
        <f t="shared" si="417"/>
        <v>48</v>
      </c>
      <c r="K565" s="122">
        <f t="shared" si="400"/>
        <v>0.3125</v>
      </c>
      <c r="L565" s="123">
        <f t="shared" si="529"/>
        <v>-17.6875</v>
      </c>
      <c r="M565" s="64">
        <v>13</v>
      </c>
      <c r="N565" s="86">
        <v>9</v>
      </c>
      <c r="O565" s="86" t="s">
        <v>1193</v>
      </c>
      <c r="P565" s="113">
        <v>3</v>
      </c>
      <c r="Q565" s="113">
        <v>11</v>
      </c>
      <c r="R565" s="113"/>
      <c r="S565" s="113"/>
      <c r="T565" s="103"/>
      <c r="U565" s="103"/>
      <c r="V565" s="69"/>
      <c r="W565" s="104"/>
      <c r="X565" s="67">
        <f t="shared" ref="X565:Y565" si="585">(P565+R565+T565+V565)</f>
        <v>3</v>
      </c>
      <c r="Y565" s="67">
        <f t="shared" si="585"/>
        <v>11</v>
      </c>
      <c r="Z565" s="68">
        <f t="shared" si="531"/>
        <v>14</v>
      </c>
      <c r="AA565" s="150" t="str">
        <f t="shared" si="386"/>
        <v>1D</v>
      </c>
      <c r="AB565" s="70" t="s">
        <v>1192</v>
      </c>
      <c r="AC565" s="70">
        <v>13</v>
      </c>
      <c r="AD565" s="70">
        <v>17</v>
      </c>
      <c r="AE565" s="70">
        <v>44</v>
      </c>
      <c r="AF565" s="70">
        <v>61</v>
      </c>
      <c r="AG565" s="72">
        <f t="shared" si="532"/>
        <v>0.27868852459016391</v>
      </c>
      <c r="AH565" s="73">
        <f t="shared" si="419"/>
        <v>-59.721311475409834</v>
      </c>
      <c r="AI565" s="74">
        <v>14</v>
      </c>
      <c r="AJ565" s="79" t="s">
        <v>977</v>
      </c>
      <c r="AK565" s="76" t="s">
        <v>1066</v>
      </c>
      <c r="AL565" s="67"/>
      <c r="AM565" s="506"/>
      <c r="AN565" s="505"/>
      <c r="AO565" s="515"/>
    </row>
    <row r="566" spans="1:41" ht="14.5">
      <c r="A566" s="58">
        <v>45150</v>
      </c>
      <c r="B566" s="59" t="s">
        <v>204</v>
      </c>
      <c r="C566" s="60" t="s">
        <v>224</v>
      </c>
      <c r="D566" s="60" t="s">
        <v>1194</v>
      </c>
      <c r="E566" s="100">
        <v>2</v>
      </c>
      <c r="F566" s="101">
        <v>5</v>
      </c>
      <c r="G566" s="101">
        <v>3</v>
      </c>
      <c r="H566" s="60">
        <v>10</v>
      </c>
      <c r="I566" s="60">
        <v>33</v>
      </c>
      <c r="J566" s="149">
        <f t="shared" si="417"/>
        <v>43</v>
      </c>
      <c r="K566" s="122">
        <f t="shared" si="400"/>
        <v>0.23255813953488372</v>
      </c>
      <c r="L566" s="123">
        <f t="shared" si="529"/>
        <v>-22.767441860465116</v>
      </c>
      <c r="M566" s="64">
        <v>15</v>
      </c>
      <c r="N566" s="64">
        <v>5</v>
      </c>
      <c r="O566" s="64" t="s">
        <v>1195</v>
      </c>
      <c r="P566" s="103">
        <v>11</v>
      </c>
      <c r="Q566" s="103">
        <v>3</v>
      </c>
      <c r="R566" s="103">
        <v>11</v>
      </c>
      <c r="S566" s="103">
        <v>9</v>
      </c>
      <c r="T566" s="103">
        <v>4</v>
      </c>
      <c r="U566" s="103">
        <v>11</v>
      </c>
      <c r="V566" s="69"/>
      <c r="W566" s="104"/>
      <c r="X566" s="67">
        <f t="shared" ref="X566:Y566" si="586">(P566+R566+T566+V566)</f>
        <v>26</v>
      </c>
      <c r="Y566" s="67">
        <f t="shared" si="586"/>
        <v>23</v>
      </c>
      <c r="Z566" s="68">
        <f t="shared" si="531"/>
        <v>49</v>
      </c>
      <c r="AA566" s="150" t="str">
        <f t="shared" si="386"/>
        <v>2A</v>
      </c>
      <c r="AB566" s="70" t="s">
        <v>1194</v>
      </c>
      <c r="AC566" s="70">
        <v>15</v>
      </c>
      <c r="AD566" s="70">
        <v>16</v>
      </c>
      <c r="AE566" s="70">
        <v>44</v>
      </c>
      <c r="AF566" s="70">
        <v>60</v>
      </c>
      <c r="AG566" s="72">
        <f t="shared" si="532"/>
        <v>0.26666666666666666</v>
      </c>
      <c r="AH566" s="73">
        <f t="shared" si="419"/>
        <v>-60.733333333333334</v>
      </c>
      <c r="AI566" s="74">
        <v>15</v>
      </c>
      <c r="AJ566" s="79" t="s">
        <v>1196</v>
      </c>
      <c r="AK566" s="76" t="s">
        <v>1069</v>
      </c>
      <c r="AL566" s="67"/>
      <c r="AM566" s="506"/>
      <c r="AN566" s="505"/>
      <c r="AO566" s="515"/>
    </row>
    <row r="567" spans="1:41" ht="14.5">
      <c r="A567" s="58">
        <v>45150</v>
      </c>
      <c r="B567" s="59" t="s">
        <v>204</v>
      </c>
      <c r="C567" s="60" t="s">
        <v>228</v>
      </c>
      <c r="D567" s="60" t="s">
        <v>1197</v>
      </c>
      <c r="E567" s="105">
        <v>11</v>
      </c>
      <c r="F567" s="106">
        <v>11</v>
      </c>
      <c r="G567" s="106">
        <v>11</v>
      </c>
      <c r="H567" s="60">
        <v>33</v>
      </c>
      <c r="I567" s="60">
        <v>14</v>
      </c>
      <c r="J567" s="149">
        <f t="shared" si="417"/>
        <v>47</v>
      </c>
      <c r="K567" s="122">
        <f t="shared" si="400"/>
        <v>0.7021276595744681</v>
      </c>
      <c r="L567" s="123">
        <f t="shared" si="529"/>
        <v>0.7021276595744681</v>
      </c>
      <c r="M567" s="64">
        <v>2</v>
      </c>
      <c r="N567" s="86">
        <v>12</v>
      </c>
      <c r="O567" s="86" t="s">
        <v>1190</v>
      </c>
      <c r="P567" s="113">
        <v>3</v>
      </c>
      <c r="Q567" s="113">
        <v>11</v>
      </c>
      <c r="R567" s="103"/>
      <c r="S567" s="103"/>
      <c r="T567" s="103"/>
      <c r="U567" s="103"/>
      <c r="V567" s="69"/>
      <c r="W567" s="104"/>
      <c r="X567" s="67">
        <f t="shared" ref="X567:Y567" si="587">(P567+R567+T567+V567)</f>
        <v>3</v>
      </c>
      <c r="Y567" s="67">
        <f t="shared" si="587"/>
        <v>11</v>
      </c>
      <c r="Z567" s="68">
        <f t="shared" si="531"/>
        <v>14</v>
      </c>
      <c r="AA567" s="150" t="str">
        <f t="shared" si="386"/>
        <v>2B</v>
      </c>
      <c r="AB567" s="70" t="s">
        <v>1197</v>
      </c>
      <c r="AC567" s="70">
        <v>2</v>
      </c>
      <c r="AD567" s="70">
        <v>44</v>
      </c>
      <c r="AE567" s="70">
        <v>20</v>
      </c>
      <c r="AF567" s="70">
        <v>64</v>
      </c>
      <c r="AG567" s="72">
        <f t="shared" si="532"/>
        <v>0.6875</v>
      </c>
      <c r="AH567" s="73">
        <f t="shared" si="419"/>
        <v>-32.3125</v>
      </c>
      <c r="AI567" s="74">
        <v>8</v>
      </c>
      <c r="AJ567" s="79" t="s">
        <v>375</v>
      </c>
      <c r="AK567" s="76" t="s">
        <v>1198</v>
      </c>
      <c r="AL567" s="67"/>
      <c r="AM567" s="506"/>
      <c r="AN567" s="505"/>
      <c r="AO567" s="515"/>
    </row>
    <row r="568" spans="1:41" ht="14.5">
      <c r="A568" s="58">
        <v>45150</v>
      </c>
      <c r="B568" s="59" t="s">
        <v>204</v>
      </c>
      <c r="C568" s="60" t="s">
        <v>232</v>
      </c>
      <c r="D568" s="60" t="s">
        <v>150</v>
      </c>
      <c r="E568" s="107">
        <v>11</v>
      </c>
      <c r="F568" s="108">
        <v>11</v>
      </c>
      <c r="G568" s="106">
        <v>6</v>
      </c>
      <c r="H568" s="60">
        <v>28</v>
      </c>
      <c r="I568" s="60">
        <v>21</v>
      </c>
      <c r="J568" s="149">
        <f t="shared" si="417"/>
        <v>49</v>
      </c>
      <c r="K568" s="122">
        <f t="shared" si="400"/>
        <v>0.5714285714285714</v>
      </c>
      <c r="L568" s="123">
        <f t="shared" si="529"/>
        <v>-4.4285714285714288</v>
      </c>
      <c r="M568" s="64">
        <v>8</v>
      </c>
      <c r="N568" s="64">
        <v>4</v>
      </c>
      <c r="O568" s="64" t="s">
        <v>1187</v>
      </c>
      <c r="P568" s="103">
        <v>11</v>
      </c>
      <c r="Q568" s="103">
        <v>2</v>
      </c>
      <c r="R568" s="103">
        <v>9</v>
      </c>
      <c r="S568" s="103">
        <v>11</v>
      </c>
      <c r="T568" s="103"/>
      <c r="U568" s="103"/>
      <c r="V568" s="69"/>
      <c r="W568" s="104"/>
      <c r="X568" s="67">
        <f t="shared" ref="X568:Y568" si="588">(P568+R568+T568+V568)</f>
        <v>20</v>
      </c>
      <c r="Y568" s="67">
        <f t="shared" si="588"/>
        <v>13</v>
      </c>
      <c r="Z568" s="68">
        <f t="shared" si="531"/>
        <v>33</v>
      </c>
      <c r="AA568" s="150" t="str">
        <f t="shared" si="386"/>
        <v>2C</v>
      </c>
      <c r="AB568" s="70" t="s">
        <v>150</v>
      </c>
      <c r="AC568" s="70">
        <v>8</v>
      </c>
      <c r="AD568" s="70">
        <v>71</v>
      </c>
      <c r="AE568" s="70">
        <v>46</v>
      </c>
      <c r="AF568" s="70">
        <v>117</v>
      </c>
      <c r="AG568" s="72">
        <f t="shared" si="532"/>
        <v>0.60683760683760679</v>
      </c>
      <c r="AH568" s="73">
        <f t="shared" si="419"/>
        <v>-5.3931623931623935</v>
      </c>
      <c r="AI568" s="74">
        <v>2</v>
      </c>
      <c r="AJ568" s="79" t="s">
        <v>983</v>
      </c>
      <c r="AK568" s="76" t="s">
        <v>1131</v>
      </c>
      <c r="AL568" s="67"/>
      <c r="AM568" s="506"/>
      <c r="AN568" s="505"/>
      <c r="AO568" s="515"/>
    </row>
    <row r="569" spans="1:41" ht="14.5">
      <c r="A569" s="58">
        <v>45150</v>
      </c>
      <c r="B569" s="59" t="s">
        <v>204</v>
      </c>
      <c r="C569" s="60" t="s">
        <v>237</v>
      </c>
      <c r="D569" s="60" t="s">
        <v>1199</v>
      </c>
      <c r="E569" s="109">
        <v>5</v>
      </c>
      <c r="F569" s="110">
        <v>6</v>
      </c>
      <c r="G569" s="111">
        <v>11</v>
      </c>
      <c r="H569" s="60">
        <v>22</v>
      </c>
      <c r="I569" s="60">
        <v>25</v>
      </c>
      <c r="J569" s="149">
        <f t="shared" si="417"/>
        <v>47</v>
      </c>
      <c r="K569" s="122">
        <f t="shared" si="400"/>
        <v>0.46808510638297873</v>
      </c>
      <c r="L569" s="123">
        <f t="shared" si="529"/>
        <v>-10.531914893617021</v>
      </c>
      <c r="M569" s="64">
        <v>10</v>
      </c>
      <c r="N569" s="86">
        <v>13</v>
      </c>
      <c r="O569" s="86" t="s">
        <v>1192</v>
      </c>
      <c r="P569" s="113">
        <v>2</v>
      </c>
      <c r="Q569" s="113">
        <v>11</v>
      </c>
      <c r="R569" s="113"/>
      <c r="S569" s="113"/>
      <c r="T569" s="113"/>
      <c r="U569" s="113"/>
      <c r="V569" s="93"/>
      <c r="W569" s="114"/>
      <c r="X569" s="67">
        <f t="shared" ref="X569:Y569" si="589">(P569+R569+T569+V569)</f>
        <v>2</v>
      </c>
      <c r="Y569" s="67">
        <f t="shared" si="589"/>
        <v>11</v>
      </c>
      <c r="Z569" s="68">
        <f t="shared" si="531"/>
        <v>13</v>
      </c>
      <c r="AA569" s="150" t="str">
        <f t="shared" si="386"/>
        <v>2D</v>
      </c>
      <c r="AB569" s="70" t="s">
        <v>1199</v>
      </c>
      <c r="AC569" s="70">
        <v>10</v>
      </c>
      <c r="AD569" s="70">
        <v>40</v>
      </c>
      <c r="AE569" s="70">
        <v>47</v>
      </c>
      <c r="AF569" s="70">
        <v>87</v>
      </c>
      <c r="AG569" s="72">
        <f t="shared" si="532"/>
        <v>0.45977011494252873</v>
      </c>
      <c r="AH569" s="73">
        <f t="shared" si="419"/>
        <v>-36.540229885057471</v>
      </c>
      <c r="AI569" s="74">
        <v>9</v>
      </c>
      <c r="AJ569" s="79" t="s">
        <v>1107</v>
      </c>
      <c r="AK569" s="76" t="s">
        <v>1200</v>
      </c>
      <c r="AL569" s="67"/>
      <c r="AM569" s="506"/>
      <c r="AN569" s="505"/>
      <c r="AO569" s="515"/>
    </row>
    <row r="570" spans="1:41" ht="14.5">
      <c r="A570" s="58">
        <v>45150</v>
      </c>
      <c r="B570" s="59" t="s">
        <v>204</v>
      </c>
      <c r="C570" s="60" t="s">
        <v>241</v>
      </c>
      <c r="D570" s="60" t="s">
        <v>1201</v>
      </c>
      <c r="E570" s="100">
        <v>2</v>
      </c>
      <c r="F570" s="101">
        <v>7</v>
      </c>
      <c r="G570" s="101">
        <v>2</v>
      </c>
      <c r="H570" s="60">
        <v>11</v>
      </c>
      <c r="I570" s="60">
        <v>33</v>
      </c>
      <c r="J570" s="149">
        <f t="shared" si="417"/>
        <v>44</v>
      </c>
      <c r="K570" s="122">
        <f t="shared" si="400"/>
        <v>0.25</v>
      </c>
      <c r="L570" s="123">
        <f t="shared" si="529"/>
        <v>-21.75</v>
      </c>
      <c r="M570" s="64">
        <v>14</v>
      </c>
      <c r="N570" s="64">
        <v>6</v>
      </c>
      <c r="O570" s="64" t="s">
        <v>1202</v>
      </c>
      <c r="P570" s="103">
        <v>11</v>
      </c>
      <c r="Q570" s="103">
        <v>1</v>
      </c>
      <c r="R570" s="103">
        <v>7</v>
      </c>
      <c r="S570" s="103">
        <v>11</v>
      </c>
      <c r="T570" s="103"/>
      <c r="U570" s="103"/>
      <c r="V570" s="69"/>
      <c r="W570" s="104"/>
      <c r="X570" s="67">
        <f t="shared" ref="X570:Y570" si="590">(P570+R570+T570+V570)</f>
        <v>18</v>
      </c>
      <c r="Y570" s="67">
        <f t="shared" si="590"/>
        <v>12</v>
      </c>
      <c r="Z570" s="68">
        <f t="shared" si="531"/>
        <v>30</v>
      </c>
      <c r="AA570" s="150" t="str">
        <f t="shared" si="386"/>
        <v>3A</v>
      </c>
      <c r="AB570" s="70" t="s">
        <v>1201</v>
      </c>
      <c r="AC570" s="70">
        <v>14</v>
      </c>
      <c r="AD570" s="70">
        <v>16</v>
      </c>
      <c r="AE570" s="70">
        <v>44</v>
      </c>
      <c r="AF570" s="70">
        <v>60</v>
      </c>
      <c r="AG570" s="72">
        <f t="shared" si="532"/>
        <v>0.26666666666666666</v>
      </c>
      <c r="AH570" s="73">
        <f t="shared" si="419"/>
        <v>-60.733333333333334</v>
      </c>
      <c r="AI570" s="74">
        <v>16</v>
      </c>
      <c r="AJ570" s="79" t="s">
        <v>1104</v>
      </c>
      <c r="AK570" s="76" t="s">
        <v>1129</v>
      </c>
      <c r="AL570" s="67"/>
      <c r="AM570" s="506"/>
      <c r="AN570" s="505"/>
      <c r="AO570" s="515"/>
    </row>
    <row r="571" spans="1:41" ht="14.5">
      <c r="A571" s="58">
        <v>45150</v>
      </c>
      <c r="B571" s="59" t="s">
        <v>204</v>
      </c>
      <c r="C571" s="60" t="s">
        <v>246</v>
      </c>
      <c r="D571" s="60" t="s">
        <v>149</v>
      </c>
      <c r="E571" s="105">
        <v>11</v>
      </c>
      <c r="F571" s="106">
        <v>11</v>
      </c>
      <c r="G571" s="106">
        <v>10</v>
      </c>
      <c r="H571" s="60">
        <v>32</v>
      </c>
      <c r="I571" s="60">
        <v>18</v>
      </c>
      <c r="J571" s="149">
        <f t="shared" si="417"/>
        <v>50</v>
      </c>
      <c r="K571" s="122">
        <f t="shared" si="400"/>
        <v>0.64</v>
      </c>
      <c r="L571" s="123">
        <f t="shared" si="529"/>
        <v>-0.36</v>
      </c>
      <c r="M571" s="64">
        <v>3</v>
      </c>
      <c r="N571" s="86">
        <v>11</v>
      </c>
      <c r="O571" s="86" t="s">
        <v>1203</v>
      </c>
      <c r="P571" s="113">
        <v>1</v>
      </c>
      <c r="Q571" s="113">
        <v>11</v>
      </c>
      <c r="R571" s="103"/>
      <c r="S571" s="103"/>
      <c r="T571" s="103"/>
      <c r="U571" s="103"/>
      <c r="V571" s="69"/>
      <c r="W571" s="104"/>
      <c r="X571" s="67">
        <f t="shared" ref="X571:Y571" si="591">(P571+R571+T571+V571)</f>
        <v>1</v>
      </c>
      <c r="Y571" s="67">
        <f t="shared" si="591"/>
        <v>11</v>
      </c>
      <c r="Z571" s="68">
        <f t="shared" si="531"/>
        <v>12</v>
      </c>
      <c r="AA571" s="150" t="str">
        <f t="shared" si="386"/>
        <v>3B</v>
      </c>
      <c r="AB571" s="70" t="s">
        <v>149</v>
      </c>
      <c r="AC571" s="70">
        <v>3</v>
      </c>
      <c r="AD571" s="70">
        <v>76</v>
      </c>
      <c r="AE571" s="70">
        <v>47</v>
      </c>
      <c r="AF571" s="70">
        <v>123</v>
      </c>
      <c r="AG571" s="72">
        <f t="shared" si="532"/>
        <v>0.61788617886178865</v>
      </c>
      <c r="AH571" s="73">
        <f t="shared" si="419"/>
        <v>-0.38211382113821135</v>
      </c>
      <c r="AI571" s="74">
        <v>1</v>
      </c>
      <c r="AJ571" s="79" t="s">
        <v>408</v>
      </c>
      <c r="AK571" s="76" t="s">
        <v>1204</v>
      </c>
      <c r="AL571" s="67"/>
      <c r="AM571" s="506"/>
      <c r="AN571" s="505"/>
      <c r="AO571" s="515"/>
    </row>
    <row r="572" spans="1:41" ht="14.5">
      <c r="A572" s="58">
        <v>45150</v>
      </c>
      <c r="B572" s="59" t="s">
        <v>204</v>
      </c>
      <c r="C572" s="60" t="s">
        <v>251</v>
      </c>
      <c r="D572" s="60" t="s">
        <v>1195</v>
      </c>
      <c r="E572" s="107">
        <v>11</v>
      </c>
      <c r="F572" s="108">
        <v>11</v>
      </c>
      <c r="G572" s="106">
        <v>11</v>
      </c>
      <c r="H572" s="60">
        <v>33</v>
      </c>
      <c r="I572" s="60">
        <v>22</v>
      </c>
      <c r="J572" s="149">
        <f t="shared" si="417"/>
        <v>55</v>
      </c>
      <c r="K572" s="122">
        <f t="shared" si="400"/>
        <v>0.6</v>
      </c>
      <c r="L572" s="123">
        <f t="shared" si="529"/>
        <v>0.6</v>
      </c>
      <c r="M572" s="64">
        <v>5</v>
      </c>
      <c r="N572" s="64">
        <v>3</v>
      </c>
      <c r="O572" s="64" t="s">
        <v>149</v>
      </c>
      <c r="P572" s="103">
        <v>11</v>
      </c>
      <c r="Q572" s="103">
        <v>5</v>
      </c>
      <c r="R572" s="103">
        <v>11</v>
      </c>
      <c r="S572" s="103">
        <v>7</v>
      </c>
      <c r="T572" s="103">
        <v>11</v>
      </c>
      <c r="U572" s="103">
        <v>7</v>
      </c>
      <c r="V572" s="69">
        <v>11</v>
      </c>
      <c r="W572" s="104">
        <v>10</v>
      </c>
      <c r="X572" s="67">
        <f t="shared" ref="X572:Y572" si="592">(P572+R572+T572+V572)</f>
        <v>44</v>
      </c>
      <c r="Y572" s="67">
        <f t="shared" si="592"/>
        <v>29</v>
      </c>
      <c r="Z572" s="68">
        <f t="shared" si="531"/>
        <v>73</v>
      </c>
      <c r="AA572" s="150" t="str">
        <f t="shared" si="386"/>
        <v>3C</v>
      </c>
      <c r="AB572" s="70" t="s">
        <v>1195</v>
      </c>
      <c r="AC572" s="70">
        <v>5</v>
      </c>
      <c r="AD572" s="70">
        <v>59</v>
      </c>
      <c r="AE572" s="70">
        <v>45</v>
      </c>
      <c r="AF572" s="70">
        <v>104</v>
      </c>
      <c r="AG572" s="72">
        <f t="shared" si="532"/>
        <v>0.56730769230769229</v>
      </c>
      <c r="AH572" s="73">
        <f t="shared" si="419"/>
        <v>-17.432692307692307</v>
      </c>
      <c r="AI572" s="74">
        <v>3</v>
      </c>
      <c r="AJ572" s="79" t="s">
        <v>1205</v>
      </c>
      <c r="AK572" s="76" t="s">
        <v>1079</v>
      </c>
      <c r="AL572" s="67"/>
      <c r="AM572" s="506"/>
      <c r="AN572" s="505"/>
      <c r="AO572" s="515"/>
    </row>
    <row r="573" spans="1:41" ht="14.5">
      <c r="A573" s="58">
        <v>45150</v>
      </c>
      <c r="B573" s="59" t="s">
        <v>204</v>
      </c>
      <c r="C573" s="60" t="s">
        <v>256</v>
      </c>
      <c r="D573" s="60" t="s">
        <v>1203</v>
      </c>
      <c r="E573" s="109">
        <v>5</v>
      </c>
      <c r="F573" s="110">
        <v>5</v>
      </c>
      <c r="G573" s="111">
        <v>11</v>
      </c>
      <c r="H573" s="60">
        <v>21</v>
      </c>
      <c r="I573" s="60">
        <v>24</v>
      </c>
      <c r="J573" s="149">
        <f t="shared" si="417"/>
        <v>45</v>
      </c>
      <c r="K573" s="122">
        <f t="shared" si="400"/>
        <v>0.46666666666666667</v>
      </c>
      <c r="L573" s="123">
        <f t="shared" si="529"/>
        <v>-11.533333333333333</v>
      </c>
      <c r="M573" s="64">
        <v>11</v>
      </c>
      <c r="N573" s="86">
        <v>14</v>
      </c>
      <c r="O573" s="86" t="s">
        <v>1201</v>
      </c>
      <c r="P573" s="113">
        <v>5</v>
      </c>
      <c r="Q573" s="113">
        <v>11</v>
      </c>
      <c r="R573" s="113"/>
      <c r="S573" s="113"/>
      <c r="T573" s="103"/>
      <c r="U573" s="103"/>
      <c r="V573" s="69"/>
      <c r="W573" s="104"/>
      <c r="X573" s="67">
        <f t="shared" ref="X573:Y573" si="593">(P573+R573+T573+V573)</f>
        <v>5</v>
      </c>
      <c r="Y573" s="67">
        <f t="shared" si="593"/>
        <v>11</v>
      </c>
      <c r="Z573" s="68">
        <f t="shared" si="531"/>
        <v>16</v>
      </c>
      <c r="AA573" s="150" t="str">
        <f t="shared" si="386"/>
        <v>3D</v>
      </c>
      <c r="AB573" s="70" t="s">
        <v>1203</v>
      </c>
      <c r="AC573" s="70">
        <v>11</v>
      </c>
      <c r="AD573" s="70">
        <v>22</v>
      </c>
      <c r="AE573" s="70">
        <v>35</v>
      </c>
      <c r="AF573" s="70">
        <v>57</v>
      </c>
      <c r="AG573" s="72">
        <f t="shared" si="532"/>
        <v>0.38596491228070173</v>
      </c>
      <c r="AH573" s="73">
        <f t="shared" si="419"/>
        <v>-54.614035087719301</v>
      </c>
      <c r="AI573" s="74">
        <v>12</v>
      </c>
      <c r="AJ573" s="79" t="s">
        <v>978</v>
      </c>
      <c r="AK573" s="76" t="s">
        <v>23</v>
      </c>
      <c r="AL573" s="67"/>
      <c r="AM573" s="506"/>
      <c r="AN573" s="505"/>
      <c r="AO573" s="515"/>
    </row>
    <row r="574" spans="1:41" ht="14.5">
      <c r="A574" s="58">
        <v>45150</v>
      </c>
      <c r="B574" s="59" t="s">
        <v>204</v>
      </c>
      <c r="C574" s="60" t="s">
        <v>261</v>
      </c>
      <c r="D574" s="60" t="s">
        <v>1206</v>
      </c>
      <c r="E574" s="100">
        <v>11</v>
      </c>
      <c r="F574" s="101">
        <v>11</v>
      </c>
      <c r="G574" s="101">
        <v>7</v>
      </c>
      <c r="H574" s="60">
        <v>29</v>
      </c>
      <c r="I574" s="60">
        <v>20</v>
      </c>
      <c r="J574" s="149">
        <f t="shared" si="417"/>
        <v>49</v>
      </c>
      <c r="K574" s="122">
        <f t="shared" si="400"/>
        <v>0.59183673469387754</v>
      </c>
      <c r="L574" s="123">
        <f t="shared" si="529"/>
        <v>-3.4081632653061225</v>
      </c>
      <c r="M574" s="64">
        <v>7</v>
      </c>
      <c r="N574" s="64">
        <v>7</v>
      </c>
      <c r="O574" s="64" t="s">
        <v>1206</v>
      </c>
      <c r="P574" s="103">
        <v>11</v>
      </c>
      <c r="Q574" s="103">
        <v>9</v>
      </c>
      <c r="R574" s="103">
        <v>11</v>
      </c>
      <c r="S574" s="103">
        <v>9</v>
      </c>
      <c r="T574" s="103">
        <v>7</v>
      </c>
      <c r="U574" s="103">
        <v>11</v>
      </c>
      <c r="V574" s="69"/>
      <c r="W574" s="104"/>
      <c r="X574" s="67">
        <f t="shared" ref="X574:Y574" si="594">(P574+R574+T574+V574)</f>
        <v>29</v>
      </c>
      <c r="Y574" s="67">
        <f t="shared" si="594"/>
        <v>29</v>
      </c>
      <c r="Z574" s="68">
        <f t="shared" si="531"/>
        <v>58</v>
      </c>
      <c r="AA574" s="150" t="str">
        <f t="shared" si="386"/>
        <v>4A</v>
      </c>
      <c r="AB574" s="70" t="s">
        <v>1206</v>
      </c>
      <c r="AC574" s="70">
        <v>7</v>
      </c>
      <c r="AD574" s="70">
        <v>58</v>
      </c>
      <c r="AE574" s="70">
        <v>49</v>
      </c>
      <c r="AF574" s="70">
        <v>107</v>
      </c>
      <c r="AG574" s="72">
        <f t="shared" si="532"/>
        <v>0.54205607476635509</v>
      </c>
      <c r="AH574" s="73">
        <f t="shared" si="419"/>
        <v>-18.457943925233646</v>
      </c>
      <c r="AI574" s="74">
        <v>4</v>
      </c>
      <c r="AJ574" s="79" t="s">
        <v>988</v>
      </c>
      <c r="AK574" s="76" t="s">
        <v>1207</v>
      </c>
      <c r="AL574" s="67"/>
      <c r="AM574" s="506"/>
      <c r="AN574" s="505"/>
      <c r="AO574" s="515"/>
    </row>
    <row r="575" spans="1:41" ht="14.5">
      <c r="A575" s="58">
        <v>45150</v>
      </c>
      <c r="B575" s="59" t="s">
        <v>204</v>
      </c>
      <c r="C575" s="60" t="s">
        <v>268</v>
      </c>
      <c r="D575" s="60" t="s">
        <v>1188</v>
      </c>
      <c r="E575" s="105">
        <v>4</v>
      </c>
      <c r="F575" s="106">
        <v>3</v>
      </c>
      <c r="G575" s="106">
        <v>2</v>
      </c>
      <c r="H575" s="60">
        <v>9</v>
      </c>
      <c r="I575" s="60">
        <v>33</v>
      </c>
      <c r="J575" s="149">
        <f t="shared" si="417"/>
        <v>42</v>
      </c>
      <c r="K575" s="122">
        <f t="shared" si="400"/>
        <v>0.21428571428571427</v>
      </c>
      <c r="L575" s="123">
        <f t="shared" si="529"/>
        <v>-23.785714285714285</v>
      </c>
      <c r="M575" s="64">
        <v>16</v>
      </c>
      <c r="N575" s="86">
        <v>10</v>
      </c>
      <c r="O575" s="86" t="s">
        <v>1199</v>
      </c>
      <c r="P575" s="113">
        <v>9</v>
      </c>
      <c r="Q575" s="113">
        <v>11</v>
      </c>
      <c r="R575" s="103">
        <v>9</v>
      </c>
      <c r="S575" s="103">
        <v>11</v>
      </c>
      <c r="T575" s="103"/>
      <c r="U575" s="103"/>
      <c r="V575" s="69"/>
      <c r="W575" s="104"/>
      <c r="X575" s="67">
        <f t="shared" ref="X575:Y575" si="595">(P575+R575+T575+V575)</f>
        <v>18</v>
      </c>
      <c r="Y575" s="67">
        <f t="shared" si="595"/>
        <v>22</v>
      </c>
      <c r="Z575" s="68">
        <f t="shared" si="531"/>
        <v>40</v>
      </c>
      <c r="AA575" s="150" t="str">
        <f t="shared" si="386"/>
        <v>4B</v>
      </c>
      <c r="AB575" s="70" t="s">
        <v>1188</v>
      </c>
      <c r="AC575" s="70">
        <v>16</v>
      </c>
      <c r="AD575" s="70">
        <v>18</v>
      </c>
      <c r="AE575" s="70">
        <v>44</v>
      </c>
      <c r="AF575" s="70">
        <v>62</v>
      </c>
      <c r="AG575" s="72">
        <f t="shared" si="532"/>
        <v>0.29032258064516131</v>
      </c>
      <c r="AH575" s="73">
        <f t="shared" si="419"/>
        <v>-58.70967741935484</v>
      </c>
      <c r="AI575" s="74">
        <v>13</v>
      </c>
      <c r="AJ575" s="79" t="s">
        <v>707</v>
      </c>
      <c r="AK575" s="76" t="s">
        <v>1208</v>
      </c>
      <c r="AL575" s="67"/>
      <c r="AM575" s="506"/>
      <c r="AN575" s="505"/>
      <c r="AO575" s="515"/>
    </row>
    <row r="576" spans="1:41" ht="14.5">
      <c r="A576" s="58">
        <v>45150</v>
      </c>
      <c r="B576" s="59" t="s">
        <v>204</v>
      </c>
      <c r="C576" s="60" t="s">
        <v>271</v>
      </c>
      <c r="D576" s="60" t="s">
        <v>1193</v>
      </c>
      <c r="E576" s="107">
        <v>11</v>
      </c>
      <c r="F576" s="108">
        <v>5</v>
      </c>
      <c r="G576" s="106">
        <v>11</v>
      </c>
      <c r="H576" s="60">
        <v>27</v>
      </c>
      <c r="I576" s="60">
        <v>22</v>
      </c>
      <c r="J576" s="149">
        <f t="shared" si="417"/>
        <v>49</v>
      </c>
      <c r="K576" s="122">
        <f t="shared" si="400"/>
        <v>0.55102040816326525</v>
      </c>
      <c r="L576" s="123">
        <f t="shared" si="529"/>
        <v>-5.4489795918367347</v>
      </c>
      <c r="M576" s="64">
        <v>9</v>
      </c>
      <c r="N576" s="64">
        <v>2</v>
      </c>
      <c r="O576" s="64" t="s">
        <v>1197</v>
      </c>
      <c r="P576" s="103">
        <v>11</v>
      </c>
      <c r="Q576" s="103">
        <v>6</v>
      </c>
      <c r="R576" s="103"/>
      <c r="S576" s="103"/>
      <c r="T576" s="103"/>
      <c r="U576" s="103"/>
      <c r="V576" s="69"/>
      <c r="W576" s="104"/>
      <c r="X576" s="67">
        <f t="shared" ref="X576:Y576" si="596">(P576+R576+T576+V576)</f>
        <v>11</v>
      </c>
      <c r="Y576" s="67">
        <f t="shared" si="596"/>
        <v>6</v>
      </c>
      <c r="Z576" s="68">
        <f t="shared" si="531"/>
        <v>17</v>
      </c>
      <c r="AA576" s="150" t="str">
        <f t="shared" si="386"/>
        <v>4C</v>
      </c>
      <c r="AB576" s="70" t="s">
        <v>1193</v>
      </c>
      <c r="AC576" s="70">
        <v>9</v>
      </c>
      <c r="AD576" s="70">
        <v>30</v>
      </c>
      <c r="AE576" s="70">
        <v>33</v>
      </c>
      <c r="AF576" s="70">
        <v>63</v>
      </c>
      <c r="AG576" s="72">
        <f t="shared" si="532"/>
        <v>0.47619047619047616</v>
      </c>
      <c r="AH576" s="73">
        <f t="shared" si="419"/>
        <v>-46.523809523809526</v>
      </c>
      <c r="AI576" s="74">
        <v>10</v>
      </c>
      <c r="AJ576" s="79" t="s">
        <v>715</v>
      </c>
      <c r="AK576" s="76" t="s">
        <v>1209</v>
      </c>
      <c r="AL576" s="67"/>
      <c r="AM576" s="506"/>
      <c r="AN576" s="505"/>
      <c r="AO576" s="515"/>
    </row>
    <row r="577" spans="1:41" ht="14.5">
      <c r="A577" s="87">
        <v>45150</v>
      </c>
      <c r="B577" s="88" t="s">
        <v>204</v>
      </c>
      <c r="C577" s="89" t="s">
        <v>276</v>
      </c>
      <c r="D577" s="89" t="s">
        <v>1202</v>
      </c>
      <c r="E577" s="109">
        <v>9</v>
      </c>
      <c r="F577" s="110">
        <v>11</v>
      </c>
      <c r="G577" s="111">
        <v>11</v>
      </c>
      <c r="H577" s="89">
        <v>31</v>
      </c>
      <c r="I577" s="89">
        <v>21</v>
      </c>
      <c r="J577" s="152">
        <f t="shared" si="417"/>
        <v>52</v>
      </c>
      <c r="K577" s="153">
        <f t="shared" si="400"/>
        <v>0.59615384615384615</v>
      </c>
      <c r="L577" s="154">
        <f t="shared" si="529"/>
        <v>-1.4038461538461537</v>
      </c>
      <c r="M577" s="86">
        <v>6</v>
      </c>
      <c r="N577" s="86">
        <v>15</v>
      </c>
      <c r="O577" s="86" t="s">
        <v>1194</v>
      </c>
      <c r="P577" s="113">
        <v>6</v>
      </c>
      <c r="Q577" s="113">
        <v>11</v>
      </c>
      <c r="R577" s="113"/>
      <c r="S577" s="113"/>
      <c r="T577" s="113"/>
      <c r="U577" s="113"/>
      <c r="V577" s="93"/>
      <c r="W577" s="114"/>
      <c r="X577" s="92">
        <f t="shared" ref="X577:Y577" si="597">(P577+R577+T577+V577)</f>
        <v>6</v>
      </c>
      <c r="Y577" s="92">
        <f t="shared" si="597"/>
        <v>11</v>
      </c>
      <c r="Z577" s="84">
        <f t="shared" si="531"/>
        <v>17</v>
      </c>
      <c r="AA577" s="155" t="str">
        <f t="shared" si="386"/>
        <v>4D</v>
      </c>
      <c r="AB577" s="94" t="s">
        <v>1202</v>
      </c>
      <c r="AC577" s="94">
        <v>6</v>
      </c>
      <c r="AD577" s="94">
        <v>49</v>
      </c>
      <c r="AE577" s="94">
        <v>33</v>
      </c>
      <c r="AF577" s="94">
        <v>82</v>
      </c>
      <c r="AG577" s="95">
        <f t="shared" si="532"/>
        <v>0.59756097560975607</v>
      </c>
      <c r="AH577" s="96">
        <f t="shared" si="419"/>
        <v>-27.402439024390244</v>
      </c>
      <c r="AI577" s="97">
        <v>7</v>
      </c>
      <c r="AJ577" s="98" t="s">
        <v>858</v>
      </c>
      <c r="AK577" s="81" t="s">
        <v>1210</v>
      </c>
      <c r="AL577" s="67"/>
      <c r="AM577" s="506"/>
      <c r="AN577" s="505"/>
      <c r="AO577" s="515"/>
    </row>
    <row r="578" spans="1:41" ht="14.5">
      <c r="A578" s="58">
        <v>45185</v>
      </c>
      <c r="B578" s="67" t="s">
        <v>615</v>
      </c>
      <c r="C578" s="67" t="s">
        <v>205</v>
      </c>
      <c r="D578" s="67" t="s">
        <v>1211</v>
      </c>
      <c r="E578" s="100">
        <v>9</v>
      </c>
      <c r="F578" s="101">
        <v>11</v>
      </c>
      <c r="G578" s="101">
        <v>11</v>
      </c>
      <c r="H578" s="67">
        <v>31</v>
      </c>
      <c r="I578" s="67">
        <v>17</v>
      </c>
      <c r="J578" s="149">
        <f t="shared" si="417"/>
        <v>48</v>
      </c>
      <c r="K578" s="122">
        <f t="shared" si="400"/>
        <v>0.64583333333333337</v>
      </c>
      <c r="L578" s="123">
        <f t="shared" si="529"/>
        <v>-1.3541666666666665</v>
      </c>
      <c r="M578" s="156">
        <v>2</v>
      </c>
      <c r="N578" s="61">
        <v>1</v>
      </c>
      <c r="O578" s="61" t="s">
        <v>1212</v>
      </c>
      <c r="P578" s="115">
        <v>11</v>
      </c>
      <c r="Q578" s="115">
        <v>6</v>
      </c>
      <c r="R578" s="115">
        <v>2</v>
      </c>
      <c r="S578" s="115">
        <v>11</v>
      </c>
      <c r="T578" s="115"/>
      <c r="U578" s="115"/>
      <c r="V578" s="116"/>
      <c r="W578" s="117"/>
      <c r="X578" s="67">
        <f t="shared" ref="X578:Y578" si="598">(P578+R578+T578+V578)</f>
        <v>13</v>
      </c>
      <c r="Y578" s="67">
        <f t="shared" si="598"/>
        <v>17</v>
      </c>
      <c r="Z578" s="68">
        <f t="shared" si="531"/>
        <v>30</v>
      </c>
      <c r="AA578" s="150" t="str">
        <f t="shared" si="386"/>
        <v>1A</v>
      </c>
      <c r="AB578" s="70" t="s">
        <v>1211</v>
      </c>
      <c r="AC578" s="70">
        <v>2</v>
      </c>
      <c r="AD578" s="70">
        <v>58</v>
      </c>
      <c r="AE578" s="70">
        <v>40</v>
      </c>
      <c r="AF578" s="70">
        <v>98</v>
      </c>
      <c r="AG578" s="72">
        <f t="shared" si="532"/>
        <v>0.59183673469387754</v>
      </c>
      <c r="AH578" s="73">
        <f t="shared" si="419"/>
        <v>-18.408163265306122</v>
      </c>
      <c r="AI578" s="74">
        <v>3</v>
      </c>
      <c r="AJ578" s="79" t="s">
        <v>687</v>
      </c>
      <c r="AK578" s="76" t="s">
        <v>1213</v>
      </c>
      <c r="AL578" s="67"/>
      <c r="AM578" s="506"/>
      <c r="AN578" s="505"/>
      <c r="AO578" s="515"/>
    </row>
    <row r="579" spans="1:41" ht="14.5">
      <c r="A579" s="58">
        <v>45185</v>
      </c>
      <c r="B579" s="67" t="s">
        <v>615</v>
      </c>
      <c r="C579" s="67" t="s">
        <v>211</v>
      </c>
      <c r="D579" s="67" t="s">
        <v>152</v>
      </c>
      <c r="E579" s="105">
        <v>11</v>
      </c>
      <c r="F579" s="106">
        <v>11</v>
      </c>
      <c r="G579" s="106">
        <v>11</v>
      </c>
      <c r="H579" s="67">
        <v>33</v>
      </c>
      <c r="I579" s="67">
        <v>28</v>
      </c>
      <c r="J579" s="149">
        <f t="shared" si="417"/>
        <v>61</v>
      </c>
      <c r="K579" s="122">
        <f t="shared" si="400"/>
        <v>0.54098360655737709</v>
      </c>
      <c r="L579" s="123">
        <f t="shared" si="529"/>
        <v>0.54098360655737709</v>
      </c>
      <c r="M579" s="156">
        <v>8</v>
      </c>
      <c r="N579" s="86">
        <v>16</v>
      </c>
      <c r="O579" s="86" t="s">
        <v>1214</v>
      </c>
      <c r="P579" s="113">
        <v>6</v>
      </c>
      <c r="Q579" s="113">
        <v>11</v>
      </c>
      <c r="R579" s="103"/>
      <c r="S579" s="103"/>
      <c r="T579" s="103"/>
      <c r="U579" s="103"/>
      <c r="V579" s="69"/>
      <c r="W579" s="104"/>
      <c r="X579" s="67">
        <f t="shared" ref="X579:Y579" si="599">(P579+R579+T579+V579)</f>
        <v>6</v>
      </c>
      <c r="Y579" s="67">
        <f t="shared" si="599"/>
        <v>11</v>
      </c>
      <c r="Z579" s="68">
        <f t="shared" si="531"/>
        <v>17</v>
      </c>
      <c r="AA579" s="150" t="str">
        <f t="shared" si="386"/>
        <v>1B</v>
      </c>
      <c r="AB579" s="70" t="s">
        <v>152</v>
      </c>
      <c r="AC579" s="70">
        <v>8</v>
      </c>
      <c r="AD579" s="70">
        <v>77</v>
      </c>
      <c r="AE579" s="70">
        <v>36</v>
      </c>
      <c r="AF579" s="70">
        <v>113</v>
      </c>
      <c r="AG579" s="72">
        <f t="shared" si="532"/>
        <v>0.68141592920353977</v>
      </c>
      <c r="AH579" s="73">
        <f t="shared" si="419"/>
        <v>0.68141592920353977</v>
      </c>
      <c r="AI579" s="74">
        <v>1</v>
      </c>
      <c r="AJ579" s="79" t="s">
        <v>1156</v>
      </c>
      <c r="AK579" s="76" t="s">
        <v>1160</v>
      </c>
      <c r="AL579" s="67"/>
      <c r="AM579" s="506"/>
      <c r="AN579" s="505"/>
      <c r="AO579" s="515"/>
    </row>
    <row r="580" spans="1:41" ht="14.5">
      <c r="A580" s="58">
        <v>45185</v>
      </c>
      <c r="B580" s="67" t="s">
        <v>615</v>
      </c>
      <c r="C580" s="67" t="s">
        <v>216</v>
      </c>
      <c r="D580" s="67" t="s">
        <v>1215</v>
      </c>
      <c r="E580" s="107">
        <v>10</v>
      </c>
      <c r="F580" s="108">
        <v>5</v>
      </c>
      <c r="G580" s="106">
        <v>9</v>
      </c>
      <c r="H580" s="67">
        <v>24</v>
      </c>
      <c r="I580" s="67">
        <v>33</v>
      </c>
      <c r="J580" s="149">
        <f t="shared" si="417"/>
        <v>57</v>
      </c>
      <c r="K580" s="122">
        <f t="shared" si="400"/>
        <v>0.42105263157894735</v>
      </c>
      <c r="L580" s="123">
        <f t="shared" si="529"/>
        <v>-8.5789473684210531</v>
      </c>
      <c r="M580" s="156">
        <v>12</v>
      </c>
      <c r="N580" s="64">
        <v>8</v>
      </c>
      <c r="O580" s="64" t="s">
        <v>152</v>
      </c>
      <c r="P580" s="103">
        <v>11</v>
      </c>
      <c r="Q580" s="103">
        <v>1</v>
      </c>
      <c r="R580" s="103">
        <v>11</v>
      </c>
      <c r="S580" s="103">
        <v>2</v>
      </c>
      <c r="T580" s="103">
        <v>11</v>
      </c>
      <c r="U580" s="103">
        <v>1</v>
      </c>
      <c r="V580" s="69">
        <v>11</v>
      </c>
      <c r="W580" s="104">
        <v>4</v>
      </c>
      <c r="X580" s="67">
        <f t="shared" ref="X580:Y580" si="600">(P580+R580+T580+V580)</f>
        <v>44</v>
      </c>
      <c r="Y580" s="67">
        <f t="shared" si="600"/>
        <v>8</v>
      </c>
      <c r="Z580" s="68">
        <f t="shared" si="531"/>
        <v>52</v>
      </c>
      <c r="AA580" s="150" t="str">
        <f t="shared" si="386"/>
        <v>1C</v>
      </c>
      <c r="AB580" s="70" t="s">
        <v>1215</v>
      </c>
      <c r="AC580" s="70">
        <v>12</v>
      </c>
      <c r="AD580" s="70">
        <v>31</v>
      </c>
      <c r="AE580" s="70">
        <v>44</v>
      </c>
      <c r="AF580" s="70">
        <v>75</v>
      </c>
      <c r="AG580" s="72">
        <f t="shared" si="532"/>
        <v>0.41333333333333333</v>
      </c>
      <c r="AH580" s="73">
        <f t="shared" si="419"/>
        <v>-45.586666666666666</v>
      </c>
      <c r="AI580" s="74">
        <v>9</v>
      </c>
      <c r="AJ580" s="79" t="s">
        <v>1148</v>
      </c>
      <c r="AK580" s="76" t="s">
        <v>648</v>
      </c>
      <c r="AL580" s="67"/>
      <c r="AM580" s="506"/>
      <c r="AN580" s="505"/>
      <c r="AO580" s="515"/>
    </row>
    <row r="581" spans="1:41" ht="14.5">
      <c r="A581" s="58">
        <v>45185</v>
      </c>
      <c r="B581" s="67" t="s">
        <v>615</v>
      </c>
      <c r="C581" s="67" t="s">
        <v>221</v>
      </c>
      <c r="D581" s="67" t="s">
        <v>1216</v>
      </c>
      <c r="E581" s="109">
        <v>11</v>
      </c>
      <c r="F581" s="110">
        <v>10</v>
      </c>
      <c r="G581" s="111">
        <v>1</v>
      </c>
      <c r="H581" s="67">
        <v>22</v>
      </c>
      <c r="I581" s="67">
        <v>32</v>
      </c>
      <c r="J581" s="149">
        <f t="shared" si="417"/>
        <v>54</v>
      </c>
      <c r="K581" s="122">
        <f t="shared" si="400"/>
        <v>0.40740740740740738</v>
      </c>
      <c r="L581" s="123">
        <f t="shared" si="529"/>
        <v>-10.592592592592593</v>
      </c>
      <c r="M581" s="156">
        <v>13</v>
      </c>
      <c r="N581" s="86">
        <v>9</v>
      </c>
      <c r="O581" s="86" t="s">
        <v>1217</v>
      </c>
      <c r="P581" s="113">
        <v>1</v>
      </c>
      <c r="Q581" s="113">
        <v>11</v>
      </c>
      <c r="R581" s="113"/>
      <c r="S581" s="113"/>
      <c r="T581" s="103"/>
      <c r="U581" s="103"/>
      <c r="V581" s="69"/>
      <c r="W581" s="104"/>
      <c r="X581" s="67">
        <f t="shared" ref="X581:Y581" si="601">(P581+R581+T581+V581)</f>
        <v>1</v>
      </c>
      <c r="Y581" s="67">
        <f t="shared" si="601"/>
        <v>11</v>
      </c>
      <c r="Z581" s="68">
        <f t="shared" si="531"/>
        <v>12</v>
      </c>
      <c r="AA581" s="150" t="str">
        <f t="shared" si="386"/>
        <v>1D</v>
      </c>
      <c r="AB581" s="70" t="s">
        <v>1216</v>
      </c>
      <c r="AC581" s="70">
        <v>13</v>
      </c>
      <c r="AD581" s="70">
        <v>28</v>
      </c>
      <c r="AE581" s="70">
        <v>43</v>
      </c>
      <c r="AF581" s="70">
        <v>71</v>
      </c>
      <c r="AG581" s="72">
        <f t="shared" si="532"/>
        <v>0.39436619718309857</v>
      </c>
      <c r="AH581" s="73">
        <f t="shared" si="419"/>
        <v>-48.605633802816904</v>
      </c>
      <c r="AI581" s="74">
        <v>13</v>
      </c>
      <c r="AJ581" s="79" t="s">
        <v>1137</v>
      </c>
      <c r="AK581" s="76" t="s">
        <v>1001</v>
      </c>
      <c r="AL581" s="67"/>
      <c r="AM581" s="506"/>
      <c r="AN581" s="505"/>
      <c r="AO581" s="515"/>
    </row>
    <row r="582" spans="1:41" ht="14.5">
      <c r="A582" s="58">
        <v>45185</v>
      </c>
      <c r="B582" s="67" t="s">
        <v>615</v>
      </c>
      <c r="C582" s="67" t="s">
        <v>224</v>
      </c>
      <c r="D582" s="67" t="s">
        <v>1212</v>
      </c>
      <c r="E582" s="100">
        <v>11</v>
      </c>
      <c r="F582" s="101">
        <v>11</v>
      </c>
      <c r="G582" s="101">
        <v>11</v>
      </c>
      <c r="H582" s="67">
        <v>33</v>
      </c>
      <c r="I582" s="67">
        <v>16</v>
      </c>
      <c r="J582" s="149">
        <f t="shared" si="417"/>
        <v>49</v>
      </c>
      <c r="K582" s="122">
        <f t="shared" si="400"/>
        <v>0.67346938775510201</v>
      </c>
      <c r="L582" s="123">
        <f t="shared" si="529"/>
        <v>0.67346938775510201</v>
      </c>
      <c r="M582" s="156">
        <v>1</v>
      </c>
      <c r="N582" s="64">
        <v>5</v>
      </c>
      <c r="O582" s="64" t="s">
        <v>1218</v>
      </c>
      <c r="P582" s="103">
        <v>11</v>
      </c>
      <c r="Q582" s="103">
        <v>7</v>
      </c>
      <c r="R582" s="103">
        <v>7</v>
      </c>
      <c r="S582" s="103">
        <v>11</v>
      </c>
      <c r="T582" s="103"/>
      <c r="U582" s="103"/>
      <c r="V582" s="69"/>
      <c r="W582" s="104"/>
      <c r="X582" s="67">
        <f t="shared" ref="X582:Y582" si="602">(P582+R582+T582+V582)</f>
        <v>18</v>
      </c>
      <c r="Y582" s="67">
        <f t="shared" si="602"/>
        <v>18</v>
      </c>
      <c r="Z582" s="68">
        <f t="shared" si="531"/>
        <v>36</v>
      </c>
      <c r="AA582" s="150" t="str">
        <f t="shared" si="386"/>
        <v>2A</v>
      </c>
      <c r="AB582" s="70" t="s">
        <v>1212</v>
      </c>
      <c r="AC582" s="70">
        <v>1</v>
      </c>
      <c r="AD582" s="70">
        <v>46</v>
      </c>
      <c r="AE582" s="70">
        <v>33</v>
      </c>
      <c r="AF582" s="70">
        <v>79</v>
      </c>
      <c r="AG582" s="72">
        <f t="shared" si="532"/>
        <v>0.58227848101265822</v>
      </c>
      <c r="AH582" s="73">
        <f t="shared" si="419"/>
        <v>-30.417721518987342</v>
      </c>
      <c r="AI582" s="74">
        <v>8</v>
      </c>
      <c r="AJ582" s="79" t="s">
        <v>585</v>
      </c>
      <c r="AK582" s="76" t="s">
        <v>1219</v>
      </c>
      <c r="AL582" s="67"/>
      <c r="AM582" s="506"/>
      <c r="AN582" s="505"/>
      <c r="AO582" s="515"/>
    </row>
    <row r="583" spans="1:41" ht="14.5">
      <c r="A583" s="58">
        <v>45185</v>
      </c>
      <c r="B583" s="67" t="s">
        <v>615</v>
      </c>
      <c r="C583" s="67" t="s">
        <v>228</v>
      </c>
      <c r="D583" s="67" t="s">
        <v>1220</v>
      </c>
      <c r="E583" s="105">
        <v>7</v>
      </c>
      <c r="F583" s="106">
        <v>11</v>
      </c>
      <c r="G583" s="106">
        <v>7</v>
      </c>
      <c r="H583" s="67">
        <v>25</v>
      </c>
      <c r="I583" s="67">
        <v>27</v>
      </c>
      <c r="J583" s="149">
        <f t="shared" si="417"/>
        <v>52</v>
      </c>
      <c r="K583" s="122">
        <f t="shared" si="400"/>
        <v>0.48076923076923078</v>
      </c>
      <c r="L583" s="123">
        <f t="shared" si="529"/>
        <v>-7.5192307692307692</v>
      </c>
      <c r="M583" s="156">
        <v>10</v>
      </c>
      <c r="N583" s="86">
        <v>12</v>
      </c>
      <c r="O583" s="86" t="s">
        <v>1215</v>
      </c>
      <c r="P583" s="113">
        <v>7</v>
      </c>
      <c r="Q583" s="113">
        <v>11</v>
      </c>
      <c r="R583" s="103"/>
      <c r="S583" s="103"/>
      <c r="T583" s="103"/>
      <c r="U583" s="103"/>
      <c r="V583" s="69"/>
      <c r="W583" s="104"/>
      <c r="X583" s="67">
        <f t="shared" ref="X583:Y583" si="603">(P583+R583+T583+V583)</f>
        <v>7</v>
      </c>
      <c r="Y583" s="67">
        <f t="shared" si="603"/>
        <v>11</v>
      </c>
      <c r="Z583" s="68">
        <f t="shared" si="531"/>
        <v>18</v>
      </c>
      <c r="AA583" s="150" t="str">
        <f t="shared" si="386"/>
        <v>2B</v>
      </c>
      <c r="AB583" s="70" t="s">
        <v>1220</v>
      </c>
      <c r="AC583" s="70">
        <v>10</v>
      </c>
      <c r="AD583" s="70">
        <v>30</v>
      </c>
      <c r="AE583" s="70">
        <v>38</v>
      </c>
      <c r="AF583" s="70">
        <v>68</v>
      </c>
      <c r="AG583" s="72">
        <f t="shared" si="532"/>
        <v>0.44117647058823528</v>
      </c>
      <c r="AH583" s="73">
        <f t="shared" si="419"/>
        <v>-46.558823529411768</v>
      </c>
      <c r="AI583" s="74">
        <v>10</v>
      </c>
      <c r="AJ583" s="79" t="s">
        <v>1052</v>
      </c>
      <c r="AK583" s="76" t="s">
        <v>1221</v>
      </c>
      <c r="AL583" s="67"/>
      <c r="AM583" s="506"/>
      <c r="AN583" s="505"/>
      <c r="AO583" s="515"/>
    </row>
    <row r="584" spans="1:41" ht="14.5">
      <c r="A584" s="58">
        <v>45185</v>
      </c>
      <c r="B584" s="67" t="s">
        <v>615</v>
      </c>
      <c r="C584" s="67" t="s">
        <v>232</v>
      </c>
      <c r="D584" s="67" t="s">
        <v>153</v>
      </c>
      <c r="E584" s="107">
        <v>11</v>
      </c>
      <c r="F584" s="108">
        <v>6</v>
      </c>
      <c r="G584" s="106">
        <v>11</v>
      </c>
      <c r="H584" s="67">
        <v>28</v>
      </c>
      <c r="I584" s="67">
        <v>23</v>
      </c>
      <c r="J584" s="149">
        <f t="shared" si="417"/>
        <v>51</v>
      </c>
      <c r="K584" s="122">
        <f t="shared" si="400"/>
        <v>0.5490196078431373</v>
      </c>
      <c r="L584" s="123">
        <f t="shared" si="529"/>
        <v>-4.4509803921568629</v>
      </c>
      <c r="M584" s="156">
        <v>6</v>
      </c>
      <c r="N584" s="64">
        <v>4</v>
      </c>
      <c r="O584" s="64" t="s">
        <v>1222</v>
      </c>
      <c r="P584" s="103">
        <v>11</v>
      </c>
      <c r="Q584" s="103">
        <v>6</v>
      </c>
      <c r="R584" s="103">
        <v>11</v>
      </c>
      <c r="S584" s="103">
        <v>7</v>
      </c>
      <c r="T584" s="103">
        <v>1</v>
      </c>
      <c r="U584" s="103">
        <v>11</v>
      </c>
      <c r="V584" s="69"/>
      <c r="W584" s="104"/>
      <c r="X584" s="67">
        <f t="shared" ref="X584:Y584" si="604">(P584+R584+T584+V584)</f>
        <v>23</v>
      </c>
      <c r="Y584" s="67">
        <f t="shared" si="604"/>
        <v>24</v>
      </c>
      <c r="Z584" s="68">
        <f t="shared" si="531"/>
        <v>47</v>
      </c>
      <c r="AA584" s="150" t="str">
        <f t="shared" si="386"/>
        <v>2C</v>
      </c>
      <c r="AB584" s="70" t="s">
        <v>153</v>
      </c>
      <c r="AC584" s="70">
        <v>6</v>
      </c>
      <c r="AD584" s="70">
        <v>65</v>
      </c>
      <c r="AE584" s="70">
        <v>48</v>
      </c>
      <c r="AF584" s="70">
        <v>113</v>
      </c>
      <c r="AG584" s="72">
        <f t="shared" si="532"/>
        <v>0.5752212389380531</v>
      </c>
      <c r="AH584" s="73">
        <f t="shared" si="419"/>
        <v>-11.424778761061948</v>
      </c>
      <c r="AI584" s="74">
        <v>2</v>
      </c>
      <c r="AJ584" s="79" t="s">
        <v>929</v>
      </c>
      <c r="AK584" s="76" t="s">
        <v>1154</v>
      </c>
      <c r="AL584" s="67"/>
      <c r="AM584" s="506"/>
      <c r="AN584" s="505"/>
      <c r="AO584" s="515"/>
    </row>
    <row r="585" spans="1:41" ht="14.5">
      <c r="A585" s="58">
        <v>45185</v>
      </c>
      <c r="B585" s="67" t="s">
        <v>615</v>
      </c>
      <c r="C585" s="67" t="s">
        <v>237</v>
      </c>
      <c r="D585" s="67" t="s">
        <v>1214</v>
      </c>
      <c r="E585" s="109">
        <v>5</v>
      </c>
      <c r="F585" s="110">
        <v>5</v>
      </c>
      <c r="G585" s="111">
        <v>3</v>
      </c>
      <c r="H585" s="67">
        <v>13</v>
      </c>
      <c r="I585" s="67">
        <v>33</v>
      </c>
      <c r="J585" s="149">
        <f t="shared" si="417"/>
        <v>46</v>
      </c>
      <c r="K585" s="122">
        <f t="shared" si="400"/>
        <v>0.28260869565217389</v>
      </c>
      <c r="L585" s="123">
        <f t="shared" si="529"/>
        <v>-19.717391304347824</v>
      </c>
      <c r="M585" s="156">
        <v>16</v>
      </c>
      <c r="N585" s="86">
        <v>13</v>
      </c>
      <c r="O585" s="86" t="s">
        <v>1216</v>
      </c>
      <c r="P585" s="113">
        <v>6</v>
      </c>
      <c r="Q585" s="113">
        <v>11</v>
      </c>
      <c r="R585" s="113"/>
      <c r="S585" s="113"/>
      <c r="T585" s="113"/>
      <c r="U585" s="113"/>
      <c r="V585" s="93"/>
      <c r="W585" s="114"/>
      <c r="X585" s="67">
        <f t="shared" ref="X585:Y585" si="605">(P585+R585+T585+V585)</f>
        <v>6</v>
      </c>
      <c r="Y585" s="67">
        <f t="shared" si="605"/>
        <v>11</v>
      </c>
      <c r="Z585" s="68">
        <f t="shared" si="531"/>
        <v>17</v>
      </c>
      <c r="AA585" s="150" t="str">
        <f t="shared" si="386"/>
        <v>2D</v>
      </c>
      <c r="AB585" s="70" t="s">
        <v>1214</v>
      </c>
      <c r="AC585" s="70">
        <v>16</v>
      </c>
      <c r="AD585" s="70">
        <v>19</v>
      </c>
      <c r="AE585" s="70">
        <v>44</v>
      </c>
      <c r="AF585" s="70">
        <v>63</v>
      </c>
      <c r="AG585" s="72">
        <f t="shared" si="532"/>
        <v>0.30158730158730157</v>
      </c>
      <c r="AH585" s="73">
        <f t="shared" si="419"/>
        <v>-57.698412698412696</v>
      </c>
      <c r="AI585" s="74">
        <v>15</v>
      </c>
      <c r="AJ585" s="79" t="s">
        <v>1161</v>
      </c>
      <c r="AK585" s="76" t="s">
        <v>1008</v>
      </c>
      <c r="AL585" s="67"/>
      <c r="AM585" s="506"/>
      <c r="AN585" s="505"/>
      <c r="AO585" s="515"/>
    </row>
    <row r="586" spans="1:41" ht="14.5">
      <c r="A586" s="58">
        <v>45185</v>
      </c>
      <c r="B586" s="67" t="s">
        <v>615</v>
      </c>
      <c r="C586" s="67" t="s">
        <v>241</v>
      </c>
      <c r="D586" s="67" t="s">
        <v>1218</v>
      </c>
      <c r="E586" s="100">
        <v>9</v>
      </c>
      <c r="F586" s="101">
        <v>11</v>
      </c>
      <c r="G586" s="101">
        <v>11</v>
      </c>
      <c r="H586" s="67">
        <v>31</v>
      </c>
      <c r="I586" s="67">
        <v>25</v>
      </c>
      <c r="J586" s="149">
        <f t="shared" si="417"/>
        <v>56</v>
      </c>
      <c r="K586" s="122">
        <f t="shared" si="400"/>
        <v>0.5535714285714286</v>
      </c>
      <c r="L586" s="123">
        <f t="shared" si="529"/>
        <v>-1.4464285714285714</v>
      </c>
      <c r="M586" s="156">
        <v>5</v>
      </c>
      <c r="N586" s="64">
        <v>6</v>
      </c>
      <c r="O586" s="64" t="s">
        <v>153</v>
      </c>
      <c r="P586" s="103">
        <v>11</v>
      </c>
      <c r="Q586" s="103">
        <v>5</v>
      </c>
      <c r="R586" s="103">
        <v>11</v>
      </c>
      <c r="S586" s="103">
        <v>4</v>
      </c>
      <c r="T586" s="103">
        <v>11</v>
      </c>
      <c r="U586" s="103">
        <v>5</v>
      </c>
      <c r="V586" s="69">
        <v>4</v>
      </c>
      <c r="W586" s="104">
        <v>11</v>
      </c>
      <c r="X586" s="67">
        <f t="shared" ref="X586:Y586" si="606">(P586+R586+T586+V586)</f>
        <v>37</v>
      </c>
      <c r="Y586" s="67">
        <f t="shared" si="606"/>
        <v>25</v>
      </c>
      <c r="Z586" s="68">
        <f t="shared" si="531"/>
        <v>62</v>
      </c>
      <c r="AA586" s="150" t="str">
        <f t="shared" si="386"/>
        <v>3A</v>
      </c>
      <c r="AB586" s="70" t="s">
        <v>1218</v>
      </c>
      <c r="AC586" s="70">
        <v>5</v>
      </c>
      <c r="AD586" s="70">
        <v>49</v>
      </c>
      <c r="AE586" s="70">
        <v>43</v>
      </c>
      <c r="AF586" s="70">
        <v>92</v>
      </c>
      <c r="AG586" s="72">
        <f t="shared" si="532"/>
        <v>0.53260869565217395</v>
      </c>
      <c r="AH586" s="73">
        <f t="shared" si="419"/>
        <v>-27.467391304347824</v>
      </c>
      <c r="AI586" s="74">
        <v>6</v>
      </c>
      <c r="AJ586" s="79" t="s">
        <v>940</v>
      </c>
      <c r="AK586" s="76" t="s">
        <v>1152</v>
      </c>
      <c r="AL586" s="67"/>
      <c r="AM586" s="506"/>
      <c r="AN586" s="505"/>
      <c r="AO586" s="515"/>
    </row>
    <row r="587" spans="1:41" ht="14.5">
      <c r="A587" s="58">
        <v>45185</v>
      </c>
      <c r="B587" s="67" t="s">
        <v>615</v>
      </c>
      <c r="C587" s="67" t="s">
        <v>246</v>
      </c>
      <c r="D587" s="67" t="s">
        <v>1222</v>
      </c>
      <c r="E587" s="105">
        <v>11</v>
      </c>
      <c r="F587" s="106">
        <v>11</v>
      </c>
      <c r="G587" s="106">
        <v>11</v>
      </c>
      <c r="H587" s="67">
        <v>33</v>
      </c>
      <c r="I587" s="67">
        <v>23</v>
      </c>
      <c r="J587" s="149">
        <f t="shared" si="417"/>
        <v>56</v>
      </c>
      <c r="K587" s="122">
        <f t="shared" si="400"/>
        <v>0.5892857142857143</v>
      </c>
      <c r="L587" s="123">
        <f t="shared" si="529"/>
        <v>0.5892857142857143</v>
      </c>
      <c r="M587" s="156">
        <v>4</v>
      </c>
      <c r="N587" s="86">
        <v>11</v>
      </c>
      <c r="O587" s="86" t="s">
        <v>1223</v>
      </c>
      <c r="P587" s="113">
        <v>5</v>
      </c>
      <c r="Q587" s="113">
        <v>11</v>
      </c>
      <c r="R587" s="103"/>
      <c r="S587" s="103"/>
      <c r="T587" s="103"/>
      <c r="U587" s="103"/>
      <c r="V587" s="69"/>
      <c r="W587" s="104"/>
      <c r="X587" s="67">
        <f t="shared" ref="X587:Y587" si="607">(P587+R587+T587+V587)</f>
        <v>5</v>
      </c>
      <c r="Y587" s="67">
        <f t="shared" si="607"/>
        <v>11</v>
      </c>
      <c r="Z587" s="68">
        <f t="shared" si="531"/>
        <v>16</v>
      </c>
      <c r="AA587" s="150" t="str">
        <f t="shared" si="386"/>
        <v>3B</v>
      </c>
      <c r="AB587" s="70" t="s">
        <v>1222</v>
      </c>
      <c r="AC587" s="70">
        <v>4</v>
      </c>
      <c r="AD587" s="70">
        <v>56</v>
      </c>
      <c r="AE587" s="70">
        <v>47</v>
      </c>
      <c r="AF587" s="70">
        <v>103</v>
      </c>
      <c r="AG587" s="72">
        <f t="shared" si="532"/>
        <v>0.5436893203883495</v>
      </c>
      <c r="AH587" s="73">
        <f t="shared" si="419"/>
        <v>-20.456310679611651</v>
      </c>
      <c r="AI587" s="74">
        <v>4</v>
      </c>
      <c r="AJ587" s="79" t="s">
        <v>1163</v>
      </c>
      <c r="AK587" s="76" t="s">
        <v>1224</v>
      </c>
      <c r="AL587" s="67"/>
      <c r="AM587" s="506"/>
      <c r="AN587" s="505"/>
      <c r="AO587" s="515"/>
    </row>
    <row r="588" spans="1:41" ht="14.5">
      <c r="A588" s="58">
        <v>45185</v>
      </c>
      <c r="B588" s="67" t="s">
        <v>615</v>
      </c>
      <c r="C588" s="67" t="s">
        <v>251</v>
      </c>
      <c r="D588" s="67" t="s">
        <v>1225</v>
      </c>
      <c r="E588" s="107">
        <v>5</v>
      </c>
      <c r="F588" s="108">
        <v>7</v>
      </c>
      <c r="G588" s="106">
        <v>9</v>
      </c>
      <c r="H588" s="67">
        <v>21</v>
      </c>
      <c r="I588" s="67">
        <v>33</v>
      </c>
      <c r="J588" s="149">
        <f t="shared" si="417"/>
        <v>54</v>
      </c>
      <c r="K588" s="122">
        <f t="shared" si="400"/>
        <v>0.3888888888888889</v>
      </c>
      <c r="L588" s="123">
        <f t="shared" si="529"/>
        <v>-11.611111111111111</v>
      </c>
      <c r="M588" s="156">
        <v>14</v>
      </c>
      <c r="N588" s="64">
        <v>3</v>
      </c>
      <c r="O588" s="64" t="s">
        <v>1226</v>
      </c>
      <c r="P588" s="103">
        <v>11</v>
      </c>
      <c r="Q588" s="103">
        <v>9</v>
      </c>
      <c r="R588" s="103">
        <v>4</v>
      </c>
      <c r="S588" s="103">
        <v>11</v>
      </c>
      <c r="T588" s="103"/>
      <c r="U588" s="103"/>
      <c r="V588" s="69"/>
      <c r="W588" s="104"/>
      <c r="X588" s="67">
        <f t="shared" ref="X588:Y588" si="608">(P588+R588+T588+V588)</f>
        <v>15</v>
      </c>
      <c r="Y588" s="67">
        <f t="shared" si="608"/>
        <v>20</v>
      </c>
      <c r="Z588" s="68">
        <f t="shared" si="531"/>
        <v>35</v>
      </c>
      <c r="AA588" s="150" t="str">
        <f t="shared" si="386"/>
        <v>3C</v>
      </c>
      <c r="AB588" s="70" t="s">
        <v>1225</v>
      </c>
      <c r="AC588" s="70">
        <v>14</v>
      </c>
      <c r="AD588" s="70">
        <v>30</v>
      </c>
      <c r="AE588" s="70">
        <v>44</v>
      </c>
      <c r="AF588" s="70">
        <v>74</v>
      </c>
      <c r="AG588" s="72">
        <f t="shared" si="532"/>
        <v>0.40540540540540543</v>
      </c>
      <c r="AH588" s="73">
        <f t="shared" si="419"/>
        <v>-46.594594594594597</v>
      </c>
      <c r="AI588" s="74">
        <v>11</v>
      </c>
      <c r="AJ588" s="79" t="s">
        <v>525</v>
      </c>
      <c r="AK588" s="76" t="s">
        <v>1227</v>
      </c>
      <c r="AL588" s="67"/>
      <c r="AM588" s="506"/>
      <c r="AN588" s="505"/>
      <c r="AO588" s="515"/>
    </row>
    <row r="589" spans="1:41" ht="14.5">
      <c r="A589" s="58">
        <v>45185</v>
      </c>
      <c r="B589" s="67" t="s">
        <v>615</v>
      </c>
      <c r="C589" s="67" t="s">
        <v>256</v>
      </c>
      <c r="D589" s="67" t="s">
        <v>1223</v>
      </c>
      <c r="E589" s="109">
        <v>11</v>
      </c>
      <c r="F589" s="110">
        <v>5</v>
      </c>
      <c r="G589" s="111">
        <v>7</v>
      </c>
      <c r="H589" s="67">
        <v>23</v>
      </c>
      <c r="I589" s="67">
        <v>27</v>
      </c>
      <c r="J589" s="149">
        <f t="shared" si="417"/>
        <v>50</v>
      </c>
      <c r="K589" s="122">
        <f t="shared" si="400"/>
        <v>0.46</v>
      </c>
      <c r="L589" s="123">
        <f t="shared" si="529"/>
        <v>-9.5399999999999991</v>
      </c>
      <c r="M589" s="156">
        <v>11</v>
      </c>
      <c r="N589" s="86">
        <v>14</v>
      </c>
      <c r="O589" s="86" t="s">
        <v>1225</v>
      </c>
      <c r="P589" s="113">
        <v>9</v>
      </c>
      <c r="Q589" s="113">
        <v>11</v>
      </c>
      <c r="R589" s="113"/>
      <c r="S589" s="113"/>
      <c r="T589" s="103"/>
      <c r="U589" s="103"/>
      <c r="V589" s="69"/>
      <c r="W589" s="104"/>
      <c r="X589" s="67">
        <f t="shared" ref="X589:Y589" si="609">(P589+R589+T589+V589)</f>
        <v>9</v>
      </c>
      <c r="Y589" s="67">
        <f t="shared" si="609"/>
        <v>11</v>
      </c>
      <c r="Z589" s="68">
        <f t="shared" si="531"/>
        <v>20</v>
      </c>
      <c r="AA589" s="150" t="str">
        <f t="shared" si="386"/>
        <v>3D</v>
      </c>
      <c r="AB589" s="70" t="s">
        <v>1223</v>
      </c>
      <c r="AC589" s="70">
        <v>11</v>
      </c>
      <c r="AD589" s="70">
        <v>28</v>
      </c>
      <c r="AE589" s="70">
        <v>38</v>
      </c>
      <c r="AF589" s="70">
        <v>66</v>
      </c>
      <c r="AG589" s="72">
        <f t="shared" si="532"/>
        <v>0.42424242424242425</v>
      </c>
      <c r="AH589" s="73">
        <f t="shared" si="419"/>
        <v>-48.575757575757578</v>
      </c>
      <c r="AI589" s="74">
        <v>12</v>
      </c>
      <c r="AJ589" s="79" t="s">
        <v>1228</v>
      </c>
      <c r="AK589" s="76" t="s">
        <v>1062</v>
      </c>
      <c r="AL589" s="67"/>
      <c r="AM589" s="506"/>
      <c r="AN589" s="505"/>
      <c r="AO589" s="515"/>
    </row>
    <row r="590" spans="1:41" ht="14.5">
      <c r="A590" s="58">
        <v>45185</v>
      </c>
      <c r="B590" s="67" t="s">
        <v>615</v>
      </c>
      <c r="C590" s="67" t="s">
        <v>261</v>
      </c>
      <c r="D590" s="67" t="s">
        <v>1226</v>
      </c>
      <c r="E590" s="100">
        <v>11</v>
      </c>
      <c r="F590" s="101">
        <v>11</v>
      </c>
      <c r="G590" s="101">
        <v>11</v>
      </c>
      <c r="H590" s="67">
        <v>33</v>
      </c>
      <c r="I590" s="67">
        <v>19</v>
      </c>
      <c r="J590" s="149">
        <f t="shared" si="417"/>
        <v>52</v>
      </c>
      <c r="K590" s="122">
        <f t="shared" si="400"/>
        <v>0.63461538461538458</v>
      </c>
      <c r="L590" s="123">
        <f t="shared" si="529"/>
        <v>0.63461538461538458</v>
      </c>
      <c r="M590" s="156">
        <v>3</v>
      </c>
      <c r="N590" s="64">
        <v>7</v>
      </c>
      <c r="O590" s="64" t="s">
        <v>1229</v>
      </c>
      <c r="P590" s="103">
        <v>11</v>
      </c>
      <c r="Q590" s="103">
        <v>5</v>
      </c>
      <c r="R590" s="103">
        <v>9</v>
      </c>
      <c r="S590" s="103">
        <v>11</v>
      </c>
      <c r="T590" s="103"/>
      <c r="U590" s="103"/>
      <c r="V590" s="69"/>
      <c r="W590" s="104"/>
      <c r="X590" s="67">
        <f t="shared" ref="X590:Y590" si="610">(P590+R590+T590+V590)</f>
        <v>20</v>
      </c>
      <c r="Y590" s="67">
        <f t="shared" si="610"/>
        <v>16</v>
      </c>
      <c r="Z590" s="68">
        <f t="shared" si="531"/>
        <v>36</v>
      </c>
      <c r="AA590" s="150" t="str">
        <f t="shared" si="386"/>
        <v>4A</v>
      </c>
      <c r="AB590" s="70" t="s">
        <v>1226</v>
      </c>
      <c r="AC590" s="70">
        <v>3</v>
      </c>
      <c r="AD590" s="70">
        <v>48</v>
      </c>
      <c r="AE590" s="70">
        <v>39</v>
      </c>
      <c r="AF590" s="70">
        <v>87</v>
      </c>
      <c r="AG590" s="72">
        <f t="shared" si="532"/>
        <v>0.55172413793103448</v>
      </c>
      <c r="AH590" s="73">
        <f t="shared" si="419"/>
        <v>-28.448275862068964</v>
      </c>
      <c r="AI590" s="74">
        <v>7</v>
      </c>
      <c r="AJ590" s="79" t="s">
        <v>753</v>
      </c>
      <c r="AK590" s="76" t="s">
        <v>1055</v>
      </c>
      <c r="AL590" s="67"/>
      <c r="AM590" s="506"/>
      <c r="AN590" s="505"/>
      <c r="AO590" s="515"/>
    </row>
    <row r="591" spans="1:41" ht="14.5">
      <c r="A591" s="58">
        <v>45185</v>
      </c>
      <c r="B591" s="67" t="s">
        <v>615</v>
      </c>
      <c r="C591" s="67" t="s">
        <v>268</v>
      </c>
      <c r="D591" s="67" t="s">
        <v>1230</v>
      </c>
      <c r="E591" s="105">
        <v>6</v>
      </c>
      <c r="F591" s="106">
        <v>3</v>
      </c>
      <c r="G591" s="106">
        <v>6</v>
      </c>
      <c r="H591" s="67">
        <v>15</v>
      </c>
      <c r="I591" s="67">
        <v>33</v>
      </c>
      <c r="J591" s="149">
        <f t="shared" si="417"/>
        <v>48</v>
      </c>
      <c r="K591" s="122">
        <f t="shared" si="400"/>
        <v>0.3125</v>
      </c>
      <c r="L591" s="123">
        <f t="shared" si="529"/>
        <v>-17.6875</v>
      </c>
      <c r="M591" s="103">
        <v>15</v>
      </c>
      <c r="N591" s="86">
        <v>10</v>
      </c>
      <c r="O591" s="86" t="s">
        <v>1220</v>
      </c>
      <c r="P591" s="113">
        <v>5</v>
      </c>
      <c r="Q591" s="113">
        <v>11</v>
      </c>
      <c r="R591" s="103"/>
      <c r="S591" s="103"/>
      <c r="T591" s="103"/>
      <c r="U591" s="103"/>
      <c r="V591" s="69"/>
      <c r="W591" s="104"/>
      <c r="X591" s="67">
        <f t="shared" ref="X591:Y591" si="611">(P591+R591+T591+V591)</f>
        <v>5</v>
      </c>
      <c r="Y591" s="67">
        <f t="shared" si="611"/>
        <v>11</v>
      </c>
      <c r="Z591" s="68">
        <f t="shared" si="531"/>
        <v>16</v>
      </c>
      <c r="AA591" s="150" t="str">
        <f t="shared" si="386"/>
        <v>4B</v>
      </c>
      <c r="AB591" s="70" t="s">
        <v>1230</v>
      </c>
      <c r="AC591" s="70">
        <v>15</v>
      </c>
      <c r="AD591" s="70">
        <v>18</v>
      </c>
      <c r="AE591" s="70">
        <v>44</v>
      </c>
      <c r="AF591" s="70">
        <v>62</v>
      </c>
      <c r="AG591" s="72">
        <f t="shared" si="532"/>
        <v>0.29032258064516131</v>
      </c>
      <c r="AH591" s="73">
        <f t="shared" si="419"/>
        <v>-58.70967741935484</v>
      </c>
      <c r="AI591" s="74">
        <v>16</v>
      </c>
      <c r="AJ591" s="79" t="s">
        <v>1231</v>
      </c>
      <c r="AK591" s="76" t="s">
        <v>1232</v>
      </c>
      <c r="AL591" s="67"/>
      <c r="AM591" s="506"/>
      <c r="AN591" s="505"/>
      <c r="AO591" s="515"/>
    </row>
    <row r="592" spans="1:41" ht="14.5">
      <c r="A592" s="58">
        <v>45185</v>
      </c>
      <c r="B592" s="67" t="s">
        <v>615</v>
      </c>
      <c r="C592" s="67" t="s">
        <v>271</v>
      </c>
      <c r="D592" s="67" t="s">
        <v>1217</v>
      </c>
      <c r="E592" s="107">
        <v>11</v>
      </c>
      <c r="F592" s="108">
        <v>3</v>
      </c>
      <c r="G592" s="106">
        <v>11</v>
      </c>
      <c r="H592" s="67">
        <v>25</v>
      </c>
      <c r="I592" s="67">
        <v>26</v>
      </c>
      <c r="J592" s="149">
        <f t="shared" si="417"/>
        <v>51</v>
      </c>
      <c r="K592" s="122">
        <f t="shared" si="400"/>
        <v>0.49019607843137253</v>
      </c>
      <c r="L592" s="123">
        <f t="shared" si="529"/>
        <v>-7.5098039215686274</v>
      </c>
      <c r="M592" s="103">
        <v>9</v>
      </c>
      <c r="N592" s="64">
        <v>2</v>
      </c>
      <c r="O592" s="64" t="s">
        <v>1211</v>
      </c>
      <c r="P592" s="103">
        <v>11</v>
      </c>
      <c r="Q592" s="103">
        <v>3</v>
      </c>
      <c r="R592" s="103">
        <v>11</v>
      </c>
      <c r="S592" s="103">
        <v>9</v>
      </c>
      <c r="T592" s="103">
        <v>5</v>
      </c>
      <c r="U592" s="103">
        <v>11</v>
      </c>
      <c r="V592" s="69"/>
      <c r="W592" s="104"/>
      <c r="X592" s="67">
        <f t="shared" ref="X592:Y592" si="612">(P592+R592+T592+V592)</f>
        <v>27</v>
      </c>
      <c r="Y592" s="67">
        <f t="shared" si="612"/>
        <v>23</v>
      </c>
      <c r="Z592" s="68">
        <f t="shared" si="531"/>
        <v>50</v>
      </c>
      <c r="AA592" s="150" t="str">
        <f t="shared" si="386"/>
        <v>4C</v>
      </c>
      <c r="AB592" s="70" t="s">
        <v>1217</v>
      </c>
      <c r="AC592" s="70">
        <v>9</v>
      </c>
      <c r="AD592" s="70">
        <v>26</v>
      </c>
      <c r="AE592" s="70">
        <v>37</v>
      </c>
      <c r="AF592" s="70">
        <v>63</v>
      </c>
      <c r="AG592" s="72">
        <f t="shared" si="532"/>
        <v>0.41269841269841268</v>
      </c>
      <c r="AH592" s="73">
        <f t="shared" si="419"/>
        <v>-50.587301587301589</v>
      </c>
      <c r="AI592" s="74">
        <v>14</v>
      </c>
      <c r="AJ592" s="79" t="s">
        <v>512</v>
      </c>
      <c r="AK592" s="76" t="s">
        <v>791</v>
      </c>
      <c r="AL592" s="67"/>
      <c r="AM592" s="506"/>
      <c r="AN592" s="505"/>
      <c r="AO592" s="515"/>
    </row>
    <row r="593" spans="1:41" ht="14.5">
      <c r="A593" s="126">
        <v>45185</v>
      </c>
      <c r="B593" s="138" t="s">
        <v>615</v>
      </c>
      <c r="C593" s="138" t="s">
        <v>276</v>
      </c>
      <c r="D593" s="138" t="s">
        <v>1229</v>
      </c>
      <c r="E593" s="157">
        <v>9</v>
      </c>
      <c r="F593" s="158">
        <v>11</v>
      </c>
      <c r="G593" s="159">
        <v>10</v>
      </c>
      <c r="H593" s="138">
        <v>30</v>
      </c>
      <c r="I593" s="138">
        <v>25</v>
      </c>
      <c r="J593" s="160">
        <f t="shared" si="417"/>
        <v>55</v>
      </c>
      <c r="K593" s="161">
        <f t="shared" si="400"/>
        <v>0.54545454545454541</v>
      </c>
      <c r="L593" s="162">
        <f t="shared" si="529"/>
        <v>-2.4545454545454546</v>
      </c>
      <c r="M593" s="137">
        <v>7</v>
      </c>
      <c r="N593" s="133">
        <v>15</v>
      </c>
      <c r="O593" s="133" t="s">
        <v>1230</v>
      </c>
      <c r="P593" s="137">
        <v>3</v>
      </c>
      <c r="Q593" s="137">
        <v>11</v>
      </c>
      <c r="R593" s="137"/>
      <c r="S593" s="137"/>
      <c r="T593" s="137"/>
      <c r="U593" s="137"/>
      <c r="V593" s="141"/>
      <c r="W593" s="139"/>
      <c r="X593" s="138">
        <f t="shared" ref="X593:Y593" si="613">(P593+R593+T593+V593)</f>
        <v>3</v>
      </c>
      <c r="Y593" s="138">
        <f t="shared" si="613"/>
        <v>11</v>
      </c>
      <c r="Z593" s="140">
        <f t="shared" si="531"/>
        <v>14</v>
      </c>
      <c r="AA593" s="163" t="str">
        <f t="shared" si="386"/>
        <v>4D</v>
      </c>
      <c r="AB593" s="142" t="s">
        <v>1229</v>
      </c>
      <c r="AC593" s="142">
        <v>7</v>
      </c>
      <c r="AD593" s="142">
        <v>50</v>
      </c>
      <c r="AE593" s="142">
        <v>41</v>
      </c>
      <c r="AF593" s="142">
        <v>91</v>
      </c>
      <c r="AG593" s="143">
        <f t="shared" si="532"/>
        <v>0.5494505494505495</v>
      </c>
      <c r="AH593" s="144">
        <f t="shared" si="419"/>
        <v>-26.450549450549449</v>
      </c>
      <c r="AI593" s="145">
        <v>5</v>
      </c>
      <c r="AJ593" s="164" t="s">
        <v>1034</v>
      </c>
      <c r="AK593" s="147" t="s">
        <v>1233</v>
      </c>
      <c r="AL593" s="67"/>
      <c r="AM593" s="506"/>
      <c r="AN593" s="505"/>
      <c r="AO593" s="515"/>
    </row>
    <row r="594" spans="1:41" ht="14.5">
      <c r="A594" s="58">
        <v>45206</v>
      </c>
      <c r="B594" s="67" t="s">
        <v>428</v>
      </c>
      <c r="C594" s="67" t="s">
        <v>205</v>
      </c>
      <c r="D594" s="67" t="s">
        <v>1234</v>
      </c>
      <c r="E594" s="148">
        <v>11</v>
      </c>
      <c r="F594" s="165">
        <v>5</v>
      </c>
      <c r="G594" s="165">
        <v>10</v>
      </c>
      <c r="H594" s="67">
        <v>26</v>
      </c>
      <c r="I594" s="67">
        <v>31</v>
      </c>
      <c r="J594" s="149">
        <f t="shared" si="417"/>
        <v>57</v>
      </c>
      <c r="K594" s="122">
        <f t="shared" si="400"/>
        <v>0.45614035087719296</v>
      </c>
      <c r="L594" s="123">
        <f t="shared" si="529"/>
        <v>-6.5438596491228074</v>
      </c>
      <c r="M594" s="103">
        <f ca="1">IFERROR(__xludf.DUMMYFUNCTION("IF(A594&lt;&gt;"""", RANK(L594, FILTER(L$2:L$1000, A$2:A$1000=A594)) + COUNTIF(FILTER(L$2:L594, A$2:A594=A594), L594) - 1, """")"),7)</f>
        <v>7</v>
      </c>
      <c r="N594" s="64">
        <v>1</v>
      </c>
      <c r="O594" s="64" t="s">
        <v>157</v>
      </c>
      <c r="P594" s="103">
        <v>11</v>
      </c>
      <c r="Q594" s="103">
        <v>1</v>
      </c>
      <c r="R594" s="103">
        <v>11</v>
      </c>
      <c r="S594" s="103">
        <v>5</v>
      </c>
      <c r="T594" s="103">
        <v>11</v>
      </c>
      <c r="U594" s="103">
        <v>5</v>
      </c>
      <c r="V594" s="69">
        <v>10</v>
      </c>
      <c r="W594" s="104">
        <v>11</v>
      </c>
      <c r="X594" s="67">
        <f t="shared" ref="X594:Y594" si="614">(P594+R594+T594+V594)</f>
        <v>43</v>
      </c>
      <c r="Y594" s="67">
        <f t="shared" si="614"/>
        <v>22</v>
      </c>
      <c r="Z594" s="68">
        <f t="shared" si="531"/>
        <v>65</v>
      </c>
      <c r="AA594" s="69" t="str">
        <f t="shared" si="386"/>
        <v>1A</v>
      </c>
      <c r="AB594" s="70" t="s">
        <v>1234</v>
      </c>
      <c r="AC594" s="70">
        <v>7</v>
      </c>
      <c r="AD594" s="70">
        <v>40</v>
      </c>
      <c r="AE594" s="70">
        <v>48</v>
      </c>
      <c r="AF594" s="70">
        <v>88</v>
      </c>
      <c r="AG594" s="72">
        <f t="shared" si="532"/>
        <v>0.45454545454545453</v>
      </c>
      <c r="AH594" s="73">
        <f t="shared" si="419"/>
        <v>-36.545454545454547</v>
      </c>
      <c r="AI594" s="74">
        <v>8</v>
      </c>
      <c r="AJ594" s="79" t="s">
        <v>1034</v>
      </c>
      <c r="AK594" s="76" t="s">
        <v>1086</v>
      </c>
      <c r="AL594" s="67"/>
      <c r="AM594" s="506"/>
      <c r="AN594" s="505"/>
      <c r="AO594" s="515"/>
    </row>
    <row r="595" spans="1:41" ht="14.5">
      <c r="A595" s="58">
        <v>45206</v>
      </c>
      <c r="B595" s="67" t="s">
        <v>428</v>
      </c>
      <c r="C595" s="67" t="s">
        <v>211</v>
      </c>
      <c r="D595" s="67" t="s">
        <v>1235</v>
      </c>
      <c r="E595" s="105">
        <v>9</v>
      </c>
      <c r="F595" s="106">
        <v>5</v>
      </c>
      <c r="G595" s="106">
        <v>4</v>
      </c>
      <c r="H595" s="67">
        <v>18</v>
      </c>
      <c r="I595" s="67">
        <v>33</v>
      </c>
      <c r="J595" s="149">
        <f t="shared" si="417"/>
        <v>51</v>
      </c>
      <c r="K595" s="122">
        <f t="shared" si="400"/>
        <v>0.35294117647058826</v>
      </c>
      <c r="L595" s="123">
        <f t="shared" si="529"/>
        <v>-14.647058823529411</v>
      </c>
      <c r="M595" s="103">
        <f ca="1">IFERROR(__xludf.DUMMYFUNCTION("IF(A595&lt;&gt;"""", RANK(L595, FILTER(L$2:L$1000, A$2:A$1000=A595)) + COUNTIF(FILTER(L$2:L595, A$2:A595=A595), L595) - 1, """")"),14)</f>
        <v>14</v>
      </c>
      <c r="N595" s="86">
        <v>16</v>
      </c>
      <c r="O595" s="86" t="s">
        <v>1236</v>
      </c>
      <c r="P595" s="113">
        <v>1</v>
      </c>
      <c r="Q595" s="113">
        <v>11</v>
      </c>
      <c r="R595" s="103"/>
      <c r="S595" s="103"/>
      <c r="T595" s="103"/>
      <c r="U595" s="103"/>
      <c r="V595" s="69"/>
      <c r="W595" s="104"/>
      <c r="X595" s="67">
        <f t="shared" ref="X595:Y595" si="615">(P595+R595+T595+V595)</f>
        <v>1</v>
      </c>
      <c r="Y595" s="67">
        <f t="shared" si="615"/>
        <v>11</v>
      </c>
      <c r="Z595" s="68">
        <f t="shared" si="531"/>
        <v>12</v>
      </c>
      <c r="AA595" s="69" t="str">
        <f t="shared" si="386"/>
        <v>1B</v>
      </c>
      <c r="AB595" s="70" t="s">
        <v>1235</v>
      </c>
      <c r="AC595" s="70">
        <v>14</v>
      </c>
      <c r="AD595" s="70">
        <v>24</v>
      </c>
      <c r="AE595" s="70">
        <v>44</v>
      </c>
      <c r="AF595" s="70">
        <v>68</v>
      </c>
      <c r="AG595" s="72">
        <f t="shared" si="532"/>
        <v>0.35294117647058826</v>
      </c>
      <c r="AH595" s="73">
        <f t="shared" si="419"/>
        <v>-52.647058823529413</v>
      </c>
      <c r="AI595" s="74">
        <v>13</v>
      </c>
      <c r="AJ595" s="79" t="s">
        <v>1237</v>
      </c>
      <c r="AK595" s="76" t="s">
        <v>1189</v>
      </c>
      <c r="AL595" s="67"/>
      <c r="AM595" s="506"/>
      <c r="AN595" s="505"/>
      <c r="AO595" s="515"/>
    </row>
    <row r="596" spans="1:41" ht="14.5">
      <c r="A596" s="58">
        <v>45206</v>
      </c>
      <c r="B596" s="67" t="s">
        <v>428</v>
      </c>
      <c r="C596" s="67" t="s">
        <v>216</v>
      </c>
      <c r="D596" s="67" t="s">
        <v>156</v>
      </c>
      <c r="E596" s="107">
        <v>11</v>
      </c>
      <c r="F596" s="108">
        <v>11</v>
      </c>
      <c r="G596" s="106">
        <v>11</v>
      </c>
      <c r="H596" s="67">
        <v>33</v>
      </c>
      <c r="I596" s="67">
        <v>11</v>
      </c>
      <c r="J596" s="149">
        <f t="shared" si="417"/>
        <v>44</v>
      </c>
      <c r="K596" s="122">
        <f t="shared" si="400"/>
        <v>0.75</v>
      </c>
      <c r="L596" s="123">
        <f t="shared" si="529"/>
        <v>0.75</v>
      </c>
      <c r="M596" s="103">
        <f ca="1">IFERROR(__xludf.DUMMYFUNCTION("IF(A596&lt;&gt;"""", RANK(L596, FILTER(L$2:L$1000, A$2:A$1000=A596)) + COUNTIF(FILTER(L$2:L596, A$2:A596=A596), L596) - 1, """")"),2)</f>
        <v>2</v>
      </c>
      <c r="N596" s="64">
        <v>8</v>
      </c>
      <c r="O596" s="64" t="s">
        <v>1238</v>
      </c>
      <c r="P596" s="103">
        <v>9</v>
      </c>
      <c r="Q596" s="103">
        <v>11</v>
      </c>
      <c r="R596" s="103"/>
      <c r="S596" s="103"/>
      <c r="T596" s="103"/>
      <c r="U596" s="103"/>
      <c r="V596" s="69"/>
      <c r="W596" s="104"/>
      <c r="X596" s="67">
        <f t="shared" ref="X596:Y596" si="616">(P596+R596+T596+V596)</f>
        <v>9</v>
      </c>
      <c r="Y596" s="67">
        <f t="shared" si="616"/>
        <v>11</v>
      </c>
      <c r="Z596" s="68">
        <f t="shared" si="531"/>
        <v>20</v>
      </c>
      <c r="AA596" s="69" t="str">
        <f t="shared" si="386"/>
        <v>1C</v>
      </c>
      <c r="AB596" s="70" t="s">
        <v>156</v>
      </c>
      <c r="AC596" s="70">
        <v>2</v>
      </c>
      <c r="AD596" s="70">
        <v>77</v>
      </c>
      <c r="AE596" s="70">
        <v>28</v>
      </c>
      <c r="AF596" s="70">
        <v>105</v>
      </c>
      <c r="AG596" s="72">
        <f t="shared" si="532"/>
        <v>0.73333333333333328</v>
      </c>
      <c r="AH596" s="73">
        <f t="shared" si="419"/>
        <v>0.73333333333333328</v>
      </c>
      <c r="AI596" s="74">
        <v>1</v>
      </c>
      <c r="AJ596" s="79" t="s">
        <v>1148</v>
      </c>
      <c r="AK596" s="76" t="s">
        <v>983</v>
      </c>
      <c r="AL596" s="67"/>
      <c r="AM596" s="506"/>
      <c r="AN596" s="505"/>
      <c r="AO596" s="515"/>
    </row>
    <row r="597" spans="1:41" ht="14.5">
      <c r="A597" s="58">
        <v>45206</v>
      </c>
      <c r="B597" s="67" t="s">
        <v>428</v>
      </c>
      <c r="C597" s="67" t="s">
        <v>221</v>
      </c>
      <c r="D597" s="67" t="s">
        <v>1239</v>
      </c>
      <c r="E597" s="109">
        <v>2</v>
      </c>
      <c r="F597" s="110">
        <v>11</v>
      </c>
      <c r="G597" s="111">
        <v>11</v>
      </c>
      <c r="H597" s="67">
        <v>24</v>
      </c>
      <c r="I597" s="67">
        <v>26</v>
      </c>
      <c r="J597" s="149">
        <f t="shared" si="417"/>
        <v>50</v>
      </c>
      <c r="K597" s="122">
        <f t="shared" si="400"/>
        <v>0.48</v>
      </c>
      <c r="L597" s="123">
        <f t="shared" si="529"/>
        <v>-8.52</v>
      </c>
      <c r="M597" s="103">
        <f ca="1">IFERROR(__xludf.DUMMYFUNCTION("IF(A597&lt;&gt;"""", RANK(L597, FILTER(L$2:L$1000, A$2:A$1000=A597)) + COUNTIF(FILTER(L$2:L597, A$2:A597=A597), L597) - 1, """")"),9)</f>
        <v>9</v>
      </c>
      <c r="N597" s="86">
        <v>9</v>
      </c>
      <c r="O597" s="86" t="s">
        <v>1239</v>
      </c>
      <c r="P597" s="113">
        <v>11</v>
      </c>
      <c r="Q597" s="113">
        <v>9</v>
      </c>
      <c r="R597" s="113">
        <v>5</v>
      </c>
      <c r="S597" s="113">
        <v>11</v>
      </c>
      <c r="T597" s="103"/>
      <c r="U597" s="103"/>
      <c r="V597" s="69"/>
      <c r="W597" s="104"/>
      <c r="X597" s="67">
        <f t="shared" ref="X597:Y597" si="617">(P597+R597+T597+V597)</f>
        <v>16</v>
      </c>
      <c r="Y597" s="67">
        <f t="shared" si="617"/>
        <v>20</v>
      </c>
      <c r="Z597" s="68">
        <f t="shared" si="531"/>
        <v>36</v>
      </c>
      <c r="AA597" s="69" t="str">
        <f t="shared" si="386"/>
        <v>1D</v>
      </c>
      <c r="AB597" s="70" t="s">
        <v>1239</v>
      </c>
      <c r="AC597" s="70">
        <v>9</v>
      </c>
      <c r="AD597" s="70">
        <v>40</v>
      </c>
      <c r="AE597" s="70">
        <v>46</v>
      </c>
      <c r="AF597" s="70">
        <v>86</v>
      </c>
      <c r="AG597" s="72">
        <f t="shared" si="532"/>
        <v>0.46511627906976744</v>
      </c>
      <c r="AH597" s="73">
        <f t="shared" si="419"/>
        <v>-36.534883720930232</v>
      </c>
      <c r="AI597" s="74">
        <v>7</v>
      </c>
      <c r="AJ597" s="79" t="s">
        <v>1240</v>
      </c>
      <c r="AK597" s="76" t="s">
        <v>1241</v>
      </c>
      <c r="AL597" s="67"/>
      <c r="AM597" s="506"/>
      <c r="AN597" s="505"/>
      <c r="AO597" s="515"/>
    </row>
    <row r="598" spans="1:41" ht="14.5">
      <c r="A598" s="58">
        <v>45206</v>
      </c>
      <c r="B598" s="67" t="s">
        <v>428</v>
      </c>
      <c r="C598" s="67" t="s">
        <v>224</v>
      </c>
      <c r="D598" s="67" t="s">
        <v>1238</v>
      </c>
      <c r="E598" s="100">
        <v>11</v>
      </c>
      <c r="F598" s="101">
        <v>11</v>
      </c>
      <c r="G598" s="101">
        <v>3</v>
      </c>
      <c r="H598" s="67">
        <v>25</v>
      </c>
      <c r="I598" s="67">
        <v>24</v>
      </c>
      <c r="J598" s="149">
        <f t="shared" si="417"/>
        <v>49</v>
      </c>
      <c r="K598" s="122">
        <f t="shared" si="400"/>
        <v>0.51020408163265307</v>
      </c>
      <c r="L598" s="123">
        <f t="shared" si="529"/>
        <v>-7.4897959183673466</v>
      </c>
      <c r="M598" s="103">
        <f ca="1">IFERROR(__xludf.DUMMYFUNCTION("IF(A598&lt;&gt;"""", RANK(L598, FILTER(L$2:L$1000, A$2:A$1000=A598)) + COUNTIF(FILTER(L$2:L598, A$2:A598=A598), L598) - 1, """")"),8)</f>
        <v>8</v>
      </c>
      <c r="N598" s="64">
        <v>5</v>
      </c>
      <c r="O598" s="64" t="s">
        <v>1242</v>
      </c>
      <c r="P598" s="103">
        <v>11</v>
      </c>
      <c r="Q598" s="103">
        <v>2</v>
      </c>
      <c r="R598" s="103">
        <v>8</v>
      </c>
      <c r="S598" s="103">
        <v>11</v>
      </c>
      <c r="T598" s="103"/>
      <c r="U598" s="103"/>
      <c r="V598" s="69"/>
      <c r="W598" s="104"/>
      <c r="X598" s="67">
        <f t="shared" ref="X598:Y598" si="618">(P598+R598+T598+V598)</f>
        <v>19</v>
      </c>
      <c r="Y598" s="67">
        <f t="shared" si="618"/>
        <v>13</v>
      </c>
      <c r="Z598" s="68">
        <f t="shared" si="531"/>
        <v>32</v>
      </c>
      <c r="AA598" s="69" t="str">
        <f t="shared" si="386"/>
        <v>2A</v>
      </c>
      <c r="AB598" s="70" t="s">
        <v>1238</v>
      </c>
      <c r="AC598" s="70">
        <v>8</v>
      </c>
      <c r="AD598" s="70">
        <v>34</v>
      </c>
      <c r="AE598" s="70">
        <v>35</v>
      </c>
      <c r="AF598" s="70">
        <v>69</v>
      </c>
      <c r="AG598" s="72">
        <f t="shared" si="532"/>
        <v>0.49275362318840582</v>
      </c>
      <c r="AH598" s="73">
        <f t="shared" si="419"/>
        <v>-42.507246376811594</v>
      </c>
      <c r="AI598" s="74">
        <v>9</v>
      </c>
      <c r="AJ598" s="79" t="s">
        <v>1062</v>
      </c>
      <c r="AK598" s="76" t="s">
        <v>1243</v>
      </c>
      <c r="AL598" s="67"/>
      <c r="AM598" s="506"/>
      <c r="AN598" s="505"/>
      <c r="AO598" s="515"/>
    </row>
    <row r="599" spans="1:41" ht="14.5">
      <c r="A599" s="58">
        <v>45206</v>
      </c>
      <c r="B599" s="67" t="s">
        <v>428</v>
      </c>
      <c r="C599" s="67" t="s">
        <v>228</v>
      </c>
      <c r="D599" s="67" t="s">
        <v>1244</v>
      </c>
      <c r="E599" s="105">
        <v>7</v>
      </c>
      <c r="F599" s="106">
        <v>1</v>
      </c>
      <c r="G599" s="106">
        <v>11</v>
      </c>
      <c r="H599" s="67">
        <v>19</v>
      </c>
      <c r="I599" s="67">
        <v>32</v>
      </c>
      <c r="J599" s="149">
        <f t="shared" si="417"/>
        <v>51</v>
      </c>
      <c r="K599" s="122">
        <f t="shared" si="400"/>
        <v>0.37254901960784315</v>
      </c>
      <c r="L599" s="123">
        <f t="shared" si="529"/>
        <v>-13.627450980392156</v>
      </c>
      <c r="M599" s="103">
        <f ca="1">IFERROR(__xludf.DUMMYFUNCTION("IF(A599&lt;&gt;"""", RANK(L599, FILTER(L$2:L$1000, A$2:A$1000=A599)) + COUNTIF(FILTER(L$2:L599, A$2:A599=A599), L599) - 1, """")"),11)</f>
        <v>11</v>
      </c>
      <c r="N599" s="86">
        <v>12</v>
      </c>
      <c r="O599" s="86" t="s">
        <v>1245</v>
      </c>
      <c r="P599" s="113">
        <v>2</v>
      </c>
      <c r="Q599" s="113">
        <v>11</v>
      </c>
      <c r="R599" s="103"/>
      <c r="S599" s="103"/>
      <c r="T599" s="103"/>
      <c r="U599" s="103"/>
      <c r="V599" s="69"/>
      <c r="W599" s="104"/>
      <c r="X599" s="67">
        <f t="shared" ref="X599:Y599" si="619">(P599+R599+T599+V599)</f>
        <v>2</v>
      </c>
      <c r="Y599" s="67">
        <f t="shared" si="619"/>
        <v>11</v>
      </c>
      <c r="Z599" s="68">
        <f t="shared" si="531"/>
        <v>13</v>
      </c>
      <c r="AA599" s="69" t="str">
        <f t="shared" si="386"/>
        <v>2B</v>
      </c>
      <c r="AB599" s="70" t="s">
        <v>1244</v>
      </c>
      <c r="AC599" s="70">
        <v>11</v>
      </c>
      <c r="AD599" s="70">
        <v>26</v>
      </c>
      <c r="AE599" s="70">
        <v>43</v>
      </c>
      <c r="AF599" s="70">
        <v>69</v>
      </c>
      <c r="AG599" s="72">
        <f t="shared" si="532"/>
        <v>0.37681159420289856</v>
      </c>
      <c r="AH599" s="73">
        <f t="shared" si="419"/>
        <v>-50.623188405797102</v>
      </c>
      <c r="AI599" s="74">
        <v>12</v>
      </c>
      <c r="AJ599" s="75" t="s">
        <v>929</v>
      </c>
      <c r="AK599" s="76" t="s">
        <v>820</v>
      </c>
      <c r="AL599" s="67"/>
      <c r="AM599" s="506"/>
      <c r="AN599" s="505"/>
      <c r="AO599" s="515"/>
    </row>
    <row r="600" spans="1:41" ht="14.5">
      <c r="A600" s="58">
        <v>45206</v>
      </c>
      <c r="B600" s="67" t="s">
        <v>428</v>
      </c>
      <c r="C600" s="67" t="s">
        <v>232</v>
      </c>
      <c r="D600" s="67" t="s">
        <v>1246</v>
      </c>
      <c r="E600" s="107">
        <v>3</v>
      </c>
      <c r="F600" s="108">
        <v>6</v>
      </c>
      <c r="G600" s="106">
        <v>10</v>
      </c>
      <c r="H600" s="67">
        <v>19</v>
      </c>
      <c r="I600" s="67">
        <v>33</v>
      </c>
      <c r="J600" s="149">
        <f t="shared" si="417"/>
        <v>52</v>
      </c>
      <c r="K600" s="122">
        <f t="shared" si="400"/>
        <v>0.36538461538461536</v>
      </c>
      <c r="L600" s="123">
        <f t="shared" si="529"/>
        <v>-13.634615384615385</v>
      </c>
      <c r="M600" s="103">
        <f ca="1">IFERROR(__xludf.DUMMYFUNCTION("IF(A600&lt;&gt;"""", RANK(L600, FILTER(L$2:L$1000, A$2:A$1000=A600)) + COUNTIF(FILTER(L$2:L600, A$2:A600=A600), L600) - 1, """")"),13)</f>
        <v>13</v>
      </c>
      <c r="N600" s="64">
        <v>4</v>
      </c>
      <c r="O600" s="64" t="s">
        <v>1247</v>
      </c>
      <c r="P600" s="103">
        <v>11</v>
      </c>
      <c r="Q600" s="103">
        <v>8</v>
      </c>
      <c r="R600" s="103">
        <v>11</v>
      </c>
      <c r="S600" s="103">
        <v>8</v>
      </c>
      <c r="T600" s="103">
        <v>5</v>
      </c>
      <c r="U600" s="103">
        <v>11</v>
      </c>
      <c r="V600" s="69"/>
      <c r="W600" s="104"/>
      <c r="X600" s="67">
        <f t="shared" ref="X600:Y600" si="620">(P600+R600+T600+V600)</f>
        <v>27</v>
      </c>
      <c r="Y600" s="67">
        <f t="shared" si="620"/>
        <v>27</v>
      </c>
      <c r="Z600" s="68">
        <f t="shared" si="531"/>
        <v>54</v>
      </c>
      <c r="AA600" s="69" t="str">
        <f t="shared" si="386"/>
        <v>2C</v>
      </c>
      <c r="AB600" s="70" t="s">
        <v>1246</v>
      </c>
      <c r="AC600" s="70">
        <v>13</v>
      </c>
      <c r="AD600" s="70">
        <v>27</v>
      </c>
      <c r="AE600" s="70">
        <v>44</v>
      </c>
      <c r="AF600" s="70">
        <v>71</v>
      </c>
      <c r="AG600" s="72">
        <f t="shared" si="532"/>
        <v>0.38028169014084506</v>
      </c>
      <c r="AH600" s="73">
        <f t="shared" si="419"/>
        <v>-49.619718309859152</v>
      </c>
      <c r="AI600" s="74">
        <v>11</v>
      </c>
      <c r="AJ600" s="79" t="s">
        <v>585</v>
      </c>
      <c r="AK600" s="76" t="s">
        <v>1090</v>
      </c>
      <c r="AL600" s="67"/>
      <c r="AM600" s="506"/>
      <c r="AN600" s="505"/>
      <c r="AO600" s="515"/>
    </row>
    <row r="601" spans="1:41" ht="14.5">
      <c r="A601" s="58">
        <v>45206</v>
      </c>
      <c r="B601" s="67" t="s">
        <v>428</v>
      </c>
      <c r="C601" s="67" t="s">
        <v>237</v>
      </c>
      <c r="D601" s="67" t="s">
        <v>157</v>
      </c>
      <c r="E601" s="109">
        <v>11</v>
      </c>
      <c r="F601" s="110">
        <v>11</v>
      </c>
      <c r="G601" s="111">
        <v>11</v>
      </c>
      <c r="H601" s="67">
        <v>33</v>
      </c>
      <c r="I601" s="67">
        <v>7</v>
      </c>
      <c r="J601" s="149">
        <f t="shared" si="417"/>
        <v>40</v>
      </c>
      <c r="K601" s="122">
        <f t="shared" si="400"/>
        <v>0.82499999999999996</v>
      </c>
      <c r="L601" s="123">
        <f t="shared" si="529"/>
        <v>0.82499999999999996</v>
      </c>
      <c r="M601" s="103">
        <f ca="1">IFERROR(__xludf.DUMMYFUNCTION("IF(A601&lt;&gt;"""", RANK(L601, FILTER(L$2:L$1000, A$2:A$1000=A601)) + COUNTIF(FILTER(L$2:L601, A$2:A601=A601), L601) - 1, """")"),1)</f>
        <v>1</v>
      </c>
      <c r="N601" s="86">
        <v>13</v>
      </c>
      <c r="O601" s="86" t="s">
        <v>1246</v>
      </c>
      <c r="P601" s="113">
        <v>8</v>
      </c>
      <c r="Q601" s="113">
        <v>11</v>
      </c>
      <c r="R601" s="113"/>
      <c r="S601" s="113"/>
      <c r="T601" s="113"/>
      <c r="U601" s="113"/>
      <c r="V601" s="93"/>
      <c r="W601" s="114"/>
      <c r="X601" s="67">
        <f t="shared" ref="X601:Y601" si="621">(P601+R601+T601+V601)</f>
        <v>8</v>
      </c>
      <c r="Y601" s="67">
        <f t="shared" si="621"/>
        <v>11</v>
      </c>
      <c r="Z601" s="68">
        <f t="shared" si="531"/>
        <v>19</v>
      </c>
      <c r="AA601" s="69" t="str">
        <f t="shared" si="386"/>
        <v>2D</v>
      </c>
      <c r="AB601" s="70" t="s">
        <v>157</v>
      </c>
      <c r="AC601" s="70">
        <v>1</v>
      </c>
      <c r="AD601" s="70">
        <v>76</v>
      </c>
      <c r="AE601" s="70">
        <v>29</v>
      </c>
      <c r="AF601" s="70">
        <v>105</v>
      </c>
      <c r="AG601" s="72">
        <f t="shared" si="532"/>
        <v>0.72380952380952379</v>
      </c>
      <c r="AH601" s="73">
        <f t="shared" si="419"/>
        <v>-0.27619047619047621</v>
      </c>
      <c r="AI601" s="74">
        <v>2</v>
      </c>
      <c r="AJ601" s="79" t="s">
        <v>1140</v>
      </c>
      <c r="AK601" s="76" t="s">
        <v>1248</v>
      </c>
      <c r="AL601" s="67"/>
      <c r="AM601" s="506"/>
      <c r="AN601" s="505"/>
      <c r="AO601" s="515"/>
    </row>
    <row r="602" spans="1:41" ht="14.5">
      <c r="A602" s="58">
        <v>45206</v>
      </c>
      <c r="B602" s="67" t="s">
        <v>428</v>
      </c>
      <c r="C602" s="67" t="s">
        <v>241</v>
      </c>
      <c r="D602" s="67" t="s">
        <v>1236</v>
      </c>
      <c r="E602" s="100">
        <v>3</v>
      </c>
      <c r="F602" s="101">
        <v>5</v>
      </c>
      <c r="G602" s="101">
        <v>6</v>
      </c>
      <c r="H602" s="67">
        <v>14</v>
      </c>
      <c r="I602" s="67">
        <v>33</v>
      </c>
      <c r="J602" s="149">
        <f t="shared" si="417"/>
        <v>47</v>
      </c>
      <c r="K602" s="122">
        <f t="shared" si="400"/>
        <v>0.2978723404255319</v>
      </c>
      <c r="L602" s="123">
        <f t="shared" si="529"/>
        <v>-18.702127659574469</v>
      </c>
      <c r="M602" s="103">
        <f ca="1">IFERROR(__xludf.DUMMYFUNCTION("IF(A602&lt;&gt;"""", RANK(L602, FILTER(L$2:L$1000, A$2:A$1000=A602)) + COUNTIF(FILTER(L$2:L602, A$2:A602=A602), L602) - 1, """")"),16)</f>
        <v>16</v>
      </c>
      <c r="N602" s="64">
        <v>6</v>
      </c>
      <c r="O602" s="64" t="s">
        <v>1249</v>
      </c>
      <c r="P602" s="103">
        <v>11</v>
      </c>
      <c r="Q602" s="103">
        <v>7</v>
      </c>
      <c r="R602" s="103">
        <v>5</v>
      </c>
      <c r="S602" s="103">
        <v>11</v>
      </c>
      <c r="T602" s="103"/>
      <c r="U602" s="103"/>
      <c r="V602" s="69"/>
      <c r="W602" s="104"/>
      <c r="X602" s="67">
        <f t="shared" ref="X602:Y602" si="622">(P602+R602+T602+V602)</f>
        <v>16</v>
      </c>
      <c r="Y602" s="67">
        <f t="shared" si="622"/>
        <v>18</v>
      </c>
      <c r="Z602" s="68">
        <f t="shared" si="531"/>
        <v>34</v>
      </c>
      <c r="AA602" s="69" t="str">
        <f t="shared" si="386"/>
        <v>3A</v>
      </c>
      <c r="AB602" s="70" t="s">
        <v>1236</v>
      </c>
      <c r="AC602" s="70">
        <v>16</v>
      </c>
      <c r="AD602" s="70">
        <v>15</v>
      </c>
      <c r="AE602" s="70">
        <v>44</v>
      </c>
      <c r="AF602" s="70">
        <v>59</v>
      </c>
      <c r="AG602" s="72">
        <f t="shared" si="532"/>
        <v>0.25423728813559321</v>
      </c>
      <c r="AH602" s="73">
        <f t="shared" si="419"/>
        <v>-61.745762711864408</v>
      </c>
      <c r="AI602" s="74">
        <v>16</v>
      </c>
      <c r="AJ602" s="79" t="s">
        <v>1047</v>
      </c>
      <c r="AK602" s="76" t="s">
        <v>1180</v>
      </c>
      <c r="AL602" s="67"/>
      <c r="AM602" s="506"/>
      <c r="AN602" s="505"/>
      <c r="AO602" s="515"/>
    </row>
    <row r="603" spans="1:41" ht="14.5">
      <c r="A603" s="58">
        <v>45206</v>
      </c>
      <c r="B603" s="67" t="s">
        <v>428</v>
      </c>
      <c r="C603" s="67" t="s">
        <v>246</v>
      </c>
      <c r="D603" s="67" t="s">
        <v>1247</v>
      </c>
      <c r="E603" s="105">
        <v>11</v>
      </c>
      <c r="F603" s="106">
        <v>11</v>
      </c>
      <c r="G603" s="106">
        <v>11</v>
      </c>
      <c r="H603" s="67">
        <v>33</v>
      </c>
      <c r="I603" s="67">
        <v>17</v>
      </c>
      <c r="J603" s="149">
        <f t="shared" si="417"/>
        <v>50</v>
      </c>
      <c r="K603" s="122">
        <f t="shared" si="400"/>
        <v>0.66</v>
      </c>
      <c r="L603" s="123">
        <f t="shared" si="529"/>
        <v>0.66</v>
      </c>
      <c r="M603" s="103">
        <f ca="1">IFERROR(__xludf.DUMMYFUNCTION("IF(A603&lt;&gt;"""", RANK(L603, FILTER(L$2:L$1000, A$2:A$1000=A603)) + COUNTIF(FILTER(L$2:L603, A$2:A603=A603), L603) - 1, """")"),4)</f>
        <v>4</v>
      </c>
      <c r="N603" s="86">
        <v>11</v>
      </c>
      <c r="O603" s="86" t="s">
        <v>1244</v>
      </c>
      <c r="P603" s="113">
        <v>7</v>
      </c>
      <c r="Q603" s="113">
        <v>11</v>
      </c>
      <c r="R603" s="103"/>
      <c r="S603" s="103"/>
      <c r="T603" s="103"/>
      <c r="U603" s="103"/>
      <c r="V603" s="69"/>
      <c r="W603" s="104"/>
      <c r="X603" s="67">
        <f t="shared" ref="X603:Y603" si="623">(P603+R603+T603+V603)</f>
        <v>7</v>
      </c>
      <c r="Y603" s="67">
        <f t="shared" si="623"/>
        <v>11</v>
      </c>
      <c r="Z603" s="68">
        <f t="shared" si="531"/>
        <v>18</v>
      </c>
      <c r="AA603" s="69" t="str">
        <f t="shared" si="386"/>
        <v>3B</v>
      </c>
      <c r="AB603" s="70" t="s">
        <v>1247</v>
      </c>
      <c r="AC603" s="70">
        <v>4</v>
      </c>
      <c r="AD603" s="70">
        <v>60</v>
      </c>
      <c r="AE603" s="70">
        <v>44</v>
      </c>
      <c r="AF603" s="70">
        <v>104</v>
      </c>
      <c r="AG603" s="72">
        <f t="shared" si="532"/>
        <v>0.57692307692307687</v>
      </c>
      <c r="AH603" s="73">
        <f t="shared" si="419"/>
        <v>-16.423076923076923</v>
      </c>
      <c r="AI603" s="74">
        <v>3</v>
      </c>
      <c r="AJ603" s="79" t="s">
        <v>525</v>
      </c>
      <c r="AK603" s="76" t="s">
        <v>1107</v>
      </c>
      <c r="AL603" s="67"/>
      <c r="AM603" s="506"/>
      <c r="AN603" s="505"/>
      <c r="AO603" s="515"/>
    </row>
    <row r="604" spans="1:41" ht="14.5">
      <c r="A604" s="58">
        <v>45206</v>
      </c>
      <c r="B604" s="67" t="s">
        <v>428</v>
      </c>
      <c r="C604" s="67" t="s">
        <v>251</v>
      </c>
      <c r="D604" s="67" t="s">
        <v>1250</v>
      </c>
      <c r="E604" s="107">
        <v>6</v>
      </c>
      <c r="F604" s="108">
        <v>11</v>
      </c>
      <c r="G604" s="106">
        <v>5</v>
      </c>
      <c r="H604" s="67">
        <v>22</v>
      </c>
      <c r="I604" s="67">
        <v>27</v>
      </c>
      <c r="J604" s="149">
        <f t="shared" si="417"/>
        <v>49</v>
      </c>
      <c r="K604" s="122">
        <f t="shared" si="400"/>
        <v>0.44897959183673469</v>
      </c>
      <c r="L604" s="123">
        <f t="shared" si="529"/>
        <v>-10.551020408163266</v>
      </c>
      <c r="M604" s="103">
        <f ca="1">IFERROR(__xludf.DUMMYFUNCTION("IF(A604&lt;&gt;"""", RANK(L604, FILTER(L$2:L$1000, A$2:A$1000=A604)) + COUNTIF(FILTER(L$2:L604, A$2:A604=A604), L604) - 1, """")"),10)</f>
        <v>10</v>
      </c>
      <c r="N604" s="64">
        <v>3</v>
      </c>
      <c r="O604" s="64" t="s">
        <v>1251</v>
      </c>
      <c r="P604" s="103">
        <v>11</v>
      </c>
      <c r="Q604" s="103">
        <v>6</v>
      </c>
      <c r="R604" s="103">
        <v>11</v>
      </c>
      <c r="S604" s="103">
        <v>5</v>
      </c>
      <c r="T604" s="103">
        <v>2</v>
      </c>
      <c r="U604" s="103">
        <v>11</v>
      </c>
      <c r="V604" s="69"/>
      <c r="W604" s="104"/>
      <c r="X604" s="67">
        <f t="shared" ref="X604:Y604" si="624">(P604+R604+T604+V604)</f>
        <v>24</v>
      </c>
      <c r="Y604" s="67">
        <f t="shared" si="624"/>
        <v>22</v>
      </c>
      <c r="Z604" s="68">
        <f t="shared" si="531"/>
        <v>46</v>
      </c>
      <c r="AA604" s="69" t="str">
        <f t="shared" si="386"/>
        <v>3C</v>
      </c>
      <c r="AB604" s="70" t="s">
        <v>1250</v>
      </c>
      <c r="AC604" s="70">
        <v>10</v>
      </c>
      <c r="AD604" s="70">
        <v>28</v>
      </c>
      <c r="AE604" s="70">
        <v>38</v>
      </c>
      <c r="AF604" s="70">
        <v>66</v>
      </c>
      <c r="AG604" s="72">
        <f t="shared" si="532"/>
        <v>0.42424242424242425</v>
      </c>
      <c r="AH604" s="73">
        <f t="shared" si="419"/>
        <v>-48.575757575757578</v>
      </c>
      <c r="AI604" s="74">
        <v>10</v>
      </c>
      <c r="AJ604" s="79" t="s">
        <v>785</v>
      </c>
      <c r="AK604" s="76" t="s">
        <v>1209</v>
      </c>
      <c r="AL604" s="67"/>
      <c r="AM604" s="506"/>
      <c r="AN604" s="505"/>
      <c r="AO604" s="515"/>
    </row>
    <row r="605" spans="1:41" ht="14.5">
      <c r="A605" s="58">
        <v>45206</v>
      </c>
      <c r="B605" s="67" t="s">
        <v>428</v>
      </c>
      <c r="C605" s="67" t="s">
        <v>256</v>
      </c>
      <c r="D605" s="67" t="s">
        <v>1242</v>
      </c>
      <c r="E605" s="109">
        <v>11</v>
      </c>
      <c r="F605" s="110">
        <v>9</v>
      </c>
      <c r="G605" s="111">
        <v>11</v>
      </c>
      <c r="H605" s="67">
        <v>31</v>
      </c>
      <c r="I605" s="67">
        <v>23</v>
      </c>
      <c r="J605" s="149">
        <f t="shared" si="417"/>
        <v>54</v>
      </c>
      <c r="K605" s="122">
        <f t="shared" si="400"/>
        <v>0.57407407407407407</v>
      </c>
      <c r="L605" s="123">
        <f t="shared" si="529"/>
        <v>-1.425925925925926</v>
      </c>
      <c r="M605" s="103">
        <f ca="1">IFERROR(__xludf.DUMMYFUNCTION("IF(A605&lt;&gt;"""", RANK(L605, FILTER(L$2:L$1000, A$2:A$1000=A605)) + COUNTIF(FILTER(L$2:L605, A$2:A605=A605), L605) - 1, """")"),5)</f>
        <v>5</v>
      </c>
      <c r="N605" s="86">
        <v>14</v>
      </c>
      <c r="O605" s="86" t="s">
        <v>1235</v>
      </c>
      <c r="P605" s="113">
        <v>6</v>
      </c>
      <c r="Q605" s="113">
        <v>11</v>
      </c>
      <c r="R605" s="113"/>
      <c r="S605" s="113"/>
      <c r="T605" s="103"/>
      <c r="U605" s="103"/>
      <c r="V605" s="69"/>
      <c r="W605" s="104"/>
      <c r="X605" s="67">
        <f t="shared" ref="X605:Y605" si="625">(P605+R605+T605+V605)</f>
        <v>6</v>
      </c>
      <c r="Y605" s="67">
        <f t="shared" si="625"/>
        <v>11</v>
      </c>
      <c r="Z605" s="68">
        <f t="shared" si="531"/>
        <v>17</v>
      </c>
      <c r="AA605" s="69" t="str">
        <f t="shared" si="386"/>
        <v>3D</v>
      </c>
      <c r="AB605" s="70" t="s">
        <v>1242</v>
      </c>
      <c r="AC605" s="70">
        <v>5</v>
      </c>
      <c r="AD605" s="70">
        <v>50</v>
      </c>
      <c r="AE605" s="70">
        <v>36</v>
      </c>
      <c r="AF605" s="70">
        <v>86</v>
      </c>
      <c r="AG605" s="72">
        <f t="shared" si="532"/>
        <v>0.58139534883720934</v>
      </c>
      <c r="AH605" s="73">
        <f t="shared" si="419"/>
        <v>-26.418604651162791</v>
      </c>
      <c r="AI605" s="74">
        <v>5</v>
      </c>
      <c r="AJ605" s="79" t="s">
        <v>1055</v>
      </c>
      <c r="AK605" s="76" t="s">
        <v>866</v>
      </c>
      <c r="AL605" s="67"/>
      <c r="AM605" s="506"/>
      <c r="AN605" s="505"/>
      <c r="AO605" s="515"/>
    </row>
    <row r="606" spans="1:41" ht="14.5">
      <c r="A606" s="58">
        <v>45206</v>
      </c>
      <c r="B606" s="67" t="s">
        <v>428</v>
      </c>
      <c r="C606" s="67" t="s">
        <v>261</v>
      </c>
      <c r="D606" s="67" t="s">
        <v>1245</v>
      </c>
      <c r="E606" s="100">
        <v>11</v>
      </c>
      <c r="F606" s="101">
        <v>6</v>
      </c>
      <c r="G606" s="101">
        <v>2</v>
      </c>
      <c r="H606" s="67">
        <v>19</v>
      </c>
      <c r="I606" s="67">
        <v>32</v>
      </c>
      <c r="J606" s="149">
        <f t="shared" si="417"/>
        <v>51</v>
      </c>
      <c r="K606" s="122">
        <f t="shared" si="400"/>
        <v>0.37254901960784315</v>
      </c>
      <c r="L606" s="123">
        <f t="shared" si="529"/>
        <v>-13.627450980392156</v>
      </c>
      <c r="M606" s="166">
        <f ca="1">IFERROR(__xludf.DUMMYFUNCTION("IF(A606&lt;&gt;"""", RANK(L606, FILTER(L$2:L$1000, A$2:A$1000=A606)) + COUNTIF(FILTER(L$2:L606, A$2:A606=A606), L606) - 1, """")"),12)</f>
        <v>12</v>
      </c>
      <c r="N606" s="64">
        <v>7</v>
      </c>
      <c r="O606" s="64" t="s">
        <v>1234</v>
      </c>
      <c r="P606" s="103">
        <v>11</v>
      </c>
      <c r="Q606" s="103">
        <v>6</v>
      </c>
      <c r="R606" s="103">
        <v>3</v>
      </c>
      <c r="S606" s="103">
        <v>11</v>
      </c>
      <c r="T606" s="103"/>
      <c r="U606" s="103"/>
      <c r="V606" s="69"/>
      <c r="W606" s="104"/>
      <c r="X606" s="67">
        <f t="shared" ref="X606:Y606" si="626">(P606+R606+T606+V606)</f>
        <v>14</v>
      </c>
      <c r="Y606" s="67">
        <f t="shared" si="626"/>
        <v>17</v>
      </c>
      <c r="Z606" s="68">
        <f t="shared" si="531"/>
        <v>31</v>
      </c>
      <c r="AA606" s="69" t="str">
        <f t="shared" si="386"/>
        <v>4A</v>
      </c>
      <c r="AB606" s="70" t="s">
        <v>1245</v>
      </c>
      <c r="AC606" s="70">
        <v>12</v>
      </c>
      <c r="AD606" s="70">
        <v>21</v>
      </c>
      <c r="AE606" s="70">
        <v>43</v>
      </c>
      <c r="AF606" s="70">
        <v>64</v>
      </c>
      <c r="AG606" s="72">
        <f t="shared" si="532"/>
        <v>0.328125</v>
      </c>
      <c r="AH606" s="73">
        <f t="shared" si="419"/>
        <v>-55.671875</v>
      </c>
      <c r="AI606" s="74">
        <v>14</v>
      </c>
      <c r="AJ606" s="79" t="s">
        <v>753</v>
      </c>
      <c r="AK606" s="76" t="s">
        <v>1069</v>
      </c>
      <c r="AL606" s="67"/>
      <c r="AM606" s="506"/>
      <c r="AN606" s="505"/>
      <c r="AO606" s="515"/>
    </row>
    <row r="607" spans="1:41" ht="14.5">
      <c r="A607" s="58">
        <v>45206</v>
      </c>
      <c r="B607" s="67" t="s">
        <v>428</v>
      </c>
      <c r="C607" s="67" t="s">
        <v>268</v>
      </c>
      <c r="D607" s="67" t="s">
        <v>1252</v>
      </c>
      <c r="E607" s="105">
        <v>10</v>
      </c>
      <c r="F607" s="106">
        <v>5</v>
      </c>
      <c r="G607" s="106">
        <v>2</v>
      </c>
      <c r="H607" s="67">
        <v>17</v>
      </c>
      <c r="I607" s="67">
        <v>33</v>
      </c>
      <c r="J607" s="149">
        <f t="shared" si="417"/>
        <v>50</v>
      </c>
      <c r="K607" s="122">
        <f t="shared" si="400"/>
        <v>0.34</v>
      </c>
      <c r="L607" s="123">
        <f t="shared" si="529"/>
        <v>-15.66</v>
      </c>
      <c r="M607" s="103">
        <f ca="1">IFERROR(__xludf.DUMMYFUNCTION("IF(A607&lt;&gt;"""", RANK(L607, FILTER(L$2:L$1000, A$2:A$1000=A607)) + COUNTIF(FILTER(L$2:L607, A$2:A607=A607), L607) - 1, """")"),15)</f>
        <v>15</v>
      </c>
      <c r="N607" s="86">
        <v>10</v>
      </c>
      <c r="O607" s="86" t="s">
        <v>1250</v>
      </c>
      <c r="P607" s="113">
        <v>6</v>
      </c>
      <c r="Q607" s="113">
        <v>11</v>
      </c>
      <c r="R607" s="103"/>
      <c r="S607" s="103"/>
      <c r="T607" s="103"/>
      <c r="U607" s="103"/>
      <c r="V607" s="69"/>
      <c r="W607" s="104"/>
      <c r="X607" s="67">
        <f t="shared" ref="X607:Y607" si="627">(P607+R607+T607+V607)</f>
        <v>6</v>
      </c>
      <c r="Y607" s="67">
        <f t="shared" si="627"/>
        <v>11</v>
      </c>
      <c r="Z607" s="68">
        <f t="shared" si="531"/>
        <v>17</v>
      </c>
      <c r="AA607" s="69" t="str">
        <f t="shared" si="386"/>
        <v>4B</v>
      </c>
      <c r="AB607" s="70" t="s">
        <v>1252</v>
      </c>
      <c r="AC607" s="70">
        <v>15</v>
      </c>
      <c r="AD607" s="70">
        <v>19</v>
      </c>
      <c r="AE607" s="70">
        <v>44</v>
      </c>
      <c r="AF607" s="70">
        <v>63</v>
      </c>
      <c r="AG607" s="72">
        <f t="shared" si="532"/>
        <v>0.30158730158730157</v>
      </c>
      <c r="AH607" s="73">
        <f t="shared" si="419"/>
        <v>-57.698412698412696</v>
      </c>
      <c r="AI607" s="74">
        <v>15</v>
      </c>
      <c r="AJ607" s="79" t="s">
        <v>1161</v>
      </c>
      <c r="AK607" s="76" t="s">
        <v>23</v>
      </c>
      <c r="AL607" s="67"/>
      <c r="AM607" s="506"/>
      <c r="AN607" s="505"/>
      <c r="AO607" s="515"/>
    </row>
    <row r="608" spans="1:41" ht="14.5">
      <c r="A608" s="58">
        <v>45206</v>
      </c>
      <c r="B608" s="67" t="s">
        <v>428</v>
      </c>
      <c r="C608" s="67" t="s">
        <v>271</v>
      </c>
      <c r="D608" s="67" t="s">
        <v>1251</v>
      </c>
      <c r="E608" s="107">
        <v>11</v>
      </c>
      <c r="F608" s="108">
        <v>11</v>
      </c>
      <c r="G608" s="106">
        <v>11</v>
      </c>
      <c r="H608" s="67">
        <v>33</v>
      </c>
      <c r="I608" s="67">
        <v>15</v>
      </c>
      <c r="J608" s="149">
        <f t="shared" si="417"/>
        <v>48</v>
      </c>
      <c r="K608" s="122">
        <f t="shared" si="400"/>
        <v>0.6875</v>
      </c>
      <c r="L608" s="123">
        <f t="shared" si="529"/>
        <v>0.6875</v>
      </c>
      <c r="M608" s="103">
        <f ca="1">IFERROR(__xludf.DUMMYFUNCTION("IF(A608&lt;&gt;"""", RANK(L608, FILTER(L$2:L$1000, A$2:A$1000=A608)) + COUNTIF(FILTER(L$2:L608, A$2:A608=A608), L608) - 1, """")"),3)</f>
        <v>3</v>
      </c>
      <c r="N608" s="64">
        <v>2</v>
      </c>
      <c r="O608" s="64" t="s">
        <v>156</v>
      </c>
      <c r="P608" s="103">
        <v>11</v>
      </c>
      <c r="Q608" s="103">
        <v>2</v>
      </c>
      <c r="R608" s="103">
        <v>11</v>
      </c>
      <c r="S608" s="103">
        <v>3</v>
      </c>
      <c r="T608" s="103">
        <v>11</v>
      </c>
      <c r="U608" s="103">
        <v>2</v>
      </c>
      <c r="V608" s="69">
        <v>11</v>
      </c>
      <c r="W608" s="104">
        <v>10</v>
      </c>
      <c r="X608" s="67">
        <f t="shared" ref="X608:Y608" si="628">(P608+R608+T608+V608)</f>
        <v>44</v>
      </c>
      <c r="Y608" s="67">
        <f t="shared" si="628"/>
        <v>17</v>
      </c>
      <c r="Z608" s="68">
        <f t="shared" si="531"/>
        <v>61</v>
      </c>
      <c r="AA608" s="69" t="str">
        <f t="shared" si="386"/>
        <v>4C</v>
      </c>
      <c r="AB608" s="70" t="s">
        <v>1251</v>
      </c>
      <c r="AC608" s="70">
        <v>3</v>
      </c>
      <c r="AD608" s="70">
        <v>57</v>
      </c>
      <c r="AE608" s="70">
        <v>37</v>
      </c>
      <c r="AF608" s="70">
        <v>94</v>
      </c>
      <c r="AG608" s="72">
        <f t="shared" si="532"/>
        <v>0.6063829787234043</v>
      </c>
      <c r="AH608" s="73">
        <f t="shared" si="419"/>
        <v>-19.393617021276597</v>
      </c>
      <c r="AI608" s="74">
        <v>4</v>
      </c>
      <c r="AJ608" s="79" t="s">
        <v>791</v>
      </c>
      <c r="AK608" s="76" t="s">
        <v>1253</v>
      </c>
      <c r="AL608" s="67"/>
      <c r="AM608" s="506"/>
      <c r="AN608" s="505"/>
      <c r="AO608" s="515"/>
    </row>
    <row r="609" spans="1:41" ht="14.5">
      <c r="A609" s="87">
        <v>45206</v>
      </c>
      <c r="B609" s="92" t="s">
        <v>428</v>
      </c>
      <c r="C609" s="92" t="s">
        <v>276</v>
      </c>
      <c r="D609" s="92" t="s">
        <v>1249</v>
      </c>
      <c r="E609" s="109">
        <v>7</v>
      </c>
      <c r="F609" s="110">
        <v>11</v>
      </c>
      <c r="G609" s="111">
        <v>11</v>
      </c>
      <c r="H609" s="92">
        <v>29</v>
      </c>
      <c r="I609" s="92">
        <v>18</v>
      </c>
      <c r="J609" s="152">
        <f t="shared" si="417"/>
        <v>47</v>
      </c>
      <c r="K609" s="153">
        <f t="shared" si="400"/>
        <v>0.61702127659574468</v>
      </c>
      <c r="L609" s="154">
        <f t="shared" si="529"/>
        <v>-3.3829787234042552</v>
      </c>
      <c r="M609" s="113">
        <f ca="1">IFERROR(__xludf.DUMMYFUNCTION("IF(A609&lt;&gt;"""", RANK(L609, FILTER(L$2:L$1000, A$2:A$1000=A609)) + COUNTIF(FILTER(L$2:L609, A$2:A609=A609), L609) - 1, """")"),6)</f>
        <v>6</v>
      </c>
      <c r="N609" s="86">
        <v>15</v>
      </c>
      <c r="O609" s="86" t="s">
        <v>1252</v>
      </c>
      <c r="P609" s="113">
        <v>2</v>
      </c>
      <c r="Q609" s="113">
        <v>11</v>
      </c>
      <c r="R609" s="113"/>
      <c r="S609" s="113"/>
      <c r="T609" s="113"/>
      <c r="U609" s="113"/>
      <c r="V609" s="93"/>
      <c r="W609" s="114"/>
      <c r="X609" s="92">
        <f t="shared" ref="X609:Y609" si="629">(P609+R609+T609+V609)</f>
        <v>2</v>
      </c>
      <c r="Y609" s="92">
        <f t="shared" si="629"/>
        <v>11</v>
      </c>
      <c r="Z609" s="84">
        <f t="shared" si="531"/>
        <v>13</v>
      </c>
      <c r="AA609" s="93" t="str">
        <f t="shared" si="386"/>
        <v>4D</v>
      </c>
      <c r="AB609" s="94" t="s">
        <v>1249</v>
      </c>
      <c r="AC609" s="94">
        <v>6</v>
      </c>
      <c r="AD609" s="94">
        <v>45</v>
      </c>
      <c r="AE609" s="94">
        <v>36</v>
      </c>
      <c r="AF609" s="94">
        <v>81</v>
      </c>
      <c r="AG609" s="95">
        <f t="shared" si="532"/>
        <v>0.55555555555555558</v>
      </c>
      <c r="AH609" s="96">
        <f t="shared" si="419"/>
        <v>-31.444444444444443</v>
      </c>
      <c r="AI609" s="97">
        <v>6</v>
      </c>
      <c r="AJ609" s="98" t="s">
        <v>1254</v>
      </c>
      <c r="AK609" s="81" t="s">
        <v>1131</v>
      </c>
      <c r="AL609" s="67"/>
      <c r="AM609" s="506"/>
      <c r="AN609" s="505"/>
      <c r="AO609" s="515"/>
    </row>
    <row r="610" spans="1:41" ht="14.5">
      <c r="A610" s="58">
        <v>45493</v>
      </c>
      <c r="B610" s="67" t="s">
        <v>204</v>
      </c>
      <c r="C610" s="67" t="s">
        <v>205</v>
      </c>
      <c r="D610" s="67" t="s">
        <v>161</v>
      </c>
      <c r="E610" s="100">
        <v>11</v>
      </c>
      <c r="F610" s="101">
        <v>11</v>
      </c>
      <c r="G610" s="101">
        <v>11</v>
      </c>
      <c r="H610" s="149">
        <f t="shared" ref="H610:H657" si="630">SUM(E610:G610)</f>
        <v>33</v>
      </c>
      <c r="I610" s="149">
        <f>SUM(E611,F612,G613)</f>
        <v>19</v>
      </c>
      <c r="J610" s="149">
        <f t="shared" si="417"/>
        <v>52</v>
      </c>
      <c r="K610" s="122">
        <f t="shared" si="400"/>
        <v>0.63461538461538458</v>
      </c>
      <c r="L610" s="123">
        <f t="shared" si="529"/>
        <v>0.63461538461538458</v>
      </c>
      <c r="M610" s="103">
        <f ca="1">IFERROR(__xludf.DUMMYFUNCTION("IF(A610&lt;&gt;"""", RANK(L610, FILTER(L$2:L$1000, A$2:A$1000=A610)) + COUNTIF(FILTER(L$2:L610, A$2:A610=A610), L610) - 1, """")"),2)</f>
        <v>2</v>
      </c>
      <c r="N610" s="61">
        <v>1</v>
      </c>
      <c r="O610" s="61" t="str">
        <f ca="1">IFERROR(__xludf.DUMMYFUNCTION("IFERROR(INDEX(FILTER($D$2:$D$1000, $A$2:$A$1000=A610), MATCH(N610, FILTER($M$2:$M$1000, $A$2:$A$1000=A610), 0)), """")
"),"Curtis Stoneman &amp; Randy Burgess")</f>
        <v>Curtis Stoneman &amp; Randy Burgess</v>
      </c>
      <c r="P610" s="115">
        <v>11</v>
      </c>
      <c r="Q610" s="115">
        <v>2</v>
      </c>
      <c r="R610" s="115">
        <v>11</v>
      </c>
      <c r="S610" s="115">
        <v>3</v>
      </c>
      <c r="T610" s="115">
        <v>11</v>
      </c>
      <c r="U610" s="115">
        <v>5</v>
      </c>
      <c r="V610" s="116">
        <v>9</v>
      </c>
      <c r="W610" s="117">
        <v>11</v>
      </c>
      <c r="X610" s="67">
        <f t="shared" ref="X610:Y610" si="631">(P610+R610+T610+V610)</f>
        <v>42</v>
      </c>
      <c r="Y610" s="67">
        <f t="shared" si="631"/>
        <v>21</v>
      </c>
      <c r="Z610" s="68">
        <f t="shared" si="531"/>
        <v>63</v>
      </c>
      <c r="AA610" s="69" t="str">
        <f t="shared" si="386"/>
        <v>1A</v>
      </c>
      <c r="AB610" s="70" t="s">
        <v>161</v>
      </c>
      <c r="AC610" s="70">
        <v>2</v>
      </c>
      <c r="AD610" s="70">
        <v>77</v>
      </c>
      <c r="AE610" s="70">
        <v>50</v>
      </c>
      <c r="AF610" s="70">
        <v>127</v>
      </c>
      <c r="AG610" s="72">
        <f t="shared" si="532"/>
        <v>0.60629921259842523</v>
      </c>
      <c r="AH610" s="73">
        <f t="shared" si="419"/>
        <v>0.60629921259842523</v>
      </c>
      <c r="AI610" s="74">
        <v>1</v>
      </c>
      <c r="AJ610" s="167" t="s">
        <v>408</v>
      </c>
      <c r="AK610" s="168" t="s">
        <v>23</v>
      </c>
      <c r="AL610" s="169"/>
      <c r="AM610" s="509"/>
      <c r="AN610" s="510"/>
      <c r="AO610" s="515"/>
    </row>
    <row r="611" spans="1:41" ht="14.5">
      <c r="A611" s="58">
        <v>45493</v>
      </c>
      <c r="B611" s="67" t="s">
        <v>204</v>
      </c>
      <c r="C611" s="67" t="s">
        <v>211</v>
      </c>
      <c r="D611" s="67" t="s">
        <v>1255</v>
      </c>
      <c r="E611" s="105">
        <v>8</v>
      </c>
      <c r="F611" s="106">
        <v>11</v>
      </c>
      <c r="G611" s="106">
        <v>11</v>
      </c>
      <c r="H611" s="149">
        <f t="shared" si="630"/>
        <v>30</v>
      </c>
      <c r="I611" s="149">
        <f>SUM(E610,F613,G612)</f>
        <v>22</v>
      </c>
      <c r="J611" s="149">
        <f t="shared" si="417"/>
        <v>52</v>
      </c>
      <c r="K611" s="122">
        <f t="shared" si="400"/>
        <v>0.57692307692307687</v>
      </c>
      <c r="L611" s="123">
        <f t="shared" si="529"/>
        <v>-2.4230769230769234</v>
      </c>
      <c r="M611" s="103">
        <f ca="1">IFERROR(__xludf.DUMMYFUNCTION("IF(A611&lt;&gt;"""", RANK(L611, FILTER(L$2:L$1000, A$2:A$1000=A611)) + COUNTIF(FILTER(L$2:L611, A$2:A611=A611), L611) - 1, """")"),7)</f>
        <v>7</v>
      </c>
      <c r="N611" s="86">
        <v>16</v>
      </c>
      <c r="O611" s="86" t="str">
        <f ca="1">IFERROR(__xludf.DUMMYFUNCTION("IFERROR(INDEX(FILTER($D$2:$D$1000, $A$2:$A$1000=A611), MATCH(N611, FILTER($M$2:$M$1000, $A$2:$A$1000=A611), 0)), """")
"),"HyukJin Yun &amp; Jordan Watts")</f>
        <v>HyukJin Yun &amp; Jordan Watts</v>
      </c>
      <c r="P611" s="113">
        <v>2</v>
      </c>
      <c r="Q611" s="113">
        <v>11</v>
      </c>
      <c r="R611" s="103"/>
      <c r="S611" s="103"/>
      <c r="T611" s="103"/>
      <c r="U611" s="103"/>
      <c r="V611" s="69"/>
      <c r="W611" s="104"/>
      <c r="X611" s="67">
        <f t="shared" ref="X611:Y611" si="632">(P611+R611+T611+V611)</f>
        <v>2</v>
      </c>
      <c r="Y611" s="67">
        <f t="shared" si="632"/>
        <v>11</v>
      </c>
      <c r="Z611" s="68">
        <f t="shared" si="531"/>
        <v>13</v>
      </c>
      <c r="AA611" s="69" t="str">
        <f t="shared" si="386"/>
        <v>1B</v>
      </c>
      <c r="AB611" s="70" t="s">
        <v>1255</v>
      </c>
      <c r="AC611" s="70">
        <v>7</v>
      </c>
      <c r="AD611" s="70">
        <v>51</v>
      </c>
      <c r="AE611" s="70">
        <v>41</v>
      </c>
      <c r="AF611" s="70">
        <v>92</v>
      </c>
      <c r="AG611" s="72">
        <f t="shared" si="532"/>
        <v>0.55434782608695654</v>
      </c>
      <c r="AH611" s="73">
        <f t="shared" si="419"/>
        <v>-25.445652173913043</v>
      </c>
      <c r="AI611" s="74">
        <v>4</v>
      </c>
      <c r="AJ611" s="167" t="s">
        <v>1256</v>
      </c>
      <c r="AK611" s="168" t="s">
        <v>715</v>
      </c>
      <c r="AL611" s="169"/>
      <c r="AM611" s="509"/>
      <c r="AN611" s="510"/>
      <c r="AO611" s="515"/>
    </row>
    <row r="612" spans="1:41" ht="14.5">
      <c r="A612" s="58">
        <v>45493</v>
      </c>
      <c r="B612" s="67" t="s">
        <v>204</v>
      </c>
      <c r="C612" s="67" t="s">
        <v>216</v>
      </c>
      <c r="D612" s="67" t="s">
        <v>1257</v>
      </c>
      <c r="E612" s="107">
        <v>11</v>
      </c>
      <c r="F612" s="108">
        <v>2</v>
      </c>
      <c r="G612" s="106">
        <v>5</v>
      </c>
      <c r="H612" s="149">
        <f t="shared" si="630"/>
        <v>18</v>
      </c>
      <c r="I612" s="149">
        <f>SUM(E613,F610,G611)</f>
        <v>30</v>
      </c>
      <c r="J612" s="149">
        <f t="shared" si="417"/>
        <v>48</v>
      </c>
      <c r="K612" s="122">
        <f t="shared" si="400"/>
        <v>0.375</v>
      </c>
      <c r="L612" s="123">
        <f t="shared" si="529"/>
        <v>-14.625</v>
      </c>
      <c r="M612" s="103">
        <f ca="1">IFERROR(__xludf.DUMMYFUNCTION("IF(A612&lt;&gt;"""", RANK(L612, FILTER(L$2:L$1000, A$2:A$1000=A612)) + COUNTIF(FILTER(L$2:L612, A$2:A612=A612), L612) - 1, """")"),14)</f>
        <v>14</v>
      </c>
      <c r="N612" s="64">
        <v>8</v>
      </c>
      <c r="O612" s="64" t="str">
        <f ca="1">IFERROR(__xludf.DUMMYFUNCTION("IFERROR(INDEX(FILTER($D$2:$D$1000, $A$2:$A$1000=A612), MATCH(N612, FILTER($M$2:$M$1000, $A$2:$A$1000=A612), 0)), """")
"),"Mark McDonald &amp; Tom Spenceri")</f>
        <v>Mark McDonald &amp; Tom Spenceri</v>
      </c>
      <c r="P612" s="103">
        <v>11</v>
      </c>
      <c r="Q612" s="103">
        <v>5</v>
      </c>
      <c r="R612" s="103">
        <v>3</v>
      </c>
      <c r="S612" s="103">
        <v>11</v>
      </c>
      <c r="T612" s="103"/>
      <c r="U612" s="103"/>
      <c r="V612" s="69"/>
      <c r="W612" s="104"/>
      <c r="X612" s="67">
        <f t="shared" ref="X612:Y612" si="633">(P612+R612+T612+V612)</f>
        <v>14</v>
      </c>
      <c r="Y612" s="67">
        <f t="shared" si="633"/>
        <v>16</v>
      </c>
      <c r="Z612" s="68">
        <f t="shared" si="531"/>
        <v>30</v>
      </c>
      <c r="AA612" s="69" t="str">
        <f t="shared" si="386"/>
        <v>1C</v>
      </c>
      <c r="AB612" s="70" t="s">
        <v>1257</v>
      </c>
      <c r="AC612" s="70">
        <v>14</v>
      </c>
      <c r="AD612" s="70">
        <v>38</v>
      </c>
      <c r="AE612" s="70">
        <v>43</v>
      </c>
      <c r="AF612" s="70">
        <v>81</v>
      </c>
      <c r="AG612" s="72">
        <f t="shared" si="532"/>
        <v>0.46913580246913578</v>
      </c>
      <c r="AH612" s="73">
        <f t="shared" si="419"/>
        <v>-38.530864197530867</v>
      </c>
      <c r="AI612" s="74">
        <v>9</v>
      </c>
      <c r="AJ612" s="167" t="s">
        <v>1074</v>
      </c>
      <c r="AK612" s="168" t="s">
        <v>889</v>
      </c>
      <c r="AL612" s="169"/>
      <c r="AM612" s="509"/>
      <c r="AN612" s="510"/>
      <c r="AO612" s="515"/>
    </row>
    <row r="613" spans="1:41" ht="14.5">
      <c r="A613" s="58">
        <v>45493</v>
      </c>
      <c r="B613" s="67" t="s">
        <v>204</v>
      </c>
      <c r="C613" s="67" t="s">
        <v>221</v>
      </c>
      <c r="D613" s="57" t="s">
        <v>1258</v>
      </c>
      <c r="E613" s="109">
        <v>8</v>
      </c>
      <c r="F613" s="110">
        <v>6</v>
      </c>
      <c r="G613" s="111">
        <v>9</v>
      </c>
      <c r="H613" s="149">
        <f t="shared" si="630"/>
        <v>23</v>
      </c>
      <c r="I613" s="149">
        <f>SUM(E612,F611,G610)</f>
        <v>33</v>
      </c>
      <c r="J613" s="149">
        <f t="shared" si="417"/>
        <v>56</v>
      </c>
      <c r="K613" s="122">
        <f t="shared" si="400"/>
        <v>0.4107142857142857</v>
      </c>
      <c r="L613" s="123">
        <f t="shared" si="529"/>
        <v>-9.5892857142857135</v>
      </c>
      <c r="M613" s="103">
        <f ca="1">IFERROR(__xludf.DUMMYFUNCTION("IF(A613&lt;&gt;"""", RANK(L613, FILTER(L$2:L$1000, A$2:A$1000=A613)) + COUNTIF(FILTER(L$2:L613, A$2:A613=A613), L613) - 1, """")"),11)</f>
        <v>11</v>
      </c>
      <c r="N613" s="86">
        <v>9</v>
      </c>
      <c r="O613" s="86" t="str">
        <f ca="1">IFERROR(__xludf.DUMMYFUNCTION("IFERROR(INDEX(FILTER($D$2:$D$1000, $A$2:$A$1000=A613), MATCH(N613, FILTER($M$2:$M$1000, $A$2:$A$1000=A613), 0)), """")
"),"Roy True &amp; Dan Gassel")</f>
        <v>Roy True &amp; Dan Gassel</v>
      </c>
      <c r="P613" s="113">
        <v>5</v>
      </c>
      <c r="Q613" s="113">
        <v>11</v>
      </c>
      <c r="R613" s="113"/>
      <c r="S613" s="113"/>
      <c r="T613" s="103"/>
      <c r="U613" s="103"/>
      <c r="V613" s="69"/>
      <c r="W613" s="104"/>
      <c r="X613" s="67">
        <f t="shared" ref="X613:Y613" si="634">(P613+R613+T613+V613)</f>
        <v>5</v>
      </c>
      <c r="Y613" s="67">
        <f t="shared" si="634"/>
        <v>11</v>
      </c>
      <c r="Z613" s="68">
        <f t="shared" si="531"/>
        <v>16</v>
      </c>
      <c r="AA613" s="69" t="str">
        <f t="shared" si="386"/>
        <v>1D</v>
      </c>
      <c r="AB613" s="70" t="s">
        <v>1258</v>
      </c>
      <c r="AC613" s="70">
        <v>11</v>
      </c>
      <c r="AD613" s="70">
        <v>52</v>
      </c>
      <c r="AE613" s="70">
        <v>60</v>
      </c>
      <c r="AF613" s="70">
        <v>112</v>
      </c>
      <c r="AG613" s="72">
        <f t="shared" si="532"/>
        <v>0.4642857142857143</v>
      </c>
      <c r="AH613" s="73">
        <f t="shared" si="419"/>
        <v>-24.535714285714285</v>
      </c>
      <c r="AI613" s="74">
        <v>3</v>
      </c>
      <c r="AJ613" s="167" t="s">
        <v>1084</v>
      </c>
      <c r="AK613" s="168" t="s">
        <v>267</v>
      </c>
      <c r="AL613" s="169"/>
      <c r="AM613" s="509"/>
      <c r="AN613" s="510"/>
      <c r="AO613" s="515"/>
    </row>
    <row r="614" spans="1:41" ht="14.5">
      <c r="A614" s="58">
        <v>45493</v>
      </c>
      <c r="B614" s="67" t="s">
        <v>204</v>
      </c>
      <c r="C614" s="67" t="s">
        <v>224</v>
      </c>
      <c r="D614" s="67" t="s">
        <v>1259</v>
      </c>
      <c r="E614" s="100">
        <v>11</v>
      </c>
      <c r="F614" s="101">
        <v>11</v>
      </c>
      <c r="G614" s="101">
        <v>4</v>
      </c>
      <c r="H614" s="149">
        <f t="shared" si="630"/>
        <v>26</v>
      </c>
      <c r="I614" s="149">
        <f>SUM(E615,F616,G617)</f>
        <v>19</v>
      </c>
      <c r="J614" s="149">
        <f t="shared" si="417"/>
        <v>45</v>
      </c>
      <c r="K614" s="122">
        <f t="shared" si="400"/>
        <v>0.57777777777777772</v>
      </c>
      <c r="L614" s="123">
        <f t="shared" si="529"/>
        <v>-6.4222222222222225</v>
      </c>
      <c r="M614" s="103">
        <f ca="1">IFERROR(__xludf.DUMMYFUNCTION("IF(A614&lt;&gt;"""", RANK(L614, FILTER(L$2:L$1000, A$2:A$1000=A614)) + COUNTIF(FILTER(L$2:L614, A$2:A614=A614), L614) - 1, """")"),8)</f>
        <v>8</v>
      </c>
      <c r="N614" s="64">
        <v>5</v>
      </c>
      <c r="O614" s="64" t="str">
        <f ca="1">IFERROR(__xludf.DUMMYFUNCTION("IFERROR(INDEX(FILTER($D$2:$D$1000, $A$2:$A$1000=A614), MATCH(N614, FILTER($M$2:$M$1000, $A$2:$A$1000=A614), 0)), """")
"),"Joe Thomas &amp; Dylan Lockwood")</f>
        <v>Joe Thomas &amp; Dylan Lockwood</v>
      </c>
      <c r="P614" s="103">
        <v>9</v>
      </c>
      <c r="Q614" s="103">
        <v>11</v>
      </c>
      <c r="R614" s="103"/>
      <c r="S614" s="103"/>
      <c r="T614" s="103"/>
      <c r="U614" s="103"/>
      <c r="V614" s="69"/>
      <c r="W614" s="104"/>
      <c r="X614" s="67">
        <f t="shared" ref="X614:Y614" si="635">(P614+R614+T614+V614)</f>
        <v>9</v>
      </c>
      <c r="Y614" s="67">
        <f t="shared" si="635"/>
        <v>11</v>
      </c>
      <c r="Z614" s="68">
        <f t="shared" si="531"/>
        <v>20</v>
      </c>
      <c r="AA614" s="69" t="str">
        <f t="shared" si="386"/>
        <v>2A</v>
      </c>
      <c r="AB614" s="70" t="s">
        <v>1259</v>
      </c>
      <c r="AC614" s="70">
        <v>8</v>
      </c>
      <c r="AD614" s="70">
        <v>40</v>
      </c>
      <c r="AE614" s="70">
        <v>35</v>
      </c>
      <c r="AF614" s="70">
        <v>75</v>
      </c>
      <c r="AG614" s="72">
        <f t="shared" si="532"/>
        <v>0.53333333333333333</v>
      </c>
      <c r="AH614" s="73">
        <f t="shared" si="419"/>
        <v>-36.466666666666669</v>
      </c>
      <c r="AI614" s="74">
        <v>7</v>
      </c>
      <c r="AJ614" s="167" t="s">
        <v>1180</v>
      </c>
      <c r="AK614" s="168" t="s">
        <v>29</v>
      </c>
      <c r="AL614" s="169"/>
      <c r="AM614" s="509"/>
      <c r="AN614" s="510"/>
      <c r="AO614" s="515"/>
    </row>
    <row r="615" spans="1:41" ht="14.5">
      <c r="A615" s="58">
        <v>45493</v>
      </c>
      <c r="B615" s="67" t="s">
        <v>204</v>
      </c>
      <c r="C615" s="67" t="s">
        <v>228</v>
      </c>
      <c r="D615" s="67" t="s">
        <v>1260</v>
      </c>
      <c r="E615" s="105">
        <v>7</v>
      </c>
      <c r="F615" s="106">
        <v>3</v>
      </c>
      <c r="G615" s="106">
        <v>11</v>
      </c>
      <c r="H615" s="149">
        <f t="shared" si="630"/>
        <v>21</v>
      </c>
      <c r="I615" s="149">
        <f>SUM(E614,F617,G616)</f>
        <v>32</v>
      </c>
      <c r="J615" s="149">
        <f t="shared" si="417"/>
        <v>53</v>
      </c>
      <c r="K615" s="122">
        <f t="shared" si="400"/>
        <v>0.39622641509433965</v>
      </c>
      <c r="L615" s="123">
        <f t="shared" si="529"/>
        <v>-11.60377358490566</v>
      </c>
      <c r="M615" s="103">
        <f ca="1">IFERROR(__xludf.DUMMYFUNCTION("IF(A615&lt;&gt;"""", RANK(L615, FILTER(L$2:L$1000, A$2:A$1000=A615)) + COUNTIF(FILTER(L$2:L615, A$2:A615=A615), L615) - 1, """")"),12)</f>
        <v>12</v>
      </c>
      <c r="N615" s="86">
        <v>12</v>
      </c>
      <c r="O615" s="86" t="str">
        <f ca="1">IFERROR(__xludf.DUMMYFUNCTION("IFERROR(INDEX(FILTER($D$2:$D$1000, $A$2:$A$1000=A615), MATCH(N615, FILTER($M$2:$M$1000, $A$2:$A$1000=A615), 0)), """")
"),"Grant Isom &amp; Chris Lyon")</f>
        <v>Grant Isom &amp; Chris Lyon</v>
      </c>
      <c r="P615" s="113">
        <v>11</v>
      </c>
      <c r="Q615" s="113">
        <v>9</v>
      </c>
      <c r="R615" s="103">
        <v>11</v>
      </c>
      <c r="S615" s="103">
        <v>2</v>
      </c>
      <c r="T615" s="103">
        <v>5</v>
      </c>
      <c r="U615" s="103">
        <v>11</v>
      </c>
      <c r="V615" s="69"/>
      <c r="W615" s="104"/>
      <c r="X615" s="67">
        <f t="shared" ref="X615:Y615" si="636">(P615+R615+T615+V615)</f>
        <v>27</v>
      </c>
      <c r="Y615" s="67">
        <f t="shared" si="636"/>
        <v>22</v>
      </c>
      <c r="Z615" s="68">
        <f t="shared" si="531"/>
        <v>49</v>
      </c>
      <c r="AA615" s="69" t="str">
        <f t="shared" si="386"/>
        <v>2B</v>
      </c>
      <c r="AB615" s="70" t="s">
        <v>1260</v>
      </c>
      <c r="AC615" s="70">
        <v>12</v>
      </c>
      <c r="AD615" s="70">
        <v>48</v>
      </c>
      <c r="AE615" s="70">
        <v>54</v>
      </c>
      <c r="AF615" s="70">
        <v>102</v>
      </c>
      <c r="AG615" s="72">
        <f t="shared" si="532"/>
        <v>0.47058823529411764</v>
      </c>
      <c r="AH615" s="73">
        <f t="shared" si="419"/>
        <v>-28.529411764705884</v>
      </c>
      <c r="AI615" s="74">
        <v>5</v>
      </c>
      <c r="AJ615" s="167" t="s">
        <v>977</v>
      </c>
      <c r="AK615" s="168" t="s">
        <v>1131</v>
      </c>
      <c r="AL615" s="169"/>
      <c r="AM615" s="509"/>
      <c r="AN615" s="510"/>
      <c r="AO615" s="515"/>
    </row>
    <row r="616" spans="1:41" ht="14.5">
      <c r="A616" s="58">
        <v>45493</v>
      </c>
      <c r="B616" s="67" t="s">
        <v>204</v>
      </c>
      <c r="C616" s="67" t="s">
        <v>232</v>
      </c>
      <c r="D616" s="67" t="s">
        <v>1261</v>
      </c>
      <c r="E616" s="107">
        <v>4</v>
      </c>
      <c r="F616" s="108">
        <v>1</v>
      </c>
      <c r="G616" s="106">
        <v>10</v>
      </c>
      <c r="H616" s="149">
        <f t="shared" si="630"/>
        <v>15</v>
      </c>
      <c r="I616" s="149">
        <f>SUM(E617,F614,G615)</f>
        <v>33</v>
      </c>
      <c r="J616" s="149">
        <f t="shared" si="417"/>
        <v>48</v>
      </c>
      <c r="K616" s="122">
        <f t="shared" si="400"/>
        <v>0.3125</v>
      </c>
      <c r="L616" s="123">
        <f t="shared" si="529"/>
        <v>-17.6875</v>
      </c>
      <c r="M616" s="103">
        <f ca="1">IFERROR(__xludf.DUMMYFUNCTION("IF(A616&lt;&gt;"""", RANK(L616, FILTER(L$2:L$1000, A$2:A$1000=A616)) + COUNTIF(FILTER(L$2:L616, A$2:A616=A616), L616) - 1, """")"),15)</f>
        <v>15</v>
      </c>
      <c r="N616" s="64">
        <v>4</v>
      </c>
      <c r="O616" s="64" t="str">
        <f ca="1">IFERROR(__xludf.DUMMYFUNCTION("IFERROR(INDEX(FILTER($D$2:$D$1000, $A$2:$A$1000=A616), MATCH(N616, FILTER($M$2:$M$1000, $A$2:$A$1000=A616), 0)), """")
"),"Alex True &amp; Loren Ginden")</f>
        <v>Alex True &amp; Loren Ginden</v>
      </c>
      <c r="P616" s="103">
        <v>6</v>
      </c>
      <c r="Q616" s="103">
        <v>11</v>
      </c>
      <c r="R616" s="103"/>
      <c r="S616" s="103"/>
      <c r="T616" s="103"/>
      <c r="U616" s="103"/>
      <c r="V616" s="69"/>
      <c r="W616" s="104"/>
      <c r="X616" s="67">
        <f t="shared" ref="X616:Y616" si="637">(P616+R616+T616+V616)</f>
        <v>6</v>
      </c>
      <c r="Y616" s="67">
        <f t="shared" si="637"/>
        <v>11</v>
      </c>
      <c r="Z616" s="68">
        <f t="shared" si="531"/>
        <v>17</v>
      </c>
      <c r="AA616" s="69" t="str">
        <f t="shared" si="386"/>
        <v>2C</v>
      </c>
      <c r="AB616" s="70" t="s">
        <v>1261</v>
      </c>
      <c r="AC616" s="70">
        <v>15</v>
      </c>
      <c r="AD616" s="70">
        <v>20</v>
      </c>
      <c r="AE616" s="70">
        <v>44</v>
      </c>
      <c r="AF616" s="70">
        <v>64</v>
      </c>
      <c r="AG616" s="72">
        <f t="shared" si="532"/>
        <v>0.3125</v>
      </c>
      <c r="AH616" s="73">
        <f t="shared" si="419"/>
        <v>-56.6875</v>
      </c>
      <c r="AI616" s="74">
        <v>15</v>
      </c>
      <c r="AJ616" s="167" t="s">
        <v>984</v>
      </c>
      <c r="AK616" s="168" t="s">
        <v>1086</v>
      </c>
      <c r="AL616" s="169"/>
      <c r="AM616" s="509"/>
      <c r="AN616" s="510"/>
      <c r="AO616" s="515"/>
    </row>
    <row r="617" spans="1:41" ht="14.5">
      <c r="A617" s="58">
        <v>45493</v>
      </c>
      <c r="B617" s="67" t="s">
        <v>204</v>
      </c>
      <c r="C617" s="67" t="s">
        <v>237</v>
      </c>
      <c r="D617" s="67" t="s">
        <v>162</v>
      </c>
      <c r="E617" s="109">
        <v>11</v>
      </c>
      <c r="F617" s="110">
        <v>11</v>
      </c>
      <c r="G617" s="111">
        <v>11</v>
      </c>
      <c r="H617" s="149">
        <f t="shared" si="630"/>
        <v>33</v>
      </c>
      <c r="I617" s="149">
        <f>SUM(E616,F615,G614)</f>
        <v>11</v>
      </c>
      <c r="J617" s="149">
        <f t="shared" si="417"/>
        <v>44</v>
      </c>
      <c r="K617" s="122">
        <f t="shared" si="400"/>
        <v>0.75</v>
      </c>
      <c r="L617" s="123">
        <f t="shared" si="529"/>
        <v>0.75</v>
      </c>
      <c r="M617" s="103">
        <f ca="1">IFERROR(__xludf.DUMMYFUNCTION("IF(A617&lt;&gt;"""", RANK(L617, FILTER(L$2:L$1000, A$2:A$1000=A617)) + COUNTIF(FILTER(L$2:L617, A$2:A617=A617), L617) - 1, """")"),1)</f>
        <v>1</v>
      </c>
      <c r="N617" s="86">
        <v>13</v>
      </c>
      <c r="O617" s="86" t="str">
        <f ca="1">IFERROR(__xludf.DUMMYFUNCTION("IFERROR(INDEX(FILTER($D$2:$D$1000, $A$2:$A$1000=A617), MATCH(N617, FILTER($M$2:$M$1000, $A$2:$A$1000=A617), 0)), """")
"),"Jason Steliga &amp; Jeremie Wilson")</f>
        <v>Jason Steliga &amp; Jeremie Wilson</v>
      </c>
      <c r="P617" s="113">
        <v>11</v>
      </c>
      <c r="Q617" s="113">
        <v>6</v>
      </c>
      <c r="R617" s="113">
        <v>2</v>
      </c>
      <c r="S617" s="113">
        <v>11</v>
      </c>
      <c r="T617" s="113"/>
      <c r="U617" s="113"/>
      <c r="V617" s="93"/>
      <c r="W617" s="114"/>
      <c r="X617" s="67">
        <f t="shared" ref="X617:Y617" si="638">(P617+R617+T617+V617)</f>
        <v>13</v>
      </c>
      <c r="Y617" s="67">
        <f t="shared" si="638"/>
        <v>17</v>
      </c>
      <c r="Z617" s="68">
        <f t="shared" si="531"/>
        <v>30</v>
      </c>
      <c r="AA617" s="69" t="str">
        <f t="shared" si="386"/>
        <v>2D</v>
      </c>
      <c r="AB617" s="70" t="s">
        <v>162</v>
      </c>
      <c r="AC617" s="70">
        <v>1</v>
      </c>
      <c r="AD617" s="70">
        <v>75</v>
      </c>
      <c r="AE617" s="70">
        <v>32</v>
      </c>
      <c r="AF617" s="70">
        <v>107</v>
      </c>
      <c r="AG617" s="72">
        <f t="shared" si="532"/>
        <v>0.7009345794392523</v>
      </c>
      <c r="AH617" s="73">
        <f t="shared" si="419"/>
        <v>-1.2990654205607477</v>
      </c>
      <c r="AI617" s="74">
        <v>2</v>
      </c>
      <c r="AJ617" s="167" t="s">
        <v>858</v>
      </c>
      <c r="AK617" s="168" t="s">
        <v>1209</v>
      </c>
      <c r="AL617" s="169"/>
      <c r="AM617" s="509"/>
      <c r="AN617" s="510"/>
      <c r="AO617" s="515"/>
    </row>
    <row r="618" spans="1:41" ht="14.5">
      <c r="A618" s="58">
        <v>45493</v>
      </c>
      <c r="B618" s="67" t="s">
        <v>204</v>
      </c>
      <c r="C618" s="67" t="s">
        <v>241</v>
      </c>
      <c r="D618" s="67" t="s">
        <v>1262</v>
      </c>
      <c r="E618" s="100">
        <v>11</v>
      </c>
      <c r="F618" s="101">
        <v>10</v>
      </c>
      <c r="G618" s="101">
        <v>11</v>
      </c>
      <c r="H618" s="149">
        <f t="shared" si="630"/>
        <v>32</v>
      </c>
      <c r="I618" s="149">
        <f>SUM(E619,F620,G621)</f>
        <v>24</v>
      </c>
      <c r="J618" s="149">
        <f t="shared" si="417"/>
        <v>56</v>
      </c>
      <c r="K618" s="122">
        <f t="shared" si="400"/>
        <v>0.5714285714285714</v>
      </c>
      <c r="L618" s="123">
        <f t="shared" si="529"/>
        <v>-0.4285714285714286</v>
      </c>
      <c r="M618" s="103">
        <f ca="1">IFERROR(__xludf.DUMMYFUNCTION("IF(A618&lt;&gt;"""", RANK(L618, FILTER(L$2:L$1000, A$2:A$1000=A618)) + COUNTIF(FILTER(L$2:L618, A$2:A618=A618), L618) - 1, """")"),5)</f>
        <v>5</v>
      </c>
      <c r="N618" s="64">
        <v>6</v>
      </c>
      <c r="O618" s="64" t="str">
        <f ca="1">IFERROR(__xludf.DUMMYFUNCTION("IFERROR(INDEX(FILTER($D$2:$D$1000, $A$2:$A$1000=A618), MATCH(N618, FILTER($M$2:$M$1000, $A$2:$A$1000=A618), 0)), """")
"),"JD Asbell &amp; Will Polese")</f>
        <v>JD Asbell &amp; Will Polese</v>
      </c>
      <c r="P618" s="103">
        <v>7</v>
      </c>
      <c r="Q618" s="103">
        <v>11</v>
      </c>
      <c r="R618" s="103"/>
      <c r="S618" s="103"/>
      <c r="T618" s="103"/>
      <c r="U618" s="103"/>
      <c r="V618" s="69"/>
      <c r="W618" s="104"/>
      <c r="X618" s="67">
        <f t="shared" ref="X618:Y618" si="639">(P618+R618+T618+V618)</f>
        <v>7</v>
      </c>
      <c r="Y618" s="67">
        <f t="shared" si="639"/>
        <v>11</v>
      </c>
      <c r="Z618" s="68">
        <f t="shared" si="531"/>
        <v>18</v>
      </c>
      <c r="AA618" s="69" t="str">
        <f t="shared" si="386"/>
        <v>3A</v>
      </c>
      <c r="AB618" s="70" t="s">
        <v>1262</v>
      </c>
      <c r="AC618" s="70">
        <v>5</v>
      </c>
      <c r="AD618" s="70">
        <v>41</v>
      </c>
      <c r="AE618" s="70">
        <v>35</v>
      </c>
      <c r="AF618" s="70">
        <v>76</v>
      </c>
      <c r="AG618" s="72">
        <f t="shared" si="532"/>
        <v>0.53947368421052633</v>
      </c>
      <c r="AH618" s="73">
        <f t="shared" si="419"/>
        <v>-35.460526315789473</v>
      </c>
      <c r="AI618" s="74">
        <v>6</v>
      </c>
      <c r="AJ618" s="167" t="s">
        <v>1263</v>
      </c>
      <c r="AK618" s="168" t="s">
        <v>1107</v>
      </c>
      <c r="AL618" s="169"/>
      <c r="AM618" s="509"/>
      <c r="AN618" s="510"/>
      <c r="AO618" s="515"/>
    </row>
    <row r="619" spans="1:41" ht="14.5">
      <c r="A619" s="58">
        <v>45493</v>
      </c>
      <c r="B619" s="67" t="s">
        <v>204</v>
      </c>
      <c r="C619" s="67" t="s">
        <v>246</v>
      </c>
      <c r="D619" s="67" t="s">
        <v>1264</v>
      </c>
      <c r="E619" s="105">
        <v>6</v>
      </c>
      <c r="F619" s="106">
        <v>11</v>
      </c>
      <c r="G619" s="106">
        <v>9</v>
      </c>
      <c r="H619" s="149">
        <f t="shared" si="630"/>
        <v>26</v>
      </c>
      <c r="I619" s="149">
        <f>SUM(E618,F621,G620)</f>
        <v>30</v>
      </c>
      <c r="J619" s="149">
        <f t="shared" si="417"/>
        <v>56</v>
      </c>
      <c r="K619" s="122">
        <f t="shared" si="400"/>
        <v>0.4642857142857143</v>
      </c>
      <c r="L619" s="123">
        <f t="shared" si="529"/>
        <v>-6.5357142857142856</v>
      </c>
      <c r="M619" s="103">
        <f ca="1">IFERROR(__xludf.DUMMYFUNCTION("IF(A619&lt;&gt;"""", RANK(L619, FILTER(L$2:L$1000, A$2:A$1000=A619)) + COUNTIF(FILTER(L$2:L619, A$2:A619=A619), L619) - 1, """")"),10)</f>
        <v>10</v>
      </c>
      <c r="N619" s="86">
        <v>11</v>
      </c>
      <c r="O619" s="86" t="str">
        <f ca="1">IFERROR(__xludf.DUMMYFUNCTION("IFERROR(INDEX(FILTER($D$2:$D$1000, $A$2:$A$1000=A619), MATCH(N619, FILTER($M$2:$M$1000, $A$2:$A$1000=A619), 0)), """")
"),"Jacob Beck &amp; Allen Meyer")</f>
        <v>Jacob Beck &amp; Allen Meyer</v>
      </c>
      <c r="P619" s="113">
        <v>11</v>
      </c>
      <c r="Q619" s="113">
        <v>7</v>
      </c>
      <c r="R619" s="103">
        <v>11</v>
      </c>
      <c r="S619" s="103">
        <v>9</v>
      </c>
      <c r="T619" s="103">
        <v>7</v>
      </c>
      <c r="U619" s="103">
        <v>11</v>
      </c>
      <c r="V619" s="69"/>
      <c r="W619" s="104"/>
      <c r="X619" s="67">
        <f t="shared" ref="X619:Y619" si="640">(P619+R619+T619+V619)</f>
        <v>29</v>
      </c>
      <c r="Y619" s="67">
        <f t="shared" si="640"/>
        <v>27</v>
      </c>
      <c r="Z619" s="68">
        <f t="shared" si="531"/>
        <v>56</v>
      </c>
      <c r="AA619" s="69" t="str">
        <f t="shared" si="386"/>
        <v>3B</v>
      </c>
      <c r="AB619" s="70" t="s">
        <v>1264</v>
      </c>
      <c r="AC619" s="70">
        <v>10</v>
      </c>
      <c r="AD619" s="70">
        <v>34</v>
      </c>
      <c r="AE619" s="70">
        <v>41</v>
      </c>
      <c r="AF619" s="70">
        <v>75</v>
      </c>
      <c r="AG619" s="72">
        <f t="shared" si="532"/>
        <v>0.45333333333333331</v>
      </c>
      <c r="AH619" s="73">
        <f t="shared" si="419"/>
        <v>-42.546666666666667</v>
      </c>
      <c r="AI619" s="74">
        <v>12</v>
      </c>
      <c r="AJ619" s="167" t="s">
        <v>1265</v>
      </c>
      <c r="AK619" s="168" t="s">
        <v>1266</v>
      </c>
      <c r="AL619" s="169"/>
      <c r="AM619" s="509"/>
      <c r="AN619" s="510"/>
      <c r="AO619" s="515"/>
    </row>
    <row r="620" spans="1:41" ht="14.5">
      <c r="A620" s="58">
        <v>45493</v>
      </c>
      <c r="B620" s="67" t="s">
        <v>204</v>
      </c>
      <c r="C620" s="67" t="s">
        <v>251</v>
      </c>
      <c r="D620" s="67" t="s">
        <v>1267</v>
      </c>
      <c r="E620" s="107">
        <v>11</v>
      </c>
      <c r="F620" s="108">
        <v>11</v>
      </c>
      <c r="G620" s="106">
        <v>11</v>
      </c>
      <c r="H620" s="149">
        <f t="shared" si="630"/>
        <v>33</v>
      </c>
      <c r="I620" s="149">
        <f>SUM(E621,F618,G619)</f>
        <v>25</v>
      </c>
      <c r="J620" s="149">
        <f t="shared" si="417"/>
        <v>58</v>
      </c>
      <c r="K620" s="122">
        <f t="shared" si="400"/>
        <v>0.56896551724137934</v>
      </c>
      <c r="L620" s="123">
        <f t="shared" si="529"/>
        <v>0.56896551724137934</v>
      </c>
      <c r="M620" s="103">
        <f ca="1">IFERROR(__xludf.DUMMYFUNCTION("IF(A620&lt;&gt;"""", RANK(L620, FILTER(L$2:L$1000, A$2:A$1000=A620)) + COUNTIF(FILTER(L$2:L620, A$2:A620=A620), L620) - 1, """")"),4)</f>
        <v>4</v>
      </c>
      <c r="N620" s="64">
        <v>3</v>
      </c>
      <c r="O620" s="64" t="str">
        <f ca="1">IFERROR(__xludf.DUMMYFUNCTION("IFERROR(INDEX(FILTER($D$2:$D$1000, $A$2:$A$1000=A620), MATCH(N620, FILTER($M$2:$M$1000, $A$2:$A$1000=A620), 0)), """")
"),"Mark Schneeberger &amp; Nathan Gray")</f>
        <v>Mark Schneeberger &amp; Nathan Gray</v>
      </c>
      <c r="P620" s="103">
        <v>2</v>
      </c>
      <c r="Q620" s="103">
        <v>11</v>
      </c>
      <c r="R620" s="103"/>
      <c r="S620" s="103"/>
      <c r="T620" s="103"/>
      <c r="U620" s="103"/>
      <c r="V620" s="69"/>
      <c r="W620" s="104"/>
      <c r="X620" s="67">
        <f t="shared" ref="X620:Y620" si="641">(P620+R620+T620+V620)</f>
        <v>2</v>
      </c>
      <c r="Y620" s="67">
        <f t="shared" si="641"/>
        <v>11</v>
      </c>
      <c r="Z620" s="68">
        <f t="shared" si="531"/>
        <v>13</v>
      </c>
      <c r="AA620" s="69" t="str">
        <f t="shared" si="386"/>
        <v>3C</v>
      </c>
      <c r="AB620" s="70" t="s">
        <v>1267</v>
      </c>
      <c r="AC620" s="70">
        <v>4</v>
      </c>
      <c r="AD620" s="70">
        <v>39</v>
      </c>
      <c r="AE620" s="70">
        <v>36</v>
      </c>
      <c r="AF620" s="70">
        <v>75</v>
      </c>
      <c r="AG620" s="72">
        <f t="shared" si="532"/>
        <v>0.52</v>
      </c>
      <c r="AH620" s="73">
        <f t="shared" si="419"/>
        <v>-37.479999999999997</v>
      </c>
      <c r="AI620" s="74">
        <v>8</v>
      </c>
      <c r="AJ620" s="167" t="s">
        <v>1253</v>
      </c>
      <c r="AK620" s="168" t="s">
        <v>1268</v>
      </c>
      <c r="AL620" s="169"/>
      <c r="AM620" s="509"/>
      <c r="AN620" s="510"/>
      <c r="AO620" s="515"/>
    </row>
    <row r="621" spans="1:41" ht="14.5">
      <c r="A621" s="58">
        <v>45493</v>
      </c>
      <c r="B621" s="67" t="s">
        <v>204</v>
      </c>
      <c r="C621" s="67" t="s">
        <v>256</v>
      </c>
      <c r="D621" s="67" t="s">
        <v>1269</v>
      </c>
      <c r="E621" s="109">
        <v>6</v>
      </c>
      <c r="F621" s="110">
        <v>8</v>
      </c>
      <c r="G621" s="111">
        <v>7</v>
      </c>
      <c r="H621" s="149">
        <f t="shared" si="630"/>
        <v>21</v>
      </c>
      <c r="I621" s="149">
        <f>SUM(E620,F619,G618)</f>
        <v>33</v>
      </c>
      <c r="J621" s="149">
        <f t="shared" si="417"/>
        <v>54</v>
      </c>
      <c r="K621" s="122">
        <f t="shared" si="400"/>
        <v>0.3888888888888889</v>
      </c>
      <c r="L621" s="123">
        <f t="shared" si="529"/>
        <v>-11.611111111111111</v>
      </c>
      <c r="M621" s="103">
        <f ca="1">IFERROR(__xludf.DUMMYFUNCTION("IF(A621&lt;&gt;"""", RANK(L621, FILTER(L$2:L$1000, A$2:A$1000=A621)) + COUNTIF(FILTER(L$2:L621, A$2:A621=A621), L621) - 1, """")"),13)</f>
        <v>13</v>
      </c>
      <c r="N621" s="86">
        <v>14</v>
      </c>
      <c r="O621" s="86" t="str">
        <f ca="1">IFERROR(__xludf.DUMMYFUNCTION("IFERROR(INDEX(FILTER($D$2:$D$1000, $A$2:$A$1000=A621), MATCH(N621, FILTER($M$2:$M$1000, $A$2:$A$1000=A621), 0)), """")
"),"Patrick Blackwell &amp; Joe Rishmany")</f>
        <v>Patrick Blackwell &amp; Joe Rishmany</v>
      </c>
      <c r="P621" s="113">
        <v>11</v>
      </c>
      <c r="Q621" s="113">
        <v>2</v>
      </c>
      <c r="R621" s="113">
        <v>9</v>
      </c>
      <c r="S621" s="113">
        <v>11</v>
      </c>
      <c r="T621" s="103"/>
      <c r="U621" s="103"/>
      <c r="V621" s="69"/>
      <c r="W621" s="104"/>
      <c r="X621" s="67">
        <f t="shared" ref="X621:Y621" si="642">(P621+R621+T621+V621)</f>
        <v>20</v>
      </c>
      <c r="Y621" s="67">
        <f t="shared" si="642"/>
        <v>13</v>
      </c>
      <c r="Z621" s="68">
        <f t="shared" si="531"/>
        <v>33</v>
      </c>
      <c r="AA621" s="69" t="str">
        <f t="shared" si="386"/>
        <v>3D</v>
      </c>
      <c r="AB621" s="70" t="s">
        <v>1269</v>
      </c>
      <c r="AC621" s="70">
        <v>13</v>
      </c>
      <c r="AD621" s="70">
        <v>34</v>
      </c>
      <c r="AE621" s="70">
        <v>50</v>
      </c>
      <c r="AF621" s="70">
        <v>84</v>
      </c>
      <c r="AG621" s="72">
        <f t="shared" si="532"/>
        <v>0.40476190476190477</v>
      </c>
      <c r="AH621" s="73">
        <f t="shared" si="419"/>
        <v>-42.595238095238095</v>
      </c>
      <c r="AI621" s="74">
        <v>13</v>
      </c>
      <c r="AJ621" s="167" t="s">
        <v>1079</v>
      </c>
      <c r="AK621" s="168" t="s">
        <v>1090</v>
      </c>
      <c r="AL621" s="169"/>
      <c r="AM621" s="509"/>
      <c r="AN621" s="510"/>
      <c r="AO621" s="515"/>
    </row>
    <row r="622" spans="1:41" ht="14.5">
      <c r="A622" s="58">
        <v>45493</v>
      </c>
      <c r="B622" s="67" t="s">
        <v>204</v>
      </c>
      <c r="C622" s="67" t="s">
        <v>261</v>
      </c>
      <c r="D622" s="67" t="s">
        <v>1270</v>
      </c>
      <c r="E622" s="100">
        <v>2</v>
      </c>
      <c r="F622" s="101">
        <v>3</v>
      </c>
      <c r="G622" s="101">
        <v>2</v>
      </c>
      <c r="H622" s="149">
        <f t="shared" si="630"/>
        <v>7</v>
      </c>
      <c r="I622" s="149">
        <f>SUM(E623,F624,G625)</f>
        <v>33</v>
      </c>
      <c r="J622" s="149">
        <f t="shared" si="417"/>
        <v>40</v>
      </c>
      <c r="K622" s="122">
        <f t="shared" si="400"/>
        <v>0.17499999999999999</v>
      </c>
      <c r="L622" s="123">
        <f t="shared" si="529"/>
        <v>-25.824999999999999</v>
      </c>
      <c r="M622" s="103">
        <f ca="1">IFERROR(__xludf.DUMMYFUNCTION("IF(A622&lt;&gt;"""", RANK(L622, FILTER(L$2:L$1000, A$2:A$1000=A622)) + COUNTIF(FILTER(L$2:L622, A$2:A622=A622), L622) - 1, """")"),16)</f>
        <v>16</v>
      </c>
      <c r="N622" s="64">
        <v>7</v>
      </c>
      <c r="O622" s="64" t="str">
        <f ca="1">IFERROR(__xludf.DUMMYFUNCTION("IFERROR(INDEX(FILTER($D$2:$D$1000, $A$2:$A$1000=A622), MATCH(N622, FILTER($M$2:$M$1000, $A$2:$A$1000=A622), 0)), """")
"),"Amir Mohammed &amp; Justin Hoffman")</f>
        <v>Amir Mohammed &amp; Justin Hoffman</v>
      </c>
      <c r="P622" s="103">
        <v>11</v>
      </c>
      <c r="Q622" s="103">
        <v>8</v>
      </c>
      <c r="R622" s="103">
        <v>10</v>
      </c>
      <c r="S622" s="103">
        <v>11</v>
      </c>
      <c r="T622" s="103"/>
      <c r="U622" s="103"/>
      <c r="V622" s="69"/>
      <c r="W622" s="104"/>
      <c r="X622" s="67">
        <f t="shared" ref="X622:Y622" si="643">(P622+R622+T622+V622)</f>
        <v>21</v>
      </c>
      <c r="Y622" s="67">
        <f t="shared" si="643"/>
        <v>19</v>
      </c>
      <c r="Z622" s="68">
        <f t="shared" si="531"/>
        <v>40</v>
      </c>
      <c r="AA622" s="69" t="str">
        <f t="shared" si="386"/>
        <v>4A</v>
      </c>
      <c r="AB622" s="70" t="s">
        <v>1270</v>
      </c>
      <c r="AC622" s="70">
        <v>16</v>
      </c>
      <c r="AD622" s="70">
        <v>9</v>
      </c>
      <c r="AE622" s="70">
        <v>44</v>
      </c>
      <c r="AF622" s="70">
        <v>53</v>
      </c>
      <c r="AG622" s="72">
        <f t="shared" si="532"/>
        <v>0.16981132075471697</v>
      </c>
      <c r="AH622" s="73">
        <f t="shared" si="419"/>
        <v>-67.830188679245282</v>
      </c>
      <c r="AI622" s="74">
        <v>16</v>
      </c>
      <c r="AJ622" s="167" t="s">
        <v>1271</v>
      </c>
      <c r="AK622" s="168" t="s">
        <v>1272</v>
      </c>
      <c r="AL622" s="169"/>
      <c r="AM622" s="509"/>
      <c r="AN622" s="510"/>
      <c r="AO622" s="515"/>
    </row>
    <row r="623" spans="1:41" ht="14.5">
      <c r="A623" s="58">
        <v>45493</v>
      </c>
      <c r="B623" s="67" t="s">
        <v>204</v>
      </c>
      <c r="C623" s="67" t="s">
        <v>268</v>
      </c>
      <c r="D623" s="67" t="s">
        <v>1273</v>
      </c>
      <c r="E623" s="105">
        <v>11</v>
      </c>
      <c r="F623" s="106">
        <v>11</v>
      </c>
      <c r="G623" s="106">
        <v>8</v>
      </c>
      <c r="H623" s="149">
        <f t="shared" si="630"/>
        <v>30</v>
      </c>
      <c r="I623" s="149">
        <f>SUM(E622,F625,G624)</f>
        <v>20</v>
      </c>
      <c r="J623" s="149">
        <f t="shared" si="417"/>
        <v>50</v>
      </c>
      <c r="K623" s="122">
        <f t="shared" si="400"/>
        <v>0.6</v>
      </c>
      <c r="L623" s="123">
        <f t="shared" si="529"/>
        <v>-2.4</v>
      </c>
      <c r="M623" s="103">
        <f ca="1">IFERROR(__xludf.DUMMYFUNCTION("IF(A623&lt;&gt;"""", RANK(L623, FILTER(L$2:L$1000, A$2:A$1000=A623)) + COUNTIF(FILTER(L$2:L623, A$2:A623=A623), L623) - 1, """")"),6)</f>
        <v>6</v>
      </c>
      <c r="N623" s="86">
        <v>10</v>
      </c>
      <c r="O623" s="86" t="str">
        <f ca="1">IFERROR(__xludf.DUMMYFUNCTION("IFERROR(INDEX(FILTER($D$2:$D$1000, $A$2:$A$1000=A623), MATCH(N623, FILTER($M$2:$M$1000, $A$2:$A$1000=A623), 0)), """")
"),"Anthony Williams &amp; Thomas Rosewicz")</f>
        <v>Anthony Williams &amp; Thomas Rosewicz</v>
      </c>
      <c r="P623" s="113">
        <v>8</v>
      </c>
      <c r="Q623" s="113">
        <v>11</v>
      </c>
      <c r="R623" s="103"/>
      <c r="S623" s="103"/>
      <c r="T623" s="103"/>
      <c r="U623" s="103"/>
      <c r="V623" s="69"/>
      <c r="W623" s="104"/>
      <c r="X623" s="67">
        <f t="shared" ref="X623:Y623" si="644">(P623+R623+T623+V623)</f>
        <v>8</v>
      </c>
      <c r="Y623" s="67">
        <f t="shared" si="644"/>
        <v>11</v>
      </c>
      <c r="Z623" s="68">
        <f t="shared" si="531"/>
        <v>19</v>
      </c>
      <c r="AA623" s="69" t="str">
        <f t="shared" si="386"/>
        <v>4B</v>
      </c>
      <c r="AB623" s="70" t="s">
        <v>1273</v>
      </c>
      <c r="AC623" s="70">
        <v>6</v>
      </c>
      <c r="AD623" s="70">
        <v>37</v>
      </c>
      <c r="AE623" s="70">
        <v>31</v>
      </c>
      <c r="AF623" s="70">
        <v>68</v>
      </c>
      <c r="AG623" s="72">
        <f t="shared" si="532"/>
        <v>0.54411764705882348</v>
      </c>
      <c r="AH623" s="73">
        <f t="shared" si="419"/>
        <v>-39.455882352941174</v>
      </c>
      <c r="AI623" s="74">
        <v>10</v>
      </c>
      <c r="AJ623" s="167" t="s">
        <v>1204</v>
      </c>
      <c r="AK623" s="168" t="s">
        <v>1189</v>
      </c>
      <c r="AL623" s="169"/>
      <c r="AM623" s="509"/>
      <c r="AN623" s="510"/>
      <c r="AO623" s="515"/>
    </row>
    <row r="624" spans="1:41" ht="14.5">
      <c r="A624" s="58">
        <v>45493</v>
      </c>
      <c r="B624" s="67" t="s">
        <v>204</v>
      </c>
      <c r="C624" s="67" t="s">
        <v>271</v>
      </c>
      <c r="D624" s="67" t="s">
        <v>1274</v>
      </c>
      <c r="E624" s="107">
        <v>11</v>
      </c>
      <c r="F624" s="108">
        <v>11</v>
      </c>
      <c r="G624" s="106">
        <v>11</v>
      </c>
      <c r="H624" s="149">
        <f t="shared" si="630"/>
        <v>33</v>
      </c>
      <c r="I624" s="149">
        <f>SUM(E625,F622,G623)</f>
        <v>19</v>
      </c>
      <c r="J624" s="149">
        <f t="shared" si="417"/>
        <v>52</v>
      </c>
      <c r="K624" s="122">
        <f t="shared" si="400"/>
        <v>0.63461538461538458</v>
      </c>
      <c r="L624" s="123">
        <f t="shared" si="529"/>
        <v>0.63461538461538458</v>
      </c>
      <c r="M624" s="166">
        <f ca="1">IFERROR(__xludf.DUMMYFUNCTION("IF(A624&lt;&gt;"""", RANK(L624, FILTER(L$2:L$1000, A$2:A$1000=A624)) + COUNTIF(FILTER(L$2:L624, A$2:A624=A624), L624) - 1, """")"),3)</f>
        <v>3</v>
      </c>
      <c r="N624" s="64">
        <v>2</v>
      </c>
      <c r="O624" s="64" t="str">
        <f ca="1">IFERROR(__xludf.DUMMYFUNCTION("IFERROR(INDEX(FILTER($D$2:$D$1000, $A$2:$A$1000=A624), MATCH(N624, FILTER($M$2:$M$1000, $A$2:$A$1000=A624), 0)), """")
"),"Dung Le &amp; Robert Madison")</f>
        <v>Dung Le &amp; Robert Madison</v>
      </c>
      <c r="P624" s="103">
        <v>11</v>
      </c>
      <c r="Q624" s="103">
        <v>5</v>
      </c>
      <c r="R624" s="103">
        <v>11</v>
      </c>
      <c r="S624" s="103">
        <v>10</v>
      </c>
      <c r="T624" s="103">
        <v>11</v>
      </c>
      <c r="U624" s="103">
        <v>7</v>
      </c>
      <c r="V624" s="69">
        <v>11</v>
      </c>
      <c r="W624" s="104">
        <v>9</v>
      </c>
      <c r="X624" s="67">
        <f t="shared" ref="X624:Y624" si="645">(P624+R624+T624+V624)</f>
        <v>44</v>
      </c>
      <c r="Y624" s="67">
        <f t="shared" si="645"/>
        <v>31</v>
      </c>
      <c r="Z624" s="68">
        <f t="shared" si="531"/>
        <v>75</v>
      </c>
      <c r="AA624" s="69" t="str">
        <f t="shared" si="386"/>
        <v>4C</v>
      </c>
      <c r="AB624" s="70" t="s">
        <v>1274</v>
      </c>
      <c r="AC624" s="70">
        <v>3</v>
      </c>
      <c r="AD624" s="70">
        <v>35</v>
      </c>
      <c r="AE624" s="70">
        <v>30</v>
      </c>
      <c r="AF624" s="70">
        <v>65</v>
      </c>
      <c r="AG624" s="72">
        <f t="shared" si="532"/>
        <v>0.53846153846153844</v>
      </c>
      <c r="AH624" s="73">
        <f t="shared" si="419"/>
        <v>-41.46153846153846</v>
      </c>
      <c r="AI624" s="74">
        <v>11</v>
      </c>
      <c r="AJ624" s="167" t="s">
        <v>1207</v>
      </c>
      <c r="AK624" s="168" t="s">
        <v>1196</v>
      </c>
      <c r="AL624" s="169"/>
      <c r="AM624" s="509"/>
      <c r="AN624" s="510"/>
      <c r="AO624" s="515"/>
    </row>
    <row r="625" spans="1:41" ht="14.5">
      <c r="A625" s="87">
        <v>45493</v>
      </c>
      <c r="B625" s="92" t="s">
        <v>204</v>
      </c>
      <c r="C625" s="92" t="s">
        <v>276</v>
      </c>
      <c r="D625" s="92" t="s">
        <v>1275</v>
      </c>
      <c r="E625" s="109">
        <v>8</v>
      </c>
      <c r="F625" s="110">
        <v>7</v>
      </c>
      <c r="G625" s="111">
        <v>11</v>
      </c>
      <c r="H625" s="152">
        <f t="shared" si="630"/>
        <v>26</v>
      </c>
      <c r="I625" s="152">
        <f>SUM(E624,F623,G622)</f>
        <v>24</v>
      </c>
      <c r="J625" s="152">
        <f t="shared" si="417"/>
        <v>50</v>
      </c>
      <c r="K625" s="153">
        <f t="shared" si="400"/>
        <v>0.52</v>
      </c>
      <c r="L625" s="154">
        <f t="shared" si="529"/>
        <v>-6.48</v>
      </c>
      <c r="M625" s="113">
        <f ca="1">IFERROR(__xludf.DUMMYFUNCTION("IF(A625&lt;&gt;"""", RANK(L625, FILTER(L$2:L$1000, A$2:A$1000=A625)) + COUNTIF(FILTER(L$2:L625, A$2:A625=A625), L625) - 1, """")"),9)</f>
        <v>9</v>
      </c>
      <c r="N625" s="86">
        <v>15</v>
      </c>
      <c r="O625" s="86" t="str">
        <f ca="1">IFERROR(__xludf.DUMMYFUNCTION("IFERROR(INDEX(FILTER($D$2:$D$1000, $A$2:$A$1000=A625), MATCH(N625, FILTER($M$2:$M$1000, $A$2:$A$1000=A625), 0)), """")
"),"Grif Sims &amp; Stephen Limpic")</f>
        <v>Grif Sims &amp; Stephen Limpic</v>
      </c>
      <c r="P625" s="113">
        <v>5</v>
      </c>
      <c r="Q625" s="113">
        <v>11</v>
      </c>
      <c r="R625" s="113"/>
      <c r="S625" s="113"/>
      <c r="T625" s="113"/>
      <c r="U625" s="113"/>
      <c r="V625" s="93"/>
      <c r="W625" s="114"/>
      <c r="X625" s="92">
        <f t="shared" ref="X625:Y625" si="646">(P625+R625+T625+V625)</f>
        <v>5</v>
      </c>
      <c r="Y625" s="92">
        <f t="shared" si="646"/>
        <v>11</v>
      </c>
      <c r="Z625" s="84">
        <f t="shared" si="531"/>
        <v>16</v>
      </c>
      <c r="AA625" s="93" t="str">
        <f t="shared" si="386"/>
        <v>4D</v>
      </c>
      <c r="AB625" s="94" t="s">
        <v>1275</v>
      </c>
      <c r="AC625" s="94">
        <v>9</v>
      </c>
      <c r="AD625" s="94">
        <v>31</v>
      </c>
      <c r="AE625" s="94">
        <v>35</v>
      </c>
      <c r="AF625" s="94">
        <v>66</v>
      </c>
      <c r="AG625" s="95">
        <f t="shared" si="532"/>
        <v>0.46969696969696972</v>
      </c>
      <c r="AH625" s="96">
        <f t="shared" si="419"/>
        <v>-45.530303030303031</v>
      </c>
      <c r="AI625" s="97">
        <v>14</v>
      </c>
      <c r="AJ625" s="98" t="s">
        <v>719</v>
      </c>
      <c r="AK625" s="81" t="s">
        <v>857</v>
      </c>
      <c r="AL625" s="169"/>
      <c r="AM625" s="509"/>
      <c r="AN625" s="510"/>
      <c r="AO625" s="515"/>
    </row>
    <row r="626" spans="1:41" ht="14.5">
      <c r="A626" s="170">
        <v>45514</v>
      </c>
      <c r="B626" s="57" t="s">
        <v>615</v>
      </c>
      <c r="C626" s="67" t="s">
        <v>205</v>
      </c>
      <c r="D626" s="67" t="s">
        <v>1276</v>
      </c>
      <c r="E626" s="100">
        <v>11</v>
      </c>
      <c r="F626" s="101">
        <v>11</v>
      </c>
      <c r="G626" s="101">
        <v>11</v>
      </c>
      <c r="H626" s="149">
        <f t="shared" si="630"/>
        <v>33</v>
      </c>
      <c r="I626" s="149">
        <f>SUM(E627,F628,G629)</f>
        <v>18</v>
      </c>
      <c r="J626" s="149">
        <f t="shared" si="417"/>
        <v>51</v>
      </c>
      <c r="K626" s="122">
        <f t="shared" si="400"/>
        <v>0.6470588235294118</v>
      </c>
      <c r="L626" s="123">
        <f t="shared" si="529"/>
        <v>0.6470588235294118</v>
      </c>
      <c r="M626" s="103">
        <f ca="1">IFERROR(__xludf.DUMMYFUNCTION("IF(A626&lt;&gt;"""", RANK(L626, FILTER(L$2:L$1000, A$2:A$1000=A626)) + COUNTIF(FILTER(L$2:L626, A$2:A626=A626), L626) - 1, """")"),2)</f>
        <v>2</v>
      </c>
      <c r="N626" s="61">
        <v>1</v>
      </c>
      <c r="O626" s="61" t="str">
        <f ca="1">IFERROR(__xludf.DUMMYFUNCTION("IFERROR(INDEX(FILTER($D$2:$D$1000, $A$2:$A$1000=A626), MATCH(N626, FILTER($M$2:$M$1000, $A$2:$A$1000=A626), 0)), """")
"),"Nicolle Ratliff &amp; Olivia Haney")</f>
        <v>Nicolle Ratliff &amp; Olivia Haney</v>
      </c>
      <c r="P626" s="115">
        <v>11</v>
      </c>
      <c r="Q626" s="115">
        <v>4</v>
      </c>
      <c r="R626" s="115">
        <v>11</v>
      </c>
      <c r="S626" s="115">
        <v>10</v>
      </c>
      <c r="T626" s="115">
        <v>11</v>
      </c>
      <c r="U626" s="115">
        <v>9</v>
      </c>
      <c r="V626" s="116">
        <v>11</v>
      </c>
      <c r="W626" s="117">
        <v>7</v>
      </c>
      <c r="X626" s="149">
        <f t="shared" ref="X626:Y626" si="647">(P626+R626+T626+V626)</f>
        <v>44</v>
      </c>
      <c r="Y626" s="149">
        <f t="shared" si="647"/>
        <v>30</v>
      </c>
      <c r="Z626" s="171">
        <f t="shared" si="531"/>
        <v>74</v>
      </c>
      <c r="AA626" s="69" t="s">
        <v>205</v>
      </c>
      <c r="AB626" s="70" t="s">
        <v>1276</v>
      </c>
      <c r="AC626" s="70">
        <v>2</v>
      </c>
      <c r="AD626" s="70">
        <v>62</v>
      </c>
      <c r="AE626" s="70">
        <v>40</v>
      </c>
      <c r="AF626" s="172">
        <f t="shared" ref="AF626:AF657" si="648">SUM(AD626:AE626)</f>
        <v>102</v>
      </c>
      <c r="AG626" s="72">
        <f t="shared" si="532"/>
        <v>0.60784313725490191</v>
      </c>
      <c r="AH626" s="73">
        <f t="shared" si="419"/>
        <v>-14.392156862745098</v>
      </c>
      <c r="AI626" s="74">
        <v>3</v>
      </c>
      <c r="AJ626" s="167" t="s">
        <v>525</v>
      </c>
      <c r="AK626" s="168" t="s">
        <v>1277</v>
      </c>
      <c r="AL626" s="169"/>
      <c r="AM626" s="518"/>
      <c r="AN626" s="519"/>
      <c r="AO626" s="515"/>
    </row>
    <row r="627" spans="1:41" ht="14.5">
      <c r="A627" s="58">
        <v>45514</v>
      </c>
      <c r="B627" s="67" t="s">
        <v>615</v>
      </c>
      <c r="C627" s="67" t="s">
        <v>211</v>
      </c>
      <c r="D627" s="67" t="s">
        <v>1278</v>
      </c>
      <c r="E627" s="105">
        <v>2</v>
      </c>
      <c r="F627" s="106">
        <v>9</v>
      </c>
      <c r="G627" s="106">
        <v>5</v>
      </c>
      <c r="H627" s="149">
        <f t="shared" si="630"/>
        <v>16</v>
      </c>
      <c r="I627" s="149">
        <f>SUM(E626,F629,G628)</f>
        <v>33</v>
      </c>
      <c r="J627" s="149">
        <f t="shared" si="417"/>
        <v>49</v>
      </c>
      <c r="K627" s="122">
        <f t="shared" si="400"/>
        <v>0.32653061224489793</v>
      </c>
      <c r="L627" s="123">
        <f t="shared" si="529"/>
        <v>-16.673469387755102</v>
      </c>
      <c r="M627" s="103">
        <f ca="1">IFERROR(__xludf.DUMMYFUNCTION("IF(A627&lt;&gt;"""", RANK(L627, FILTER(L$2:L$1000, A$2:A$1000=A627)) + COUNTIF(FILTER(L$2:L627, A$2:A627=A627), L627) - 1, """")"),14)</f>
        <v>14</v>
      </c>
      <c r="N627" s="86">
        <v>16</v>
      </c>
      <c r="O627" s="86" t="str">
        <f ca="1">IFERROR(__xludf.DUMMYFUNCTION("IFERROR(INDEX(FILTER($D$2:$D$1000, $A$2:$A$1000=A627), MATCH(N627, FILTER($M$2:$M$1000, $A$2:$A$1000=A627), 0)), """")
"),"Bree Ginden &amp; Stephanie Theut")</f>
        <v>Bree Ginden &amp; Stephanie Theut</v>
      </c>
      <c r="P627" s="113">
        <v>4</v>
      </c>
      <c r="Q627" s="113">
        <v>11</v>
      </c>
      <c r="R627" s="103"/>
      <c r="S627" s="103"/>
      <c r="T627" s="103"/>
      <c r="U627" s="103"/>
      <c r="V627" s="69"/>
      <c r="W627" s="104"/>
      <c r="X627" s="149">
        <f t="shared" ref="X627:Y627" si="649">(P627+R627+T627+V627)</f>
        <v>4</v>
      </c>
      <c r="Y627" s="149">
        <f t="shared" si="649"/>
        <v>11</v>
      </c>
      <c r="Z627" s="171">
        <f t="shared" si="531"/>
        <v>15</v>
      </c>
      <c r="AA627" s="69" t="s">
        <v>211</v>
      </c>
      <c r="AB627" s="70" t="s">
        <v>1278</v>
      </c>
      <c r="AC627" s="70">
        <v>14</v>
      </c>
      <c r="AD627" s="70">
        <v>20</v>
      </c>
      <c r="AE627" s="70">
        <v>44</v>
      </c>
      <c r="AF627" s="172">
        <f t="shared" si="648"/>
        <v>64</v>
      </c>
      <c r="AG627" s="72">
        <f t="shared" si="532"/>
        <v>0.3125</v>
      </c>
      <c r="AH627" s="73">
        <f t="shared" si="419"/>
        <v>-56.6875</v>
      </c>
      <c r="AI627" s="74">
        <v>14</v>
      </c>
      <c r="AJ627" s="167" t="s">
        <v>791</v>
      </c>
      <c r="AK627" s="168" t="s">
        <v>1001</v>
      </c>
      <c r="AL627" s="169"/>
      <c r="AM627" s="518"/>
      <c r="AN627" s="519"/>
      <c r="AO627" s="515"/>
    </row>
    <row r="628" spans="1:41" ht="14.5">
      <c r="A628" s="58">
        <v>45514</v>
      </c>
      <c r="B628" s="67" t="s">
        <v>615</v>
      </c>
      <c r="C628" s="67" t="s">
        <v>216</v>
      </c>
      <c r="D628" s="67" t="s">
        <v>1279</v>
      </c>
      <c r="E628" s="107">
        <v>8</v>
      </c>
      <c r="F628" s="108">
        <v>9</v>
      </c>
      <c r="G628" s="106">
        <v>11</v>
      </c>
      <c r="H628" s="149">
        <f t="shared" si="630"/>
        <v>28</v>
      </c>
      <c r="I628" s="149">
        <f>SUM(E629,F626,G627)</f>
        <v>27</v>
      </c>
      <c r="J628" s="149">
        <f t="shared" si="417"/>
        <v>55</v>
      </c>
      <c r="K628" s="122">
        <f t="shared" si="400"/>
        <v>0.50909090909090904</v>
      </c>
      <c r="L628" s="123">
        <f t="shared" si="529"/>
        <v>-4.4909090909090912</v>
      </c>
      <c r="M628" s="103">
        <f ca="1">IFERROR(__xludf.DUMMYFUNCTION("IF(A628&lt;&gt;"""", RANK(L628, FILTER(L$2:L$1000, A$2:A$1000=A628)) + COUNTIF(FILTER(L$2:L628, A$2:A628=A628), L628) - 1, """")"),8)</f>
        <v>8</v>
      </c>
      <c r="N628" s="64">
        <v>9</v>
      </c>
      <c r="O628" s="64" t="str">
        <f ca="1">IFERROR(__xludf.DUMMYFUNCTION("IFERROR(INDEX(FILTER($D$2:$D$1000, $A$2:$A$1000=A628), MATCH(N628, FILTER($M$2:$M$1000, $A$2:$A$1000=A628), 0)), """")
"),"Amy Ellzey &amp; Cassandra Schneeberger")</f>
        <v>Amy Ellzey &amp; Cassandra Schneeberger</v>
      </c>
      <c r="P628" s="103">
        <v>9</v>
      </c>
      <c r="Q628" s="103">
        <v>11</v>
      </c>
      <c r="R628" s="103"/>
      <c r="S628" s="103"/>
      <c r="T628" s="103"/>
      <c r="U628" s="103"/>
      <c r="V628" s="69"/>
      <c r="W628" s="104"/>
      <c r="X628" s="149">
        <f t="shared" ref="X628:Y628" si="650">(P628+R628+T628+V628)</f>
        <v>9</v>
      </c>
      <c r="Y628" s="149">
        <f t="shared" si="650"/>
        <v>11</v>
      </c>
      <c r="Z628" s="171">
        <f t="shared" si="531"/>
        <v>20</v>
      </c>
      <c r="AA628" s="69" t="s">
        <v>216</v>
      </c>
      <c r="AB628" s="70" t="s">
        <v>1279</v>
      </c>
      <c r="AC628" s="70">
        <v>8</v>
      </c>
      <c r="AD628" s="70">
        <v>49</v>
      </c>
      <c r="AE628" s="70">
        <v>47</v>
      </c>
      <c r="AF628" s="172">
        <f t="shared" si="648"/>
        <v>96</v>
      </c>
      <c r="AG628" s="72">
        <f t="shared" si="532"/>
        <v>0.51041666666666663</v>
      </c>
      <c r="AH628" s="73">
        <f t="shared" si="419"/>
        <v>-27.489583333333332</v>
      </c>
      <c r="AI628" s="74">
        <v>7</v>
      </c>
      <c r="AJ628" s="167" t="s">
        <v>1280</v>
      </c>
      <c r="AK628" s="168" t="s">
        <v>1281</v>
      </c>
      <c r="AL628" s="169"/>
      <c r="AM628" s="518"/>
      <c r="AN628" s="519"/>
      <c r="AO628" s="515"/>
    </row>
    <row r="629" spans="1:41" ht="14.5">
      <c r="A629" s="58">
        <v>45514</v>
      </c>
      <c r="B629" s="67" t="s">
        <v>615</v>
      </c>
      <c r="C629" s="67" t="s">
        <v>221</v>
      </c>
      <c r="D629" s="57" t="s">
        <v>1282</v>
      </c>
      <c r="E629" s="109">
        <v>11</v>
      </c>
      <c r="F629" s="110">
        <v>11</v>
      </c>
      <c r="G629" s="111">
        <v>7</v>
      </c>
      <c r="H629" s="149">
        <f t="shared" si="630"/>
        <v>29</v>
      </c>
      <c r="I629" s="149">
        <f>SUM(E628,F627,G626)</f>
        <v>28</v>
      </c>
      <c r="J629" s="149">
        <f t="shared" si="417"/>
        <v>57</v>
      </c>
      <c r="K629" s="122">
        <f t="shared" si="400"/>
        <v>0.50877192982456143</v>
      </c>
      <c r="L629" s="123">
        <f t="shared" si="529"/>
        <v>-3.4912280701754383</v>
      </c>
      <c r="M629" s="103">
        <f ca="1">IFERROR(__xludf.DUMMYFUNCTION("IF(A629&lt;&gt;"""", RANK(L629, FILTER(L$2:L$1000, A$2:A$1000=A629)) + COUNTIF(FILTER(L$2:L629, A$2:A629=A629), L629) - 1, """")"),6)</f>
        <v>6</v>
      </c>
      <c r="N629" s="86">
        <v>8</v>
      </c>
      <c r="O629" s="86" t="str">
        <f ca="1">IFERROR(__xludf.DUMMYFUNCTION("IFERROR(INDEX(FILTER($D$2:$D$1000, $A$2:$A$1000=A629), MATCH(N629, FILTER($M$2:$M$1000, $A$2:$A$1000=A629), 0)), """")
"),"Julie Cecil &amp; Michelle Coffey")</f>
        <v>Julie Cecil &amp; Michelle Coffey</v>
      </c>
      <c r="P629" s="113">
        <v>11</v>
      </c>
      <c r="Q629" s="113">
        <v>9</v>
      </c>
      <c r="R629" s="113">
        <v>10</v>
      </c>
      <c r="S629" s="113">
        <v>11</v>
      </c>
      <c r="T629" s="103"/>
      <c r="U629" s="103"/>
      <c r="V629" s="69"/>
      <c r="W629" s="104"/>
      <c r="X629" s="149">
        <f t="shared" ref="X629:Y629" si="651">(P629+R629+T629+V629)</f>
        <v>21</v>
      </c>
      <c r="Y629" s="149">
        <f t="shared" si="651"/>
        <v>20</v>
      </c>
      <c r="Z629" s="171">
        <f t="shared" si="531"/>
        <v>41</v>
      </c>
      <c r="AA629" s="69" t="s">
        <v>221</v>
      </c>
      <c r="AB629" s="70" t="s">
        <v>1282</v>
      </c>
      <c r="AC629" s="70">
        <v>6</v>
      </c>
      <c r="AD629" s="70">
        <v>50</v>
      </c>
      <c r="AE629" s="70">
        <v>48</v>
      </c>
      <c r="AF629" s="172">
        <f t="shared" si="648"/>
        <v>98</v>
      </c>
      <c r="AG629" s="72">
        <f t="shared" si="532"/>
        <v>0.51020408163265307</v>
      </c>
      <c r="AH629" s="73">
        <f t="shared" si="419"/>
        <v>-26.489795918367346</v>
      </c>
      <c r="AI629" s="74">
        <v>6</v>
      </c>
      <c r="AJ629" s="167" t="s">
        <v>940</v>
      </c>
      <c r="AK629" s="168" t="s">
        <v>1283</v>
      </c>
      <c r="AL629" s="169"/>
      <c r="AM629" s="518"/>
      <c r="AN629" s="519"/>
      <c r="AO629" s="515"/>
    </row>
    <row r="630" spans="1:41" ht="14.5">
      <c r="A630" s="58">
        <v>45514</v>
      </c>
      <c r="B630" s="67" t="s">
        <v>615</v>
      </c>
      <c r="C630" s="67" t="s">
        <v>224</v>
      </c>
      <c r="D630" s="57" t="s">
        <v>1284</v>
      </c>
      <c r="E630" s="100">
        <v>11</v>
      </c>
      <c r="F630" s="101">
        <v>1</v>
      </c>
      <c r="G630" s="101">
        <v>11</v>
      </c>
      <c r="H630" s="149">
        <f t="shared" si="630"/>
        <v>23</v>
      </c>
      <c r="I630" s="149">
        <f>SUM(E631,F632,G633)</f>
        <v>17</v>
      </c>
      <c r="J630" s="149">
        <f t="shared" si="417"/>
        <v>40</v>
      </c>
      <c r="K630" s="122">
        <f t="shared" si="400"/>
        <v>0.57499999999999996</v>
      </c>
      <c r="L630" s="123">
        <f t="shared" si="529"/>
        <v>-9.4250000000000007</v>
      </c>
      <c r="M630" s="103">
        <f ca="1">IFERROR(__xludf.DUMMYFUNCTION("IF(A630&lt;&gt;"""", RANK(L630, FILTER(L$2:L$1000, A$2:A$1000=A630)) + COUNTIF(FILTER(L$2:L630, A$2:A630=A630), L630) - 1, """")"),11)</f>
        <v>11</v>
      </c>
      <c r="N630" s="64">
        <v>5</v>
      </c>
      <c r="O630" s="64" t="str">
        <f ca="1">IFERROR(__xludf.DUMMYFUNCTION("IFERROR(INDEX(FILTER($D$2:$D$1000, $A$2:$A$1000=A630), MATCH(N630, FILTER($M$2:$M$1000, $A$2:$A$1000=A630), 0)), """")
"),"Ola Vaughn &amp; Thu Nguyen")</f>
        <v>Ola Vaughn &amp; Thu Nguyen</v>
      </c>
      <c r="P630" s="103">
        <v>11</v>
      </c>
      <c r="Q630" s="103">
        <v>6</v>
      </c>
      <c r="R630" s="103">
        <v>11</v>
      </c>
      <c r="S630" s="103">
        <v>9</v>
      </c>
      <c r="T630" s="103">
        <v>9</v>
      </c>
      <c r="U630" s="103">
        <v>11</v>
      </c>
      <c r="V630" s="69"/>
      <c r="W630" s="104"/>
      <c r="X630" s="149">
        <f t="shared" ref="X630:Y630" si="652">(P630+R630+T630+V630)</f>
        <v>31</v>
      </c>
      <c r="Y630" s="149">
        <f t="shared" si="652"/>
        <v>26</v>
      </c>
      <c r="Z630" s="171">
        <f t="shared" si="531"/>
        <v>57</v>
      </c>
      <c r="AA630" s="69" t="s">
        <v>224</v>
      </c>
      <c r="AB630" s="70" t="s">
        <v>1284</v>
      </c>
      <c r="AC630" s="70">
        <v>11</v>
      </c>
      <c r="AD630" s="70">
        <v>32</v>
      </c>
      <c r="AE630" s="70">
        <v>28</v>
      </c>
      <c r="AF630" s="172">
        <f t="shared" si="648"/>
        <v>60</v>
      </c>
      <c r="AG630" s="72">
        <f t="shared" si="532"/>
        <v>0.53333333333333333</v>
      </c>
      <c r="AH630" s="73">
        <f t="shared" si="419"/>
        <v>-44.466666666666669</v>
      </c>
      <c r="AI630" s="74">
        <v>11</v>
      </c>
      <c r="AJ630" s="167" t="s">
        <v>1161</v>
      </c>
      <c r="AK630" s="168" t="s">
        <v>1152</v>
      </c>
      <c r="AL630" s="169"/>
      <c r="AM630" s="518"/>
      <c r="AN630" s="519"/>
      <c r="AO630" s="515"/>
    </row>
    <row r="631" spans="1:41" ht="14.5">
      <c r="A631" s="58">
        <v>45514</v>
      </c>
      <c r="B631" s="67" t="s">
        <v>615</v>
      </c>
      <c r="C631" s="67" t="s">
        <v>228</v>
      </c>
      <c r="D631" s="67" t="s">
        <v>1285</v>
      </c>
      <c r="E631" s="105">
        <v>3</v>
      </c>
      <c r="F631" s="106">
        <v>7</v>
      </c>
      <c r="G631" s="106">
        <v>2</v>
      </c>
      <c r="H631" s="149">
        <f t="shared" si="630"/>
        <v>12</v>
      </c>
      <c r="I631" s="149">
        <f>SUM(E630,F633,G632)</f>
        <v>33</v>
      </c>
      <c r="J631" s="149">
        <f t="shared" si="417"/>
        <v>45</v>
      </c>
      <c r="K631" s="122">
        <f t="shared" si="400"/>
        <v>0.26666666666666666</v>
      </c>
      <c r="L631" s="123">
        <f t="shared" si="529"/>
        <v>-20.733333333333334</v>
      </c>
      <c r="M631" s="103">
        <f ca="1">IFERROR(__xludf.DUMMYFUNCTION("IF(A631&lt;&gt;"""", RANK(L631, FILTER(L$2:L$1000, A$2:A$1000=A631)) + COUNTIF(FILTER(L$2:L631, A$2:A631=A631), L631) - 1, """")"),16)</f>
        <v>16</v>
      </c>
      <c r="N631" s="86">
        <v>12</v>
      </c>
      <c r="O631" s="86" t="str">
        <f ca="1">IFERROR(__xludf.DUMMYFUNCTION("IFERROR(INDEX(FILTER($D$2:$D$1000, $A$2:$A$1000=A631), MATCH(N631, FILTER($M$2:$M$1000, $A$2:$A$1000=A631), 0)), """")
"),"Cara Lonergan &amp; Anne Lamberti")</f>
        <v>Cara Lonergan &amp; Anne Lamberti</v>
      </c>
      <c r="P631" s="113">
        <v>6</v>
      </c>
      <c r="Q631" s="113">
        <v>11</v>
      </c>
      <c r="R631" s="103"/>
      <c r="S631" s="103"/>
      <c r="T631" s="103"/>
      <c r="U631" s="103"/>
      <c r="V631" s="69"/>
      <c r="W631" s="104"/>
      <c r="X631" s="149">
        <f t="shared" ref="X631:Y631" si="653">(P631+R631+T631+V631)</f>
        <v>6</v>
      </c>
      <c r="Y631" s="149">
        <f t="shared" si="653"/>
        <v>11</v>
      </c>
      <c r="Z631" s="171">
        <f t="shared" si="531"/>
        <v>17</v>
      </c>
      <c r="AA631" s="69" t="s">
        <v>228</v>
      </c>
      <c r="AB631" s="70" t="s">
        <v>1285</v>
      </c>
      <c r="AC631" s="70">
        <v>16</v>
      </c>
      <c r="AD631" s="70">
        <v>16</v>
      </c>
      <c r="AE631" s="70">
        <v>44</v>
      </c>
      <c r="AF631" s="172">
        <f t="shared" si="648"/>
        <v>60</v>
      </c>
      <c r="AG631" s="72">
        <f t="shared" si="532"/>
        <v>0.26666666666666666</v>
      </c>
      <c r="AH631" s="73">
        <f t="shared" si="419"/>
        <v>-60.733333333333334</v>
      </c>
      <c r="AI631" s="74">
        <v>15</v>
      </c>
      <c r="AJ631" s="167" t="s">
        <v>1140</v>
      </c>
      <c r="AK631" s="168" t="s">
        <v>1286</v>
      </c>
      <c r="AL631" s="169"/>
      <c r="AM631" s="518"/>
      <c r="AN631" s="519"/>
      <c r="AO631" s="515"/>
    </row>
    <row r="632" spans="1:41" ht="14.5">
      <c r="A632" s="58">
        <v>45514</v>
      </c>
      <c r="B632" s="67" t="s">
        <v>615</v>
      </c>
      <c r="C632" s="67" t="s">
        <v>232</v>
      </c>
      <c r="D632" s="67" t="s">
        <v>164</v>
      </c>
      <c r="E632" s="107">
        <v>11</v>
      </c>
      <c r="F632" s="108">
        <v>11</v>
      </c>
      <c r="G632" s="106">
        <v>11</v>
      </c>
      <c r="H632" s="149">
        <f t="shared" si="630"/>
        <v>33</v>
      </c>
      <c r="I632" s="149">
        <f>SUM(E633,F630,G631)</f>
        <v>7</v>
      </c>
      <c r="J632" s="149">
        <f t="shared" si="417"/>
        <v>40</v>
      </c>
      <c r="K632" s="122">
        <f t="shared" si="400"/>
        <v>0.82499999999999996</v>
      </c>
      <c r="L632" s="123">
        <f t="shared" si="529"/>
        <v>0.82499999999999996</v>
      </c>
      <c r="M632" s="103">
        <f ca="1">IFERROR(__xludf.DUMMYFUNCTION("IF(A632&lt;&gt;"""", RANK(L632, FILTER(L$2:L$1000, A$2:A$1000=A632)) + COUNTIF(FILTER(L$2:L632, A$2:A632=A632), L632) - 1, """")"),1)</f>
        <v>1</v>
      </c>
      <c r="N632" s="64">
        <v>13</v>
      </c>
      <c r="O632" s="64" t="str">
        <f ca="1">IFERROR(__xludf.DUMMYFUNCTION("IFERROR(INDEX(FILTER($D$2:$D$1000, $A$2:$A$1000=A632), MATCH(N632, FILTER($M$2:$M$1000, $A$2:$A$1000=A632), 0)), """")
"),"Maria Andrew &amp; Gina Cappuzzo")</f>
        <v>Maria Andrew &amp; Gina Cappuzzo</v>
      </c>
      <c r="P632" s="103">
        <v>8</v>
      </c>
      <c r="Q632" s="103">
        <v>11</v>
      </c>
      <c r="R632" s="103"/>
      <c r="S632" s="103"/>
      <c r="T632" s="103"/>
      <c r="U632" s="103"/>
      <c r="V632" s="69"/>
      <c r="W632" s="104"/>
      <c r="X632" s="149">
        <f t="shared" ref="X632:Y632" si="654">(P632+R632+T632+V632)</f>
        <v>8</v>
      </c>
      <c r="Y632" s="149">
        <f t="shared" si="654"/>
        <v>11</v>
      </c>
      <c r="Z632" s="171">
        <f t="shared" si="531"/>
        <v>19</v>
      </c>
      <c r="AA632" s="69" t="s">
        <v>232</v>
      </c>
      <c r="AB632" s="70" t="s">
        <v>164</v>
      </c>
      <c r="AC632" s="70">
        <v>1</v>
      </c>
      <c r="AD632" s="70">
        <v>77</v>
      </c>
      <c r="AE632" s="70">
        <v>37</v>
      </c>
      <c r="AF632" s="172">
        <f t="shared" si="648"/>
        <v>114</v>
      </c>
      <c r="AG632" s="72">
        <f t="shared" si="532"/>
        <v>0.67543859649122806</v>
      </c>
      <c r="AH632" s="73">
        <f t="shared" si="419"/>
        <v>0.67543859649122806</v>
      </c>
      <c r="AI632" s="74">
        <v>1</v>
      </c>
      <c r="AJ632" s="167" t="s">
        <v>876</v>
      </c>
      <c r="AK632" s="168" t="s">
        <v>1008</v>
      </c>
      <c r="AL632" s="169"/>
      <c r="AM632" s="518"/>
      <c r="AN632" s="519"/>
      <c r="AO632" s="515"/>
    </row>
    <row r="633" spans="1:41" ht="14.5">
      <c r="A633" s="58">
        <v>45514</v>
      </c>
      <c r="B633" s="67" t="s">
        <v>615</v>
      </c>
      <c r="C633" s="67" t="s">
        <v>237</v>
      </c>
      <c r="D633" s="67" t="s">
        <v>1287</v>
      </c>
      <c r="E633" s="109">
        <v>4</v>
      </c>
      <c r="F633" s="110">
        <v>11</v>
      </c>
      <c r="G633" s="111">
        <v>3</v>
      </c>
      <c r="H633" s="149">
        <f t="shared" si="630"/>
        <v>18</v>
      </c>
      <c r="I633" s="149">
        <f>SUM(E632,F631,G630)</f>
        <v>29</v>
      </c>
      <c r="J633" s="149">
        <f t="shared" si="417"/>
        <v>47</v>
      </c>
      <c r="K633" s="122">
        <f t="shared" si="400"/>
        <v>0.38297872340425532</v>
      </c>
      <c r="L633" s="123">
        <f t="shared" si="529"/>
        <v>-14.617021276595745</v>
      </c>
      <c r="M633" s="103">
        <f ca="1">IFERROR(__xludf.DUMMYFUNCTION("IF(A633&lt;&gt;"""", RANK(L633, FILTER(L$2:L$1000, A$2:A$1000=A633)) + COUNTIF(FILTER(L$2:L633, A$2:A633=A633), L633) - 1, """")"),12)</f>
        <v>12</v>
      </c>
      <c r="N633" s="86">
        <v>4</v>
      </c>
      <c r="O633" s="86" t="str">
        <f ca="1">IFERROR(__xludf.DUMMYFUNCTION("IFERROR(INDEX(FILTER($D$2:$D$1000, $A$2:$A$1000=A633), MATCH(N633, FILTER($M$2:$M$1000, $A$2:$A$1000=A633), 0)), """")
"),"Cori Cunningham &amp; Rudi Karnchanasorn")</f>
        <v>Cori Cunningham &amp; Rudi Karnchanasorn</v>
      </c>
      <c r="P633" s="113">
        <v>11</v>
      </c>
      <c r="Q633" s="113">
        <v>8</v>
      </c>
      <c r="R633" s="113">
        <v>9</v>
      </c>
      <c r="S633" s="113">
        <v>11</v>
      </c>
      <c r="T633" s="113"/>
      <c r="U633" s="113"/>
      <c r="V633" s="93"/>
      <c r="W633" s="114"/>
      <c r="X633" s="149">
        <f t="shared" ref="X633:Y633" si="655">(P633+R633+T633+V633)</f>
        <v>20</v>
      </c>
      <c r="Y633" s="149">
        <f t="shared" si="655"/>
        <v>19</v>
      </c>
      <c r="Z633" s="171">
        <f t="shared" si="531"/>
        <v>39</v>
      </c>
      <c r="AA633" s="69" t="s">
        <v>237</v>
      </c>
      <c r="AB633" s="70" t="s">
        <v>1287</v>
      </c>
      <c r="AC633" s="70">
        <v>12</v>
      </c>
      <c r="AD633" s="70">
        <v>24</v>
      </c>
      <c r="AE633" s="70">
        <v>40</v>
      </c>
      <c r="AF633" s="172">
        <f t="shared" si="648"/>
        <v>64</v>
      </c>
      <c r="AG633" s="72">
        <f t="shared" si="532"/>
        <v>0.375</v>
      </c>
      <c r="AH633" s="73">
        <f t="shared" si="419"/>
        <v>-52.625</v>
      </c>
      <c r="AI633" s="74">
        <v>13</v>
      </c>
      <c r="AJ633" s="167" t="s">
        <v>1288</v>
      </c>
      <c r="AK633" s="168" t="s">
        <v>1289</v>
      </c>
      <c r="AL633" s="169"/>
      <c r="AM633" s="518"/>
      <c r="AN633" s="519"/>
      <c r="AO633" s="515"/>
    </row>
    <row r="634" spans="1:41" ht="14.5">
      <c r="A634" s="58">
        <v>45514</v>
      </c>
      <c r="B634" s="67" t="s">
        <v>615</v>
      </c>
      <c r="C634" s="67" t="s">
        <v>241</v>
      </c>
      <c r="D634" s="67" t="s">
        <v>1290</v>
      </c>
      <c r="E634" s="100">
        <v>5</v>
      </c>
      <c r="F634" s="101">
        <v>3</v>
      </c>
      <c r="G634" s="101">
        <v>5</v>
      </c>
      <c r="H634" s="149">
        <f t="shared" si="630"/>
        <v>13</v>
      </c>
      <c r="I634" s="149">
        <f>SUM(E635,F636,G637)</f>
        <v>33</v>
      </c>
      <c r="J634" s="149">
        <f t="shared" si="417"/>
        <v>46</v>
      </c>
      <c r="K634" s="122">
        <f t="shared" si="400"/>
        <v>0.28260869565217389</v>
      </c>
      <c r="L634" s="123">
        <f t="shared" si="529"/>
        <v>-19.717391304347824</v>
      </c>
      <c r="M634" s="103">
        <f ca="1">IFERROR(__xludf.DUMMYFUNCTION("IF(A634&lt;&gt;"""", RANK(L634, FILTER(L$2:L$1000, A$2:A$1000=A634)) + COUNTIF(FILTER(L$2:L634, A$2:A634=A634), L634) - 1, """")"),15)</f>
        <v>15</v>
      </c>
      <c r="N634" s="64">
        <v>3</v>
      </c>
      <c r="O634" s="64" t="str">
        <f ca="1">IFERROR(__xludf.DUMMYFUNCTION("IFERROR(INDEX(FILTER($D$2:$D$1000, $A$2:$A$1000=A634), MATCH(N634, FILTER($M$2:$M$1000, $A$2:$A$1000=A634), 0)), """")
"),"Jennifer Eckert &amp; Kristen Doherty")</f>
        <v>Jennifer Eckert &amp; Kristen Doherty</v>
      </c>
      <c r="P634" s="103">
        <v>11</v>
      </c>
      <c r="Q634" s="103">
        <v>4</v>
      </c>
      <c r="R634" s="103">
        <v>11</v>
      </c>
      <c r="S634" s="103">
        <v>10</v>
      </c>
      <c r="T634" s="103">
        <v>11</v>
      </c>
      <c r="U634" s="103">
        <v>7</v>
      </c>
      <c r="V634" s="69">
        <v>7</v>
      </c>
      <c r="W634" s="104">
        <v>11</v>
      </c>
      <c r="X634" s="149">
        <f t="shared" ref="X634:Y634" si="656">(P634+R634+T634+V634)</f>
        <v>40</v>
      </c>
      <c r="Y634" s="149">
        <f t="shared" si="656"/>
        <v>32</v>
      </c>
      <c r="Z634" s="171">
        <f t="shared" si="531"/>
        <v>72</v>
      </c>
      <c r="AA634" s="69" t="s">
        <v>241</v>
      </c>
      <c r="AB634" s="70" t="s">
        <v>1290</v>
      </c>
      <c r="AC634" s="70">
        <v>15</v>
      </c>
      <c r="AD634" s="70">
        <v>16</v>
      </c>
      <c r="AE634" s="70">
        <v>44</v>
      </c>
      <c r="AF634" s="172">
        <f t="shared" si="648"/>
        <v>60</v>
      </c>
      <c r="AG634" s="72">
        <f t="shared" si="532"/>
        <v>0.26666666666666666</v>
      </c>
      <c r="AH634" s="73">
        <f t="shared" si="419"/>
        <v>-60.733333333333334</v>
      </c>
      <c r="AI634" s="74">
        <v>16</v>
      </c>
      <c r="AJ634" s="167" t="s">
        <v>1228</v>
      </c>
      <c r="AK634" s="168" t="s">
        <v>1154</v>
      </c>
      <c r="AL634" s="169"/>
      <c r="AM634" s="518"/>
      <c r="AN634" s="519"/>
      <c r="AO634" s="515"/>
    </row>
    <row r="635" spans="1:41" ht="14.5">
      <c r="A635" s="58">
        <v>45514</v>
      </c>
      <c r="B635" s="67" t="s">
        <v>615</v>
      </c>
      <c r="C635" s="67" t="s">
        <v>246</v>
      </c>
      <c r="D635" s="67" t="s">
        <v>165</v>
      </c>
      <c r="E635" s="105">
        <v>11</v>
      </c>
      <c r="F635" s="106">
        <v>10</v>
      </c>
      <c r="G635" s="106">
        <v>11</v>
      </c>
      <c r="H635" s="149">
        <f t="shared" si="630"/>
        <v>32</v>
      </c>
      <c r="I635" s="149">
        <f>SUM(E634,F637,G636)</f>
        <v>20</v>
      </c>
      <c r="J635" s="149">
        <f t="shared" si="417"/>
        <v>52</v>
      </c>
      <c r="K635" s="122">
        <f t="shared" si="400"/>
        <v>0.61538461538461542</v>
      </c>
      <c r="L635" s="123">
        <f t="shared" si="529"/>
        <v>-0.38461538461538458</v>
      </c>
      <c r="M635" s="103">
        <f ca="1">IFERROR(__xludf.DUMMYFUNCTION("IF(A635&lt;&gt;"""", RANK(L635, FILTER(L$2:L$1000, A$2:A$1000=A635)) + COUNTIF(FILTER(L$2:L635, A$2:A635=A635), L635) - 1, """")"),3)</f>
        <v>3</v>
      </c>
      <c r="N635" s="86">
        <v>14</v>
      </c>
      <c r="O635" s="86" t="str">
        <f ca="1">IFERROR(__xludf.DUMMYFUNCTION("IFERROR(INDEX(FILTER($D$2:$D$1000, $A$2:$A$1000=A635), MATCH(N635, FILTER($M$2:$M$1000, $A$2:$A$1000=A635), 0)), """")
"),"Susan Murphy &amp; Kristy Ecton")</f>
        <v>Susan Murphy &amp; Kristy Ecton</v>
      </c>
      <c r="P635" s="113">
        <v>4</v>
      </c>
      <c r="Q635" s="113">
        <v>11</v>
      </c>
      <c r="R635" s="103"/>
      <c r="S635" s="103"/>
      <c r="T635" s="103"/>
      <c r="U635" s="103"/>
      <c r="V635" s="69"/>
      <c r="W635" s="104"/>
      <c r="X635" s="149">
        <f t="shared" ref="X635:Y635" si="657">(P635+R635+T635+V635)</f>
        <v>4</v>
      </c>
      <c r="Y635" s="149">
        <f t="shared" si="657"/>
        <v>11</v>
      </c>
      <c r="Z635" s="171">
        <f t="shared" si="531"/>
        <v>15</v>
      </c>
      <c r="AA635" s="69" t="s">
        <v>246</v>
      </c>
      <c r="AB635" s="70" t="s">
        <v>165</v>
      </c>
      <c r="AC635" s="70">
        <v>3</v>
      </c>
      <c r="AD635" s="70">
        <v>72</v>
      </c>
      <c r="AE635" s="70">
        <v>52</v>
      </c>
      <c r="AF635" s="172">
        <f t="shared" si="648"/>
        <v>124</v>
      </c>
      <c r="AG635" s="72">
        <f t="shared" si="532"/>
        <v>0.58064516129032262</v>
      </c>
      <c r="AH635" s="73">
        <f t="shared" si="419"/>
        <v>-4.419354838709677</v>
      </c>
      <c r="AI635" s="74">
        <v>2</v>
      </c>
      <c r="AJ635" s="167" t="s">
        <v>1137</v>
      </c>
      <c r="AK635" s="168" t="s">
        <v>1291</v>
      </c>
      <c r="AL635" s="169"/>
      <c r="AM635" s="518"/>
      <c r="AN635" s="519"/>
      <c r="AO635" s="515"/>
    </row>
    <row r="636" spans="1:41" ht="14.5">
      <c r="A636" s="58">
        <v>45514</v>
      </c>
      <c r="B636" s="67" t="s">
        <v>615</v>
      </c>
      <c r="C636" s="67" t="s">
        <v>251</v>
      </c>
      <c r="D636" s="67" t="s">
        <v>1292</v>
      </c>
      <c r="E636" s="107">
        <v>11</v>
      </c>
      <c r="F636" s="108">
        <v>11</v>
      </c>
      <c r="G636" s="106">
        <v>4</v>
      </c>
      <c r="H636" s="149">
        <f t="shared" si="630"/>
        <v>26</v>
      </c>
      <c r="I636" s="149">
        <f>SUM(E637,F634,G635)</f>
        <v>20</v>
      </c>
      <c r="J636" s="149">
        <f t="shared" si="417"/>
        <v>46</v>
      </c>
      <c r="K636" s="122">
        <f t="shared" si="400"/>
        <v>0.56521739130434778</v>
      </c>
      <c r="L636" s="123">
        <f t="shared" si="529"/>
        <v>-6.4347826086956523</v>
      </c>
      <c r="M636" s="103">
        <f ca="1">IFERROR(__xludf.DUMMYFUNCTION("IF(A636&lt;&gt;"""", RANK(L636, FILTER(L$2:L$1000, A$2:A$1000=A636)) + COUNTIF(FILTER(L$2:L636, A$2:A636=A636), L636) - 1, """")"),10)</f>
        <v>10</v>
      </c>
      <c r="N636" s="64">
        <v>11</v>
      </c>
      <c r="O636" s="64" t="str">
        <f ca="1">IFERROR(__xludf.DUMMYFUNCTION("IFERROR(INDEX(FILTER($D$2:$D$1000, $A$2:$A$1000=A636), MATCH(N636, FILTER($M$2:$M$1000, $A$2:$A$1000=A636), 0)), """")
"),"Shannon Lyon &amp; Mallory Daniels")</f>
        <v>Shannon Lyon &amp; Mallory Daniels</v>
      </c>
      <c r="P636" s="103">
        <v>9</v>
      </c>
      <c r="Q636" s="103">
        <v>11</v>
      </c>
      <c r="R636" s="103"/>
      <c r="S636" s="103"/>
      <c r="T636" s="103"/>
      <c r="U636" s="103"/>
      <c r="V636" s="69"/>
      <c r="W636" s="104"/>
      <c r="X636" s="149">
        <f t="shared" ref="X636:Y636" si="658">(P636+R636+T636+V636)</f>
        <v>9</v>
      </c>
      <c r="Y636" s="149">
        <f t="shared" si="658"/>
        <v>11</v>
      </c>
      <c r="Z636" s="171">
        <f t="shared" si="531"/>
        <v>20</v>
      </c>
      <c r="AA636" s="69" t="s">
        <v>251</v>
      </c>
      <c r="AB636" s="70" t="s">
        <v>1292</v>
      </c>
      <c r="AC636" s="70">
        <v>10</v>
      </c>
      <c r="AD636" s="70">
        <v>45</v>
      </c>
      <c r="AE636" s="70">
        <v>38</v>
      </c>
      <c r="AF636" s="172">
        <f t="shared" si="648"/>
        <v>83</v>
      </c>
      <c r="AG636" s="72">
        <f t="shared" si="532"/>
        <v>0.54216867469879515</v>
      </c>
      <c r="AH636" s="73">
        <f t="shared" si="419"/>
        <v>-31.457831325301203</v>
      </c>
      <c r="AI636" s="74">
        <v>8</v>
      </c>
      <c r="AJ636" s="167" t="s">
        <v>1049</v>
      </c>
      <c r="AK636" s="168" t="s">
        <v>1293</v>
      </c>
      <c r="AL636" s="169"/>
      <c r="AM636" s="518"/>
      <c r="AN636" s="519"/>
      <c r="AO636" s="515"/>
    </row>
    <row r="637" spans="1:41" ht="14.5">
      <c r="A637" s="58">
        <v>45514</v>
      </c>
      <c r="B637" s="67" t="s">
        <v>615</v>
      </c>
      <c r="C637" s="67" t="s">
        <v>256</v>
      </c>
      <c r="D637" s="67" t="s">
        <v>1294</v>
      </c>
      <c r="E637" s="109">
        <v>6</v>
      </c>
      <c r="F637" s="110">
        <v>11</v>
      </c>
      <c r="G637" s="111">
        <v>11</v>
      </c>
      <c r="H637" s="149">
        <f t="shared" si="630"/>
        <v>28</v>
      </c>
      <c r="I637" s="149">
        <f>SUM(E636,F635,G634)</f>
        <v>26</v>
      </c>
      <c r="J637" s="149">
        <f t="shared" si="417"/>
        <v>54</v>
      </c>
      <c r="K637" s="122">
        <f t="shared" si="400"/>
        <v>0.51851851851851849</v>
      </c>
      <c r="L637" s="123">
        <f t="shared" si="529"/>
        <v>-4.4814814814814818</v>
      </c>
      <c r="M637" s="103">
        <f ca="1">IFERROR(__xludf.DUMMYFUNCTION("IF(A637&lt;&gt;"""", RANK(L637, FILTER(L$2:L$1000, A$2:A$1000=A637)) + COUNTIF(FILTER(L$2:L637, A$2:A637=A637), L637) - 1, """")"),7)</f>
        <v>7</v>
      </c>
      <c r="N637" s="86">
        <v>6</v>
      </c>
      <c r="O637" s="86" t="str">
        <f ca="1">IFERROR(__xludf.DUMMYFUNCTION("IFERROR(INDEX(FILTER($D$2:$D$1000, $A$2:$A$1000=A637), MATCH(N637, FILTER($M$2:$M$1000, $A$2:$A$1000=A637), 0)), """")
"),"Stephanie Campbell &amp; Emma Lockard")</f>
        <v>Stephanie Campbell &amp; Emma Lockard</v>
      </c>
      <c r="P637" s="113">
        <v>11</v>
      </c>
      <c r="Q637" s="113">
        <v>9</v>
      </c>
      <c r="R637" s="113">
        <v>10</v>
      </c>
      <c r="S637" s="113">
        <v>11</v>
      </c>
      <c r="T637" s="103"/>
      <c r="U637" s="103"/>
      <c r="V637" s="69"/>
      <c r="W637" s="104"/>
      <c r="X637" s="149">
        <f t="shared" ref="X637:Y637" si="659">(P637+R637+T637+V637)</f>
        <v>21</v>
      </c>
      <c r="Y637" s="149">
        <f t="shared" si="659"/>
        <v>20</v>
      </c>
      <c r="Z637" s="171">
        <f t="shared" si="531"/>
        <v>41</v>
      </c>
      <c r="AA637" s="69" t="s">
        <v>256</v>
      </c>
      <c r="AB637" s="70" t="s">
        <v>1294</v>
      </c>
      <c r="AC637" s="70">
        <v>7</v>
      </c>
      <c r="AD637" s="70">
        <v>35</v>
      </c>
      <c r="AE637" s="70">
        <v>37</v>
      </c>
      <c r="AF637" s="172">
        <f t="shared" si="648"/>
        <v>72</v>
      </c>
      <c r="AG637" s="72">
        <f t="shared" si="532"/>
        <v>0.4861111111111111</v>
      </c>
      <c r="AH637" s="73">
        <f t="shared" si="419"/>
        <v>-41.513888888888886</v>
      </c>
      <c r="AI637" s="74">
        <v>10</v>
      </c>
      <c r="AJ637" s="167" t="s">
        <v>1148</v>
      </c>
      <c r="AK637" s="168" t="s">
        <v>1227</v>
      </c>
      <c r="AL637" s="169"/>
      <c r="AM637" s="518"/>
      <c r="AN637" s="519"/>
      <c r="AO637" s="515"/>
    </row>
    <row r="638" spans="1:41" ht="14.5">
      <c r="A638" s="58">
        <v>45514</v>
      </c>
      <c r="B638" s="67" t="s">
        <v>615</v>
      </c>
      <c r="C638" s="67" t="s">
        <v>261</v>
      </c>
      <c r="D638" s="67" t="s">
        <v>1295</v>
      </c>
      <c r="E638" s="100">
        <v>8</v>
      </c>
      <c r="F638" s="101">
        <v>11</v>
      </c>
      <c r="G638" s="101">
        <v>11</v>
      </c>
      <c r="H638" s="149">
        <f t="shared" si="630"/>
        <v>30</v>
      </c>
      <c r="I638" s="149">
        <f>SUM(E639,F640,G641)</f>
        <v>24</v>
      </c>
      <c r="J638" s="149">
        <f t="shared" si="417"/>
        <v>54</v>
      </c>
      <c r="K638" s="122">
        <f t="shared" si="400"/>
        <v>0.55555555555555558</v>
      </c>
      <c r="L638" s="123">
        <f t="shared" si="529"/>
        <v>-2.4444444444444446</v>
      </c>
      <c r="M638" s="103">
        <f ca="1">IFERROR(__xludf.DUMMYFUNCTION("IF(A638&lt;&gt;"""", RANK(L638, FILTER(L$2:L$1000, A$2:A$1000=A638)) + COUNTIF(FILTER(L$2:L638, A$2:A638=A638), L638) - 1, """")"),4)</f>
        <v>4</v>
      </c>
      <c r="N638" s="64">
        <v>7</v>
      </c>
      <c r="O638" s="64" t="str">
        <f ca="1">IFERROR(__xludf.DUMMYFUNCTION("IFERROR(INDEX(FILTER($D$2:$D$1000, $A$2:$A$1000=A638), MATCH(N638, FILTER($M$2:$M$1000, $A$2:$A$1000=A638), 0)), """")
"),"Betsy Norberg &amp; Bridget Pereira")</f>
        <v>Betsy Norberg &amp; Bridget Pereira</v>
      </c>
      <c r="P638" s="103">
        <v>7</v>
      </c>
      <c r="Q638" s="103">
        <v>11</v>
      </c>
      <c r="R638" s="103"/>
      <c r="S638" s="103"/>
      <c r="T638" s="103"/>
      <c r="U638" s="103"/>
      <c r="V638" s="69"/>
      <c r="W638" s="104"/>
      <c r="X638" s="149">
        <f t="shared" ref="X638:Y638" si="660">(P638+R638+T638+V638)</f>
        <v>7</v>
      </c>
      <c r="Y638" s="149">
        <f t="shared" si="660"/>
        <v>11</v>
      </c>
      <c r="Z638" s="171">
        <f t="shared" si="531"/>
        <v>18</v>
      </c>
      <c r="AA638" s="69" t="s">
        <v>261</v>
      </c>
      <c r="AB638" s="70" t="s">
        <v>1295</v>
      </c>
      <c r="AC638" s="70">
        <v>4</v>
      </c>
      <c r="AD638" s="70">
        <v>50</v>
      </c>
      <c r="AE638" s="70">
        <v>43</v>
      </c>
      <c r="AF638" s="172">
        <f t="shared" si="648"/>
        <v>93</v>
      </c>
      <c r="AG638" s="72">
        <f t="shared" si="532"/>
        <v>0.5376344086021505</v>
      </c>
      <c r="AH638" s="73">
        <f t="shared" si="419"/>
        <v>-26.462365591397848</v>
      </c>
      <c r="AI638" s="74">
        <v>5</v>
      </c>
      <c r="AJ638" s="167" t="s">
        <v>1296</v>
      </c>
      <c r="AK638" s="168" t="s">
        <v>1232</v>
      </c>
      <c r="AL638" s="169"/>
      <c r="AM638" s="518"/>
      <c r="AN638" s="519"/>
      <c r="AO638" s="515"/>
    </row>
    <row r="639" spans="1:41" ht="14.5">
      <c r="A639" s="58">
        <v>45514</v>
      </c>
      <c r="B639" s="67" t="s">
        <v>615</v>
      </c>
      <c r="C639" s="67" t="s">
        <v>268</v>
      </c>
      <c r="D639" s="67" t="s">
        <v>1297</v>
      </c>
      <c r="E639" s="105">
        <v>11</v>
      </c>
      <c r="F639" s="106">
        <v>5</v>
      </c>
      <c r="G639" s="106">
        <v>11</v>
      </c>
      <c r="H639" s="149">
        <f t="shared" si="630"/>
        <v>27</v>
      </c>
      <c r="I639" s="149">
        <f>SUM(E638,F641,G640)</f>
        <v>29</v>
      </c>
      <c r="J639" s="149">
        <f t="shared" si="417"/>
        <v>56</v>
      </c>
      <c r="K639" s="122">
        <f t="shared" si="400"/>
        <v>0.48214285714285715</v>
      </c>
      <c r="L639" s="123">
        <f t="shared" si="529"/>
        <v>-5.5178571428571432</v>
      </c>
      <c r="M639" s="103">
        <f ca="1">IFERROR(__xludf.DUMMYFUNCTION("IF(A639&lt;&gt;"""", RANK(L639, FILTER(L$2:L$1000, A$2:A$1000=A639)) + COUNTIF(FILTER(L$2:L639, A$2:A639=A639), L639) - 1, """")"),9)</f>
        <v>9</v>
      </c>
      <c r="N639" s="86">
        <v>10</v>
      </c>
      <c r="O639" s="86" t="str">
        <f ca="1">IFERROR(__xludf.DUMMYFUNCTION("IFERROR(INDEX(FILTER($D$2:$D$1000, $A$2:$A$1000=A639), MATCH(N639, FILTER($M$2:$M$1000, $A$2:$A$1000=A639), 0)), """")
"),"Dina Mitchell &amp; Juli McGuire")</f>
        <v>Dina Mitchell &amp; Juli McGuire</v>
      </c>
      <c r="P639" s="113">
        <v>11</v>
      </c>
      <c r="Q639" s="113">
        <v>7</v>
      </c>
      <c r="R639" s="103">
        <v>8</v>
      </c>
      <c r="S639" s="103">
        <v>11</v>
      </c>
      <c r="T639" s="103"/>
      <c r="U639" s="103"/>
      <c r="V639" s="69"/>
      <c r="W639" s="104"/>
      <c r="X639" s="149">
        <f t="shared" ref="X639:Y639" si="661">(P639+R639+T639+V639)</f>
        <v>19</v>
      </c>
      <c r="Y639" s="149">
        <f t="shared" si="661"/>
        <v>18</v>
      </c>
      <c r="Z639" s="171">
        <f t="shared" si="531"/>
        <v>37</v>
      </c>
      <c r="AA639" s="69" t="s">
        <v>268</v>
      </c>
      <c r="AB639" s="70" t="s">
        <v>1297</v>
      </c>
      <c r="AC639" s="70">
        <v>9</v>
      </c>
      <c r="AD639" s="70">
        <v>36</v>
      </c>
      <c r="AE639" s="70">
        <v>40</v>
      </c>
      <c r="AF639" s="172">
        <f t="shared" si="648"/>
        <v>76</v>
      </c>
      <c r="AG639" s="72">
        <f t="shared" si="532"/>
        <v>0.47368421052631576</v>
      </c>
      <c r="AH639" s="73">
        <f t="shared" si="419"/>
        <v>-40.526315789473685</v>
      </c>
      <c r="AI639" s="74">
        <v>9</v>
      </c>
      <c r="AJ639" s="167" t="s">
        <v>1298</v>
      </c>
      <c r="AK639" s="168" t="s">
        <v>1224</v>
      </c>
      <c r="AL639" s="169"/>
      <c r="AM639" s="518"/>
      <c r="AN639" s="519"/>
      <c r="AO639" s="515"/>
    </row>
    <row r="640" spans="1:41" ht="14.5">
      <c r="A640" s="58">
        <v>45514</v>
      </c>
      <c r="B640" s="67" t="s">
        <v>615</v>
      </c>
      <c r="C640" s="67" t="s">
        <v>271</v>
      </c>
      <c r="D640" s="67" t="s">
        <v>1299</v>
      </c>
      <c r="E640" s="107">
        <v>2</v>
      </c>
      <c r="F640" s="108">
        <v>6</v>
      </c>
      <c r="G640" s="106">
        <v>10</v>
      </c>
      <c r="H640" s="149">
        <f t="shared" si="630"/>
        <v>18</v>
      </c>
      <c r="I640" s="149">
        <f>SUM(E641,F638,G639)</f>
        <v>33</v>
      </c>
      <c r="J640" s="149">
        <f t="shared" si="417"/>
        <v>51</v>
      </c>
      <c r="K640" s="122">
        <f t="shared" si="400"/>
        <v>0.35294117647058826</v>
      </c>
      <c r="L640" s="123">
        <f t="shared" si="529"/>
        <v>-14.647058823529411</v>
      </c>
      <c r="M640" s="103">
        <f ca="1">IFERROR(__xludf.DUMMYFUNCTION("IF(A640&lt;&gt;"""", RANK(L640, FILTER(L$2:L$1000, A$2:A$1000=A640)) + COUNTIF(FILTER(L$2:L640, A$2:A640=A640), L640) - 1, """")"),13)</f>
        <v>13</v>
      </c>
      <c r="N640" s="64">
        <v>15</v>
      </c>
      <c r="O640" s="64" t="s">
        <v>1290</v>
      </c>
      <c r="P640" s="103">
        <v>3</v>
      </c>
      <c r="Q640" s="103">
        <v>11</v>
      </c>
      <c r="R640" s="103"/>
      <c r="S640" s="103"/>
      <c r="T640" s="103"/>
      <c r="U640" s="103"/>
      <c r="V640" s="69"/>
      <c r="W640" s="104"/>
      <c r="X640" s="149">
        <f t="shared" ref="X640:Y640" si="662">(P640+R640+T640+V640)</f>
        <v>3</v>
      </c>
      <c r="Y640" s="149">
        <f t="shared" si="662"/>
        <v>11</v>
      </c>
      <c r="Z640" s="171">
        <f t="shared" si="531"/>
        <v>14</v>
      </c>
      <c r="AA640" s="69" t="s">
        <v>271</v>
      </c>
      <c r="AB640" s="70" t="s">
        <v>1299</v>
      </c>
      <c r="AC640" s="71">
        <v>13</v>
      </c>
      <c r="AD640" s="70">
        <v>26</v>
      </c>
      <c r="AE640" s="70">
        <v>44</v>
      </c>
      <c r="AF640" s="172">
        <f t="shared" si="648"/>
        <v>70</v>
      </c>
      <c r="AG640" s="72">
        <f t="shared" si="532"/>
        <v>0.37142857142857144</v>
      </c>
      <c r="AH640" s="73">
        <f t="shared" si="419"/>
        <v>-50.628571428571426</v>
      </c>
      <c r="AI640" s="74">
        <v>12</v>
      </c>
      <c r="AJ640" s="167" t="s">
        <v>1055</v>
      </c>
      <c r="AK640" s="168" t="s">
        <v>1300</v>
      </c>
      <c r="AL640" s="169"/>
      <c r="AM640" s="518"/>
      <c r="AN640" s="519"/>
      <c r="AO640" s="515"/>
    </row>
    <row r="641" spans="1:41" ht="14.5">
      <c r="A641" s="87">
        <v>45514</v>
      </c>
      <c r="B641" s="92" t="s">
        <v>615</v>
      </c>
      <c r="C641" s="92" t="s">
        <v>276</v>
      </c>
      <c r="D641" s="92" t="s">
        <v>1301</v>
      </c>
      <c r="E641" s="109">
        <v>11</v>
      </c>
      <c r="F641" s="110">
        <v>11</v>
      </c>
      <c r="G641" s="111">
        <v>7</v>
      </c>
      <c r="H641" s="152">
        <f t="shared" si="630"/>
        <v>29</v>
      </c>
      <c r="I641" s="152">
        <f>SUM(E640,F639,G638)</f>
        <v>18</v>
      </c>
      <c r="J641" s="152">
        <f t="shared" si="417"/>
        <v>47</v>
      </c>
      <c r="K641" s="153">
        <f t="shared" ref="K641:K657" si="663">IFERROR(H641/J641,0)</f>
        <v>0.61702127659574468</v>
      </c>
      <c r="L641" s="154">
        <f t="shared" si="529"/>
        <v>-3.3829787234042552</v>
      </c>
      <c r="M641" s="113">
        <f ca="1">IFERROR(__xludf.DUMMYFUNCTION("IF(A641&lt;&gt;"""", RANK(L641, FILTER(L$2:L$1000, A$2:A$1000=A641)) + COUNTIF(FILTER(L$2:L641, A$2:A641=A641), L641) - 1, """")"),5)</f>
        <v>5</v>
      </c>
      <c r="N641" s="86">
        <v>2</v>
      </c>
      <c r="O641" s="86" t="s">
        <v>1276</v>
      </c>
      <c r="P641" s="113">
        <v>11</v>
      </c>
      <c r="Q641" s="113">
        <v>3</v>
      </c>
      <c r="R641" s="113">
        <v>11</v>
      </c>
      <c r="S641" s="113">
        <v>8</v>
      </c>
      <c r="T641" s="113">
        <v>7</v>
      </c>
      <c r="U641" s="113">
        <v>11</v>
      </c>
      <c r="V641" s="93"/>
      <c r="W641" s="114"/>
      <c r="X641" s="152">
        <f t="shared" ref="X641:Y641" si="664">(P641+R641+T641+V641)</f>
        <v>29</v>
      </c>
      <c r="Y641" s="152">
        <f t="shared" si="664"/>
        <v>22</v>
      </c>
      <c r="Z641" s="174">
        <f t="shared" si="531"/>
        <v>51</v>
      </c>
      <c r="AA641" s="93" t="s">
        <v>276</v>
      </c>
      <c r="AB641" s="94" t="s">
        <v>1301</v>
      </c>
      <c r="AC641" s="94">
        <v>5</v>
      </c>
      <c r="AD641" s="94">
        <v>60</v>
      </c>
      <c r="AE641" s="94">
        <v>44</v>
      </c>
      <c r="AF641" s="175">
        <f t="shared" si="648"/>
        <v>104</v>
      </c>
      <c r="AG641" s="95">
        <f t="shared" si="532"/>
        <v>0.57692307692307687</v>
      </c>
      <c r="AH641" s="96">
        <f t="shared" si="419"/>
        <v>-16.423076923076923</v>
      </c>
      <c r="AI641" s="97">
        <v>4</v>
      </c>
      <c r="AJ641" s="98" t="s">
        <v>1160</v>
      </c>
      <c r="AK641" s="81" t="s">
        <v>512</v>
      </c>
      <c r="AL641" s="169"/>
      <c r="AM641" s="518"/>
      <c r="AN641" s="519"/>
      <c r="AO641" s="515"/>
    </row>
    <row r="642" spans="1:41" ht="14.5">
      <c r="A642" s="170">
        <v>45535</v>
      </c>
      <c r="B642" s="57" t="s">
        <v>428</v>
      </c>
      <c r="C642" s="67" t="s">
        <v>205</v>
      </c>
      <c r="D642" s="67" t="s">
        <v>1302</v>
      </c>
      <c r="E642" s="100">
        <v>11</v>
      </c>
      <c r="F642" s="101">
        <v>11</v>
      </c>
      <c r="G642" s="101">
        <v>4</v>
      </c>
      <c r="H642" s="149">
        <f t="shared" si="630"/>
        <v>26</v>
      </c>
      <c r="I642" s="149">
        <f>SUM(E643,F644,G645)</f>
        <v>23</v>
      </c>
      <c r="J642" s="149">
        <f t="shared" si="417"/>
        <v>49</v>
      </c>
      <c r="K642" s="122">
        <f t="shared" si="663"/>
        <v>0.53061224489795922</v>
      </c>
      <c r="L642" s="123">
        <f t="shared" si="529"/>
        <v>-6.4693877551020407</v>
      </c>
      <c r="M642" s="103">
        <f ca="1">IFERROR(__xludf.DUMMYFUNCTION("IF(A642&lt;&gt;"""", RANK(L642, FILTER(L$2:L$1000, A$2:A$1000=A642)) + COUNTIF(FILTER(L$2:L642, A$2:A642=A642), L642) - 1, """")"),9)</f>
        <v>9</v>
      </c>
      <c r="N642" s="61">
        <v>1</v>
      </c>
      <c r="O642" s="61" t="s">
        <v>167</v>
      </c>
      <c r="P642" s="115">
        <v>11</v>
      </c>
      <c r="Q642" s="115">
        <v>6</v>
      </c>
      <c r="R642" s="115">
        <v>11</v>
      </c>
      <c r="S642" s="115">
        <v>3</v>
      </c>
      <c r="T642" s="115">
        <v>11</v>
      </c>
      <c r="U642" s="115">
        <v>8</v>
      </c>
      <c r="V642" s="116">
        <v>11</v>
      </c>
      <c r="W642" s="117">
        <v>7</v>
      </c>
      <c r="X642" s="67">
        <f t="shared" ref="X642:Y642" si="665">(P642+R642+T642+V642)</f>
        <v>44</v>
      </c>
      <c r="Y642" s="67">
        <f t="shared" si="665"/>
        <v>24</v>
      </c>
      <c r="Z642" s="68">
        <f t="shared" si="531"/>
        <v>68</v>
      </c>
      <c r="AA642" s="69" t="s">
        <v>205</v>
      </c>
      <c r="AB642" s="70" t="s">
        <v>1302</v>
      </c>
      <c r="AC642" s="70">
        <v>9</v>
      </c>
      <c r="AD642" s="70">
        <v>40</v>
      </c>
      <c r="AE642" s="70">
        <v>43</v>
      </c>
      <c r="AF642" s="172">
        <f t="shared" si="648"/>
        <v>83</v>
      </c>
      <c r="AG642" s="72">
        <f t="shared" si="532"/>
        <v>0.48192771084337349</v>
      </c>
      <c r="AH642" s="73">
        <f t="shared" si="419"/>
        <v>-36.518072289156628</v>
      </c>
      <c r="AI642" s="74">
        <v>7</v>
      </c>
      <c r="AJ642" s="167" t="s">
        <v>1228</v>
      </c>
      <c r="AK642" s="168" t="s">
        <v>889</v>
      </c>
      <c r="AL642" s="169"/>
      <c r="AM642" s="509"/>
      <c r="AN642" s="510"/>
      <c r="AO642" s="510"/>
    </row>
    <row r="643" spans="1:41" ht="14.5">
      <c r="A643" s="58">
        <v>45535</v>
      </c>
      <c r="B643" s="67" t="s">
        <v>428</v>
      </c>
      <c r="C643" s="67" t="s">
        <v>211</v>
      </c>
      <c r="D643" s="67" t="s">
        <v>1303</v>
      </c>
      <c r="E643" s="105">
        <v>9</v>
      </c>
      <c r="F643" s="106">
        <v>11</v>
      </c>
      <c r="G643" s="106">
        <v>11</v>
      </c>
      <c r="H643" s="149">
        <f t="shared" si="630"/>
        <v>31</v>
      </c>
      <c r="I643" s="149">
        <f>SUM(E642,F645,G644)</f>
        <v>22</v>
      </c>
      <c r="J643" s="149">
        <f t="shared" si="417"/>
        <v>53</v>
      </c>
      <c r="K643" s="122">
        <f t="shared" si="663"/>
        <v>0.58490566037735847</v>
      </c>
      <c r="L643" s="123">
        <f t="shared" si="529"/>
        <v>-1.4150943396226414</v>
      </c>
      <c r="M643" s="103">
        <f ca="1">IFERROR(__xludf.DUMMYFUNCTION("IF(A643&lt;&gt;"""", RANK(L643, FILTER(L$2:L$1000, A$2:A$1000=A643)) + COUNTIF(FILTER(L$2:L643, A$2:A643=A643), L643) - 1, """")"),5)</f>
        <v>5</v>
      </c>
      <c r="N643" s="86">
        <v>16</v>
      </c>
      <c r="O643" s="86" t="s">
        <v>1304</v>
      </c>
      <c r="P643" s="113">
        <v>6</v>
      </c>
      <c r="Q643" s="113">
        <v>11</v>
      </c>
      <c r="R643" s="103"/>
      <c r="S643" s="103"/>
      <c r="T643" s="103"/>
      <c r="U643" s="103"/>
      <c r="V643" s="69"/>
      <c r="W643" s="104"/>
      <c r="X643" s="67">
        <f t="shared" ref="X643:Y643" si="666">(P643+R643+T643+V643)</f>
        <v>6</v>
      </c>
      <c r="Y643" s="67">
        <f t="shared" si="666"/>
        <v>11</v>
      </c>
      <c r="Z643" s="68">
        <f t="shared" si="531"/>
        <v>17</v>
      </c>
      <c r="AA643" s="69" t="s">
        <v>211</v>
      </c>
      <c r="AB643" s="70" t="s">
        <v>1303</v>
      </c>
      <c r="AC643" s="70">
        <v>5</v>
      </c>
      <c r="AD643" s="70">
        <v>38</v>
      </c>
      <c r="AE643" s="70">
        <v>33</v>
      </c>
      <c r="AF643" s="172">
        <f t="shared" si="648"/>
        <v>71</v>
      </c>
      <c r="AG643" s="72">
        <f t="shared" si="532"/>
        <v>0.53521126760563376</v>
      </c>
      <c r="AH643" s="73">
        <f t="shared" si="419"/>
        <v>-38.464788732394368</v>
      </c>
      <c r="AI643" s="74">
        <v>9</v>
      </c>
      <c r="AJ643" s="167" t="s">
        <v>780</v>
      </c>
      <c r="AK643" s="168" t="s">
        <v>1129</v>
      </c>
      <c r="AL643" s="169"/>
      <c r="AM643" s="509"/>
      <c r="AN643" s="510"/>
      <c r="AO643" s="510"/>
    </row>
    <row r="644" spans="1:41" ht="14.5">
      <c r="A644" s="58">
        <v>45535</v>
      </c>
      <c r="B644" s="67" t="s">
        <v>428</v>
      </c>
      <c r="C644" s="67" t="s">
        <v>216</v>
      </c>
      <c r="D644" s="67" t="s">
        <v>1304</v>
      </c>
      <c r="E644" s="107">
        <v>2</v>
      </c>
      <c r="F644" s="108">
        <v>3</v>
      </c>
      <c r="G644" s="106">
        <v>4</v>
      </c>
      <c r="H644" s="149">
        <f t="shared" si="630"/>
        <v>9</v>
      </c>
      <c r="I644" s="149">
        <f>SUM(E645,F642,G643)</f>
        <v>33</v>
      </c>
      <c r="J644" s="149">
        <f t="shared" si="417"/>
        <v>42</v>
      </c>
      <c r="K644" s="122">
        <f t="shared" si="663"/>
        <v>0.21428571428571427</v>
      </c>
      <c r="L644" s="123">
        <f t="shared" si="529"/>
        <v>-23.785714285714285</v>
      </c>
      <c r="M644" s="103">
        <f ca="1">IFERROR(__xludf.DUMMYFUNCTION("IF(A644&lt;&gt;"""", RANK(L644, FILTER(L$2:L$1000, A$2:A$1000=A644)) + COUNTIF(FILTER(L$2:L644, A$2:A644=A644), L644) - 1, """")"),16)</f>
        <v>16</v>
      </c>
      <c r="N644" s="64">
        <v>9</v>
      </c>
      <c r="O644" s="64" t="s">
        <v>1302</v>
      </c>
      <c r="P644" s="103">
        <v>11</v>
      </c>
      <c r="Q644" s="103">
        <v>9</v>
      </c>
      <c r="R644" s="103">
        <v>3</v>
      </c>
      <c r="S644" s="103">
        <v>11</v>
      </c>
      <c r="T644" s="103"/>
      <c r="U644" s="103"/>
      <c r="V644" s="69"/>
      <c r="W644" s="104"/>
      <c r="X644" s="67">
        <f t="shared" ref="X644:Y644" si="667">(P644+R644+T644+V644)</f>
        <v>14</v>
      </c>
      <c r="Y644" s="67">
        <f t="shared" si="667"/>
        <v>20</v>
      </c>
      <c r="Z644" s="68">
        <f t="shared" si="531"/>
        <v>34</v>
      </c>
      <c r="AA644" s="69" t="s">
        <v>216</v>
      </c>
      <c r="AB644" s="70" t="s">
        <v>1304</v>
      </c>
      <c r="AC644" s="70">
        <v>16</v>
      </c>
      <c r="AD644" s="70">
        <v>15</v>
      </c>
      <c r="AE644" s="70">
        <v>44</v>
      </c>
      <c r="AF644" s="172">
        <f t="shared" si="648"/>
        <v>59</v>
      </c>
      <c r="AG644" s="72">
        <f t="shared" si="532"/>
        <v>0.25423728813559321</v>
      </c>
      <c r="AH644" s="73">
        <f t="shared" si="419"/>
        <v>-61.745762711864408</v>
      </c>
      <c r="AI644" s="74">
        <v>16</v>
      </c>
      <c r="AJ644" s="167" t="s">
        <v>1305</v>
      </c>
      <c r="AK644" s="168" t="s">
        <v>584</v>
      </c>
      <c r="AL644" s="169"/>
      <c r="AM644" s="509"/>
      <c r="AN644" s="510"/>
      <c r="AO644" s="510"/>
    </row>
    <row r="645" spans="1:41" ht="14.5">
      <c r="A645" s="58">
        <v>45535</v>
      </c>
      <c r="B645" s="67" t="s">
        <v>428</v>
      </c>
      <c r="C645" s="67" t="s">
        <v>221</v>
      </c>
      <c r="D645" s="67" t="s">
        <v>1306</v>
      </c>
      <c r="E645" s="109">
        <v>11</v>
      </c>
      <c r="F645" s="110">
        <v>7</v>
      </c>
      <c r="G645" s="111">
        <v>11</v>
      </c>
      <c r="H645" s="149">
        <f t="shared" si="630"/>
        <v>29</v>
      </c>
      <c r="I645" s="149">
        <f>SUM(E644,F643,G642)</f>
        <v>17</v>
      </c>
      <c r="J645" s="149">
        <f t="shared" si="417"/>
        <v>46</v>
      </c>
      <c r="K645" s="122">
        <f t="shared" si="663"/>
        <v>0.63043478260869568</v>
      </c>
      <c r="L645" s="123">
        <f t="shared" si="529"/>
        <v>-3.3695652173913042</v>
      </c>
      <c r="M645" s="103">
        <f ca="1">IFERROR(__xludf.DUMMYFUNCTION("IF(A645&lt;&gt;"""", RANK(L645, FILTER(L$2:L$1000, A$2:A$1000=A645)) + COUNTIF(FILTER(L$2:L645, A$2:A645=A645), L645) - 1, """")"),6)</f>
        <v>6</v>
      </c>
      <c r="N645" s="86">
        <v>8</v>
      </c>
      <c r="O645" s="86" t="s">
        <v>1307</v>
      </c>
      <c r="P645" s="113">
        <v>9</v>
      </c>
      <c r="Q645" s="113">
        <v>11</v>
      </c>
      <c r="R645" s="113"/>
      <c r="S645" s="113"/>
      <c r="T645" s="103"/>
      <c r="U645" s="103"/>
      <c r="V645" s="69"/>
      <c r="W645" s="104"/>
      <c r="X645" s="67">
        <f t="shared" ref="X645:Y645" si="668">(P645+R645+T645+V645)</f>
        <v>9</v>
      </c>
      <c r="Y645" s="67">
        <f t="shared" si="668"/>
        <v>11</v>
      </c>
      <c r="Z645" s="68">
        <f t="shared" si="531"/>
        <v>20</v>
      </c>
      <c r="AA645" s="69" t="s">
        <v>221</v>
      </c>
      <c r="AB645" s="70" t="s">
        <v>1306</v>
      </c>
      <c r="AC645" s="70">
        <v>6</v>
      </c>
      <c r="AD645" s="70">
        <v>43</v>
      </c>
      <c r="AE645" s="70">
        <v>36</v>
      </c>
      <c r="AF645" s="172">
        <f t="shared" si="648"/>
        <v>79</v>
      </c>
      <c r="AG645" s="72">
        <f t="shared" si="532"/>
        <v>0.54430379746835444</v>
      </c>
      <c r="AH645" s="73">
        <f t="shared" si="419"/>
        <v>-33.455696202531648</v>
      </c>
      <c r="AI645" s="74">
        <v>6</v>
      </c>
      <c r="AJ645" s="167" t="s">
        <v>1308</v>
      </c>
      <c r="AK645" s="168" t="s">
        <v>1074</v>
      </c>
      <c r="AL645" s="169"/>
      <c r="AM645" s="509"/>
      <c r="AN645" s="510"/>
      <c r="AO645" s="510"/>
    </row>
    <row r="646" spans="1:41" ht="14.5">
      <c r="A646" s="58">
        <v>45535</v>
      </c>
      <c r="B646" s="67" t="s">
        <v>428</v>
      </c>
      <c r="C646" s="67" t="s">
        <v>224</v>
      </c>
      <c r="D646" s="67" t="s">
        <v>1309</v>
      </c>
      <c r="E646" s="100">
        <v>2</v>
      </c>
      <c r="F646" s="101">
        <v>11</v>
      </c>
      <c r="G646" s="101">
        <v>3</v>
      </c>
      <c r="H646" s="149">
        <f t="shared" si="630"/>
        <v>16</v>
      </c>
      <c r="I646" s="149">
        <f>SUM(E647,F648,G649)</f>
        <v>27</v>
      </c>
      <c r="J646" s="149">
        <f t="shared" si="417"/>
        <v>43</v>
      </c>
      <c r="K646" s="122">
        <f t="shared" si="663"/>
        <v>0.37209302325581395</v>
      </c>
      <c r="L646" s="123">
        <f t="shared" si="529"/>
        <v>-16.627906976744185</v>
      </c>
      <c r="M646" s="103">
        <f ca="1">IFERROR(__xludf.DUMMYFUNCTION("IF(A646&lt;&gt;"""", RANK(L646, FILTER(L$2:L$1000, A$2:A$1000=A646)) + COUNTIF(FILTER(L$2:L646, A$2:A646=A646), L646) - 1, """")"),15)</f>
        <v>15</v>
      </c>
      <c r="N646" s="64">
        <v>5</v>
      </c>
      <c r="O646" s="64" t="s">
        <v>1303</v>
      </c>
      <c r="P646" s="103">
        <v>7</v>
      </c>
      <c r="Q646" s="103">
        <v>11</v>
      </c>
      <c r="R646" s="103"/>
      <c r="S646" s="103"/>
      <c r="T646" s="103"/>
      <c r="U646" s="103"/>
      <c r="V646" s="69"/>
      <c r="W646" s="104"/>
      <c r="X646" s="67">
        <f t="shared" ref="X646:Y646" si="669">(P646+R646+T646+V646)</f>
        <v>7</v>
      </c>
      <c r="Y646" s="67">
        <f t="shared" si="669"/>
        <v>11</v>
      </c>
      <c r="Z646" s="68">
        <f t="shared" si="531"/>
        <v>18</v>
      </c>
      <c r="AA646" s="69" t="s">
        <v>224</v>
      </c>
      <c r="AB646" s="70" t="s">
        <v>1309</v>
      </c>
      <c r="AC646" s="70">
        <v>15</v>
      </c>
      <c r="AD646" s="70">
        <v>19</v>
      </c>
      <c r="AE646" s="70">
        <v>38</v>
      </c>
      <c r="AF646" s="172">
        <f t="shared" si="648"/>
        <v>57</v>
      </c>
      <c r="AG646" s="72">
        <f t="shared" si="532"/>
        <v>0.33333333333333331</v>
      </c>
      <c r="AH646" s="73">
        <f t="shared" si="419"/>
        <v>-57.666666666666664</v>
      </c>
      <c r="AI646" s="74">
        <v>15</v>
      </c>
      <c r="AJ646" s="167" t="s">
        <v>753</v>
      </c>
      <c r="AK646" s="168" t="s">
        <v>1272</v>
      </c>
      <c r="AL646" s="169"/>
      <c r="AM646" s="509"/>
      <c r="AN646" s="510"/>
      <c r="AO646" s="510"/>
    </row>
    <row r="647" spans="1:41" ht="14.5">
      <c r="A647" s="58">
        <v>45535</v>
      </c>
      <c r="B647" s="67" t="s">
        <v>428</v>
      </c>
      <c r="C647" s="67" t="s">
        <v>228</v>
      </c>
      <c r="D647" s="67" t="s">
        <v>1310</v>
      </c>
      <c r="E647" s="105">
        <v>11</v>
      </c>
      <c r="F647" s="106">
        <v>9</v>
      </c>
      <c r="G647" s="106">
        <v>11</v>
      </c>
      <c r="H647" s="149">
        <f t="shared" si="630"/>
        <v>31</v>
      </c>
      <c r="I647" s="149">
        <f>SUM(E646,F649,G648)</f>
        <v>18</v>
      </c>
      <c r="J647" s="149">
        <f t="shared" si="417"/>
        <v>49</v>
      </c>
      <c r="K647" s="122">
        <f t="shared" si="663"/>
        <v>0.63265306122448983</v>
      </c>
      <c r="L647" s="123">
        <f t="shared" si="529"/>
        <v>-1.3673469387755102</v>
      </c>
      <c r="M647" s="103">
        <f ca="1">IFERROR(__xludf.DUMMYFUNCTION("IF(A647&lt;&gt;"""", RANK(L647, FILTER(L$2:L$1000, A$2:A$1000=A647)) + COUNTIF(FILTER(L$2:L647, A$2:A647=A647), L647) - 1, """")"),4)</f>
        <v>4</v>
      </c>
      <c r="N647" s="86">
        <v>12</v>
      </c>
      <c r="O647" s="86" t="s">
        <v>1311</v>
      </c>
      <c r="P647" s="113">
        <v>11</v>
      </c>
      <c r="Q647" s="113">
        <v>7</v>
      </c>
      <c r="R647" s="103">
        <v>9</v>
      </c>
      <c r="S647" s="103">
        <v>11</v>
      </c>
      <c r="T647" s="103"/>
      <c r="U647" s="103"/>
      <c r="V647" s="69"/>
      <c r="W647" s="104"/>
      <c r="X647" s="67">
        <f t="shared" ref="X647:Y647" si="670">(P647+R647+T647+V647)</f>
        <v>20</v>
      </c>
      <c r="Y647" s="67">
        <f t="shared" si="670"/>
        <v>18</v>
      </c>
      <c r="Z647" s="68">
        <f t="shared" si="531"/>
        <v>38</v>
      </c>
      <c r="AA647" s="69" t="s">
        <v>228</v>
      </c>
      <c r="AB647" s="70" t="s">
        <v>1310</v>
      </c>
      <c r="AC647" s="70">
        <v>4</v>
      </c>
      <c r="AD647" s="70">
        <v>61</v>
      </c>
      <c r="AE647" s="70">
        <v>44</v>
      </c>
      <c r="AF647" s="172">
        <f t="shared" si="648"/>
        <v>105</v>
      </c>
      <c r="AG647" s="72">
        <f t="shared" si="532"/>
        <v>0.580952380952381</v>
      </c>
      <c r="AH647" s="73">
        <f t="shared" si="419"/>
        <v>-15.419047619047619</v>
      </c>
      <c r="AI647" s="74">
        <v>3</v>
      </c>
      <c r="AJ647" s="167" t="s">
        <v>1161</v>
      </c>
      <c r="AK647" s="168" t="s">
        <v>983</v>
      </c>
      <c r="AL647" s="169"/>
      <c r="AM647" s="509"/>
      <c r="AN647" s="510"/>
      <c r="AO647" s="510"/>
    </row>
    <row r="648" spans="1:41" ht="14.5">
      <c r="A648" s="58">
        <v>45535</v>
      </c>
      <c r="B648" s="67" t="s">
        <v>428</v>
      </c>
      <c r="C648" s="67" t="s">
        <v>232</v>
      </c>
      <c r="D648" s="67" t="s">
        <v>1311</v>
      </c>
      <c r="E648" s="107">
        <v>9</v>
      </c>
      <c r="F648" s="108">
        <v>5</v>
      </c>
      <c r="G648" s="106">
        <v>5</v>
      </c>
      <c r="H648" s="149">
        <f t="shared" si="630"/>
        <v>19</v>
      </c>
      <c r="I648" s="149">
        <f>SUM(E649,F646,G647)</f>
        <v>33</v>
      </c>
      <c r="J648" s="149">
        <f t="shared" si="417"/>
        <v>52</v>
      </c>
      <c r="K648" s="122">
        <f t="shared" si="663"/>
        <v>0.36538461538461536</v>
      </c>
      <c r="L648" s="123">
        <f t="shared" si="529"/>
        <v>-13.634615384615385</v>
      </c>
      <c r="M648" s="103">
        <f ca="1">IFERROR(__xludf.DUMMYFUNCTION("IF(A648&lt;&gt;"""", RANK(L648, FILTER(L$2:L$1000, A$2:A$1000=A648)) + COUNTIF(FILTER(L$2:L648, A$2:A648=A648), L648) - 1, """")"),12)</f>
        <v>12</v>
      </c>
      <c r="N648" s="64">
        <v>13</v>
      </c>
      <c r="O648" s="64" t="s">
        <v>1312</v>
      </c>
      <c r="P648" s="103">
        <v>6</v>
      </c>
      <c r="Q648" s="103">
        <v>11</v>
      </c>
      <c r="R648" s="103"/>
      <c r="S648" s="103"/>
      <c r="T648" s="103"/>
      <c r="U648" s="103"/>
      <c r="V648" s="69"/>
      <c r="W648" s="104"/>
      <c r="X648" s="67">
        <f t="shared" ref="X648:Y648" si="671">(P648+R648+T648+V648)</f>
        <v>6</v>
      </c>
      <c r="Y648" s="67">
        <f t="shared" si="671"/>
        <v>11</v>
      </c>
      <c r="Z648" s="68">
        <f t="shared" si="531"/>
        <v>17</v>
      </c>
      <c r="AA648" s="69" t="s">
        <v>232</v>
      </c>
      <c r="AB648" s="70" t="s">
        <v>1311</v>
      </c>
      <c r="AC648" s="70">
        <v>12</v>
      </c>
      <c r="AD648" s="70">
        <v>39</v>
      </c>
      <c r="AE648" s="70">
        <v>51</v>
      </c>
      <c r="AF648" s="172">
        <f t="shared" si="648"/>
        <v>90</v>
      </c>
      <c r="AG648" s="72">
        <f t="shared" si="532"/>
        <v>0.43333333333333335</v>
      </c>
      <c r="AH648" s="73">
        <f t="shared" si="419"/>
        <v>-37.56666666666667</v>
      </c>
      <c r="AI648" s="74">
        <v>8</v>
      </c>
      <c r="AJ648" s="167" t="s">
        <v>1143</v>
      </c>
      <c r="AK648" s="168" t="s">
        <v>866</v>
      </c>
      <c r="AL648" s="169"/>
      <c r="AM648" s="509"/>
      <c r="AN648" s="510"/>
      <c r="AO648" s="510"/>
    </row>
    <row r="649" spans="1:41" ht="14.5">
      <c r="A649" s="58">
        <v>45535</v>
      </c>
      <c r="B649" s="67" t="s">
        <v>428</v>
      </c>
      <c r="C649" s="67" t="s">
        <v>237</v>
      </c>
      <c r="D649" s="67" t="s">
        <v>168</v>
      </c>
      <c r="E649" s="109">
        <v>11</v>
      </c>
      <c r="F649" s="110">
        <v>11</v>
      </c>
      <c r="G649" s="111">
        <v>11</v>
      </c>
      <c r="H649" s="149">
        <f t="shared" si="630"/>
        <v>33</v>
      </c>
      <c r="I649" s="149">
        <f>SUM(E648,F647,G646)</f>
        <v>21</v>
      </c>
      <c r="J649" s="149">
        <f t="shared" si="417"/>
        <v>54</v>
      </c>
      <c r="K649" s="122">
        <f t="shared" si="663"/>
        <v>0.61111111111111116</v>
      </c>
      <c r="L649" s="123">
        <f t="shared" si="529"/>
        <v>0.61111111111111116</v>
      </c>
      <c r="M649" s="103">
        <f ca="1">IFERROR(__xludf.DUMMYFUNCTION("IF(A649&lt;&gt;"""", RANK(L649, FILTER(L$2:L$1000, A$2:A$1000=A649)) + COUNTIF(FILTER(L$2:L649, A$2:A649=A649), L649) - 1, """")"),3)</f>
        <v>3</v>
      </c>
      <c r="N649" s="86">
        <v>4</v>
      </c>
      <c r="O649" s="86" t="s">
        <v>1310</v>
      </c>
      <c r="P649" s="113">
        <v>11</v>
      </c>
      <c r="Q649" s="113">
        <v>6</v>
      </c>
      <c r="R649" s="113">
        <v>11</v>
      </c>
      <c r="S649" s="113">
        <v>9</v>
      </c>
      <c r="T649" s="113">
        <v>8</v>
      </c>
      <c r="U649" s="113">
        <v>11</v>
      </c>
      <c r="V649" s="93"/>
      <c r="W649" s="114"/>
      <c r="X649" s="67">
        <f t="shared" ref="X649:Y649" si="672">(P649+R649+T649+V649)</f>
        <v>30</v>
      </c>
      <c r="Y649" s="67">
        <f t="shared" si="672"/>
        <v>26</v>
      </c>
      <c r="Z649" s="68">
        <f t="shared" si="531"/>
        <v>56</v>
      </c>
      <c r="AA649" s="69" t="s">
        <v>237</v>
      </c>
      <c r="AB649" s="70" t="s">
        <v>168</v>
      </c>
      <c r="AC649" s="70">
        <v>3</v>
      </c>
      <c r="AD649" s="70">
        <v>73</v>
      </c>
      <c r="AE649" s="70">
        <v>48</v>
      </c>
      <c r="AF649" s="172">
        <f t="shared" si="648"/>
        <v>121</v>
      </c>
      <c r="AG649" s="72">
        <f t="shared" si="532"/>
        <v>0.60330578512396693</v>
      </c>
      <c r="AH649" s="73">
        <f t="shared" si="419"/>
        <v>-3.3966942148760331</v>
      </c>
      <c r="AI649" s="74">
        <v>2</v>
      </c>
      <c r="AJ649" s="167" t="s">
        <v>1296</v>
      </c>
      <c r="AK649" s="168" t="s">
        <v>1266</v>
      </c>
      <c r="AL649" s="169"/>
      <c r="AM649" s="509"/>
      <c r="AN649" s="510"/>
      <c r="AO649" s="510"/>
    </row>
    <row r="650" spans="1:41" ht="14.5">
      <c r="A650" s="58">
        <v>45535</v>
      </c>
      <c r="B650" s="67" t="s">
        <v>428</v>
      </c>
      <c r="C650" s="67" t="s">
        <v>241</v>
      </c>
      <c r="D650" s="67" t="s">
        <v>1313</v>
      </c>
      <c r="E650" s="100">
        <v>1</v>
      </c>
      <c r="F650" s="101">
        <v>11</v>
      </c>
      <c r="G650" s="101">
        <v>6</v>
      </c>
      <c r="H650" s="149">
        <f t="shared" si="630"/>
        <v>18</v>
      </c>
      <c r="I650" s="149">
        <f>SUM(E651,F652,G653)</f>
        <v>29</v>
      </c>
      <c r="J650" s="149">
        <f t="shared" si="417"/>
        <v>47</v>
      </c>
      <c r="K650" s="122">
        <f t="shared" si="663"/>
        <v>0.38297872340425532</v>
      </c>
      <c r="L650" s="123">
        <f t="shared" si="529"/>
        <v>-14.617021276595745</v>
      </c>
      <c r="M650" s="103">
        <f ca="1">IFERROR(__xludf.DUMMYFUNCTION("IF(A650&lt;&gt;"""", RANK(L650, FILTER(L$2:L$1000, A$2:A$1000=A650)) + COUNTIF(FILTER(L$2:L650, A$2:A650=A650), L650) - 1, """")"),14)</f>
        <v>14</v>
      </c>
      <c r="N650" s="64">
        <v>3</v>
      </c>
      <c r="O650" s="64" t="s">
        <v>168</v>
      </c>
      <c r="P650" s="103">
        <v>11</v>
      </c>
      <c r="Q650" s="103">
        <v>4</v>
      </c>
      <c r="R650" s="103">
        <v>11</v>
      </c>
      <c r="S650" s="103">
        <v>3</v>
      </c>
      <c r="T650" s="103">
        <v>11</v>
      </c>
      <c r="U650" s="103">
        <v>9</v>
      </c>
      <c r="V650" s="69">
        <v>7</v>
      </c>
      <c r="W650" s="104">
        <v>11</v>
      </c>
      <c r="X650" s="67">
        <f t="shared" ref="X650:Y650" si="673">(P650+R650+T650+V650)</f>
        <v>40</v>
      </c>
      <c r="Y650" s="67">
        <f t="shared" si="673"/>
        <v>27</v>
      </c>
      <c r="Z650" s="68">
        <f t="shared" si="531"/>
        <v>67</v>
      </c>
      <c r="AA650" s="69" t="s">
        <v>241</v>
      </c>
      <c r="AB650" s="70" t="s">
        <v>1313</v>
      </c>
      <c r="AC650" s="70">
        <v>14</v>
      </c>
      <c r="AD650" s="70">
        <v>22</v>
      </c>
      <c r="AE650" s="70">
        <v>40</v>
      </c>
      <c r="AF650" s="172">
        <f t="shared" si="648"/>
        <v>62</v>
      </c>
      <c r="AG650" s="72">
        <f t="shared" si="532"/>
        <v>0.35483870967741937</v>
      </c>
      <c r="AH650" s="73">
        <f t="shared" si="419"/>
        <v>-54.645161290322584</v>
      </c>
      <c r="AI650" s="74">
        <v>14</v>
      </c>
      <c r="AJ650" s="167" t="s">
        <v>1052</v>
      </c>
      <c r="AK650" s="168" t="s">
        <v>1268</v>
      </c>
      <c r="AL650" s="169"/>
      <c r="AM650" s="509"/>
      <c r="AN650" s="510"/>
      <c r="AO650" s="510"/>
    </row>
    <row r="651" spans="1:41" ht="14.5">
      <c r="A651" s="58">
        <v>45535</v>
      </c>
      <c r="B651" s="67" t="s">
        <v>428</v>
      </c>
      <c r="C651" s="67" t="s">
        <v>246</v>
      </c>
      <c r="D651" s="67" t="s">
        <v>167</v>
      </c>
      <c r="E651" s="105">
        <v>11</v>
      </c>
      <c r="F651" s="106">
        <v>11</v>
      </c>
      <c r="G651" s="106">
        <v>11</v>
      </c>
      <c r="H651" s="149">
        <f t="shared" si="630"/>
        <v>33</v>
      </c>
      <c r="I651" s="149">
        <f>SUM(E650,F653,G652)</f>
        <v>12</v>
      </c>
      <c r="J651" s="149">
        <f t="shared" si="417"/>
        <v>45</v>
      </c>
      <c r="K651" s="122">
        <f t="shared" si="663"/>
        <v>0.73333333333333328</v>
      </c>
      <c r="L651" s="123">
        <f t="shared" si="529"/>
        <v>0.73333333333333328</v>
      </c>
      <c r="M651" s="103">
        <f ca="1">IFERROR(__xludf.DUMMYFUNCTION("IF(A651&lt;&gt;"""", RANK(L651, FILTER(L$2:L$1000, A$2:A$1000=A651)) + COUNTIF(FILTER(L$2:L651, A$2:A651=A651), L651) - 1, """")"),1)</f>
        <v>1</v>
      </c>
      <c r="N651" s="86">
        <v>14</v>
      </c>
      <c r="O651" s="86" t="s">
        <v>1313</v>
      </c>
      <c r="P651" s="113">
        <v>4</v>
      </c>
      <c r="Q651" s="113">
        <v>11</v>
      </c>
      <c r="R651" s="103"/>
      <c r="S651" s="103"/>
      <c r="T651" s="103"/>
      <c r="U651" s="103"/>
      <c r="V651" s="69"/>
      <c r="W651" s="104"/>
      <c r="X651" s="67">
        <f t="shared" ref="X651:Y651" si="674">(P651+R651+T651+V651)</f>
        <v>4</v>
      </c>
      <c r="Y651" s="67">
        <f t="shared" si="674"/>
        <v>11</v>
      </c>
      <c r="Z651" s="68">
        <f t="shared" si="531"/>
        <v>15</v>
      </c>
      <c r="AA651" s="69" t="s">
        <v>246</v>
      </c>
      <c r="AB651" s="70" t="s">
        <v>167</v>
      </c>
      <c r="AC651" s="70">
        <v>1</v>
      </c>
      <c r="AD651" s="70">
        <v>77</v>
      </c>
      <c r="AE651" s="70">
        <v>36</v>
      </c>
      <c r="AF651" s="172">
        <f t="shared" si="648"/>
        <v>113</v>
      </c>
      <c r="AG651" s="72">
        <f t="shared" si="532"/>
        <v>0.68141592920353977</v>
      </c>
      <c r="AH651" s="73">
        <f t="shared" si="419"/>
        <v>0.68141592920353977</v>
      </c>
      <c r="AI651" s="74">
        <v>1</v>
      </c>
      <c r="AJ651" s="167" t="s">
        <v>792</v>
      </c>
      <c r="AK651" s="168" t="s">
        <v>1209</v>
      </c>
      <c r="AL651" s="169"/>
      <c r="AM651" s="509"/>
      <c r="AN651" s="510"/>
      <c r="AO651" s="510"/>
    </row>
    <row r="652" spans="1:41" ht="14.5">
      <c r="A652" s="58">
        <v>45535</v>
      </c>
      <c r="B652" s="67" t="s">
        <v>428</v>
      </c>
      <c r="C652" s="67" t="s">
        <v>251</v>
      </c>
      <c r="D652" s="67" t="s">
        <v>1314</v>
      </c>
      <c r="E652" s="107">
        <v>8</v>
      </c>
      <c r="F652" s="108">
        <v>7</v>
      </c>
      <c r="G652" s="106">
        <v>7</v>
      </c>
      <c r="H652" s="149">
        <f t="shared" si="630"/>
        <v>22</v>
      </c>
      <c r="I652" s="149">
        <f>SUM(E653,F650,G651)</f>
        <v>33</v>
      </c>
      <c r="J652" s="149">
        <f t="shared" si="417"/>
        <v>55</v>
      </c>
      <c r="K652" s="122">
        <f t="shared" si="663"/>
        <v>0.4</v>
      </c>
      <c r="L652" s="123">
        <f t="shared" si="529"/>
        <v>-10.6</v>
      </c>
      <c r="M652" s="103">
        <f ca="1">IFERROR(__xludf.DUMMYFUNCTION("IF(A652&lt;&gt;"""", RANK(L652, FILTER(L$2:L$1000, A$2:A$1000=A652)) + COUNTIF(FILTER(L$2:L652, A$2:A652=A652), L652) - 1, """")"),11)</f>
        <v>11</v>
      </c>
      <c r="N652" s="64">
        <v>11</v>
      </c>
      <c r="O652" s="64" t="s">
        <v>1314</v>
      </c>
      <c r="P652" s="103">
        <v>8</v>
      </c>
      <c r="Q652" s="103">
        <v>11</v>
      </c>
      <c r="R652" s="103"/>
      <c r="S652" s="103"/>
      <c r="T652" s="103"/>
      <c r="U652" s="103"/>
      <c r="V652" s="69"/>
      <c r="W652" s="104"/>
      <c r="X652" s="67">
        <f t="shared" ref="X652:Y652" si="675">(P652+R652+T652+V652)</f>
        <v>8</v>
      </c>
      <c r="Y652" s="67">
        <f t="shared" si="675"/>
        <v>11</v>
      </c>
      <c r="Z652" s="68">
        <f t="shared" si="531"/>
        <v>19</v>
      </c>
      <c r="AA652" s="69" t="s">
        <v>251</v>
      </c>
      <c r="AB652" s="70" t="s">
        <v>1314</v>
      </c>
      <c r="AC652" s="70">
        <v>11</v>
      </c>
      <c r="AD652" s="70">
        <v>30</v>
      </c>
      <c r="AE652" s="70">
        <v>44</v>
      </c>
      <c r="AF652" s="172">
        <f t="shared" si="648"/>
        <v>74</v>
      </c>
      <c r="AG652" s="72">
        <f t="shared" si="532"/>
        <v>0.40540540540540543</v>
      </c>
      <c r="AH652" s="73">
        <f t="shared" si="419"/>
        <v>-46.594594594594597</v>
      </c>
      <c r="AI652" s="74">
        <v>12</v>
      </c>
      <c r="AJ652" s="167" t="s">
        <v>1315</v>
      </c>
      <c r="AK652" s="168" t="s">
        <v>715</v>
      </c>
      <c r="AL652" s="169"/>
      <c r="AM652" s="509"/>
      <c r="AN652" s="510"/>
      <c r="AO652" s="510"/>
    </row>
    <row r="653" spans="1:41" ht="14.5">
      <c r="A653" s="58">
        <v>45535</v>
      </c>
      <c r="B653" s="67" t="s">
        <v>428</v>
      </c>
      <c r="C653" s="67" t="s">
        <v>256</v>
      </c>
      <c r="D653" s="67" t="s">
        <v>1316</v>
      </c>
      <c r="E653" s="109">
        <v>11</v>
      </c>
      <c r="F653" s="110">
        <v>4</v>
      </c>
      <c r="G653" s="111">
        <v>11</v>
      </c>
      <c r="H653" s="149">
        <f t="shared" si="630"/>
        <v>26</v>
      </c>
      <c r="I653" s="149">
        <f>SUM(E652,F651,G650)</f>
        <v>25</v>
      </c>
      <c r="J653" s="149">
        <f t="shared" si="417"/>
        <v>51</v>
      </c>
      <c r="K653" s="122">
        <f t="shared" si="663"/>
        <v>0.50980392156862742</v>
      </c>
      <c r="L653" s="123">
        <f t="shared" si="529"/>
        <v>-6.4901960784313726</v>
      </c>
      <c r="M653" s="103">
        <f ca="1">IFERROR(__xludf.DUMMYFUNCTION("IF(A653&lt;&gt;"""", RANK(L653, FILTER(L$2:L$1000, A$2:A$1000=A653)) + COUNTIF(FILTER(L$2:L653, A$2:A653=A653), L653) - 1, """")"),10)</f>
        <v>10</v>
      </c>
      <c r="N653" s="86">
        <v>6</v>
      </c>
      <c r="O653" s="86" t="s">
        <v>1306</v>
      </c>
      <c r="P653" s="113">
        <v>11</v>
      </c>
      <c r="Q653" s="113">
        <v>8</v>
      </c>
      <c r="R653" s="113">
        <v>3</v>
      </c>
      <c r="S653" s="113">
        <v>11</v>
      </c>
      <c r="T653" s="103"/>
      <c r="U653" s="103"/>
      <c r="V653" s="69"/>
      <c r="W653" s="104"/>
      <c r="X653" s="67">
        <f t="shared" ref="X653:Y653" si="676">(P653+R653+T653+V653)</f>
        <v>14</v>
      </c>
      <c r="Y653" s="67">
        <f t="shared" si="676"/>
        <v>19</v>
      </c>
      <c r="Z653" s="68">
        <f t="shared" si="531"/>
        <v>33</v>
      </c>
      <c r="AA653" s="69" t="s">
        <v>256</v>
      </c>
      <c r="AB653" s="70" t="s">
        <v>1316</v>
      </c>
      <c r="AC653" s="70">
        <v>10</v>
      </c>
      <c r="AD653" s="70">
        <v>57</v>
      </c>
      <c r="AE653" s="70">
        <v>50</v>
      </c>
      <c r="AF653" s="172">
        <f t="shared" si="648"/>
        <v>107</v>
      </c>
      <c r="AG653" s="72">
        <f t="shared" si="532"/>
        <v>0.53271028037383172</v>
      </c>
      <c r="AH653" s="73">
        <f t="shared" si="419"/>
        <v>-19.467289719626169</v>
      </c>
      <c r="AI653" s="74">
        <v>4</v>
      </c>
      <c r="AJ653" s="167" t="s">
        <v>1317</v>
      </c>
      <c r="AK653" s="168" t="s">
        <v>716</v>
      </c>
      <c r="AL653" s="169"/>
      <c r="AM653" s="509"/>
      <c r="AN653" s="510"/>
      <c r="AO653" s="510"/>
    </row>
    <row r="654" spans="1:41" ht="14.5">
      <c r="A654" s="58">
        <v>45535</v>
      </c>
      <c r="B654" s="67" t="s">
        <v>428</v>
      </c>
      <c r="C654" s="67" t="s">
        <v>261</v>
      </c>
      <c r="D654" s="67" t="s">
        <v>1318</v>
      </c>
      <c r="E654" s="100">
        <v>6</v>
      </c>
      <c r="F654" s="101">
        <v>11</v>
      </c>
      <c r="G654" s="101">
        <v>11</v>
      </c>
      <c r="H654" s="149">
        <f t="shared" si="630"/>
        <v>28</v>
      </c>
      <c r="I654" s="149">
        <f>SUM(E655,F656,G657)</f>
        <v>29</v>
      </c>
      <c r="J654" s="149">
        <f t="shared" si="417"/>
        <v>57</v>
      </c>
      <c r="K654" s="122">
        <f t="shared" si="663"/>
        <v>0.49122807017543857</v>
      </c>
      <c r="L654" s="123">
        <f t="shared" si="529"/>
        <v>-4.5087719298245617</v>
      </c>
      <c r="M654" s="103">
        <f ca="1">IFERROR(__xludf.DUMMYFUNCTION("IF(A654&lt;&gt;"""", RANK(L654, FILTER(L$2:L$1000, A$2:A$1000=A654)) + COUNTIF(FILTER(L$2:L654, A$2:A654=A654), L654) - 1, """")"),7)</f>
        <v>7</v>
      </c>
      <c r="N654" s="64">
        <v>7</v>
      </c>
      <c r="O654" s="64" t="s">
        <v>1318</v>
      </c>
      <c r="P654" s="103">
        <v>8</v>
      </c>
      <c r="Q654" s="103">
        <v>11</v>
      </c>
      <c r="R654" s="103"/>
      <c r="S654" s="103"/>
      <c r="T654" s="103"/>
      <c r="U654" s="103"/>
      <c r="V654" s="69"/>
      <c r="W654" s="104"/>
      <c r="X654" s="67">
        <f t="shared" ref="X654:Y654" si="677">(P654+R654+T654+V654)</f>
        <v>8</v>
      </c>
      <c r="Y654" s="67">
        <f t="shared" si="677"/>
        <v>11</v>
      </c>
      <c r="Z654" s="68">
        <f t="shared" si="531"/>
        <v>19</v>
      </c>
      <c r="AA654" s="69" t="s">
        <v>261</v>
      </c>
      <c r="AB654" s="70" t="s">
        <v>1318</v>
      </c>
      <c r="AC654" s="70">
        <v>7</v>
      </c>
      <c r="AD654" s="70">
        <v>36</v>
      </c>
      <c r="AE654" s="70">
        <v>40</v>
      </c>
      <c r="AF654" s="172">
        <f t="shared" si="648"/>
        <v>76</v>
      </c>
      <c r="AG654" s="72">
        <f t="shared" si="532"/>
        <v>0.47368421052631576</v>
      </c>
      <c r="AH654" s="73">
        <f t="shared" si="419"/>
        <v>-40.526315789473685</v>
      </c>
      <c r="AI654" s="74">
        <v>11</v>
      </c>
      <c r="AJ654" s="167" t="s">
        <v>1221</v>
      </c>
      <c r="AK654" s="168" t="s">
        <v>1319</v>
      </c>
      <c r="AL654" s="169"/>
      <c r="AM654" s="509"/>
      <c r="AN654" s="510"/>
      <c r="AO654" s="510"/>
    </row>
    <row r="655" spans="1:41" ht="14.5">
      <c r="A655" s="58">
        <v>45535</v>
      </c>
      <c r="B655" s="67" t="s">
        <v>428</v>
      </c>
      <c r="C655" s="67" t="s">
        <v>268</v>
      </c>
      <c r="D655" s="67" t="s">
        <v>1320</v>
      </c>
      <c r="E655" s="105">
        <v>11</v>
      </c>
      <c r="F655" s="106">
        <v>11</v>
      </c>
      <c r="G655" s="106">
        <v>11</v>
      </c>
      <c r="H655" s="149">
        <f t="shared" si="630"/>
        <v>33</v>
      </c>
      <c r="I655" s="149">
        <f>SUM(E654,F657,G656)</f>
        <v>20</v>
      </c>
      <c r="J655" s="149">
        <f t="shared" si="417"/>
        <v>53</v>
      </c>
      <c r="K655" s="122">
        <f t="shared" si="663"/>
        <v>0.62264150943396224</v>
      </c>
      <c r="L655" s="123">
        <f t="shared" si="529"/>
        <v>0.62264150943396224</v>
      </c>
      <c r="M655" s="103">
        <f ca="1">IFERROR(__xludf.DUMMYFUNCTION("IF(A655&lt;&gt;"""", RANK(L655, FILTER(L$2:L$1000, A$2:A$1000=A655)) + COUNTIF(FILTER(L$2:L655, A$2:A655=A655), L655) - 1, """")"),2)</f>
        <v>2</v>
      </c>
      <c r="N655" s="86">
        <v>10</v>
      </c>
      <c r="O655" s="86" t="s">
        <v>1316</v>
      </c>
      <c r="P655" s="113">
        <v>11</v>
      </c>
      <c r="Q655" s="113">
        <v>8</v>
      </c>
      <c r="R655" s="103">
        <v>11</v>
      </c>
      <c r="S655" s="103">
        <v>6</v>
      </c>
      <c r="T655" s="103">
        <v>9</v>
      </c>
      <c r="U655" s="103">
        <v>11</v>
      </c>
      <c r="V655" s="69"/>
      <c r="W655" s="104"/>
      <c r="X655" s="67">
        <f t="shared" ref="X655:Y655" si="678">(P655+R655+T655+V655)</f>
        <v>31</v>
      </c>
      <c r="Y655" s="67">
        <f t="shared" si="678"/>
        <v>25</v>
      </c>
      <c r="Z655" s="68">
        <f t="shared" si="531"/>
        <v>56</v>
      </c>
      <c r="AA655" s="69" t="s">
        <v>268</v>
      </c>
      <c r="AB655" s="70" t="s">
        <v>1320</v>
      </c>
      <c r="AC655" s="70">
        <v>2</v>
      </c>
      <c r="AD655" s="70">
        <v>50</v>
      </c>
      <c r="AE655" s="70">
        <v>34</v>
      </c>
      <c r="AF655" s="172">
        <f t="shared" si="648"/>
        <v>84</v>
      </c>
      <c r="AG655" s="72">
        <f t="shared" si="532"/>
        <v>0.59523809523809523</v>
      </c>
      <c r="AH655" s="73">
        <f t="shared" si="419"/>
        <v>-26.404761904761905</v>
      </c>
      <c r="AI655" s="74">
        <v>5</v>
      </c>
      <c r="AJ655" s="167" t="s">
        <v>929</v>
      </c>
      <c r="AK655" s="168" t="s">
        <v>1131</v>
      </c>
      <c r="AL655" s="169"/>
      <c r="AM655" s="509"/>
      <c r="AN655" s="510"/>
      <c r="AO655" s="510"/>
    </row>
    <row r="656" spans="1:41" ht="14.5">
      <c r="A656" s="58">
        <v>45535</v>
      </c>
      <c r="B656" s="67" t="s">
        <v>428</v>
      </c>
      <c r="C656" s="67" t="s">
        <v>271</v>
      </c>
      <c r="D656" s="67" t="s">
        <v>1307</v>
      </c>
      <c r="E656" s="107">
        <v>11</v>
      </c>
      <c r="F656" s="108">
        <v>9</v>
      </c>
      <c r="G656" s="106">
        <v>7</v>
      </c>
      <c r="H656" s="149">
        <f t="shared" si="630"/>
        <v>27</v>
      </c>
      <c r="I656" s="149">
        <f>SUM(E657,F654,G655)</f>
        <v>25</v>
      </c>
      <c r="J656" s="149">
        <f t="shared" si="417"/>
        <v>52</v>
      </c>
      <c r="K656" s="122">
        <f t="shared" si="663"/>
        <v>0.51923076923076927</v>
      </c>
      <c r="L656" s="123">
        <f t="shared" si="529"/>
        <v>-5.4807692307692308</v>
      </c>
      <c r="M656" s="103">
        <f ca="1">IFERROR(__xludf.DUMMYFUNCTION("IF(A656&lt;&gt;"""", RANK(L656, FILTER(L$2:L$1000, A$2:A$1000=A656)) + COUNTIF(FILTER(L$2:L656, A$2:A656=A656), L656) - 1, """")"),8)</f>
        <v>8</v>
      </c>
      <c r="N656" s="64">
        <v>15</v>
      </c>
      <c r="O656" s="64" t="s">
        <v>1309</v>
      </c>
      <c r="P656" s="103">
        <v>3</v>
      </c>
      <c r="Q656" s="103">
        <v>11</v>
      </c>
      <c r="R656" s="103"/>
      <c r="S656" s="103"/>
      <c r="T656" s="103"/>
      <c r="U656" s="103"/>
      <c r="V656" s="69"/>
      <c r="W656" s="104"/>
      <c r="X656" s="67">
        <f t="shared" ref="X656:Y656" si="679">(P656+R656+T656+V656)</f>
        <v>3</v>
      </c>
      <c r="Y656" s="67">
        <f t="shared" si="679"/>
        <v>11</v>
      </c>
      <c r="Z656" s="68">
        <f t="shared" si="531"/>
        <v>14</v>
      </c>
      <c r="AA656" s="69" t="s">
        <v>271</v>
      </c>
      <c r="AB656" s="70" t="s">
        <v>1307</v>
      </c>
      <c r="AC656" s="70">
        <v>8</v>
      </c>
      <c r="AD656" s="70">
        <v>36</v>
      </c>
      <c r="AE656" s="70">
        <v>36</v>
      </c>
      <c r="AF656" s="172">
        <f t="shared" si="648"/>
        <v>72</v>
      </c>
      <c r="AG656" s="72">
        <f t="shared" si="532"/>
        <v>0.5</v>
      </c>
      <c r="AH656" s="73">
        <f t="shared" si="419"/>
        <v>-40.5</v>
      </c>
      <c r="AI656" s="74">
        <v>10</v>
      </c>
      <c r="AJ656" s="167" t="s">
        <v>1148</v>
      </c>
      <c r="AK656" s="168" t="s">
        <v>1086</v>
      </c>
      <c r="AL656" s="169"/>
      <c r="AM656" s="509"/>
      <c r="AN656" s="510"/>
      <c r="AO656" s="510"/>
    </row>
    <row r="657" spans="1:41" ht="14.5">
      <c r="A657" s="87">
        <v>45535</v>
      </c>
      <c r="B657" s="92" t="s">
        <v>428</v>
      </c>
      <c r="C657" s="92" t="s">
        <v>276</v>
      </c>
      <c r="D657" s="92" t="s">
        <v>1312</v>
      </c>
      <c r="E657" s="109">
        <v>3</v>
      </c>
      <c r="F657" s="110">
        <v>7</v>
      </c>
      <c r="G657" s="111">
        <v>9</v>
      </c>
      <c r="H657" s="152">
        <f t="shared" si="630"/>
        <v>19</v>
      </c>
      <c r="I657" s="152">
        <f>SUM(E656,F655,G654)</f>
        <v>33</v>
      </c>
      <c r="J657" s="152">
        <f t="shared" ref="J657" si="680">SUM(H657:I657)</f>
        <v>52</v>
      </c>
      <c r="K657" s="153">
        <f t="shared" si="663"/>
        <v>0.36538461538461536</v>
      </c>
      <c r="L657" s="154">
        <f t="shared" si="529"/>
        <v>-13.634615384615385</v>
      </c>
      <c r="M657" s="176">
        <f ca="1">IFERROR(__xludf.DUMMYFUNCTION("IF(A657&lt;&gt;"""", RANK(L657, FILTER(L$2:L$1000, A$2:A$1000=A657)) + COUNTIF(FILTER(L$2:L657, A$2:A657=A657), L657) - 1, """")"),13)</f>
        <v>13</v>
      </c>
      <c r="N657" s="86">
        <v>2</v>
      </c>
      <c r="O657" s="86" t="s">
        <v>1320</v>
      </c>
      <c r="P657" s="113">
        <v>11</v>
      </c>
      <c r="Q657" s="113">
        <v>3</v>
      </c>
      <c r="R657" s="113">
        <v>6</v>
      </c>
      <c r="S657" s="113">
        <v>11</v>
      </c>
      <c r="T657" s="113"/>
      <c r="U657" s="113"/>
      <c r="V657" s="93"/>
      <c r="W657" s="114"/>
      <c r="X657" s="92">
        <f t="shared" ref="X657:Y657" si="681">(P657+R657+T657+V657)</f>
        <v>17</v>
      </c>
      <c r="Y657" s="92">
        <f t="shared" si="681"/>
        <v>14</v>
      </c>
      <c r="Z657" s="84">
        <f t="shared" si="531"/>
        <v>31</v>
      </c>
      <c r="AA657" s="93" t="s">
        <v>276</v>
      </c>
      <c r="AB657" s="94" t="s">
        <v>1312</v>
      </c>
      <c r="AC657" s="94">
        <v>13</v>
      </c>
      <c r="AD657" s="94">
        <v>25</v>
      </c>
      <c r="AE657" s="94">
        <v>44</v>
      </c>
      <c r="AF657" s="175">
        <f t="shared" si="648"/>
        <v>69</v>
      </c>
      <c r="AG657" s="95">
        <f t="shared" si="532"/>
        <v>0.36231884057971014</v>
      </c>
      <c r="AH657" s="96">
        <f t="shared" ref="AH657" si="682">AG657-(77-AD657)</f>
        <v>-51.637681159420289</v>
      </c>
      <c r="AI657" s="97">
        <v>13</v>
      </c>
      <c r="AJ657" s="98" t="s">
        <v>1283</v>
      </c>
      <c r="AK657" s="81" t="s">
        <v>1189</v>
      </c>
      <c r="AL657" s="169"/>
      <c r="AM657" s="509"/>
      <c r="AN657" s="510"/>
      <c r="AO657" s="510"/>
    </row>
    <row r="658" spans="1:41">
      <c r="A658" s="177"/>
      <c r="B658" s="169"/>
      <c r="C658" s="169"/>
      <c r="D658" s="169"/>
      <c r="E658" s="169"/>
      <c r="F658" s="169"/>
      <c r="G658" s="169"/>
      <c r="H658" s="169"/>
      <c r="I658" s="169"/>
      <c r="J658" s="169"/>
      <c r="K658" s="169"/>
      <c r="L658" s="169"/>
      <c r="M658" s="169"/>
      <c r="N658" s="177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78"/>
      <c r="AA658" s="167"/>
      <c r="AB658" s="169"/>
      <c r="AC658" s="169"/>
      <c r="AD658" s="169"/>
      <c r="AE658" s="169"/>
      <c r="AF658" s="169"/>
      <c r="AG658" s="179"/>
      <c r="AH658" s="169"/>
      <c r="AI658" s="168"/>
      <c r="AJ658" s="167"/>
      <c r="AK658" s="168"/>
      <c r="AL658" s="169"/>
      <c r="AM658" s="509"/>
      <c r="AN658" s="510"/>
      <c r="AO658" s="510"/>
    </row>
    <row r="659" spans="1:41">
      <c r="A659" s="177"/>
      <c r="B659" s="169"/>
      <c r="C659" s="169"/>
      <c r="D659" s="169"/>
      <c r="E659" s="169"/>
      <c r="F659" s="169"/>
      <c r="G659" s="169"/>
      <c r="H659" s="169"/>
      <c r="I659" s="169"/>
      <c r="J659" s="169"/>
      <c r="K659" s="169"/>
      <c r="L659" s="169"/>
      <c r="M659" s="169"/>
      <c r="N659" s="177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78"/>
      <c r="AA659" s="167"/>
      <c r="AB659" s="169"/>
      <c r="AC659" s="169"/>
      <c r="AD659" s="169"/>
      <c r="AE659" s="169"/>
      <c r="AF659" s="169"/>
      <c r="AG659" s="179"/>
      <c r="AH659" s="169"/>
      <c r="AI659" s="168"/>
      <c r="AJ659" s="167"/>
      <c r="AK659" s="168"/>
      <c r="AL659" s="169"/>
      <c r="AM659" s="509"/>
      <c r="AN659" s="510"/>
      <c r="AO659" s="510"/>
    </row>
    <row r="660" spans="1:41">
      <c r="A660" s="177"/>
      <c r="B660" s="169"/>
      <c r="C660" s="169"/>
      <c r="D660" s="169"/>
      <c r="E660" s="169"/>
      <c r="F660" s="169"/>
      <c r="G660" s="169"/>
      <c r="H660" s="169"/>
      <c r="I660" s="169"/>
      <c r="J660" s="169"/>
      <c r="K660" s="169"/>
      <c r="L660" s="169"/>
      <c r="M660" s="169"/>
      <c r="N660" s="177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78"/>
      <c r="AA660" s="167"/>
      <c r="AB660" s="169"/>
      <c r="AC660" s="169"/>
      <c r="AD660" s="169"/>
      <c r="AE660" s="169"/>
      <c r="AF660" s="169"/>
      <c r="AG660" s="179"/>
      <c r="AH660" s="169"/>
      <c r="AI660" s="168"/>
      <c r="AJ660" s="167"/>
      <c r="AK660" s="168"/>
      <c r="AL660" s="169"/>
      <c r="AM660" s="509"/>
      <c r="AN660" s="510"/>
      <c r="AO660" s="510"/>
    </row>
    <row r="661" spans="1:41">
      <c r="A661" s="177"/>
      <c r="B661" s="169"/>
      <c r="C661" s="169"/>
      <c r="D661" s="169"/>
      <c r="E661" s="169"/>
      <c r="F661" s="169"/>
      <c r="G661" s="169"/>
      <c r="H661" s="169"/>
      <c r="I661" s="169"/>
      <c r="J661" s="169"/>
      <c r="K661" s="169"/>
      <c r="L661" s="169"/>
      <c r="M661" s="169"/>
      <c r="N661" s="177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78"/>
      <c r="AA661" s="167"/>
      <c r="AB661" s="169"/>
      <c r="AC661" s="169"/>
      <c r="AD661" s="169"/>
      <c r="AE661" s="169"/>
      <c r="AF661" s="169"/>
      <c r="AG661" s="179"/>
      <c r="AH661" s="169"/>
      <c r="AI661" s="168"/>
      <c r="AJ661" s="167"/>
      <c r="AK661" s="168"/>
      <c r="AL661" s="169"/>
      <c r="AM661" s="509"/>
      <c r="AN661" s="510"/>
      <c r="AO661" s="510"/>
    </row>
    <row r="662" spans="1:41">
      <c r="A662" s="177"/>
      <c r="B662" s="169"/>
      <c r="C662" s="169"/>
      <c r="D662" s="169"/>
      <c r="E662" s="169"/>
      <c r="F662" s="169"/>
      <c r="G662" s="169"/>
      <c r="H662" s="169"/>
      <c r="I662" s="169"/>
      <c r="J662" s="169"/>
      <c r="K662" s="169"/>
      <c r="L662" s="169"/>
      <c r="M662" s="169"/>
      <c r="N662" s="177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78"/>
      <c r="AA662" s="167"/>
      <c r="AB662" s="169"/>
      <c r="AC662" s="169"/>
      <c r="AD662" s="169"/>
      <c r="AE662" s="169"/>
      <c r="AF662" s="169"/>
      <c r="AG662" s="179"/>
      <c r="AH662" s="169"/>
      <c r="AI662" s="168"/>
      <c r="AJ662" s="167"/>
      <c r="AK662" s="168"/>
      <c r="AL662" s="169"/>
      <c r="AM662" s="509"/>
      <c r="AN662" s="510"/>
      <c r="AO662" s="510"/>
    </row>
    <row r="663" spans="1:41">
      <c r="A663" s="177"/>
      <c r="B663" s="169"/>
      <c r="C663" s="169"/>
      <c r="D663" s="169"/>
      <c r="E663" s="169"/>
      <c r="F663" s="169"/>
      <c r="G663" s="169"/>
      <c r="H663" s="169"/>
      <c r="I663" s="169"/>
      <c r="J663" s="169"/>
      <c r="K663" s="169"/>
      <c r="L663" s="169"/>
      <c r="M663" s="169"/>
      <c r="N663" s="177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78"/>
      <c r="AA663" s="167"/>
      <c r="AB663" s="169"/>
      <c r="AC663" s="169"/>
      <c r="AD663" s="169"/>
      <c r="AE663" s="169"/>
      <c r="AF663" s="169"/>
      <c r="AG663" s="179"/>
      <c r="AH663" s="169"/>
      <c r="AI663" s="168"/>
      <c r="AJ663" s="167"/>
      <c r="AK663" s="168"/>
      <c r="AL663" s="169"/>
      <c r="AM663" s="509"/>
      <c r="AN663" s="510"/>
      <c r="AO663" s="510"/>
    </row>
    <row r="664" spans="1:41">
      <c r="A664" s="177"/>
      <c r="B664" s="169"/>
      <c r="C664" s="169"/>
      <c r="D664" s="169"/>
      <c r="E664" s="169"/>
      <c r="F664" s="169"/>
      <c r="G664" s="169"/>
      <c r="H664" s="169"/>
      <c r="I664" s="169"/>
      <c r="J664" s="169"/>
      <c r="K664" s="169"/>
      <c r="L664" s="169"/>
      <c r="M664" s="169"/>
      <c r="N664" s="177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78"/>
      <c r="AA664" s="167"/>
      <c r="AB664" s="169"/>
      <c r="AC664" s="169"/>
      <c r="AD664" s="169"/>
      <c r="AE664" s="169"/>
      <c r="AF664" s="169"/>
      <c r="AG664" s="179"/>
      <c r="AH664" s="169"/>
      <c r="AI664" s="168"/>
      <c r="AJ664" s="167"/>
      <c r="AK664" s="168"/>
      <c r="AL664" s="169"/>
      <c r="AM664" s="509"/>
      <c r="AN664" s="510"/>
      <c r="AO664" s="510"/>
    </row>
    <row r="665" spans="1:41">
      <c r="A665" s="177"/>
      <c r="B665" s="169"/>
      <c r="C665" s="169"/>
      <c r="D665" s="169"/>
      <c r="E665" s="169"/>
      <c r="F665" s="169"/>
      <c r="G665" s="169"/>
      <c r="H665" s="169"/>
      <c r="I665" s="169"/>
      <c r="J665" s="169"/>
      <c r="K665" s="169"/>
      <c r="L665" s="169"/>
      <c r="M665" s="169"/>
      <c r="N665" s="177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78"/>
      <c r="AA665" s="167"/>
      <c r="AB665" s="169"/>
      <c r="AC665" s="169"/>
      <c r="AD665" s="169"/>
      <c r="AE665" s="169"/>
      <c r="AF665" s="169"/>
      <c r="AG665" s="179"/>
      <c r="AH665" s="169"/>
      <c r="AI665" s="168"/>
      <c r="AJ665" s="167"/>
      <c r="AK665" s="168"/>
      <c r="AL665" s="169"/>
      <c r="AM665" s="509"/>
      <c r="AN665" s="510"/>
      <c r="AO665" s="510"/>
    </row>
    <row r="666" spans="1:41">
      <c r="A666" s="177"/>
      <c r="B666" s="169"/>
      <c r="C666" s="169"/>
      <c r="D666" s="169"/>
      <c r="E666" s="169"/>
      <c r="F666" s="169"/>
      <c r="G666" s="169"/>
      <c r="H666" s="169"/>
      <c r="I666" s="169"/>
      <c r="J666" s="169"/>
      <c r="K666" s="169"/>
      <c r="L666" s="169"/>
      <c r="M666" s="169"/>
      <c r="N666" s="177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78"/>
      <c r="AA666" s="167"/>
      <c r="AB666" s="169"/>
      <c r="AC666" s="169"/>
      <c r="AD666" s="169"/>
      <c r="AE666" s="169"/>
      <c r="AF666" s="169"/>
      <c r="AG666" s="179"/>
      <c r="AH666" s="169"/>
      <c r="AI666" s="168"/>
      <c r="AJ666" s="167"/>
      <c r="AK666" s="168"/>
      <c r="AL666" s="169"/>
      <c r="AM666" s="509"/>
      <c r="AN666" s="510"/>
      <c r="AO666" s="510"/>
    </row>
    <row r="667" spans="1:41">
      <c r="A667" s="177"/>
      <c r="B667" s="169"/>
      <c r="C667" s="169"/>
      <c r="D667" s="169"/>
      <c r="E667" s="169"/>
      <c r="F667" s="169"/>
      <c r="G667" s="169"/>
      <c r="H667" s="169"/>
      <c r="I667" s="169"/>
      <c r="J667" s="169"/>
      <c r="K667" s="169"/>
      <c r="L667" s="169"/>
      <c r="M667" s="169"/>
      <c r="N667" s="177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78"/>
      <c r="AA667" s="167"/>
      <c r="AB667" s="169"/>
      <c r="AC667" s="169"/>
      <c r="AD667" s="169"/>
      <c r="AE667" s="169"/>
      <c r="AF667" s="169"/>
      <c r="AG667" s="179"/>
      <c r="AH667" s="169"/>
      <c r="AI667" s="168"/>
      <c r="AJ667" s="167"/>
      <c r="AK667" s="168"/>
      <c r="AL667" s="169"/>
      <c r="AM667" s="509"/>
      <c r="AN667" s="510"/>
      <c r="AO667" s="510"/>
    </row>
    <row r="668" spans="1:41">
      <c r="A668" s="177"/>
      <c r="B668" s="169"/>
      <c r="C668" s="169"/>
      <c r="D668" s="169"/>
      <c r="E668" s="169"/>
      <c r="F668" s="169"/>
      <c r="G668" s="169"/>
      <c r="H668" s="169"/>
      <c r="I668" s="169"/>
      <c r="J668" s="169"/>
      <c r="K668" s="169"/>
      <c r="L668" s="169"/>
      <c r="M668" s="169"/>
      <c r="N668" s="177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78"/>
      <c r="AA668" s="167"/>
      <c r="AB668" s="169"/>
      <c r="AC668" s="169"/>
      <c r="AD668" s="169"/>
      <c r="AE668" s="169"/>
      <c r="AF668" s="169"/>
      <c r="AG668" s="179"/>
      <c r="AH668" s="169"/>
      <c r="AI668" s="168"/>
      <c r="AJ668" s="167"/>
      <c r="AK668" s="168"/>
      <c r="AL668" s="169"/>
      <c r="AM668" s="509"/>
      <c r="AN668" s="510"/>
      <c r="AO668" s="510"/>
    </row>
    <row r="669" spans="1:41">
      <c r="A669" s="177"/>
      <c r="B669" s="169"/>
      <c r="C669" s="169"/>
      <c r="D669" s="169"/>
      <c r="E669" s="169"/>
      <c r="F669" s="169"/>
      <c r="G669" s="169"/>
      <c r="H669" s="169"/>
      <c r="I669" s="169"/>
      <c r="J669" s="169"/>
      <c r="K669" s="169"/>
      <c r="L669" s="169"/>
      <c r="M669" s="169"/>
      <c r="N669" s="177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78"/>
      <c r="AA669" s="167"/>
      <c r="AB669" s="169"/>
      <c r="AC669" s="169"/>
      <c r="AD669" s="169"/>
      <c r="AE669" s="169"/>
      <c r="AF669" s="169"/>
      <c r="AG669" s="179"/>
      <c r="AH669" s="169"/>
      <c r="AI669" s="168"/>
      <c r="AJ669" s="167"/>
      <c r="AK669" s="168"/>
      <c r="AL669" s="169"/>
      <c r="AM669" s="509"/>
      <c r="AN669" s="510"/>
      <c r="AO669" s="510"/>
    </row>
    <row r="670" spans="1:41">
      <c r="A670" s="177"/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77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78"/>
      <c r="AA670" s="167"/>
      <c r="AB670" s="169"/>
      <c r="AC670" s="169"/>
      <c r="AD670" s="169"/>
      <c r="AE670" s="169"/>
      <c r="AF670" s="169"/>
      <c r="AG670" s="179"/>
      <c r="AH670" s="169"/>
      <c r="AI670" s="168"/>
      <c r="AJ670" s="167"/>
      <c r="AK670" s="168"/>
      <c r="AL670" s="169"/>
      <c r="AM670" s="509"/>
      <c r="AN670" s="510"/>
      <c r="AO670" s="510"/>
    </row>
    <row r="671" spans="1:41">
      <c r="A671" s="177"/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77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78"/>
      <c r="AA671" s="167"/>
      <c r="AB671" s="169"/>
      <c r="AC671" s="169"/>
      <c r="AD671" s="169"/>
      <c r="AE671" s="169"/>
      <c r="AF671" s="169"/>
      <c r="AG671" s="179"/>
      <c r="AH671" s="169"/>
      <c r="AI671" s="168"/>
      <c r="AJ671" s="167"/>
      <c r="AK671" s="168"/>
      <c r="AL671" s="169"/>
      <c r="AM671" s="509"/>
      <c r="AN671" s="510"/>
      <c r="AO671" s="510"/>
    </row>
    <row r="672" spans="1:41">
      <c r="A672" s="177"/>
      <c r="B672" s="169"/>
      <c r="C672" s="169"/>
      <c r="D672" s="169"/>
      <c r="E672" s="169"/>
      <c r="F672" s="169"/>
      <c r="G672" s="169"/>
      <c r="H672" s="169"/>
      <c r="I672" s="169"/>
      <c r="J672" s="169"/>
      <c r="K672" s="169"/>
      <c r="L672" s="169"/>
      <c r="M672" s="169"/>
      <c r="N672" s="177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78"/>
      <c r="AA672" s="167"/>
      <c r="AB672" s="169"/>
      <c r="AC672" s="169"/>
      <c r="AD672" s="169"/>
      <c r="AE672" s="169"/>
      <c r="AF672" s="169"/>
      <c r="AG672" s="179"/>
      <c r="AH672" s="169"/>
      <c r="AI672" s="168"/>
      <c r="AJ672" s="167"/>
      <c r="AK672" s="168"/>
      <c r="AL672" s="169"/>
      <c r="AM672" s="509"/>
      <c r="AN672" s="510"/>
      <c r="AO672" s="510"/>
    </row>
    <row r="673" spans="1:41">
      <c r="A673" s="177"/>
      <c r="B673" s="169"/>
      <c r="C673" s="169"/>
      <c r="D673" s="169"/>
      <c r="E673" s="169"/>
      <c r="F673" s="169"/>
      <c r="G673" s="169"/>
      <c r="H673" s="169"/>
      <c r="I673" s="169"/>
      <c r="J673" s="169"/>
      <c r="K673" s="169"/>
      <c r="L673" s="169"/>
      <c r="M673" s="169"/>
      <c r="N673" s="177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78"/>
      <c r="AA673" s="167"/>
      <c r="AB673" s="169"/>
      <c r="AC673" s="169"/>
      <c r="AD673" s="169"/>
      <c r="AE673" s="169"/>
      <c r="AF673" s="169"/>
      <c r="AG673" s="179"/>
      <c r="AH673" s="169"/>
      <c r="AI673" s="168"/>
      <c r="AJ673" s="167"/>
      <c r="AK673" s="168"/>
      <c r="AL673" s="169"/>
      <c r="AM673" s="509"/>
      <c r="AN673" s="510"/>
      <c r="AO673" s="510"/>
    </row>
    <row r="674" spans="1:41">
      <c r="A674" s="177"/>
      <c r="B674" s="169"/>
      <c r="C674" s="169"/>
      <c r="D674" s="169"/>
      <c r="E674" s="169"/>
      <c r="F674" s="169"/>
      <c r="G674" s="169"/>
      <c r="H674" s="169"/>
      <c r="I674" s="169"/>
      <c r="J674" s="169"/>
      <c r="K674" s="169"/>
      <c r="L674" s="169"/>
      <c r="M674" s="169"/>
      <c r="N674" s="177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78"/>
      <c r="AA674" s="167"/>
      <c r="AB674" s="169"/>
      <c r="AC674" s="169"/>
      <c r="AD674" s="169"/>
      <c r="AE674" s="169"/>
      <c r="AF674" s="169"/>
      <c r="AG674" s="179"/>
      <c r="AH674" s="169"/>
      <c r="AI674" s="168"/>
      <c r="AJ674" s="167"/>
      <c r="AK674" s="168"/>
      <c r="AL674" s="169"/>
      <c r="AM674" s="509"/>
      <c r="AN674" s="510"/>
      <c r="AO674" s="510"/>
    </row>
    <row r="675" spans="1:41">
      <c r="A675" s="177"/>
      <c r="B675" s="169"/>
      <c r="C675" s="169"/>
      <c r="D675" s="169"/>
      <c r="E675" s="169"/>
      <c r="F675" s="169"/>
      <c r="G675" s="169"/>
      <c r="H675" s="169"/>
      <c r="I675" s="169"/>
      <c r="J675" s="169"/>
      <c r="K675" s="169"/>
      <c r="L675" s="169"/>
      <c r="M675" s="169"/>
      <c r="N675" s="177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78"/>
      <c r="AA675" s="167"/>
      <c r="AB675" s="169"/>
      <c r="AC675" s="169"/>
      <c r="AD675" s="169"/>
      <c r="AE675" s="169"/>
      <c r="AF675" s="169"/>
      <c r="AG675" s="179"/>
      <c r="AH675" s="169"/>
      <c r="AI675" s="168"/>
      <c r="AJ675" s="167"/>
      <c r="AK675" s="168"/>
      <c r="AL675" s="169"/>
      <c r="AM675" s="509"/>
      <c r="AN675" s="510"/>
      <c r="AO675" s="510"/>
    </row>
    <row r="676" spans="1:41">
      <c r="A676" s="177"/>
      <c r="B676" s="169"/>
      <c r="C676" s="169"/>
      <c r="D676" s="169"/>
      <c r="E676" s="169"/>
      <c r="F676" s="169"/>
      <c r="G676" s="169"/>
      <c r="H676" s="169"/>
      <c r="I676" s="169"/>
      <c r="J676" s="169"/>
      <c r="K676" s="169"/>
      <c r="L676" s="169"/>
      <c r="M676" s="169"/>
      <c r="N676" s="177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78"/>
      <c r="AA676" s="167"/>
      <c r="AB676" s="169"/>
      <c r="AC676" s="169"/>
      <c r="AD676" s="169"/>
      <c r="AE676" s="169"/>
      <c r="AF676" s="169"/>
      <c r="AG676" s="179"/>
      <c r="AH676" s="169"/>
      <c r="AI676" s="168"/>
      <c r="AJ676" s="167"/>
      <c r="AK676" s="168"/>
      <c r="AL676" s="169"/>
      <c r="AM676" s="509"/>
      <c r="AN676" s="510"/>
      <c r="AO676" s="510"/>
    </row>
    <row r="677" spans="1:41">
      <c r="A677" s="177"/>
      <c r="B677" s="169"/>
      <c r="C677" s="169"/>
      <c r="D677" s="169"/>
      <c r="E677" s="169"/>
      <c r="F677" s="169"/>
      <c r="G677" s="169"/>
      <c r="H677" s="169"/>
      <c r="I677" s="169"/>
      <c r="J677" s="169"/>
      <c r="K677" s="169"/>
      <c r="L677" s="169"/>
      <c r="M677" s="169"/>
      <c r="N677" s="177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78"/>
      <c r="AA677" s="167"/>
      <c r="AB677" s="169"/>
      <c r="AC677" s="169"/>
      <c r="AD677" s="169"/>
      <c r="AE677" s="169"/>
      <c r="AF677" s="169"/>
      <c r="AG677" s="179"/>
      <c r="AH677" s="169"/>
      <c r="AI677" s="168"/>
      <c r="AJ677" s="167"/>
      <c r="AK677" s="168"/>
      <c r="AL677" s="169"/>
      <c r="AM677" s="509"/>
      <c r="AN677" s="510"/>
      <c r="AO677" s="510"/>
    </row>
    <row r="678" spans="1:41">
      <c r="A678" s="177"/>
      <c r="B678" s="169"/>
      <c r="C678" s="169"/>
      <c r="D678" s="169"/>
      <c r="E678" s="169"/>
      <c r="F678" s="169"/>
      <c r="G678" s="169"/>
      <c r="H678" s="169"/>
      <c r="I678" s="169"/>
      <c r="J678" s="169"/>
      <c r="K678" s="169"/>
      <c r="L678" s="169"/>
      <c r="M678" s="169"/>
      <c r="N678" s="177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78"/>
      <c r="AA678" s="167"/>
      <c r="AB678" s="169"/>
      <c r="AC678" s="169"/>
      <c r="AD678" s="169"/>
      <c r="AE678" s="169"/>
      <c r="AF678" s="169"/>
      <c r="AG678" s="179"/>
      <c r="AH678" s="169"/>
      <c r="AI678" s="168"/>
      <c r="AJ678" s="167"/>
      <c r="AK678" s="168"/>
      <c r="AL678" s="169"/>
      <c r="AM678" s="509"/>
      <c r="AN678" s="510"/>
      <c r="AO678" s="510"/>
    </row>
    <row r="679" spans="1:41">
      <c r="A679" s="177"/>
      <c r="B679" s="169"/>
      <c r="C679" s="169"/>
      <c r="D679" s="169"/>
      <c r="E679" s="169"/>
      <c r="F679" s="169"/>
      <c r="G679" s="169"/>
      <c r="H679" s="169"/>
      <c r="I679" s="169"/>
      <c r="J679" s="169"/>
      <c r="K679" s="169"/>
      <c r="L679" s="169"/>
      <c r="M679" s="169"/>
      <c r="N679" s="177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78"/>
      <c r="AA679" s="167"/>
      <c r="AB679" s="169"/>
      <c r="AC679" s="169"/>
      <c r="AD679" s="169"/>
      <c r="AE679" s="169"/>
      <c r="AF679" s="169"/>
      <c r="AG679" s="179"/>
      <c r="AH679" s="169"/>
      <c r="AI679" s="168"/>
      <c r="AJ679" s="167"/>
      <c r="AK679" s="168"/>
      <c r="AL679" s="169"/>
      <c r="AM679" s="509"/>
      <c r="AN679" s="510"/>
      <c r="AO679" s="510"/>
    </row>
    <row r="680" spans="1:41">
      <c r="A680" s="177"/>
      <c r="B680" s="169"/>
      <c r="C680" s="169"/>
      <c r="D680" s="169"/>
      <c r="E680" s="169"/>
      <c r="F680" s="169"/>
      <c r="G680" s="169"/>
      <c r="H680" s="169"/>
      <c r="I680" s="169"/>
      <c r="J680" s="169"/>
      <c r="K680" s="169"/>
      <c r="L680" s="169"/>
      <c r="M680" s="169"/>
      <c r="N680" s="177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78"/>
      <c r="AA680" s="167"/>
      <c r="AB680" s="169"/>
      <c r="AC680" s="169"/>
      <c r="AD680" s="169"/>
      <c r="AE680" s="169"/>
      <c r="AF680" s="169"/>
      <c r="AG680" s="179"/>
      <c r="AH680" s="169"/>
      <c r="AI680" s="168"/>
      <c r="AJ680" s="167"/>
      <c r="AK680" s="168"/>
      <c r="AL680" s="169"/>
      <c r="AM680" s="509"/>
      <c r="AN680" s="510"/>
      <c r="AO680" s="510"/>
    </row>
    <row r="681" spans="1:41">
      <c r="A681" s="177"/>
      <c r="B681" s="169"/>
      <c r="C681" s="169"/>
      <c r="D681" s="169"/>
      <c r="E681" s="169"/>
      <c r="F681" s="169"/>
      <c r="G681" s="169"/>
      <c r="H681" s="169"/>
      <c r="I681" s="169"/>
      <c r="J681" s="169"/>
      <c r="K681" s="169"/>
      <c r="L681" s="169"/>
      <c r="M681" s="169"/>
      <c r="N681" s="177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78"/>
      <c r="AA681" s="167"/>
      <c r="AB681" s="169"/>
      <c r="AC681" s="169"/>
      <c r="AD681" s="169"/>
      <c r="AE681" s="169"/>
      <c r="AF681" s="169"/>
      <c r="AG681" s="179"/>
      <c r="AH681" s="169"/>
      <c r="AI681" s="168"/>
      <c r="AJ681" s="167"/>
      <c r="AK681" s="168"/>
      <c r="AL681" s="169"/>
      <c r="AM681" s="509"/>
      <c r="AN681" s="510"/>
      <c r="AO681" s="510"/>
    </row>
    <row r="682" spans="1:41">
      <c r="A682" s="177"/>
      <c r="B682" s="169"/>
      <c r="C682" s="169"/>
      <c r="D682" s="169"/>
      <c r="E682" s="169"/>
      <c r="F682" s="169"/>
      <c r="G682" s="169"/>
      <c r="H682" s="169"/>
      <c r="I682" s="169"/>
      <c r="J682" s="169"/>
      <c r="K682" s="169"/>
      <c r="L682" s="169"/>
      <c r="M682" s="169"/>
      <c r="N682" s="177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78"/>
      <c r="AA682" s="167"/>
      <c r="AB682" s="169"/>
      <c r="AC682" s="169"/>
      <c r="AD682" s="169"/>
      <c r="AE682" s="169"/>
      <c r="AF682" s="169"/>
      <c r="AG682" s="179"/>
      <c r="AH682" s="169"/>
      <c r="AI682" s="168"/>
      <c r="AJ682" s="167"/>
      <c r="AK682" s="168"/>
      <c r="AL682" s="169"/>
      <c r="AM682" s="509"/>
      <c r="AN682" s="510"/>
      <c r="AO682" s="510"/>
    </row>
    <row r="683" spans="1:41">
      <c r="A683" s="177"/>
      <c r="B683" s="169"/>
      <c r="C683" s="169"/>
      <c r="D683" s="169"/>
      <c r="E683" s="169"/>
      <c r="F683" s="169"/>
      <c r="G683" s="169"/>
      <c r="H683" s="169"/>
      <c r="I683" s="169"/>
      <c r="J683" s="169"/>
      <c r="K683" s="169"/>
      <c r="L683" s="169"/>
      <c r="M683" s="169"/>
      <c r="N683" s="177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78"/>
      <c r="AA683" s="167"/>
      <c r="AB683" s="169"/>
      <c r="AC683" s="169"/>
      <c r="AD683" s="169"/>
      <c r="AE683" s="169"/>
      <c r="AF683" s="169"/>
      <c r="AG683" s="179"/>
      <c r="AH683" s="169"/>
      <c r="AI683" s="168"/>
      <c r="AJ683" s="167"/>
      <c r="AK683" s="168"/>
      <c r="AL683" s="169"/>
      <c r="AM683" s="509"/>
      <c r="AN683" s="510"/>
      <c r="AO683" s="510"/>
    </row>
    <row r="684" spans="1:41">
      <c r="A684" s="177"/>
      <c r="B684" s="169"/>
      <c r="C684" s="169"/>
      <c r="D684" s="169"/>
      <c r="E684" s="169"/>
      <c r="F684" s="169"/>
      <c r="G684" s="169"/>
      <c r="H684" s="169"/>
      <c r="I684" s="169"/>
      <c r="J684" s="169"/>
      <c r="K684" s="169"/>
      <c r="L684" s="169"/>
      <c r="M684" s="169"/>
      <c r="N684" s="177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78"/>
      <c r="AA684" s="167"/>
      <c r="AB684" s="169"/>
      <c r="AC684" s="169"/>
      <c r="AD684" s="169"/>
      <c r="AE684" s="169"/>
      <c r="AF684" s="169"/>
      <c r="AG684" s="179"/>
      <c r="AH684" s="169"/>
      <c r="AI684" s="168"/>
      <c r="AJ684" s="167"/>
      <c r="AK684" s="168"/>
      <c r="AL684" s="169"/>
      <c r="AM684" s="509"/>
      <c r="AN684" s="510"/>
      <c r="AO684" s="510"/>
    </row>
    <row r="685" spans="1:41">
      <c r="A685" s="177"/>
      <c r="B685" s="169"/>
      <c r="C685" s="169"/>
      <c r="D685" s="169"/>
      <c r="E685" s="169"/>
      <c r="F685" s="169"/>
      <c r="G685" s="169"/>
      <c r="H685" s="169"/>
      <c r="I685" s="169"/>
      <c r="J685" s="169"/>
      <c r="K685" s="169"/>
      <c r="L685" s="169"/>
      <c r="M685" s="169"/>
      <c r="N685" s="177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78"/>
      <c r="AA685" s="167"/>
      <c r="AB685" s="169"/>
      <c r="AC685" s="169"/>
      <c r="AD685" s="169"/>
      <c r="AE685" s="169"/>
      <c r="AF685" s="169"/>
      <c r="AG685" s="179"/>
      <c r="AH685" s="169"/>
      <c r="AI685" s="168"/>
      <c r="AJ685" s="167"/>
      <c r="AK685" s="168"/>
      <c r="AL685" s="169"/>
      <c r="AM685" s="509"/>
      <c r="AN685" s="510"/>
      <c r="AO685" s="510"/>
    </row>
    <row r="686" spans="1:41">
      <c r="A686" s="177"/>
      <c r="B686" s="169"/>
      <c r="C686" s="169"/>
      <c r="D686" s="169"/>
      <c r="E686" s="169"/>
      <c r="F686" s="169"/>
      <c r="G686" s="169"/>
      <c r="H686" s="169"/>
      <c r="I686" s="169"/>
      <c r="J686" s="169"/>
      <c r="K686" s="169"/>
      <c r="L686" s="169"/>
      <c r="M686" s="169"/>
      <c r="N686" s="177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78"/>
      <c r="AA686" s="167"/>
      <c r="AB686" s="169"/>
      <c r="AC686" s="169"/>
      <c r="AD686" s="169"/>
      <c r="AE686" s="169"/>
      <c r="AF686" s="169"/>
      <c r="AG686" s="179"/>
      <c r="AH686" s="169"/>
      <c r="AI686" s="168"/>
      <c r="AJ686" s="167"/>
      <c r="AK686" s="168"/>
      <c r="AL686" s="169"/>
      <c r="AM686" s="509"/>
      <c r="AN686" s="510"/>
      <c r="AO686" s="510"/>
    </row>
    <row r="687" spans="1:41">
      <c r="A687" s="177"/>
      <c r="B687" s="169"/>
      <c r="C687" s="169"/>
      <c r="D687" s="169"/>
      <c r="E687" s="169"/>
      <c r="F687" s="169"/>
      <c r="G687" s="169"/>
      <c r="H687" s="169"/>
      <c r="I687" s="169"/>
      <c r="J687" s="169"/>
      <c r="K687" s="169"/>
      <c r="L687" s="169"/>
      <c r="M687" s="169"/>
      <c r="N687" s="177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78"/>
      <c r="AA687" s="167"/>
      <c r="AB687" s="169"/>
      <c r="AC687" s="169"/>
      <c r="AD687" s="169"/>
      <c r="AE687" s="169"/>
      <c r="AF687" s="169"/>
      <c r="AG687" s="179"/>
      <c r="AH687" s="169"/>
      <c r="AI687" s="168"/>
      <c r="AJ687" s="167"/>
      <c r="AK687" s="168"/>
      <c r="AL687" s="169"/>
      <c r="AM687" s="509"/>
      <c r="AN687" s="510"/>
      <c r="AO687" s="510"/>
    </row>
    <row r="688" spans="1:41">
      <c r="A688" s="177"/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77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78"/>
      <c r="AA688" s="167"/>
      <c r="AB688" s="169"/>
      <c r="AC688" s="169"/>
      <c r="AD688" s="169"/>
      <c r="AE688" s="169"/>
      <c r="AF688" s="169"/>
      <c r="AG688" s="179"/>
      <c r="AH688" s="169"/>
      <c r="AI688" s="168"/>
      <c r="AJ688" s="167"/>
      <c r="AK688" s="168"/>
      <c r="AL688" s="169"/>
      <c r="AM688" s="509"/>
      <c r="AN688" s="510"/>
      <c r="AO688" s="510"/>
    </row>
    <row r="689" spans="1:41">
      <c r="A689" s="177"/>
      <c r="B689" s="169"/>
      <c r="C689" s="169"/>
      <c r="D689" s="169"/>
      <c r="E689" s="169"/>
      <c r="F689" s="169"/>
      <c r="G689" s="169"/>
      <c r="H689" s="169"/>
      <c r="I689" s="169"/>
      <c r="J689" s="169"/>
      <c r="K689" s="169"/>
      <c r="L689" s="169"/>
      <c r="M689" s="169"/>
      <c r="N689" s="177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78"/>
      <c r="AA689" s="167"/>
      <c r="AB689" s="169"/>
      <c r="AC689" s="169"/>
      <c r="AD689" s="169"/>
      <c r="AE689" s="169"/>
      <c r="AF689" s="169"/>
      <c r="AG689" s="179"/>
      <c r="AH689" s="169"/>
      <c r="AI689" s="168"/>
      <c r="AJ689" s="167"/>
      <c r="AK689" s="168"/>
      <c r="AL689" s="169"/>
      <c r="AM689" s="509"/>
      <c r="AN689" s="510"/>
      <c r="AO689" s="510"/>
    </row>
    <row r="690" spans="1:41">
      <c r="A690" s="177"/>
      <c r="B690" s="169"/>
      <c r="C690" s="169"/>
      <c r="D690" s="169"/>
      <c r="E690" s="169"/>
      <c r="F690" s="169"/>
      <c r="G690" s="169"/>
      <c r="H690" s="169"/>
      <c r="I690" s="169"/>
      <c r="J690" s="169"/>
      <c r="K690" s="169"/>
      <c r="L690" s="169"/>
      <c r="M690" s="169"/>
      <c r="N690" s="177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78"/>
      <c r="AA690" s="167"/>
      <c r="AB690" s="169"/>
      <c r="AC690" s="169"/>
      <c r="AD690" s="169"/>
      <c r="AE690" s="169"/>
      <c r="AF690" s="169"/>
      <c r="AG690" s="179"/>
      <c r="AH690" s="169"/>
      <c r="AI690" s="168"/>
      <c r="AJ690" s="167"/>
      <c r="AK690" s="168"/>
      <c r="AL690" s="169"/>
      <c r="AM690" s="509"/>
      <c r="AN690" s="510"/>
      <c r="AO690" s="510"/>
    </row>
    <row r="691" spans="1:41">
      <c r="A691" s="177"/>
      <c r="B691" s="169"/>
      <c r="C691" s="169"/>
      <c r="D691" s="169"/>
      <c r="E691" s="169"/>
      <c r="F691" s="169"/>
      <c r="G691" s="169"/>
      <c r="H691" s="169"/>
      <c r="I691" s="169"/>
      <c r="J691" s="169"/>
      <c r="K691" s="169"/>
      <c r="L691" s="169"/>
      <c r="M691" s="169"/>
      <c r="N691" s="177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78"/>
      <c r="AA691" s="167"/>
      <c r="AB691" s="169"/>
      <c r="AC691" s="169"/>
      <c r="AD691" s="169"/>
      <c r="AE691" s="169"/>
      <c r="AF691" s="169"/>
      <c r="AG691" s="179"/>
      <c r="AH691" s="169"/>
      <c r="AI691" s="168"/>
      <c r="AJ691" s="167"/>
      <c r="AK691" s="168"/>
      <c r="AL691" s="169"/>
      <c r="AM691" s="509"/>
      <c r="AN691" s="510"/>
      <c r="AO691" s="510"/>
    </row>
    <row r="692" spans="1:41">
      <c r="A692" s="177"/>
      <c r="B692" s="169"/>
      <c r="C692" s="169"/>
      <c r="D692" s="169"/>
      <c r="E692" s="169"/>
      <c r="F692" s="169"/>
      <c r="G692" s="169"/>
      <c r="H692" s="169"/>
      <c r="I692" s="169"/>
      <c r="J692" s="169"/>
      <c r="K692" s="169"/>
      <c r="L692" s="169"/>
      <c r="M692" s="169"/>
      <c r="N692" s="177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78"/>
      <c r="AA692" s="167"/>
      <c r="AB692" s="169"/>
      <c r="AC692" s="169"/>
      <c r="AD692" s="169"/>
      <c r="AE692" s="169"/>
      <c r="AF692" s="169"/>
      <c r="AG692" s="179"/>
      <c r="AH692" s="169"/>
      <c r="AI692" s="168"/>
      <c r="AJ692" s="167"/>
      <c r="AK692" s="168"/>
      <c r="AL692" s="169"/>
      <c r="AM692" s="509"/>
      <c r="AN692" s="510"/>
      <c r="AO692" s="510"/>
    </row>
    <row r="693" spans="1:41">
      <c r="A693" s="177"/>
      <c r="B693" s="169"/>
      <c r="C693" s="169"/>
      <c r="D693" s="169"/>
      <c r="E693" s="169"/>
      <c r="F693" s="169"/>
      <c r="G693" s="169"/>
      <c r="H693" s="169"/>
      <c r="I693" s="169"/>
      <c r="J693" s="169"/>
      <c r="K693" s="169"/>
      <c r="L693" s="169"/>
      <c r="M693" s="169"/>
      <c r="N693" s="177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78"/>
      <c r="AA693" s="167"/>
      <c r="AB693" s="169"/>
      <c r="AC693" s="169"/>
      <c r="AD693" s="169"/>
      <c r="AE693" s="169"/>
      <c r="AF693" s="169"/>
      <c r="AG693" s="179"/>
      <c r="AH693" s="169"/>
      <c r="AI693" s="168"/>
      <c r="AJ693" s="167"/>
      <c r="AK693" s="168"/>
      <c r="AL693" s="169"/>
      <c r="AM693" s="509"/>
      <c r="AN693" s="510"/>
      <c r="AO693" s="510"/>
    </row>
    <row r="694" spans="1:41">
      <c r="A694" s="177"/>
      <c r="B694" s="169"/>
      <c r="C694" s="169"/>
      <c r="D694" s="169"/>
      <c r="E694" s="169"/>
      <c r="F694" s="169"/>
      <c r="G694" s="169"/>
      <c r="H694" s="169"/>
      <c r="I694" s="169"/>
      <c r="J694" s="169"/>
      <c r="K694" s="169"/>
      <c r="L694" s="169"/>
      <c r="M694" s="169"/>
      <c r="N694" s="177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78"/>
      <c r="AA694" s="167"/>
      <c r="AB694" s="169"/>
      <c r="AC694" s="169"/>
      <c r="AD694" s="169"/>
      <c r="AE694" s="169"/>
      <c r="AF694" s="169"/>
      <c r="AG694" s="179"/>
      <c r="AH694" s="169"/>
      <c r="AI694" s="168"/>
      <c r="AJ694" s="167"/>
      <c r="AK694" s="168"/>
      <c r="AL694" s="169"/>
      <c r="AM694" s="509"/>
      <c r="AN694" s="510"/>
      <c r="AO694" s="510"/>
    </row>
    <row r="695" spans="1:41">
      <c r="A695" s="177"/>
      <c r="B695" s="169"/>
      <c r="C695" s="169"/>
      <c r="D695" s="169"/>
      <c r="E695" s="169"/>
      <c r="F695" s="169"/>
      <c r="G695" s="169"/>
      <c r="H695" s="169"/>
      <c r="I695" s="169"/>
      <c r="J695" s="169"/>
      <c r="K695" s="169"/>
      <c r="L695" s="169"/>
      <c r="M695" s="169"/>
      <c r="N695" s="177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78"/>
      <c r="AA695" s="167"/>
      <c r="AB695" s="169"/>
      <c r="AC695" s="169"/>
      <c r="AD695" s="169"/>
      <c r="AE695" s="169"/>
      <c r="AF695" s="169"/>
      <c r="AG695" s="179"/>
      <c r="AH695" s="169"/>
      <c r="AI695" s="168"/>
      <c r="AJ695" s="167"/>
      <c r="AK695" s="168"/>
      <c r="AL695" s="169"/>
      <c r="AM695" s="509"/>
      <c r="AN695" s="510"/>
      <c r="AO695" s="510"/>
    </row>
    <row r="696" spans="1:41">
      <c r="A696" s="177"/>
      <c r="B696" s="169"/>
      <c r="C696" s="169"/>
      <c r="D696" s="169"/>
      <c r="E696" s="169"/>
      <c r="F696" s="169"/>
      <c r="G696" s="169"/>
      <c r="H696" s="169"/>
      <c r="I696" s="169"/>
      <c r="J696" s="169"/>
      <c r="K696" s="169"/>
      <c r="L696" s="169"/>
      <c r="M696" s="169"/>
      <c r="N696" s="177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78"/>
      <c r="AA696" s="167"/>
      <c r="AB696" s="169"/>
      <c r="AC696" s="169"/>
      <c r="AD696" s="169"/>
      <c r="AE696" s="169"/>
      <c r="AF696" s="169"/>
      <c r="AG696" s="179"/>
      <c r="AH696" s="169"/>
      <c r="AI696" s="168"/>
      <c r="AJ696" s="167"/>
      <c r="AK696" s="168"/>
      <c r="AL696" s="169"/>
      <c r="AM696" s="509"/>
      <c r="AN696" s="510"/>
      <c r="AO696" s="510"/>
    </row>
    <row r="697" spans="1:41">
      <c r="A697" s="177"/>
      <c r="B697" s="169"/>
      <c r="C697" s="169"/>
      <c r="D697" s="169"/>
      <c r="E697" s="169"/>
      <c r="F697" s="169"/>
      <c r="G697" s="169"/>
      <c r="H697" s="169"/>
      <c r="I697" s="169"/>
      <c r="J697" s="169"/>
      <c r="K697" s="169"/>
      <c r="L697" s="169"/>
      <c r="M697" s="169"/>
      <c r="N697" s="177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78"/>
      <c r="AA697" s="167"/>
      <c r="AB697" s="169"/>
      <c r="AC697" s="169"/>
      <c r="AD697" s="169"/>
      <c r="AE697" s="169"/>
      <c r="AF697" s="169"/>
      <c r="AG697" s="179"/>
      <c r="AH697" s="169"/>
      <c r="AI697" s="168"/>
      <c r="AJ697" s="167"/>
      <c r="AK697" s="168"/>
      <c r="AL697" s="169"/>
      <c r="AM697" s="509"/>
      <c r="AN697" s="510"/>
      <c r="AO697" s="510"/>
    </row>
    <row r="698" spans="1:41">
      <c r="A698" s="177"/>
      <c r="B698" s="169"/>
      <c r="C698" s="169"/>
      <c r="D698" s="169"/>
      <c r="E698" s="169"/>
      <c r="F698" s="169"/>
      <c r="G698" s="169"/>
      <c r="H698" s="169"/>
      <c r="I698" s="169"/>
      <c r="J698" s="169"/>
      <c r="K698" s="169"/>
      <c r="L698" s="169"/>
      <c r="M698" s="169"/>
      <c r="N698" s="177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78"/>
      <c r="AA698" s="167"/>
      <c r="AB698" s="169"/>
      <c r="AC698" s="169"/>
      <c r="AD698" s="169"/>
      <c r="AE698" s="169"/>
      <c r="AF698" s="169"/>
      <c r="AG698" s="179"/>
      <c r="AH698" s="169"/>
      <c r="AI698" s="168"/>
      <c r="AJ698" s="167"/>
      <c r="AK698" s="168"/>
      <c r="AL698" s="169"/>
      <c r="AM698" s="509"/>
      <c r="AN698" s="510"/>
      <c r="AO698" s="510"/>
    </row>
    <row r="699" spans="1:41">
      <c r="A699" s="177"/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77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78"/>
      <c r="AA699" s="167"/>
      <c r="AB699" s="169"/>
      <c r="AC699" s="169"/>
      <c r="AD699" s="169"/>
      <c r="AE699" s="169"/>
      <c r="AF699" s="169"/>
      <c r="AG699" s="179"/>
      <c r="AH699" s="169"/>
      <c r="AI699" s="168"/>
      <c r="AJ699" s="167"/>
      <c r="AK699" s="168"/>
      <c r="AL699" s="169"/>
      <c r="AM699" s="509"/>
      <c r="AN699" s="510"/>
      <c r="AO699" s="510"/>
    </row>
    <row r="700" spans="1:41">
      <c r="A700" s="177"/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77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78"/>
      <c r="AA700" s="167"/>
      <c r="AB700" s="169"/>
      <c r="AC700" s="169"/>
      <c r="AD700" s="169"/>
      <c r="AE700" s="169"/>
      <c r="AF700" s="169"/>
      <c r="AG700" s="179"/>
      <c r="AH700" s="169"/>
      <c r="AI700" s="168"/>
      <c r="AJ700" s="167"/>
      <c r="AK700" s="168"/>
      <c r="AL700" s="169"/>
      <c r="AM700" s="509"/>
      <c r="AN700" s="510"/>
      <c r="AO700" s="510"/>
    </row>
    <row r="701" spans="1:41">
      <c r="A701" s="177"/>
      <c r="B701" s="169"/>
      <c r="C701" s="169"/>
      <c r="D701" s="169"/>
      <c r="E701" s="169"/>
      <c r="F701" s="169"/>
      <c r="G701" s="169"/>
      <c r="H701" s="169"/>
      <c r="I701" s="169"/>
      <c r="J701" s="169"/>
      <c r="K701" s="169"/>
      <c r="L701" s="169"/>
      <c r="M701" s="169"/>
      <c r="N701" s="177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78"/>
      <c r="AA701" s="167"/>
      <c r="AB701" s="169"/>
      <c r="AC701" s="169"/>
      <c r="AD701" s="169"/>
      <c r="AE701" s="169"/>
      <c r="AF701" s="169"/>
      <c r="AG701" s="179"/>
      <c r="AH701" s="169"/>
      <c r="AI701" s="168"/>
      <c r="AJ701" s="167"/>
      <c r="AK701" s="168"/>
      <c r="AL701" s="169"/>
      <c r="AM701" s="509"/>
      <c r="AN701" s="510"/>
      <c r="AO701" s="510"/>
    </row>
    <row r="702" spans="1:41">
      <c r="A702" s="177"/>
      <c r="B702" s="169"/>
      <c r="C702" s="169"/>
      <c r="D702" s="169"/>
      <c r="E702" s="169"/>
      <c r="F702" s="169"/>
      <c r="G702" s="169"/>
      <c r="H702" s="169"/>
      <c r="I702" s="169"/>
      <c r="J702" s="169"/>
      <c r="K702" s="169"/>
      <c r="L702" s="169"/>
      <c r="M702" s="169"/>
      <c r="N702" s="177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78"/>
      <c r="AA702" s="167"/>
      <c r="AB702" s="169"/>
      <c r="AC702" s="169"/>
      <c r="AD702" s="169"/>
      <c r="AE702" s="169"/>
      <c r="AF702" s="169"/>
      <c r="AG702" s="179"/>
      <c r="AH702" s="169"/>
      <c r="AI702" s="168"/>
      <c r="AJ702" s="167"/>
      <c r="AK702" s="168"/>
      <c r="AL702" s="169"/>
      <c r="AM702" s="509"/>
      <c r="AN702" s="510"/>
      <c r="AO702" s="510"/>
    </row>
    <row r="703" spans="1:41">
      <c r="A703" s="177"/>
      <c r="B703" s="169"/>
      <c r="C703" s="169"/>
      <c r="D703" s="169"/>
      <c r="E703" s="169"/>
      <c r="F703" s="169"/>
      <c r="G703" s="169"/>
      <c r="H703" s="169"/>
      <c r="I703" s="169"/>
      <c r="J703" s="169"/>
      <c r="K703" s="169"/>
      <c r="L703" s="169"/>
      <c r="M703" s="169"/>
      <c r="N703" s="177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78"/>
      <c r="AA703" s="167"/>
      <c r="AB703" s="169"/>
      <c r="AC703" s="169"/>
      <c r="AD703" s="169"/>
      <c r="AE703" s="169"/>
      <c r="AF703" s="169"/>
      <c r="AG703" s="179"/>
      <c r="AH703" s="169"/>
      <c r="AI703" s="168"/>
      <c r="AJ703" s="167"/>
      <c r="AK703" s="168"/>
      <c r="AL703" s="169"/>
      <c r="AM703" s="509"/>
      <c r="AN703" s="510"/>
      <c r="AO703" s="510"/>
    </row>
    <row r="704" spans="1:41">
      <c r="A704" s="177"/>
      <c r="B704" s="169"/>
      <c r="C704" s="169"/>
      <c r="D704" s="169"/>
      <c r="E704" s="169"/>
      <c r="F704" s="169"/>
      <c r="G704" s="169"/>
      <c r="H704" s="169"/>
      <c r="I704" s="169"/>
      <c r="J704" s="169"/>
      <c r="K704" s="169"/>
      <c r="L704" s="169"/>
      <c r="M704" s="169"/>
      <c r="N704" s="177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78"/>
      <c r="AA704" s="167"/>
      <c r="AB704" s="169"/>
      <c r="AC704" s="169"/>
      <c r="AD704" s="169"/>
      <c r="AE704" s="169"/>
      <c r="AF704" s="169"/>
      <c r="AG704" s="179"/>
      <c r="AH704" s="169"/>
      <c r="AI704" s="168"/>
      <c r="AJ704" s="167"/>
      <c r="AK704" s="168"/>
      <c r="AL704" s="169"/>
      <c r="AM704" s="509"/>
      <c r="AN704" s="510"/>
      <c r="AO704" s="510"/>
    </row>
    <row r="705" spans="1:41">
      <c r="A705" s="177"/>
      <c r="B705" s="169"/>
      <c r="C705" s="169"/>
      <c r="D705" s="169"/>
      <c r="E705" s="169"/>
      <c r="F705" s="169"/>
      <c r="G705" s="169"/>
      <c r="H705" s="169"/>
      <c r="I705" s="169"/>
      <c r="J705" s="169"/>
      <c r="K705" s="169"/>
      <c r="L705" s="169"/>
      <c r="M705" s="169"/>
      <c r="N705" s="177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78"/>
      <c r="AA705" s="167"/>
      <c r="AB705" s="169"/>
      <c r="AC705" s="169"/>
      <c r="AD705" s="169"/>
      <c r="AE705" s="169"/>
      <c r="AF705" s="169"/>
      <c r="AG705" s="179"/>
      <c r="AH705" s="169"/>
      <c r="AI705" s="168"/>
      <c r="AJ705" s="167"/>
      <c r="AK705" s="168"/>
      <c r="AL705" s="169"/>
      <c r="AM705" s="509"/>
      <c r="AN705" s="510"/>
      <c r="AO705" s="510"/>
    </row>
    <row r="706" spans="1:41">
      <c r="A706" s="177"/>
      <c r="B706" s="169"/>
      <c r="C706" s="169"/>
      <c r="D706" s="169"/>
      <c r="E706" s="169"/>
      <c r="F706" s="169"/>
      <c r="G706" s="169"/>
      <c r="H706" s="169"/>
      <c r="I706" s="169"/>
      <c r="J706" s="169"/>
      <c r="K706" s="169"/>
      <c r="L706" s="169"/>
      <c r="M706" s="169"/>
      <c r="N706" s="177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78"/>
      <c r="AA706" s="167"/>
      <c r="AB706" s="169"/>
      <c r="AC706" s="169"/>
      <c r="AD706" s="169"/>
      <c r="AE706" s="169"/>
      <c r="AF706" s="169"/>
      <c r="AG706" s="179"/>
      <c r="AH706" s="169"/>
      <c r="AI706" s="168"/>
      <c r="AJ706" s="167"/>
      <c r="AK706" s="168"/>
      <c r="AL706" s="169"/>
      <c r="AM706" s="509"/>
      <c r="AN706" s="510"/>
      <c r="AO706" s="510"/>
    </row>
    <row r="707" spans="1:41">
      <c r="A707" s="177"/>
      <c r="B707" s="169"/>
      <c r="C707" s="169"/>
      <c r="D707" s="169"/>
      <c r="E707" s="169"/>
      <c r="F707" s="169"/>
      <c r="G707" s="169"/>
      <c r="H707" s="169"/>
      <c r="I707" s="169"/>
      <c r="J707" s="169"/>
      <c r="K707" s="169"/>
      <c r="L707" s="169"/>
      <c r="M707" s="169"/>
      <c r="N707" s="177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78"/>
      <c r="AA707" s="167"/>
      <c r="AB707" s="169"/>
      <c r="AC707" s="169"/>
      <c r="AD707" s="169"/>
      <c r="AE707" s="169"/>
      <c r="AF707" s="169"/>
      <c r="AG707" s="179"/>
      <c r="AH707" s="169"/>
      <c r="AI707" s="168"/>
      <c r="AJ707" s="167"/>
      <c r="AK707" s="168"/>
      <c r="AL707" s="169"/>
      <c r="AM707" s="509"/>
      <c r="AN707" s="510"/>
      <c r="AO707" s="510"/>
    </row>
    <row r="708" spans="1:41">
      <c r="A708" s="177"/>
      <c r="B708" s="169"/>
      <c r="C708" s="169"/>
      <c r="D708" s="169"/>
      <c r="E708" s="169"/>
      <c r="F708" s="169"/>
      <c r="G708" s="169"/>
      <c r="H708" s="169"/>
      <c r="I708" s="169"/>
      <c r="J708" s="169"/>
      <c r="K708" s="169"/>
      <c r="L708" s="169"/>
      <c r="M708" s="169"/>
      <c r="N708" s="177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78"/>
      <c r="AA708" s="167"/>
      <c r="AB708" s="169"/>
      <c r="AC708" s="169"/>
      <c r="AD708" s="169"/>
      <c r="AE708" s="169"/>
      <c r="AF708" s="169"/>
      <c r="AG708" s="179"/>
      <c r="AH708" s="169"/>
      <c r="AI708" s="168"/>
      <c r="AJ708" s="167"/>
      <c r="AK708" s="168"/>
      <c r="AL708" s="169"/>
      <c r="AM708" s="509"/>
      <c r="AN708" s="510"/>
      <c r="AO708" s="510"/>
    </row>
    <row r="709" spans="1:41">
      <c r="A709" s="177"/>
      <c r="B709" s="169"/>
      <c r="C709" s="169"/>
      <c r="D709" s="169"/>
      <c r="E709" s="169"/>
      <c r="F709" s="169"/>
      <c r="G709" s="169"/>
      <c r="H709" s="169"/>
      <c r="I709" s="169"/>
      <c r="J709" s="169"/>
      <c r="K709" s="169"/>
      <c r="L709" s="169"/>
      <c r="M709" s="169"/>
      <c r="N709" s="177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78"/>
      <c r="AA709" s="167"/>
      <c r="AB709" s="169"/>
      <c r="AC709" s="169"/>
      <c r="AD709" s="169"/>
      <c r="AE709" s="169"/>
      <c r="AF709" s="169"/>
      <c r="AG709" s="179"/>
      <c r="AH709" s="169"/>
      <c r="AI709" s="168"/>
      <c r="AJ709" s="167"/>
      <c r="AK709" s="168"/>
      <c r="AL709" s="169"/>
      <c r="AM709" s="509"/>
      <c r="AN709" s="510"/>
      <c r="AO709" s="510"/>
    </row>
    <row r="710" spans="1:41">
      <c r="A710" s="177"/>
      <c r="B710" s="169"/>
      <c r="C710" s="169"/>
      <c r="D710" s="169"/>
      <c r="E710" s="169"/>
      <c r="F710" s="169"/>
      <c r="G710" s="169"/>
      <c r="H710" s="169"/>
      <c r="I710" s="169"/>
      <c r="J710" s="169"/>
      <c r="K710" s="169"/>
      <c r="L710" s="169"/>
      <c r="M710" s="169"/>
      <c r="N710" s="177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78"/>
      <c r="AA710" s="167"/>
      <c r="AB710" s="169"/>
      <c r="AC710" s="169"/>
      <c r="AD710" s="169"/>
      <c r="AE710" s="169"/>
      <c r="AF710" s="169"/>
      <c r="AG710" s="179"/>
      <c r="AH710" s="169"/>
      <c r="AI710" s="168"/>
      <c r="AJ710" s="167"/>
      <c r="AK710" s="168"/>
      <c r="AL710" s="169"/>
      <c r="AM710" s="509"/>
      <c r="AN710" s="510"/>
      <c r="AO710" s="510"/>
    </row>
    <row r="711" spans="1:41">
      <c r="A711" s="177"/>
      <c r="B711" s="169"/>
      <c r="C711" s="169"/>
      <c r="D711" s="169"/>
      <c r="E711" s="169"/>
      <c r="F711" s="169"/>
      <c r="G711" s="169"/>
      <c r="H711" s="169"/>
      <c r="I711" s="169"/>
      <c r="J711" s="169"/>
      <c r="K711" s="169"/>
      <c r="L711" s="169"/>
      <c r="M711" s="169"/>
      <c r="N711" s="177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78"/>
      <c r="AA711" s="167"/>
      <c r="AB711" s="169"/>
      <c r="AC711" s="169"/>
      <c r="AD711" s="169"/>
      <c r="AE711" s="169"/>
      <c r="AF711" s="169"/>
      <c r="AG711" s="179"/>
      <c r="AH711" s="169"/>
      <c r="AI711" s="168"/>
      <c r="AJ711" s="167"/>
      <c r="AK711" s="168"/>
      <c r="AL711" s="169"/>
      <c r="AM711" s="509"/>
      <c r="AN711" s="510"/>
      <c r="AO711" s="510"/>
    </row>
    <row r="712" spans="1:41">
      <c r="A712" s="177"/>
      <c r="B712" s="169"/>
      <c r="C712" s="169"/>
      <c r="D712" s="169"/>
      <c r="E712" s="169"/>
      <c r="F712" s="169"/>
      <c r="G712" s="169"/>
      <c r="H712" s="169"/>
      <c r="I712" s="169"/>
      <c r="J712" s="169"/>
      <c r="K712" s="169"/>
      <c r="L712" s="169"/>
      <c r="M712" s="169"/>
      <c r="N712" s="177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78"/>
      <c r="AA712" s="167"/>
      <c r="AB712" s="169"/>
      <c r="AC712" s="169"/>
      <c r="AD712" s="169"/>
      <c r="AE712" s="169"/>
      <c r="AF712" s="169"/>
      <c r="AG712" s="179"/>
      <c r="AH712" s="169"/>
      <c r="AI712" s="168"/>
      <c r="AJ712" s="167"/>
      <c r="AK712" s="168"/>
      <c r="AL712" s="169"/>
      <c r="AM712" s="509"/>
      <c r="AN712" s="510"/>
      <c r="AO712" s="510"/>
    </row>
    <row r="713" spans="1:41">
      <c r="A713" s="177"/>
      <c r="B713" s="169"/>
      <c r="C713" s="169"/>
      <c r="D713" s="169"/>
      <c r="E713" s="169"/>
      <c r="F713" s="169"/>
      <c r="G713" s="169"/>
      <c r="H713" s="169"/>
      <c r="I713" s="169"/>
      <c r="J713" s="169"/>
      <c r="K713" s="169"/>
      <c r="L713" s="169"/>
      <c r="M713" s="169"/>
      <c r="N713" s="177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78"/>
      <c r="AA713" s="167"/>
      <c r="AB713" s="169"/>
      <c r="AC713" s="169"/>
      <c r="AD713" s="169"/>
      <c r="AE713" s="169"/>
      <c r="AF713" s="169"/>
      <c r="AG713" s="179"/>
      <c r="AH713" s="169"/>
      <c r="AI713" s="168"/>
      <c r="AJ713" s="167"/>
      <c r="AK713" s="168"/>
      <c r="AL713" s="169"/>
      <c r="AM713" s="509"/>
      <c r="AN713" s="510"/>
      <c r="AO713" s="510"/>
    </row>
    <row r="714" spans="1:41">
      <c r="A714" s="177"/>
      <c r="B714" s="169"/>
      <c r="C714" s="169"/>
      <c r="D714" s="169"/>
      <c r="E714" s="169"/>
      <c r="F714" s="169"/>
      <c r="G714" s="169"/>
      <c r="H714" s="169"/>
      <c r="I714" s="169"/>
      <c r="J714" s="169"/>
      <c r="K714" s="169"/>
      <c r="L714" s="169"/>
      <c r="M714" s="169"/>
      <c r="N714" s="177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78"/>
      <c r="AA714" s="167"/>
      <c r="AB714" s="169"/>
      <c r="AC714" s="169"/>
      <c r="AD714" s="169"/>
      <c r="AE714" s="169"/>
      <c r="AF714" s="169"/>
      <c r="AG714" s="179"/>
      <c r="AH714" s="169"/>
      <c r="AI714" s="168"/>
      <c r="AJ714" s="167"/>
      <c r="AK714" s="168"/>
      <c r="AL714" s="169"/>
      <c r="AM714" s="509"/>
      <c r="AN714" s="510"/>
      <c r="AO714" s="510"/>
    </row>
    <row r="715" spans="1:41">
      <c r="A715" s="177"/>
      <c r="B715" s="169"/>
      <c r="C715" s="169"/>
      <c r="D715" s="169"/>
      <c r="E715" s="169"/>
      <c r="F715" s="169"/>
      <c r="G715" s="169"/>
      <c r="H715" s="169"/>
      <c r="I715" s="169"/>
      <c r="J715" s="169"/>
      <c r="K715" s="169"/>
      <c r="L715" s="169"/>
      <c r="M715" s="169"/>
      <c r="N715" s="177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78"/>
      <c r="AA715" s="167"/>
      <c r="AB715" s="169"/>
      <c r="AC715" s="169"/>
      <c r="AD715" s="169"/>
      <c r="AE715" s="169"/>
      <c r="AF715" s="169"/>
      <c r="AG715" s="179"/>
      <c r="AH715" s="169"/>
      <c r="AI715" s="168"/>
      <c r="AJ715" s="167"/>
      <c r="AK715" s="168"/>
      <c r="AL715" s="169"/>
      <c r="AM715" s="509"/>
      <c r="AN715" s="510"/>
      <c r="AO715" s="510"/>
    </row>
    <row r="716" spans="1:41">
      <c r="A716" s="177"/>
      <c r="B716" s="169"/>
      <c r="C716" s="169"/>
      <c r="D716" s="169"/>
      <c r="E716" s="169"/>
      <c r="F716" s="169"/>
      <c r="G716" s="169"/>
      <c r="H716" s="169"/>
      <c r="I716" s="169"/>
      <c r="J716" s="169"/>
      <c r="K716" s="169"/>
      <c r="L716" s="169"/>
      <c r="M716" s="169"/>
      <c r="N716" s="177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78"/>
      <c r="AA716" s="167"/>
      <c r="AB716" s="169"/>
      <c r="AC716" s="169"/>
      <c r="AD716" s="169"/>
      <c r="AE716" s="169"/>
      <c r="AF716" s="169"/>
      <c r="AG716" s="179"/>
      <c r="AH716" s="169"/>
      <c r="AI716" s="168"/>
      <c r="AJ716" s="167"/>
      <c r="AK716" s="168"/>
      <c r="AL716" s="169"/>
      <c r="AM716" s="509"/>
      <c r="AN716" s="510"/>
      <c r="AO716" s="510"/>
    </row>
    <row r="717" spans="1:41">
      <c r="A717" s="177"/>
      <c r="B717" s="169"/>
      <c r="C717" s="169"/>
      <c r="D717" s="169"/>
      <c r="E717" s="169"/>
      <c r="F717" s="169"/>
      <c r="G717" s="169"/>
      <c r="H717" s="169"/>
      <c r="I717" s="169"/>
      <c r="J717" s="169"/>
      <c r="K717" s="169"/>
      <c r="L717" s="169"/>
      <c r="M717" s="169"/>
      <c r="N717" s="177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78"/>
      <c r="AA717" s="167"/>
      <c r="AB717" s="169"/>
      <c r="AC717" s="169"/>
      <c r="AD717" s="169"/>
      <c r="AE717" s="169"/>
      <c r="AF717" s="169"/>
      <c r="AG717" s="179"/>
      <c r="AH717" s="169"/>
      <c r="AI717" s="168"/>
      <c r="AJ717" s="167"/>
      <c r="AK717" s="168"/>
      <c r="AL717" s="169"/>
      <c r="AM717" s="509"/>
      <c r="AN717" s="510"/>
      <c r="AO717" s="510"/>
    </row>
    <row r="718" spans="1:41">
      <c r="A718" s="177"/>
      <c r="B718" s="169"/>
      <c r="C718" s="169"/>
      <c r="D718" s="169"/>
      <c r="E718" s="169"/>
      <c r="F718" s="169"/>
      <c r="G718" s="169"/>
      <c r="H718" s="169"/>
      <c r="I718" s="169"/>
      <c r="J718" s="169"/>
      <c r="K718" s="169"/>
      <c r="L718" s="169"/>
      <c r="M718" s="169"/>
      <c r="N718" s="177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78"/>
      <c r="AA718" s="167"/>
      <c r="AB718" s="169"/>
      <c r="AC718" s="169"/>
      <c r="AD718" s="169"/>
      <c r="AE718" s="169"/>
      <c r="AF718" s="169"/>
      <c r="AG718" s="179"/>
      <c r="AH718" s="169"/>
      <c r="AI718" s="168"/>
      <c r="AJ718" s="167"/>
      <c r="AK718" s="168"/>
      <c r="AL718" s="169"/>
      <c r="AM718" s="509"/>
      <c r="AN718" s="510"/>
      <c r="AO718" s="510"/>
    </row>
    <row r="719" spans="1:41">
      <c r="A719" s="177"/>
      <c r="B719" s="169"/>
      <c r="C719" s="169"/>
      <c r="D719" s="169"/>
      <c r="E719" s="169"/>
      <c r="F719" s="169"/>
      <c r="G719" s="169"/>
      <c r="H719" s="169"/>
      <c r="I719" s="169"/>
      <c r="J719" s="169"/>
      <c r="K719" s="169"/>
      <c r="L719" s="169"/>
      <c r="M719" s="169"/>
      <c r="N719" s="177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78"/>
      <c r="AA719" s="167"/>
      <c r="AB719" s="169"/>
      <c r="AC719" s="169"/>
      <c r="AD719" s="169"/>
      <c r="AE719" s="169"/>
      <c r="AF719" s="169"/>
      <c r="AG719" s="179"/>
      <c r="AH719" s="169"/>
      <c r="AI719" s="168"/>
      <c r="AJ719" s="167"/>
      <c r="AK719" s="168"/>
      <c r="AL719" s="169"/>
      <c r="AM719" s="509"/>
      <c r="AN719" s="510"/>
      <c r="AO719" s="510"/>
    </row>
    <row r="720" spans="1:41">
      <c r="A720" s="177"/>
      <c r="B720" s="169"/>
      <c r="C720" s="169"/>
      <c r="D720" s="169"/>
      <c r="E720" s="169"/>
      <c r="F720" s="169"/>
      <c r="G720" s="169"/>
      <c r="H720" s="169"/>
      <c r="I720" s="169"/>
      <c r="J720" s="169"/>
      <c r="K720" s="169"/>
      <c r="L720" s="169"/>
      <c r="M720" s="169"/>
      <c r="N720" s="177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78"/>
      <c r="AA720" s="167"/>
      <c r="AB720" s="169"/>
      <c r="AC720" s="169"/>
      <c r="AD720" s="169"/>
      <c r="AE720" s="169"/>
      <c r="AF720" s="169"/>
      <c r="AG720" s="179"/>
      <c r="AH720" s="169"/>
      <c r="AI720" s="168"/>
      <c r="AJ720" s="167"/>
      <c r="AK720" s="168"/>
      <c r="AL720" s="169"/>
      <c r="AM720" s="509"/>
      <c r="AN720" s="510"/>
      <c r="AO720" s="510"/>
    </row>
    <row r="721" spans="1:41">
      <c r="A721" s="177"/>
      <c r="B721" s="169"/>
      <c r="C721" s="169"/>
      <c r="D721" s="169"/>
      <c r="E721" s="169"/>
      <c r="F721" s="169"/>
      <c r="G721" s="169"/>
      <c r="H721" s="169"/>
      <c r="I721" s="169"/>
      <c r="J721" s="169"/>
      <c r="K721" s="169"/>
      <c r="L721" s="169"/>
      <c r="M721" s="169"/>
      <c r="N721" s="177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78"/>
      <c r="AA721" s="167"/>
      <c r="AB721" s="169"/>
      <c r="AC721" s="169"/>
      <c r="AD721" s="169"/>
      <c r="AE721" s="169"/>
      <c r="AF721" s="169"/>
      <c r="AG721" s="179"/>
      <c r="AH721" s="169"/>
      <c r="AI721" s="168"/>
      <c r="AJ721" s="167"/>
      <c r="AK721" s="168"/>
      <c r="AL721" s="169"/>
      <c r="AM721" s="509"/>
      <c r="AN721" s="510"/>
      <c r="AO721" s="510"/>
    </row>
    <row r="722" spans="1:41">
      <c r="A722" s="177"/>
      <c r="B722" s="169"/>
      <c r="C722" s="169"/>
      <c r="D722" s="169"/>
      <c r="E722" s="169"/>
      <c r="F722" s="169"/>
      <c r="G722" s="169"/>
      <c r="H722" s="169"/>
      <c r="I722" s="169"/>
      <c r="J722" s="169"/>
      <c r="K722" s="169"/>
      <c r="L722" s="169"/>
      <c r="M722" s="169"/>
      <c r="N722" s="177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78"/>
      <c r="AA722" s="167"/>
      <c r="AB722" s="169"/>
      <c r="AC722" s="169"/>
      <c r="AD722" s="169"/>
      <c r="AE722" s="169"/>
      <c r="AF722" s="169"/>
      <c r="AG722" s="179"/>
      <c r="AH722" s="169"/>
      <c r="AI722" s="168"/>
      <c r="AJ722" s="167"/>
      <c r="AK722" s="168"/>
      <c r="AL722" s="169"/>
      <c r="AM722" s="509"/>
      <c r="AN722" s="510"/>
      <c r="AO722" s="510"/>
    </row>
    <row r="723" spans="1:41">
      <c r="A723" s="177"/>
      <c r="B723" s="169"/>
      <c r="C723" s="169"/>
      <c r="D723" s="169"/>
      <c r="E723" s="169"/>
      <c r="F723" s="169"/>
      <c r="G723" s="169"/>
      <c r="H723" s="169"/>
      <c r="I723" s="169"/>
      <c r="J723" s="169"/>
      <c r="K723" s="169"/>
      <c r="L723" s="169"/>
      <c r="M723" s="169"/>
      <c r="N723" s="177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78"/>
      <c r="AA723" s="167"/>
      <c r="AB723" s="169"/>
      <c r="AC723" s="169"/>
      <c r="AD723" s="169"/>
      <c r="AE723" s="169"/>
      <c r="AF723" s="169"/>
      <c r="AG723" s="179"/>
      <c r="AH723" s="169"/>
      <c r="AI723" s="168"/>
      <c r="AJ723" s="167"/>
      <c r="AK723" s="168"/>
      <c r="AL723" s="169"/>
      <c r="AM723" s="509"/>
      <c r="AN723" s="510"/>
      <c r="AO723" s="510"/>
    </row>
    <row r="724" spans="1:41">
      <c r="A724" s="177"/>
      <c r="B724" s="169"/>
      <c r="C724" s="169"/>
      <c r="D724" s="169"/>
      <c r="E724" s="169"/>
      <c r="F724" s="169"/>
      <c r="G724" s="169"/>
      <c r="H724" s="169"/>
      <c r="I724" s="169"/>
      <c r="J724" s="169"/>
      <c r="K724" s="169"/>
      <c r="L724" s="169"/>
      <c r="M724" s="169"/>
      <c r="N724" s="177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78"/>
      <c r="AA724" s="167"/>
      <c r="AB724" s="169"/>
      <c r="AC724" s="169"/>
      <c r="AD724" s="169"/>
      <c r="AE724" s="169"/>
      <c r="AF724" s="169"/>
      <c r="AG724" s="179"/>
      <c r="AH724" s="169"/>
      <c r="AI724" s="168"/>
      <c r="AJ724" s="167"/>
      <c r="AK724" s="168"/>
      <c r="AL724" s="169"/>
      <c r="AM724" s="509"/>
      <c r="AN724" s="510"/>
      <c r="AO724" s="510"/>
    </row>
    <row r="725" spans="1:41">
      <c r="A725" s="177"/>
      <c r="B725" s="169"/>
      <c r="C725" s="169"/>
      <c r="D725" s="169"/>
      <c r="E725" s="169"/>
      <c r="F725" s="169"/>
      <c r="G725" s="169"/>
      <c r="H725" s="169"/>
      <c r="I725" s="169"/>
      <c r="J725" s="169"/>
      <c r="K725" s="169"/>
      <c r="L725" s="169"/>
      <c r="M725" s="169"/>
      <c r="N725" s="177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78"/>
      <c r="AA725" s="167"/>
      <c r="AB725" s="169"/>
      <c r="AC725" s="169"/>
      <c r="AD725" s="169"/>
      <c r="AE725" s="169"/>
      <c r="AF725" s="169"/>
      <c r="AG725" s="179"/>
      <c r="AH725" s="169"/>
      <c r="AI725" s="168"/>
      <c r="AJ725" s="167"/>
      <c r="AK725" s="168"/>
      <c r="AL725" s="169"/>
      <c r="AM725" s="509"/>
      <c r="AN725" s="510"/>
      <c r="AO725" s="510"/>
    </row>
    <row r="726" spans="1:41">
      <c r="A726" s="177"/>
      <c r="B726" s="169"/>
      <c r="C726" s="169"/>
      <c r="D726" s="169"/>
      <c r="E726" s="169"/>
      <c r="F726" s="169"/>
      <c r="G726" s="169"/>
      <c r="H726" s="169"/>
      <c r="I726" s="169"/>
      <c r="J726" s="169"/>
      <c r="K726" s="169"/>
      <c r="L726" s="169"/>
      <c r="M726" s="169"/>
      <c r="N726" s="177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78"/>
      <c r="AA726" s="167"/>
      <c r="AB726" s="169"/>
      <c r="AC726" s="169"/>
      <c r="AD726" s="169"/>
      <c r="AE726" s="169"/>
      <c r="AF726" s="169"/>
      <c r="AG726" s="179"/>
      <c r="AH726" s="169"/>
      <c r="AI726" s="168"/>
      <c r="AJ726" s="167"/>
      <c r="AK726" s="168"/>
      <c r="AL726" s="169"/>
      <c r="AM726" s="509"/>
      <c r="AN726" s="510"/>
      <c r="AO726" s="510"/>
    </row>
    <row r="727" spans="1:41">
      <c r="A727" s="177"/>
      <c r="B727" s="169"/>
      <c r="C727" s="169"/>
      <c r="D727" s="169"/>
      <c r="E727" s="169"/>
      <c r="F727" s="169"/>
      <c r="G727" s="169"/>
      <c r="H727" s="169"/>
      <c r="I727" s="169"/>
      <c r="J727" s="169"/>
      <c r="K727" s="169"/>
      <c r="L727" s="169"/>
      <c r="M727" s="169"/>
      <c r="N727" s="177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78"/>
      <c r="AA727" s="167"/>
      <c r="AB727" s="169"/>
      <c r="AC727" s="169"/>
      <c r="AD727" s="169"/>
      <c r="AE727" s="169"/>
      <c r="AF727" s="169"/>
      <c r="AG727" s="179"/>
      <c r="AH727" s="169"/>
      <c r="AI727" s="168"/>
      <c r="AJ727" s="167"/>
      <c r="AK727" s="168"/>
      <c r="AL727" s="169"/>
      <c r="AM727" s="509"/>
      <c r="AN727" s="510"/>
      <c r="AO727" s="510"/>
    </row>
    <row r="728" spans="1:41">
      <c r="A728" s="177"/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77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78"/>
      <c r="AA728" s="167"/>
      <c r="AB728" s="169"/>
      <c r="AC728" s="169"/>
      <c r="AD728" s="169"/>
      <c r="AE728" s="169"/>
      <c r="AF728" s="169"/>
      <c r="AG728" s="179"/>
      <c r="AH728" s="169"/>
      <c r="AI728" s="168"/>
      <c r="AJ728" s="167"/>
      <c r="AK728" s="168"/>
      <c r="AL728" s="169"/>
      <c r="AM728" s="509"/>
      <c r="AN728" s="510"/>
      <c r="AO728" s="510"/>
    </row>
    <row r="729" spans="1:41">
      <c r="A729" s="177"/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77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78"/>
      <c r="AA729" s="167"/>
      <c r="AB729" s="169"/>
      <c r="AC729" s="169"/>
      <c r="AD729" s="169"/>
      <c r="AE729" s="169"/>
      <c r="AF729" s="169"/>
      <c r="AG729" s="179"/>
      <c r="AH729" s="169"/>
      <c r="AI729" s="168"/>
      <c r="AJ729" s="167"/>
      <c r="AK729" s="168"/>
      <c r="AL729" s="169"/>
      <c r="AM729" s="509"/>
      <c r="AN729" s="510"/>
      <c r="AO729" s="510"/>
    </row>
    <row r="730" spans="1:41">
      <c r="A730" s="177"/>
      <c r="B730" s="169"/>
      <c r="C730" s="169"/>
      <c r="D730" s="169"/>
      <c r="E730" s="169"/>
      <c r="F730" s="169"/>
      <c r="G730" s="169"/>
      <c r="H730" s="169"/>
      <c r="I730" s="169"/>
      <c r="J730" s="169"/>
      <c r="K730" s="169"/>
      <c r="L730" s="169"/>
      <c r="M730" s="169"/>
      <c r="N730" s="177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78"/>
      <c r="AA730" s="167"/>
      <c r="AB730" s="169"/>
      <c r="AC730" s="169"/>
      <c r="AD730" s="169"/>
      <c r="AE730" s="169"/>
      <c r="AF730" s="169"/>
      <c r="AG730" s="179"/>
      <c r="AH730" s="169"/>
      <c r="AI730" s="168"/>
      <c r="AJ730" s="167"/>
      <c r="AK730" s="168"/>
      <c r="AL730" s="169"/>
      <c r="AM730" s="509"/>
      <c r="AN730" s="510"/>
      <c r="AO730" s="510"/>
    </row>
    <row r="731" spans="1:41">
      <c r="A731" s="177"/>
      <c r="B731" s="169"/>
      <c r="C731" s="169"/>
      <c r="D731" s="169"/>
      <c r="E731" s="169"/>
      <c r="F731" s="169"/>
      <c r="G731" s="169"/>
      <c r="H731" s="169"/>
      <c r="I731" s="169"/>
      <c r="J731" s="169"/>
      <c r="K731" s="169"/>
      <c r="L731" s="169"/>
      <c r="M731" s="169"/>
      <c r="N731" s="177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78"/>
      <c r="AA731" s="167"/>
      <c r="AB731" s="169"/>
      <c r="AC731" s="169"/>
      <c r="AD731" s="169"/>
      <c r="AE731" s="169"/>
      <c r="AF731" s="169"/>
      <c r="AG731" s="179"/>
      <c r="AH731" s="169"/>
      <c r="AI731" s="168"/>
      <c r="AJ731" s="167"/>
      <c r="AK731" s="168"/>
      <c r="AL731" s="169"/>
      <c r="AM731" s="509"/>
      <c r="AN731" s="510"/>
      <c r="AO731" s="510"/>
    </row>
    <row r="732" spans="1:41">
      <c r="A732" s="177"/>
      <c r="B732" s="169"/>
      <c r="C732" s="169"/>
      <c r="D732" s="169"/>
      <c r="E732" s="169"/>
      <c r="F732" s="169"/>
      <c r="G732" s="169"/>
      <c r="H732" s="169"/>
      <c r="I732" s="169"/>
      <c r="J732" s="169"/>
      <c r="K732" s="169"/>
      <c r="L732" s="169"/>
      <c r="M732" s="169"/>
      <c r="N732" s="177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78"/>
      <c r="AA732" s="167"/>
      <c r="AB732" s="169"/>
      <c r="AC732" s="169"/>
      <c r="AD732" s="169"/>
      <c r="AE732" s="169"/>
      <c r="AF732" s="169"/>
      <c r="AG732" s="179"/>
      <c r="AH732" s="169"/>
      <c r="AI732" s="168"/>
      <c r="AJ732" s="167"/>
      <c r="AK732" s="168"/>
      <c r="AL732" s="169"/>
      <c r="AM732" s="509"/>
      <c r="AN732" s="510"/>
      <c r="AO732" s="510"/>
    </row>
    <row r="733" spans="1:41">
      <c r="A733" s="177"/>
      <c r="B733" s="169"/>
      <c r="C733" s="169"/>
      <c r="D733" s="169"/>
      <c r="E733" s="169"/>
      <c r="F733" s="169"/>
      <c r="G733" s="169"/>
      <c r="H733" s="169"/>
      <c r="I733" s="169"/>
      <c r="J733" s="169"/>
      <c r="K733" s="169"/>
      <c r="L733" s="169"/>
      <c r="M733" s="169"/>
      <c r="N733" s="177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78"/>
      <c r="AA733" s="167"/>
      <c r="AB733" s="169"/>
      <c r="AC733" s="169"/>
      <c r="AD733" s="169"/>
      <c r="AE733" s="169"/>
      <c r="AF733" s="169"/>
      <c r="AG733" s="179"/>
      <c r="AH733" s="169"/>
      <c r="AI733" s="168"/>
      <c r="AJ733" s="167"/>
      <c r="AK733" s="168"/>
      <c r="AL733" s="169"/>
      <c r="AM733" s="509"/>
      <c r="AN733" s="510"/>
      <c r="AO733" s="510"/>
    </row>
    <row r="734" spans="1:41">
      <c r="A734" s="177"/>
      <c r="B734" s="169"/>
      <c r="C734" s="169"/>
      <c r="D734" s="169"/>
      <c r="E734" s="169"/>
      <c r="F734" s="169"/>
      <c r="G734" s="169"/>
      <c r="H734" s="169"/>
      <c r="I734" s="169"/>
      <c r="J734" s="169"/>
      <c r="K734" s="169"/>
      <c r="L734" s="169"/>
      <c r="M734" s="169"/>
      <c r="N734" s="177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78"/>
      <c r="AA734" s="167"/>
      <c r="AB734" s="169"/>
      <c r="AC734" s="169"/>
      <c r="AD734" s="169"/>
      <c r="AE734" s="169"/>
      <c r="AF734" s="169"/>
      <c r="AG734" s="179"/>
      <c r="AH734" s="169"/>
      <c r="AI734" s="168"/>
      <c r="AJ734" s="167"/>
      <c r="AK734" s="168"/>
      <c r="AL734" s="169"/>
      <c r="AM734" s="509"/>
      <c r="AN734" s="510"/>
      <c r="AO734" s="510"/>
    </row>
    <row r="735" spans="1:41">
      <c r="A735" s="177"/>
      <c r="B735" s="169"/>
      <c r="C735" s="169"/>
      <c r="D735" s="169"/>
      <c r="E735" s="169"/>
      <c r="F735" s="169"/>
      <c r="G735" s="169"/>
      <c r="H735" s="169"/>
      <c r="I735" s="169"/>
      <c r="J735" s="169"/>
      <c r="K735" s="169"/>
      <c r="L735" s="169"/>
      <c r="M735" s="169"/>
      <c r="N735" s="177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78"/>
      <c r="AA735" s="167"/>
      <c r="AB735" s="169"/>
      <c r="AC735" s="169"/>
      <c r="AD735" s="169"/>
      <c r="AE735" s="169"/>
      <c r="AF735" s="169"/>
      <c r="AG735" s="179"/>
      <c r="AH735" s="169"/>
      <c r="AI735" s="168"/>
      <c r="AJ735" s="167"/>
      <c r="AK735" s="168"/>
      <c r="AL735" s="169"/>
      <c r="AM735" s="509"/>
      <c r="AN735" s="510"/>
      <c r="AO735" s="510"/>
    </row>
    <row r="736" spans="1:41">
      <c r="A736" s="177"/>
      <c r="B736" s="169"/>
      <c r="C736" s="169"/>
      <c r="D736" s="169"/>
      <c r="E736" s="169"/>
      <c r="F736" s="169"/>
      <c r="G736" s="169"/>
      <c r="H736" s="169"/>
      <c r="I736" s="169"/>
      <c r="J736" s="169"/>
      <c r="K736" s="169"/>
      <c r="L736" s="169"/>
      <c r="M736" s="169"/>
      <c r="N736" s="177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78"/>
      <c r="AA736" s="167"/>
      <c r="AB736" s="169"/>
      <c r="AC736" s="169"/>
      <c r="AD736" s="169"/>
      <c r="AE736" s="169"/>
      <c r="AF736" s="169"/>
      <c r="AG736" s="179"/>
      <c r="AH736" s="169"/>
      <c r="AI736" s="168"/>
      <c r="AJ736" s="167"/>
      <c r="AK736" s="168"/>
      <c r="AL736" s="169"/>
      <c r="AM736" s="509"/>
      <c r="AN736" s="510"/>
      <c r="AO736" s="510"/>
    </row>
    <row r="737" spans="1:41">
      <c r="A737" s="177"/>
      <c r="B737" s="169"/>
      <c r="C737" s="169"/>
      <c r="D737" s="169"/>
      <c r="E737" s="169"/>
      <c r="F737" s="169"/>
      <c r="G737" s="169"/>
      <c r="H737" s="169"/>
      <c r="I737" s="169"/>
      <c r="J737" s="169"/>
      <c r="K737" s="169"/>
      <c r="L737" s="169"/>
      <c r="M737" s="169"/>
      <c r="N737" s="177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78"/>
      <c r="AA737" s="167"/>
      <c r="AB737" s="169"/>
      <c r="AC737" s="169"/>
      <c r="AD737" s="169"/>
      <c r="AE737" s="169"/>
      <c r="AF737" s="169"/>
      <c r="AG737" s="179"/>
      <c r="AH737" s="169"/>
      <c r="AI737" s="168"/>
      <c r="AJ737" s="167"/>
      <c r="AK737" s="168"/>
      <c r="AL737" s="169"/>
      <c r="AM737" s="509"/>
      <c r="AN737" s="510"/>
      <c r="AO737" s="510"/>
    </row>
    <row r="738" spans="1:41">
      <c r="A738" s="177"/>
      <c r="B738" s="169"/>
      <c r="C738" s="169"/>
      <c r="D738" s="169"/>
      <c r="E738" s="169"/>
      <c r="F738" s="169"/>
      <c r="G738" s="169"/>
      <c r="H738" s="169"/>
      <c r="I738" s="169"/>
      <c r="J738" s="169"/>
      <c r="K738" s="169"/>
      <c r="L738" s="169"/>
      <c r="M738" s="169"/>
      <c r="N738" s="177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78"/>
      <c r="AA738" s="167"/>
      <c r="AB738" s="169"/>
      <c r="AC738" s="169"/>
      <c r="AD738" s="169"/>
      <c r="AE738" s="169"/>
      <c r="AF738" s="169"/>
      <c r="AG738" s="179"/>
      <c r="AH738" s="169"/>
      <c r="AI738" s="168"/>
      <c r="AJ738" s="167"/>
      <c r="AK738" s="168"/>
      <c r="AL738" s="169"/>
      <c r="AM738" s="509"/>
      <c r="AN738" s="510"/>
      <c r="AO738" s="510"/>
    </row>
    <row r="739" spans="1:41">
      <c r="A739" s="177"/>
      <c r="B739" s="169"/>
      <c r="C739" s="169"/>
      <c r="D739" s="169"/>
      <c r="E739" s="169"/>
      <c r="F739" s="169"/>
      <c r="G739" s="169"/>
      <c r="H739" s="169"/>
      <c r="I739" s="169"/>
      <c r="J739" s="169"/>
      <c r="K739" s="169"/>
      <c r="L739" s="169"/>
      <c r="M739" s="169"/>
      <c r="N739" s="177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78"/>
      <c r="AA739" s="167"/>
      <c r="AB739" s="169"/>
      <c r="AC739" s="169"/>
      <c r="AD739" s="169"/>
      <c r="AE739" s="169"/>
      <c r="AF739" s="169"/>
      <c r="AG739" s="179"/>
      <c r="AH739" s="169"/>
      <c r="AI739" s="168"/>
      <c r="AJ739" s="167"/>
      <c r="AK739" s="168"/>
      <c r="AL739" s="169"/>
      <c r="AM739" s="509"/>
      <c r="AN739" s="510"/>
      <c r="AO739" s="510"/>
    </row>
    <row r="740" spans="1:41">
      <c r="A740" s="177"/>
      <c r="B740" s="169"/>
      <c r="C740" s="169"/>
      <c r="D740" s="169"/>
      <c r="E740" s="169"/>
      <c r="F740" s="169"/>
      <c r="G740" s="169"/>
      <c r="H740" s="169"/>
      <c r="I740" s="169"/>
      <c r="J740" s="169"/>
      <c r="K740" s="169"/>
      <c r="L740" s="169"/>
      <c r="M740" s="169"/>
      <c r="N740" s="177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78"/>
      <c r="AA740" s="167"/>
      <c r="AB740" s="169"/>
      <c r="AC740" s="169"/>
      <c r="AD740" s="169"/>
      <c r="AE740" s="169"/>
      <c r="AF740" s="169"/>
      <c r="AG740" s="179"/>
      <c r="AH740" s="169"/>
      <c r="AI740" s="168"/>
      <c r="AJ740" s="167"/>
      <c r="AK740" s="168"/>
      <c r="AL740" s="169"/>
      <c r="AM740" s="509"/>
      <c r="AN740" s="510"/>
      <c r="AO740" s="510"/>
    </row>
    <row r="741" spans="1:41">
      <c r="A741" s="177"/>
      <c r="B741" s="169"/>
      <c r="C741" s="169"/>
      <c r="D741" s="169"/>
      <c r="E741" s="169"/>
      <c r="F741" s="169"/>
      <c r="G741" s="169"/>
      <c r="H741" s="169"/>
      <c r="I741" s="169"/>
      <c r="J741" s="169"/>
      <c r="K741" s="169"/>
      <c r="L741" s="169"/>
      <c r="M741" s="169"/>
      <c r="N741" s="177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78"/>
      <c r="AA741" s="167"/>
      <c r="AB741" s="169"/>
      <c r="AC741" s="169"/>
      <c r="AD741" s="169"/>
      <c r="AE741" s="169"/>
      <c r="AF741" s="169"/>
      <c r="AG741" s="179"/>
      <c r="AH741" s="169"/>
      <c r="AI741" s="168"/>
      <c r="AJ741" s="167"/>
      <c r="AK741" s="168"/>
      <c r="AL741" s="169"/>
      <c r="AM741" s="509"/>
      <c r="AN741" s="510"/>
      <c r="AO741" s="510"/>
    </row>
    <row r="742" spans="1:41">
      <c r="A742" s="177"/>
      <c r="B742" s="169"/>
      <c r="C742" s="169"/>
      <c r="D742" s="169"/>
      <c r="E742" s="169"/>
      <c r="F742" s="169"/>
      <c r="G742" s="169"/>
      <c r="H742" s="169"/>
      <c r="I742" s="169"/>
      <c r="J742" s="169"/>
      <c r="K742" s="169"/>
      <c r="L742" s="169"/>
      <c r="M742" s="169"/>
      <c r="N742" s="177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78"/>
      <c r="AA742" s="167"/>
      <c r="AB742" s="169"/>
      <c r="AC742" s="169"/>
      <c r="AD742" s="169"/>
      <c r="AE742" s="169"/>
      <c r="AF742" s="169"/>
      <c r="AG742" s="179"/>
      <c r="AH742" s="169"/>
      <c r="AI742" s="168"/>
      <c r="AJ742" s="167"/>
      <c r="AK742" s="168"/>
      <c r="AL742" s="169"/>
      <c r="AM742" s="509"/>
      <c r="AN742" s="510"/>
      <c r="AO742" s="510"/>
    </row>
    <row r="743" spans="1:41">
      <c r="A743" s="177"/>
      <c r="B743" s="169"/>
      <c r="C743" s="169"/>
      <c r="D743" s="169"/>
      <c r="E743" s="169"/>
      <c r="F743" s="169"/>
      <c r="G743" s="169"/>
      <c r="H743" s="169"/>
      <c r="I743" s="169"/>
      <c r="J743" s="169"/>
      <c r="K743" s="169"/>
      <c r="L743" s="169"/>
      <c r="M743" s="169"/>
      <c r="N743" s="177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78"/>
      <c r="AA743" s="167"/>
      <c r="AB743" s="169"/>
      <c r="AC743" s="169"/>
      <c r="AD743" s="169"/>
      <c r="AE743" s="169"/>
      <c r="AF743" s="169"/>
      <c r="AG743" s="179"/>
      <c r="AH743" s="169"/>
      <c r="AI743" s="168"/>
      <c r="AJ743" s="167"/>
      <c r="AK743" s="168"/>
      <c r="AL743" s="169"/>
      <c r="AM743" s="509"/>
      <c r="AN743" s="510"/>
      <c r="AO743" s="510"/>
    </row>
    <row r="744" spans="1:41">
      <c r="A744" s="177"/>
      <c r="B744" s="169"/>
      <c r="C744" s="169"/>
      <c r="D744" s="169"/>
      <c r="E744" s="169"/>
      <c r="F744" s="169"/>
      <c r="G744" s="169"/>
      <c r="H744" s="169"/>
      <c r="I744" s="169"/>
      <c r="J744" s="169"/>
      <c r="K744" s="169"/>
      <c r="L744" s="169"/>
      <c r="M744" s="169"/>
      <c r="N744" s="177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78"/>
      <c r="AA744" s="167"/>
      <c r="AB744" s="169"/>
      <c r="AC744" s="169"/>
      <c r="AD744" s="169"/>
      <c r="AE744" s="169"/>
      <c r="AF744" s="169"/>
      <c r="AG744" s="179"/>
      <c r="AH744" s="169"/>
      <c r="AI744" s="168"/>
      <c r="AJ744" s="167"/>
      <c r="AK744" s="168"/>
      <c r="AL744" s="169"/>
      <c r="AM744" s="509"/>
      <c r="AN744" s="510"/>
      <c r="AO744" s="510"/>
    </row>
    <row r="745" spans="1:41">
      <c r="A745" s="177"/>
      <c r="B745" s="169"/>
      <c r="C745" s="169"/>
      <c r="D745" s="169"/>
      <c r="E745" s="169"/>
      <c r="F745" s="169"/>
      <c r="G745" s="169"/>
      <c r="H745" s="169"/>
      <c r="I745" s="169"/>
      <c r="J745" s="169"/>
      <c r="K745" s="169"/>
      <c r="L745" s="169"/>
      <c r="M745" s="169"/>
      <c r="N745" s="177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78"/>
      <c r="AA745" s="167"/>
      <c r="AB745" s="169"/>
      <c r="AC745" s="169"/>
      <c r="AD745" s="169"/>
      <c r="AE745" s="169"/>
      <c r="AF745" s="169"/>
      <c r="AG745" s="179"/>
      <c r="AH745" s="169"/>
      <c r="AI745" s="168"/>
      <c r="AJ745" s="167"/>
      <c r="AK745" s="168"/>
      <c r="AL745" s="169"/>
      <c r="AM745" s="509"/>
      <c r="AN745" s="510"/>
      <c r="AO745" s="510"/>
    </row>
    <row r="746" spans="1:41">
      <c r="A746" s="177"/>
      <c r="B746" s="169"/>
      <c r="C746" s="169"/>
      <c r="D746" s="169"/>
      <c r="E746" s="169"/>
      <c r="F746" s="169"/>
      <c r="G746" s="169"/>
      <c r="H746" s="169"/>
      <c r="I746" s="169"/>
      <c r="J746" s="169"/>
      <c r="K746" s="169"/>
      <c r="L746" s="169"/>
      <c r="M746" s="169"/>
      <c r="N746" s="177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78"/>
      <c r="AA746" s="167"/>
      <c r="AB746" s="169"/>
      <c r="AC746" s="169"/>
      <c r="AD746" s="169"/>
      <c r="AE746" s="169"/>
      <c r="AF746" s="169"/>
      <c r="AG746" s="179"/>
      <c r="AH746" s="169"/>
      <c r="AI746" s="168"/>
      <c r="AJ746" s="167"/>
      <c r="AK746" s="168"/>
      <c r="AL746" s="169"/>
      <c r="AM746" s="509"/>
      <c r="AN746" s="510"/>
      <c r="AO746" s="510"/>
    </row>
    <row r="747" spans="1:41">
      <c r="A747" s="177"/>
      <c r="B747" s="169"/>
      <c r="C747" s="169"/>
      <c r="D747" s="169"/>
      <c r="E747" s="169"/>
      <c r="F747" s="169"/>
      <c r="G747" s="169"/>
      <c r="H747" s="169"/>
      <c r="I747" s="169"/>
      <c r="J747" s="169"/>
      <c r="K747" s="169"/>
      <c r="L747" s="169"/>
      <c r="M747" s="169"/>
      <c r="N747" s="177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78"/>
      <c r="AA747" s="167"/>
      <c r="AB747" s="169"/>
      <c r="AC747" s="169"/>
      <c r="AD747" s="169"/>
      <c r="AE747" s="169"/>
      <c r="AF747" s="169"/>
      <c r="AG747" s="179"/>
      <c r="AH747" s="169"/>
      <c r="AI747" s="168"/>
      <c r="AJ747" s="167"/>
      <c r="AK747" s="168"/>
      <c r="AL747" s="169"/>
      <c r="AM747" s="509"/>
      <c r="AN747" s="510"/>
      <c r="AO747" s="510"/>
    </row>
    <row r="748" spans="1:41">
      <c r="A748" s="177"/>
      <c r="B748" s="169"/>
      <c r="C748" s="169"/>
      <c r="D748" s="169"/>
      <c r="E748" s="169"/>
      <c r="F748" s="169"/>
      <c r="G748" s="169"/>
      <c r="H748" s="169"/>
      <c r="I748" s="169"/>
      <c r="J748" s="169"/>
      <c r="K748" s="169"/>
      <c r="L748" s="169"/>
      <c r="M748" s="169"/>
      <c r="N748" s="177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78"/>
      <c r="AA748" s="167"/>
      <c r="AB748" s="169"/>
      <c r="AC748" s="169"/>
      <c r="AD748" s="169"/>
      <c r="AE748" s="169"/>
      <c r="AF748" s="169"/>
      <c r="AG748" s="179"/>
      <c r="AH748" s="169"/>
      <c r="AI748" s="168"/>
      <c r="AJ748" s="167"/>
      <c r="AK748" s="168"/>
      <c r="AL748" s="169"/>
      <c r="AM748" s="509"/>
      <c r="AN748" s="510"/>
      <c r="AO748" s="510"/>
    </row>
    <row r="749" spans="1:41">
      <c r="A749" s="177"/>
      <c r="B749" s="169"/>
      <c r="C749" s="169"/>
      <c r="D749" s="169"/>
      <c r="E749" s="169"/>
      <c r="F749" s="169"/>
      <c r="G749" s="169"/>
      <c r="H749" s="169"/>
      <c r="I749" s="169"/>
      <c r="J749" s="169"/>
      <c r="K749" s="169"/>
      <c r="L749" s="169"/>
      <c r="M749" s="169"/>
      <c r="N749" s="177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78"/>
      <c r="AA749" s="167"/>
      <c r="AB749" s="169"/>
      <c r="AC749" s="169"/>
      <c r="AD749" s="169"/>
      <c r="AE749" s="169"/>
      <c r="AF749" s="169"/>
      <c r="AG749" s="179"/>
      <c r="AH749" s="169"/>
      <c r="AI749" s="168"/>
      <c r="AJ749" s="167"/>
      <c r="AK749" s="168"/>
      <c r="AL749" s="169"/>
      <c r="AM749" s="509"/>
      <c r="AN749" s="510"/>
      <c r="AO749" s="510"/>
    </row>
    <row r="750" spans="1:41">
      <c r="A750" s="177"/>
      <c r="B750" s="169"/>
      <c r="C750" s="169"/>
      <c r="D750" s="169"/>
      <c r="E750" s="169"/>
      <c r="F750" s="169"/>
      <c r="G750" s="169"/>
      <c r="H750" s="169"/>
      <c r="I750" s="169"/>
      <c r="J750" s="169"/>
      <c r="K750" s="169"/>
      <c r="L750" s="169"/>
      <c r="M750" s="169"/>
      <c r="N750" s="177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78"/>
      <c r="AA750" s="167"/>
      <c r="AB750" s="169"/>
      <c r="AC750" s="169"/>
      <c r="AD750" s="169"/>
      <c r="AE750" s="169"/>
      <c r="AF750" s="169"/>
      <c r="AG750" s="179"/>
      <c r="AH750" s="169"/>
      <c r="AI750" s="168"/>
      <c r="AJ750" s="167"/>
      <c r="AK750" s="168"/>
      <c r="AL750" s="169"/>
      <c r="AM750" s="509"/>
      <c r="AN750" s="510"/>
      <c r="AO750" s="510"/>
    </row>
    <row r="751" spans="1:41">
      <c r="A751" s="177"/>
      <c r="B751" s="169"/>
      <c r="C751" s="169"/>
      <c r="D751" s="169"/>
      <c r="E751" s="169"/>
      <c r="F751" s="169"/>
      <c r="G751" s="169"/>
      <c r="H751" s="169"/>
      <c r="I751" s="169"/>
      <c r="J751" s="169"/>
      <c r="K751" s="169"/>
      <c r="L751" s="169"/>
      <c r="M751" s="169"/>
      <c r="N751" s="177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78"/>
      <c r="AA751" s="167"/>
      <c r="AB751" s="169"/>
      <c r="AC751" s="169"/>
      <c r="AD751" s="169"/>
      <c r="AE751" s="169"/>
      <c r="AF751" s="169"/>
      <c r="AG751" s="179"/>
      <c r="AH751" s="169"/>
      <c r="AI751" s="168"/>
      <c r="AJ751" s="167"/>
      <c r="AK751" s="168"/>
      <c r="AL751" s="169"/>
      <c r="AM751" s="509"/>
      <c r="AN751" s="510"/>
      <c r="AO751" s="510"/>
    </row>
    <row r="752" spans="1:41">
      <c r="A752" s="177"/>
      <c r="B752" s="169"/>
      <c r="C752" s="169"/>
      <c r="D752" s="169"/>
      <c r="E752" s="169"/>
      <c r="F752" s="169"/>
      <c r="G752" s="169"/>
      <c r="H752" s="169"/>
      <c r="I752" s="169"/>
      <c r="J752" s="169"/>
      <c r="K752" s="169"/>
      <c r="L752" s="169"/>
      <c r="M752" s="169"/>
      <c r="N752" s="177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78"/>
      <c r="AA752" s="167"/>
      <c r="AB752" s="169"/>
      <c r="AC752" s="169"/>
      <c r="AD752" s="169"/>
      <c r="AE752" s="169"/>
      <c r="AF752" s="169"/>
      <c r="AG752" s="179"/>
      <c r="AH752" s="169"/>
      <c r="AI752" s="168"/>
      <c r="AJ752" s="167"/>
      <c r="AK752" s="168"/>
      <c r="AL752" s="169"/>
      <c r="AM752" s="509"/>
      <c r="AN752" s="510"/>
      <c r="AO752" s="510"/>
    </row>
    <row r="753" spans="1:41">
      <c r="A753" s="177"/>
      <c r="B753" s="169"/>
      <c r="C753" s="169"/>
      <c r="D753" s="169"/>
      <c r="E753" s="169"/>
      <c r="F753" s="169"/>
      <c r="G753" s="169"/>
      <c r="H753" s="169"/>
      <c r="I753" s="169"/>
      <c r="J753" s="169"/>
      <c r="K753" s="169"/>
      <c r="L753" s="169"/>
      <c r="M753" s="169"/>
      <c r="N753" s="177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78"/>
      <c r="AA753" s="167"/>
      <c r="AB753" s="169"/>
      <c r="AC753" s="169"/>
      <c r="AD753" s="169"/>
      <c r="AE753" s="169"/>
      <c r="AF753" s="169"/>
      <c r="AG753" s="179"/>
      <c r="AH753" s="169"/>
      <c r="AI753" s="168"/>
      <c r="AJ753" s="167"/>
      <c r="AK753" s="168"/>
      <c r="AL753" s="169"/>
      <c r="AM753" s="509"/>
      <c r="AN753" s="510"/>
      <c r="AO753" s="510"/>
    </row>
    <row r="754" spans="1:41">
      <c r="A754" s="177"/>
      <c r="B754" s="169"/>
      <c r="C754" s="169"/>
      <c r="D754" s="169"/>
      <c r="E754" s="169"/>
      <c r="F754" s="169"/>
      <c r="G754" s="169"/>
      <c r="H754" s="169"/>
      <c r="I754" s="169"/>
      <c r="J754" s="169"/>
      <c r="K754" s="169"/>
      <c r="L754" s="169"/>
      <c r="M754" s="169"/>
      <c r="N754" s="177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78"/>
      <c r="AA754" s="167"/>
      <c r="AB754" s="169"/>
      <c r="AC754" s="169"/>
      <c r="AD754" s="169"/>
      <c r="AE754" s="169"/>
      <c r="AF754" s="169"/>
      <c r="AG754" s="179"/>
      <c r="AH754" s="169"/>
      <c r="AI754" s="168"/>
      <c r="AJ754" s="167"/>
      <c r="AK754" s="168"/>
      <c r="AL754" s="169"/>
      <c r="AM754" s="509"/>
      <c r="AN754" s="510"/>
      <c r="AO754" s="510"/>
    </row>
    <row r="755" spans="1:41">
      <c r="A755" s="177"/>
      <c r="B755" s="169"/>
      <c r="C755" s="169"/>
      <c r="D755" s="169"/>
      <c r="E755" s="169"/>
      <c r="F755" s="169"/>
      <c r="G755" s="169"/>
      <c r="H755" s="169"/>
      <c r="I755" s="169"/>
      <c r="J755" s="169"/>
      <c r="K755" s="169"/>
      <c r="L755" s="169"/>
      <c r="M755" s="169"/>
      <c r="N755" s="177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78"/>
      <c r="AA755" s="167"/>
      <c r="AB755" s="169"/>
      <c r="AC755" s="169"/>
      <c r="AD755" s="169"/>
      <c r="AE755" s="169"/>
      <c r="AF755" s="169"/>
      <c r="AG755" s="179"/>
      <c r="AH755" s="169"/>
      <c r="AI755" s="168"/>
      <c r="AJ755" s="167"/>
      <c r="AK755" s="168"/>
      <c r="AL755" s="169"/>
      <c r="AM755" s="509"/>
      <c r="AN755" s="510"/>
      <c r="AO755" s="510"/>
    </row>
    <row r="756" spans="1:41">
      <c r="A756" s="177"/>
      <c r="B756" s="169"/>
      <c r="C756" s="169"/>
      <c r="D756" s="169"/>
      <c r="E756" s="169"/>
      <c r="F756" s="169"/>
      <c r="G756" s="169"/>
      <c r="H756" s="169"/>
      <c r="I756" s="169"/>
      <c r="J756" s="169"/>
      <c r="K756" s="169"/>
      <c r="L756" s="169"/>
      <c r="M756" s="169"/>
      <c r="N756" s="177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78"/>
      <c r="AA756" s="167"/>
      <c r="AB756" s="169"/>
      <c r="AC756" s="169"/>
      <c r="AD756" s="169"/>
      <c r="AE756" s="169"/>
      <c r="AF756" s="169"/>
      <c r="AG756" s="179"/>
      <c r="AH756" s="169"/>
      <c r="AI756" s="168"/>
      <c r="AJ756" s="167"/>
      <c r="AK756" s="168"/>
      <c r="AL756" s="169"/>
      <c r="AM756" s="509"/>
      <c r="AN756" s="510"/>
      <c r="AO756" s="510"/>
    </row>
    <row r="757" spans="1:41">
      <c r="A757" s="177"/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77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78"/>
      <c r="AA757" s="167"/>
      <c r="AB757" s="169"/>
      <c r="AC757" s="169"/>
      <c r="AD757" s="169"/>
      <c r="AE757" s="169"/>
      <c r="AF757" s="169"/>
      <c r="AG757" s="179"/>
      <c r="AH757" s="169"/>
      <c r="AI757" s="168"/>
      <c r="AJ757" s="167"/>
      <c r="AK757" s="168"/>
      <c r="AL757" s="169"/>
      <c r="AM757" s="509"/>
      <c r="AN757" s="510"/>
      <c r="AO757" s="510"/>
    </row>
    <row r="758" spans="1:41">
      <c r="A758" s="177"/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77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78"/>
      <c r="AA758" s="167"/>
      <c r="AB758" s="169"/>
      <c r="AC758" s="169"/>
      <c r="AD758" s="169"/>
      <c r="AE758" s="169"/>
      <c r="AF758" s="169"/>
      <c r="AG758" s="179"/>
      <c r="AH758" s="169"/>
      <c r="AI758" s="168"/>
      <c r="AJ758" s="167"/>
      <c r="AK758" s="168"/>
      <c r="AL758" s="169"/>
      <c r="AM758" s="509"/>
      <c r="AN758" s="510"/>
      <c r="AO758" s="510"/>
    </row>
    <row r="759" spans="1:41">
      <c r="A759" s="177"/>
      <c r="B759" s="169"/>
      <c r="C759" s="169"/>
      <c r="D759" s="169"/>
      <c r="E759" s="169"/>
      <c r="F759" s="169"/>
      <c r="G759" s="169"/>
      <c r="H759" s="169"/>
      <c r="I759" s="169"/>
      <c r="J759" s="169"/>
      <c r="K759" s="169"/>
      <c r="L759" s="169"/>
      <c r="M759" s="169"/>
      <c r="N759" s="177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78"/>
      <c r="AA759" s="167"/>
      <c r="AB759" s="169"/>
      <c r="AC759" s="169"/>
      <c r="AD759" s="169"/>
      <c r="AE759" s="169"/>
      <c r="AF759" s="169"/>
      <c r="AG759" s="179"/>
      <c r="AH759" s="169"/>
      <c r="AI759" s="168"/>
      <c r="AJ759" s="167"/>
      <c r="AK759" s="168"/>
      <c r="AL759" s="169"/>
      <c r="AM759" s="509"/>
      <c r="AN759" s="510"/>
      <c r="AO759" s="510"/>
    </row>
    <row r="760" spans="1:41">
      <c r="A760" s="177"/>
      <c r="B760" s="169"/>
      <c r="C760" s="169"/>
      <c r="D760" s="169"/>
      <c r="E760" s="169"/>
      <c r="F760" s="169"/>
      <c r="G760" s="169"/>
      <c r="H760" s="169"/>
      <c r="I760" s="169"/>
      <c r="J760" s="169"/>
      <c r="K760" s="169"/>
      <c r="L760" s="169"/>
      <c r="M760" s="169"/>
      <c r="N760" s="177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78"/>
      <c r="AA760" s="167"/>
      <c r="AB760" s="169"/>
      <c r="AC760" s="169"/>
      <c r="AD760" s="169"/>
      <c r="AE760" s="169"/>
      <c r="AF760" s="169"/>
      <c r="AG760" s="179"/>
      <c r="AH760" s="169"/>
      <c r="AI760" s="168"/>
      <c r="AJ760" s="167"/>
      <c r="AK760" s="168"/>
      <c r="AL760" s="169"/>
      <c r="AM760" s="509"/>
      <c r="AN760" s="510"/>
      <c r="AO760" s="510"/>
    </row>
    <row r="761" spans="1:41">
      <c r="A761" s="177"/>
      <c r="B761" s="169"/>
      <c r="C761" s="169"/>
      <c r="D761" s="169"/>
      <c r="E761" s="169"/>
      <c r="F761" s="169"/>
      <c r="G761" s="169"/>
      <c r="H761" s="169"/>
      <c r="I761" s="169"/>
      <c r="J761" s="169"/>
      <c r="K761" s="169"/>
      <c r="L761" s="169"/>
      <c r="M761" s="169"/>
      <c r="N761" s="177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78"/>
      <c r="AA761" s="167"/>
      <c r="AB761" s="169"/>
      <c r="AC761" s="169"/>
      <c r="AD761" s="169"/>
      <c r="AE761" s="169"/>
      <c r="AF761" s="169"/>
      <c r="AG761" s="179"/>
      <c r="AH761" s="169"/>
      <c r="AI761" s="168"/>
      <c r="AJ761" s="167"/>
      <c r="AK761" s="168"/>
      <c r="AL761" s="169"/>
      <c r="AM761" s="509"/>
      <c r="AN761" s="510"/>
      <c r="AO761" s="510"/>
    </row>
    <row r="762" spans="1:41">
      <c r="A762" s="177"/>
      <c r="B762" s="169"/>
      <c r="C762" s="169"/>
      <c r="D762" s="169"/>
      <c r="E762" s="169"/>
      <c r="F762" s="169"/>
      <c r="G762" s="169"/>
      <c r="H762" s="169"/>
      <c r="I762" s="169"/>
      <c r="J762" s="169"/>
      <c r="K762" s="169"/>
      <c r="L762" s="169"/>
      <c r="M762" s="169"/>
      <c r="N762" s="177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78"/>
      <c r="AA762" s="167"/>
      <c r="AB762" s="169"/>
      <c r="AC762" s="169"/>
      <c r="AD762" s="169"/>
      <c r="AE762" s="169"/>
      <c r="AF762" s="169"/>
      <c r="AG762" s="179"/>
      <c r="AH762" s="169"/>
      <c r="AI762" s="168"/>
      <c r="AJ762" s="167"/>
      <c r="AK762" s="168"/>
      <c r="AL762" s="169"/>
      <c r="AM762" s="509"/>
      <c r="AN762" s="510"/>
      <c r="AO762" s="510"/>
    </row>
    <row r="763" spans="1:41">
      <c r="A763" s="177"/>
      <c r="B763" s="169"/>
      <c r="C763" s="169"/>
      <c r="D763" s="169"/>
      <c r="E763" s="169"/>
      <c r="F763" s="169"/>
      <c r="G763" s="169"/>
      <c r="H763" s="169"/>
      <c r="I763" s="169"/>
      <c r="J763" s="169"/>
      <c r="K763" s="169"/>
      <c r="L763" s="169"/>
      <c r="M763" s="169"/>
      <c r="N763" s="177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78"/>
      <c r="AA763" s="167"/>
      <c r="AB763" s="169"/>
      <c r="AC763" s="169"/>
      <c r="AD763" s="169"/>
      <c r="AE763" s="169"/>
      <c r="AF763" s="169"/>
      <c r="AG763" s="179"/>
      <c r="AH763" s="169"/>
      <c r="AI763" s="168"/>
      <c r="AJ763" s="167"/>
      <c r="AK763" s="168"/>
      <c r="AL763" s="169"/>
      <c r="AM763" s="509"/>
      <c r="AN763" s="510"/>
      <c r="AO763" s="510"/>
    </row>
    <row r="764" spans="1:41">
      <c r="A764" s="177"/>
      <c r="B764" s="169"/>
      <c r="C764" s="169"/>
      <c r="D764" s="169"/>
      <c r="E764" s="169"/>
      <c r="F764" s="169"/>
      <c r="G764" s="169"/>
      <c r="H764" s="169"/>
      <c r="I764" s="169"/>
      <c r="J764" s="169"/>
      <c r="K764" s="169"/>
      <c r="L764" s="169"/>
      <c r="M764" s="169"/>
      <c r="N764" s="177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78"/>
      <c r="AA764" s="167"/>
      <c r="AB764" s="169"/>
      <c r="AC764" s="169"/>
      <c r="AD764" s="169"/>
      <c r="AE764" s="169"/>
      <c r="AF764" s="169"/>
      <c r="AG764" s="179"/>
      <c r="AH764" s="169"/>
      <c r="AI764" s="168"/>
      <c r="AJ764" s="167"/>
      <c r="AK764" s="168"/>
      <c r="AL764" s="169"/>
      <c r="AM764" s="509"/>
      <c r="AN764" s="510"/>
      <c r="AO764" s="510"/>
    </row>
    <row r="765" spans="1:41">
      <c r="A765" s="177"/>
      <c r="B765" s="169"/>
      <c r="C765" s="169"/>
      <c r="D765" s="169"/>
      <c r="E765" s="169"/>
      <c r="F765" s="169"/>
      <c r="G765" s="169"/>
      <c r="H765" s="169"/>
      <c r="I765" s="169"/>
      <c r="J765" s="169"/>
      <c r="K765" s="169"/>
      <c r="L765" s="169"/>
      <c r="M765" s="169"/>
      <c r="N765" s="177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78"/>
      <c r="AA765" s="167"/>
      <c r="AB765" s="169"/>
      <c r="AC765" s="169"/>
      <c r="AD765" s="169"/>
      <c r="AE765" s="169"/>
      <c r="AF765" s="169"/>
      <c r="AG765" s="179"/>
      <c r="AH765" s="169"/>
      <c r="AI765" s="168"/>
      <c r="AJ765" s="167"/>
      <c r="AK765" s="168"/>
      <c r="AL765" s="169"/>
      <c r="AM765" s="509"/>
      <c r="AN765" s="510"/>
      <c r="AO765" s="510"/>
    </row>
    <row r="766" spans="1:41">
      <c r="A766" s="177"/>
      <c r="B766" s="169"/>
      <c r="C766" s="169"/>
      <c r="D766" s="169"/>
      <c r="E766" s="169"/>
      <c r="F766" s="169"/>
      <c r="G766" s="169"/>
      <c r="H766" s="169"/>
      <c r="I766" s="169"/>
      <c r="J766" s="169"/>
      <c r="K766" s="169"/>
      <c r="L766" s="169"/>
      <c r="M766" s="169"/>
      <c r="N766" s="177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78"/>
      <c r="AA766" s="167"/>
      <c r="AB766" s="169"/>
      <c r="AC766" s="169"/>
      <c r="AD766" s="169"/>
      <c r="AE766" s="169"/>
      <c r="AF766" s="169"/>
      <c r="AG766" s="179"/>
      <c r="AH766" s="169"/>
      <c r="AI766" s="168"/>
      <c r="AJ766" s="167"/>
      <c r="AK766" s="168"/>
      <c r="AL766" s="169"/>
      <c r="AM766" s="509"/>
      <c r="AN766" s="510"/>
      <c r="AO766" s="510"/>
    </row>
    <row r="767" spans="1:41">
      <c r="A767" s="177"/>
      <c r="B767" s="169"/>
      <c r="C767" s="169"/>
      <c r="D767" s="169"/>
      <c r="E767" s="169"/>
      <c r="F767" s="169"/>
      <c r="G767" s="169"/>
      <c r="H767" s="169"/>
      <c r="I767" s="169"/>
      <c r="J767" s="169"/>
      <c r="K767" s="169"/>
      <c r="L767" s="169"/>
      <c r="M767" s="169"/>
      <c r="N767" s="177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78"/>
      <c r="AA767" s="167"/>
      <c r="AB767" s="169"/>
      <c r="AC767" s="169"/>
      <c r="AD767" s="169"/>
      <c r="AE767" s="169"/>
      <c r="AF767" s="169"/>
      <c r="AG767" s="179"/>
      <c r="AH767" s="169"/>
      <c r="AI767" s="168"/>
      <c r="AJ767" s="167"/>
      <c r="AK767" s="168"/>
      <c r="AL767" s="169"/>
      <c r="AM767" s="509"/>
      <c r="AN767" s="510"/>
      <c r="AO767" s="510"/>
    </row>
    <row r="768" spans="1:41">
      <c r="A768" s="177"/>
      <c r="B768" s="169"/>
      <c r="C768" s="169"/>
      <c r="D768" s="169"/>
      <c r="E768" s="169"/>
      <c r="F768" s="169"/>
      <c r="G768" s="169"/>
      <c r="H768" s="169"/>
      <c r="I768" s="169"/>
      <c r="J768" s="169"/>
      <c r="K768" s="169"/>
      <c r="L768" s="169"/>
      <c r="M768" s="169"/>
      <c r="N768" s="177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78"/>
      <c r="AA768" s="167"/>
      <c r="AB768" s="169"/>
      <c r="AC768" s="169"/>
      <c r="AD768" s="169"/>
      <c r="AE768" s="169"/>
      <c r="AF768" s="169"/>
      <c r="AG768" s="179"/>
      <c r="AH768" s="169"/>
      <c r="AI768" s="168"/>
      <c r="AJ768" s="167"/>
      <c r="AK768" s="168"/>
      <c r="AL768" s="169"/>
      <c r="AM768" s="509"/>
      <c r="AN768" s="510"/>
      <c r="AO768" s="510"/>
    </row>
    <row r="769" spans="1:41">
      <c r="A769" s="177"/>
      <c r="B769" s="169"/>
      <c r="C769" s="169"/>
      <c r="D769" s="169"/>
      <c r="E769" s="169"/>
      <c r="F769" s="169"/>
      <c r="G769" s="169"/>
      <c r="H769" s="169"/>
      <c r="I769" s="169"/>
      <c r="J769" s="169"/>
      <c r="K769" s="169"/>
      <c r="L769" s="169"/>
      <c r="M769" s="169"/>
      <c r="N769" s="177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78"/>
      <c r="AA769" s="167"/>
      <c r="AB769" s="169"/>
      <c r="AC769" s="169"/>
      <c r="AD769" s="169"/>
      <c r="AE769" s="169"/>
      <c r="AF769" s="169"/>
      <c r="AG769" s="179"/>
      <c r="AH769" s="169"/>
      <c r="AI769" s="168"/>
      <c r="AJ769" s="167"/>
      <c r="AK769" s="168"/>
      <c r="AL769" s="169"/>
      <c r="AM769" s="509"/>
      <c r="AN769" s="510"/>
      <c r="AO769" s="510"/>
    </row>
    <row r="770" spans="1:41">
      <c r="A770" s="177"/>
      <c r="B770" s="169"/>
      <c r="C770" s="169"/>
      <c r="D770" s="169"/>
      <c r="E770" s="169"/>
      <c r="F770" s="169"/>
      <c r="G770" s="169"/>
      <c r="H770" s="169"/>
      <c r="I770" s="169"/>
      <c r="J770" s="169"/>
      <c r="K770" s="169"/>
      <c r="L770" s="169"/>
      <c r="M770" s="169"/>
      <c r="N770" s="177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78"/>
      <c r="AA770" s="167"/>
      <c r="AB770" s="169"/>
      <c r="AC770" s="169"/>
      <c r="AD770" s="169"/>
      <c r="AE770" s="169"/>
      <c r="AF770" s="169"/>
      <c r="AG770" s="179"/>
      <c r="AH770" s="169"/>
      <c r="AI770" s="168"/>
      <c r="AJ770" s="167"/>
      <c r="AK770" s="168"/>
      <c r="AL770" s="169"/>
      <c r="AM770" s="509"/>
      <c r="AN770" s="510"/>
      <c r="AO770" s="510"/>
    </row>
    <row r="771" spans="1:41">
      <c r="A771" s="177"/>
      <c r="B771" s="169"/>
      <c r="C771" s="169"/>
      <c r="D771" s="169"/>
      <c r="E771" s="169"/>
      <c r="F771" s="169"/>
      <c r="G771" s="169"/>
      <c r="H771" s="169"/>
      <c r="I771" s="169"/>
      <c r="J771" s="169"/>
      <c r="K771" s="169"/>
      <c r="L771" s="169"/>
      <c r="M771" s="169"/>
      <c r="N771" s="177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78"/>
      <c r="AA771" s="167"/>
      <c r="AB771" s="169"/>
      <c r="AC771" s="169"/>
      <c r="AD771" s="169"/>
      <c r="AE771" s="169"/>
      <c r="AF771" s="169"/>
      <c r="AG771" s="179"/>
      <c r="AH771" s="169"/>
      <c r="AI771" s="168"/>
      <c r="AJ771" s="167"/>
      <c r="AK771" s="168"/>
      <c r="AL771" s="169"/>
      <c r="AM771" s="509"/>
      <c r="AN771" s="510"/>
      <c r="AO771" s="510"/>
    </row>
    <row r="772" spans="1:41">
      <c r="A772" s="177"/>
      <c r="B772" s="169"/>
      <c r="C772" s="169"/>
      <c r="D772" s="169"/>
      <c r="E772" s="169"/>
      <c r="F772" s="169"/>
      <c r="G772" s="169"/>
      <c r="H772" s="169"/>
      <c r="I772" s="169"/>
      <c r="J772" s="169"/>
      <c r="K772" s="169"/>
      <c r="L772" s="169"/>
      <c r="M772" s="169"/>
      <c r="N772" s="177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78"/>
      <c r="AA772" s="167"/>
      <c r="AB772" s="169"/>
      <c r="AC772" s="169"/>
      <c r="AD772" s="169"/>
      <c r="AE772" s="169"/>
      <c r="AF772" s="169"/>
      <c r="AG772" s="179"/>
      <c r="AH772" s="169"/>
      <c r="AI772" s="168"/>
      <c r="AJ772" s="167"/>
      <c r="AK772" s="168"/>
      <c r="AL772" s="169"/>
      <c r="AM772" s="509"/>
      <c r="AN772" s="510"/>
      <c r="AO772" s="510"/>
    </row>
    <row r="773" spans="1:41">
      <c r="A773" s="177"/>
      <c r="B773" s="169"/>
      <c r="C773" s="169"/>
      <c r="D773" s="169"/>
      <c r="E773" s="169"/>
      <c r="F773" s="169"/>
      <c r="G773" s="169"/>
      <c r="H773" s="169"/>
      <c r="I773" s="169"/>
      <c r="J773" s="169"/>
      <c r="K773" s="169"/>
      <c r="L773" s="169"/>
      <c r="M773" s="169"/>
      <c r="N773" s="177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78"/>
      <c r="AA773" s="167"/>
      <c r="AB773" s="169"/>
      <c r="AC773" s="169"/>
      <c r="AD773" s="169"/>
      <c r="AE773" s="169"/>
      <c r="AF773" s="169"/>
      <c r="AG773" s="179"/>
      <c r="AH773" s="169"/>
      <c r="AI773" s="168"/>
      <c r="AJ773" s="167"/>
      <c r="AK773" s="168"/>
      <c r="AL773" s="169"/>
      <c r="AM773" s="509"/>
      <c r="AN773" s="510"/>
      <c r="AO773" s="510"/>
    </row>
    <row r="774" spans="1:41">
      <c r="A774" s="177"/>
      <c r="B774" s="169"/>
      <c r="C774" s="169"/>
      <c r="D774" s="169"/>
      <c r="E774" s="169"/>
      <c r="F774" s="169"/>
      <c r="G774" s="169"/>
      <c r="H774" s="169"/>
      <c r="I774" s="169"/>
      <c r="J774" s="169"/>
      <c r="K774" s="169"/>
      <c r="L774" s="169"/>
      <c r="M774" s="169"/>
      <c r="N774" s="177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78"/>
      <c r="AA774" s="167"/>
      <c r="AB774" s="169"/>
      <c r="AC774" s="169"/>
      <c r="AD774" s="169"/>
      <c r="AE774" s="169"/>
      <c r="AF774" s="169"/>
      <c r="AG774" s="179"/>
      <c r="AH774" s="169"/>
      <c r="AI774" s="168"/>
      <c r="AJ774" s="167"/>
      <c r="AK774" s="168"/>
      <c r="AL774" s="169"/>
      <c r="AM774" s="509"/>
      <c r="AN774" s="510"/>
      <c r="AO774" s="510"/>
    </row>
    <row r="775" spans="1:41">
      <c r="A775" s="177"/>
      <c r="B775" s="169"/>
      <c r="C775" s="169"/>
      <c r="D775" s="169"/>
      <c r="E775" s="169"/>
      <c r="F775" s="169"/>
      <c r="G775" s="169"/>
      <c r="H775" s="169"/>
      <c r="I775" s="169"/>
      <c r="J775" s="169"/>
      <c r="K775" s="169"/>
      <c r="L775" s="169"/>
      <c r="M775" s="169"/>
      <c r="N775" s="177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78"/>
      <c r="AA775" s="167"/>
      <c r="AB775" s="169"/>
      <c r="AC775" s="169"/>
      <c r="AD775" s="169"/>
      <c r="AE775" s="169"/>
      <c r="AF775" s="169"/>
      <c r="AG775" s="179"/>
      <c r="AH775" s="169"/>
      <c r="AI775" s="168"/>
      <c r="AJ775" s="167"/>
      <c r="AK775" s="168"/>
      <c r="AL775" s="169"/>
      <c r="AM775" s="509"/>
      <c r="AN775" s="510"/>
      <c r="AO775" s="510"/>
    </row>
    <row r="776" spans="1:41">
      <c r="A776" s="177"/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77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78"/>
      <c r="AA776" s="167"/>
      <c r="AB776" s="169"/>
      <c r="AC776" s="169"/>
      <c r="AD776" s="169"/>
      <c r="AE776" s="169"/>
      <c r="AF776" s="169"/>
      <c r="AG776" s="179"/>
      <c r="AH776" s="169"/>
      <c r="AI776" s="168"/>
      <c r="AJ776" s="167"/>
      <c r="AK776" s="168"/>
      <c r="AL776" s="169"/>
      <c r="AM776" s="509"/>
      <c r="AN776" s="510"/>
      <c r="AO776" s="510"/>
    </row>
    <row r="777" spans="1:41">
      <c r="A777" s="177"/>
      <c r="B777" s="169"/>
      <c r="C777" s="169"/>
      <c r="D777" s="169"/>
      <c r="E777" s="169"/>
      <c r="F777" s="169"/>
      <c r="G777" s="169"/>
      <c r="H777" s="169"/>
      <c r="I777" s="169"/>
      <c r="J777" s="169"/>
      <c r="K777" s="169"/>
      <c r="L777" s="169"/>
      <c r="M777" s="169"/>
      <c r="N777" s="177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78"/>
      <c r="AA777" s="167"/>
      <c r="AB777" s="169"/>
      <c r="AC777" s="169"/>
      <c r="AD777" s="169"/>
      <c r="AE777" s="169"/>
      <c r="AF777" s="169"/>
      <c r="AG777" s="179"/>
      <c r="AH777" s="169"/>
      <c r="AI777" s="168"/>
      <c r="AJ777" s="167"/>
      <c r="AK777" s="168"/>
      <c r="AL777" s="169"/>
      <c r="AM777" s="509"/>
      <c r="AN777" s="510"/>
      <c r="AO777" s="510"/>
    </row>
    <row r="778" spans="1:41">
      <c r="A778" s="177"/>
      <c r="B778" s="169"/>
      <c r="C778" s="169"/>
      <c r="D778" s="169"/>
      <c r="E778" s="169"/>
      <c r="F778" s="169"/>
      <c r="G778" s="169"/>
      <c r="H778" s="169"/>
      <c r="I778" s="169"/>
      <c r="J778" s="169"/>
      <c r="K778" s="169"/>
      <c r="L778" s="169"/>
      <c r="M778" s="169"/>
      <c r="N778" s="177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78"/>
      <c r="AA778" s="167"/>
      <c r="AB778" s="169"/>
      <c r="AC778" s="169"/>
      <c r="AD778" s="169"/>
      <c r="AE778" s="169"/>
      <c r="AF778" s="169"/>
      <c r="AG778" s="179"/>
      <c r="AH778" s="169"/>
      <c r="AI778" s="168"/>
      <c r="AJ778" s="167"/>
      <c r="AK778" s="168"/>
      <c r="AL778" s="169"/>
      <c r="AM778" s="509"/>
      <c r="AN778" s="510"/>
      <c r="AO778" s="510"/>
    </row>
    <row r="779" spans="1:41">
      <c r="A779" s="177"/>
      <c r="B779" s="169"/>
      <c r="C779" s="169"/>
      <c r="D779" s="169"/>
      <c r="E779" s="169"/>
      <c r="F779" s="169"/>
      <c r="G779" s="169"/>
      <c r="H779" s="169"/>
      <c r="I779" s="169"/>
      <c r="J779" s="169"/>
      <c r="K779" s="169"/>
      <c r="L779" s="169"/>
      <c r="M779" s="169"/>
      <c r="N779" s="177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78"/>
      <c r="AA779" s="167"/>
      <c r="AB779" s="169"/>
      <c r="AC779" s="169"/>
      <c r="AD779" s="169"/>
      <c r="AE779" s="169"/>
      <c r="AF779" s="169"/>
      <c r="AG779" s="179"/>
      <c r="AH779" s="169"/>
      <c r="AI779" s="168"/>
      <c r="AJ779" s="167"/>
      <c r="AK779" s="168"/>
      <c r="AL779" s="169"/>
      <c r="AM779" s="509"/>
      <c r="AN779" s="510"/>
      <c r="AO779" s="510"/>
    </row>
    <row r="780" spans="1:41">
      <c r="A780" s="177"/>
      <c r="B780" s="169"/>
      <c r="C780" s="169"/>
      <c r="D780" s="169"/>
      <c r="E780" s="169"/>
      <c r="F780" s="169"/>
      <c r="G780" s="169"/>
      <c r="H780" s="169"/>
      <c r="I780" s="169"/>
      <c r="J780" s="169"/>
      <c r="K780" s="169"/>
      <c r="L780" s="169"/>
      <c r="M780" s="169"/>
      <c r="N780" s="177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78"/>
      <c r="AA780" s="167"/>
      <c r="AB780" s="169"/>
      <c r="AC780" s="169"/>
      <c r="AD780" s="169"/>
      <c r="AE780" s="169"/>
      <c r="AF780" s="169"/>
      <c r="AG780" s="179"/>
      <c r="AH780" s="169"/>
      <c r="AI780" s="168"/>
      <c r="AJ780" s="167"/>
      <c r="AK780" s="168"/>
      <c r="AL780" s="169"/>
      <c r="AM780" s="509"/>
      <c r="AN780" s="510"/>
      <c r="AO780" s="510"/>
    </row>
    <row r="781" spans="1:41">
      <c r="A781" s="177"/>
      <c r="B781" s="169"/>
      <c r="C781" s="169"/>
      <c r="D781" s="169"/>
      <c r="E781" s="169"/>
      <c r="F781" s="169"/>
      <c r="G781" s="169"/>
      <c r="H781" s="169"/>
      <c r="I781" s="169"/>
      <c r="J781" s="169"/>
      <c r="K781" s="169"/>
      <c r="L781" s="169"/>
      <c r="M781" s="169"/>
      <c r="N781" s="177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78"/>
      <c r="AA781" s="167"/>
      <c r="AB781" s="169"/>
      <c r="AC781" s="169"/>
      <c r="AD781" s="169"/>
      <c r="AE781" s="169"/>
      <c r="AF781" s="169"/>
      <c r="AG781" s="179"/>
      <c r="AH781" s="169"/>
      <c r="AI781" s="168"/>
      <c r="AJ781" s="167"/>
      <c r="AK781" s="168"/>
      <c r="AL781" s="169"/>
      <c r="AM781" s="509"/>
      <c r="AN781" s="510"/>
      <c r="AO781" s="510"/>
    </row>
    <row r="782" spans="1:41">
      <c r="A782" s="177"/>
      <c r="B782" s="169"/>
      <c r="C782" s="169"/>
      <c r="D782" s="169"/>
      <c r="E782" s="169"/>
      <c r="F782" s="169"/>
      <c r="G782" s="169"/>
      <c r="H782" s="169"/>
      <c r="I782" s="169"/>
      <c r="J782" s="169"/>
      <c r="K782" s="169"/>
      <c r="L782" s="169"/>
      <c r="M782" s="169"/>
      <c r="N782" s="177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78"/>
      <c r="AA782" s="167"/>
      <c r="AB782" s="169"/>
      <c r="AC782" s="169"/>
      <c r="AD782" s="169"/>
      <c r="AE782" s="169"/>
      <c r="AF782" s="169"/>
      <c r="AG782" s="179"/>
      <c r="AH782" s="169"/>
      <c r="AI782" s="168"/>
      <c r="AJ782" s="167"/>
      <c r="AK782" s="168"/>
      <c r="AL782" s="169"/>
      <c r="AM782" s="509"/>
      <c r="AN782" s="510"/>
      <c r="AO782" s="510"/>
    </row>
    <row r="783" spans="1:41">
      <c r="A783" s="177"/>
      <c r="B783" s="169"/>
      <c r="C783" s="169"/>
      <c r="D783" s="169"/>
      <c r="E783" s="169"/>
      <c r="F783" s="169"/>
      <c r="G783" s="169"/>
      <c r="H783" s="169"/>
      <c r="I783" s="169"/>
      <c r="J783" s="169"/>
      <c r="K783" s="169"/>
      <c r="L783" s="169"/>
      <c r="M783" s="169"/>
      <c r="N783" s="177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78"/>
      <c r="AA783" s="167"/>
      <c r="AB783" s="169"/>
      <c r="AC783" s="169"/>
      <c r="AD783" s="169"/>
      <c r="AE783" s="169"/>
      <c r="AF783" s="169"/>
      <c r="AG783" s="179"/>
      <c r="AH783" s="169"/>
      <c r="AI783" s="168"/>
      <c r="AJ783" s="167"/>
      <c r="AK783" s="168"/>
      <c r="AL783" s="169"/>
      <c r="AM783" s="509"/>
      <c r="AN783" s="510"/>
      <c r="AO783" s="510"/>
    </row>
    <row r="784" spans="1:41">
      <c r="A784" s="177"/>
      <c r="B784" s="169"/>
      <c r="C784" s="169"/>
      <c r="D784" s="169"/>
      <c r="E784" s="169"/>
      <c r="F784" s="169"/>
      <c r="G784" s="169"/>
      <c r="H784" s="169"/>
      <c r="I784" s="169"/>
      <c r="J784" s="169"/>
      <c r="K784" s="169"/>
      <c r="L784" s="169"/>
      <c r="M784" s="169"/>
      <c r="N784" s="177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78"/>
      <c r="AA784" s="167"/>
      <c r="AB784" s="169"/>
      <c r="AC784" s="169"/>
      <c r="AD784" s="169"/>
      <c r="AE784" s="169"/>
      <c r="AF784" s="169"/>
      <c r="AG784" s="179"/>
      <c r="AH784" s="169"/>
      <c r="AI784" s="168"/>
      <c r="AJ784" s="167"/>
      <c r="AK784" s="168"/>
      <c r="AL784" s="169"/>
      <c r="AM784" s="509"/>
      <c r="AN784" s="510"/>
      <c r="AO784" s="510"/>
    </row>
    <row r="785" spans="1:41">
      <c r="A785" s="177"/>
      <c r="B785" s="169"/>
      <c r="C785" s="169"/>
      <c r="D785" s="169"/>
      <c r="E785" s="169"/>
      <c r="F785" s="169"/>
      <c r="G785" s="169"/>
      <c r="H785" s="169"/>
      <c r="I785" s="169"/>
      <c r="J785" s="169"/>
      <c r="K785" s="169"/>
      <c r="L785" s="169"/>
      <c r="M785" s="169"/>
      <c r="N785" s="177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78"/>
      <c r="AA785" s="167"/>
      <c r="AB785" s="169"/>
      <c r="AC785" s="169"/>
      <c r="AD785" s="169"/>
      <c r="AE785" s="169"/>
      <c r="AF785" s="169"/>
      <c r="AG785" s="179"/>
      <c r="AH785" s="169"/>
      <c r="AI785" s="168"/>
      <c r="AJ785" s="167"/>
      <c r="AK785" s="168"/>
      <c r="AL785" s="169"/>
      <c r="AM785" s="509"/>
      <c r="AN785" s="510"/>
      <c r="AO785" s="510"/>
    </row>
    <row r="786" spans="1:41">
      <c r="A786" s="177"/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77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78"/>
      <c r="AA786" s="167"/>
      <c r="AB786" s="169"/>
      <c r="AC786" s="169"/>
      <c r="AD786" s="169"/>
      <c r="AE786" s="169"/>
      <c r="AF786" s="169"/>
      <c r="AG786" s="179"/>
      <c r="AH786" s="169"/>
      <c r="AI786" s="168"/>
      <c r="AJ786" s="167"/>
      <c r="AK786" s="168"/>
      <c r="AL786" s="169"/>
      <c r="AM786" s="509"/>
      <c r="AN786" s="510"/>
      <c r="AO786" s="510"/>
    </row>
    <row r="787" spans="1:41">
      <c r="A787" s="177"/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77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78"/>
      <c r="AA787" s="167"/>
      <c r="AB787" s="169"/>
      <c r="AC787" s="169"/>
      <c r="AD787" s="169"/>
      <c r="AE787" s="169"/>
      <c r="AF787" s="169"/>
      <c r="AG787" s="179"/>
      <c r="AH787" s="169"/>
      <c r="AI787" s="168"/>
      <c r="AJ787" s="167"/>
      <c r="AK787" s="168"/>
      <c r="AL787" s="169"/>
      <c r="AM787" s="509"/>
      <c r="AN787" s="510"/>
      <c r="AO787" s="510"/>
    </row>
    <row r="788" spans="1:41">
      <c r="A788" s="177"/>
      <c r="B788" s="169"/>
      <c r="C788" s="169"/>
      <c r="D788" s="169"/>
      <c r="E788" s="169"/>
      <c r="F788" s="169"/>
      <c r="G788" s="169"/>
      <c r="H788" s="169"/>
      <c r="I788" s="169"/>
      <c r="J788" s="169"/>
      <c r="K788" s="169"/>
      <c r="L788" s="169"/>
      <c r="M788" s="169"/>
      <c r="N788" s="177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78"/>
      <c r="AA788" s="167"/>
      <c r="AB788" s="169"/>
      <c r="AC788" s="169"/>
      <c r="AD788" s="169"/>
      <c r="AE788" s="169"/>
      <c r="AF788" s="169"/>
      <c r="AG788" s="179"/>
      <c r="AH788" s="169"/>
      <c r="AI788" s="168"/>
      <c r="AJ788" s="167"/>
      <c r="AK788" s="168"/>
      <c r="AL788" s="169"/>
      <c r="AM788" s="509"/>
      <c r="AN788" s="510"/>
      <c r="AO788" s="510"/>
    </row>
    <row r="789" spans="1:41">
      <c r="A789" s="177"/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77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78"/>
      <c r="AA789" s="167"/>
      <c r="AB789" s="169"/>
      <c r="AC789" s="169"/>
      <c r="AD789" s="169"/>
      <c r="AE789" s="169"/>
      <c r="AF789" s="169"/>
      <c r="AG789" s="179"/>
      <c r="AH789" s="169"/>
      <c r="AI789" s="168"/>
      <c r="AJ789" s="167"/>
      <c r="AK789" s="168"/>
      <c r="AL789" s="169"/>
      <c r="AM789" s="509"/>
      <c r="AN789" s="510"/>
      <c r="AO789" s="510"/>
    </row>
    <row r="790" spans="1:41">
      <c r="A790" s="177"/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77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78"/>
      <c r="AA790" s="167"/>
      <c r="AB790" s="169"/>
      <c r="AC790" s="169"/>
      <c r="AD790" s="169"/>
      <c r="AE790" s="169"/>
      <c r="AF790" s="169"/>
      <c r="AG790" s="179"/>
      <c r="AH790" s="169"/>
      <c r="AI790" s="168"/>
      <c r="AJ790" s="167"/>
      <c r="AK790" s="168"/>
      <c r="AL790" s="169"/>
      <c r="AM790" s="509"/>
      <c r="AN790" s="510"/>
      <c r="AO790" s="510"/>
    </row>
    <row r="791" spans="1:41">
      <c r="A791" s="177"/>
      <c r="B791" s="169"/>
      <c r="C791" s="169"/>
      <c r="D791" s="169"/>
      <c r="E791" s="169"/>
      <c r="F791" s="169"/>
      <c r="G791" s="169"/>
      <c r="H791" s="169"/>
      <c r="I791" s="169"/>
      <c r="J791" s="169"/>
      <c r="K791" s="169"/>
      <c r="L791" s="169"/>
      <c r="M791" s="169"/>
      <c r="N791" s="177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78"/>
      <c r="AA791" s="167"/>
      <c r="AB791" s="169"/>
      <c r="AC791" s="169"/>
      <c r="AD791" s="169"/>
      <c r="AE791" s="169"/>
      <c r="AF791" s="169"/>
      <c r="AG791" s="179"/>
      <c r="AH791" s="169"/>
      <c r="AI791" s="168"/>
      <c r="AJ791" s="167"/>
      <c r="AK791" s="168"/>
      <c r="AL791" s="169"/>
      <c r="AM791" s="509"/>
      <c r="AN791" s="510"/>
      <c r="AO791" s="510"/>
    </row>
    <row r="792" spans="1:41">
      <c r="A792" s="177"/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77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78"/>
      <c r="AA792" s="167"/>
      <c r="AB792" s="169"/>
      <c r="AC792" s="169"/>
      <c r="AD792" s="169"/>
      <c r="AE792" s="169"/>
      <c r="AF792" s="169"/>
      <c r="AG792" s="179"/>
      <c r="AH792" s="169"/>
      <c r="AI792" s="168"/>
      <c r="AJ792" s="167"/>
      <c r="AK792" s="168"/>
      <c r="AL792" s="169"/>
      <c r="AM792" s="509"/>
      <c r="AN792" s="510"/>
      <c r="AO792" s="510"/>
    </row>
    <row r="793" spans="1:41">
      <c r="A793" s="177"/>
      <c r="B793" s="169"/>
      <c r="C793" s="169"/>
      <c r="D793" s="169"/>
      <c r="E793" s="169"/>
      <c r="F793" s="169"/>
      <c r="G793" s="169"/>
      <c r="H793" s="169"/>
      <c r="I793" s="169"/>
      <c r="J793" s="169"/>
      <c r="K793" s="169"/>
      <c r="L793" s="169"/>
      <c r="M793" s="169"/>
      <c r="N793" s="177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78"/>
      <c r="AA793" s="167"/>
      <c r="AB793" s="169"/>
      <c r="AC793" s="169"/>
      <c r="AD793" s="169"/>
      <c r="AE793" s="169"/>
      <c r="AF793" s="169"/>
      <c r="AG793" s="179"/>
      <c r="AH793" s="169"/>
      <c r="AI793" s="168"/>
      <c r="AJ793" s="167"/>
      <c r="AK793" s="168"/>
      <c r="AL793" s="169"/>
      <c r="AM793" s="509"/>
      <c r="AN793" s="510"/>
      <c r="AO793" s="510"/>
    </row>
    <row r="794" spans="1:41">
      <c r="A794" s="177"/>
      <c r="B794" s="169"/>
      <c r="C794" s="169"/>
      <c r="D794" s="169"/>
      <c r="E794" s="169"/>
      <c r="F794" s="169"/>
      <c r="G794" s="169"/>
      <c r="H794" s="169"/>
      <c r="I794" s="169"/>
      <c r="J794" s="169"/>
      <c r="K794" s="169"/>
      <c r="L794" s="169"/>
      <c r="M794" s="169"/>
      <c r="N794" s="177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78"/>
      <c r="AA794" s="167"/>
      <c r="AB794" s="169"/>
      <c r="AC794" s="169"/>
      <c r="AD794" s="169"/>
      <c r="AE794" s="169"/>
      <c r="AF794" s="169"/>
      <c r="AG794" s="179"/>
      <c r="AH794" s="169"/>
      <c r="AI794" s="168"/>
      <c r="AJ794" s="167"/>
      <c r="AK794" s="168"/>
      <c r="AL794" s="169"/>
      <c r="AM794" s="509"/>
      <c r="AN794" s="510"/>
      <c r="AO794" s="510"/>
    </row>
    <row r="795" spans="1:41">
      <c r="A795" s="177"/>
      <c r="B795" s="169"/>
      <c r="C795" s="169"/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77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78"/>
      <c r="AA795" s="167"/>
      <c r="AB795" s="169"/>
      <c r="AC795" s="169"/>
      <c r="AD795" s="169"/>
      <c r="AE795" s="169"/>
      <c r="AF795" s="169"/>
      <c r="AG795" s="179"/>
      <c r="AH795" s="169"/>
      <c r="AI795" s="168"/>
      <c r="AJ795" s="167"/>
      <c r="AK795" s="168"/>
      <c r="AL795" s="169"/>
      <c r="AM795" s="509"/>
      <c r="AN795" s="510"/>
      <c r="AO795" s="510"/>
    </row>
    <row r="796" spans="1:41">
      <c r="A796" s="177"/>
      <c r="B796" s="169"/>
      <c r="C796" s="169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77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78"/>
      <c r="AA796" s="167"/>
      <c r="AB796" s="169"/>
      <c r="AC796" s="169"/>
      <c r="AD796" s="169"/>
      <c r="AE796" s="169"/>
      <c r="AF796" s="169"/>
      <c r="AG796" s="179"/>
      <c r="AH796" s="169"/>
      <c r="AI796" s="168"/>
      <c r="AJ796" s="167"/>
      <c r="AK796" s="168"/>
      <c r="AL796" s="169"/>
      <c r="AM796" s="509"/>
      <c r="AN796" s="510"/>
      <c r="AO796" s="510"/>
    </row>
    <row r="797" spans="1:41">
      <c r="A797" s="177"/>
      <c r="B797" s="169"/>
      <c r="C797" s="169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77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78"/>
      <c r="AA797" s="167"/>
      <c r="AB797" s="169"/>
      <c r="AC797" s="169"/>
      <c r="AD797" s="169"/>
      <c r="AE797" s="169"/>
      <c r="AF797" s="169"/>
      <c r="AG797" s="179"/>
      <c r="AH797" s="169"/>
      <c r="AI797" s="168"/>
      <c r="AJ797" s="167"/>
      <c r="AK797" s="168"/>
      <c r="AL797" s="169"/>
      <c r="AM797" s="509"/>
      <c r="AN797" s="510"/>
      <c r="AO797" s="510"/>
    </row>
    <row r="798" spans="1:41">
      <c r="A798" s="177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77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78"/>
      <c r="AA798" s="167"/>
      <c r="AB798" s="169"/>
      <c r="AC798" s="169"/>
      <c r="AD798" s="169"/>
      <c r="AE798" s="169"/>
      <c r="AF798" s="169"/>
      <c r="AG798" s="179"/>
      <c r="AH798" s="169"/>
      <c r="AI798" s="168"/>
      <c r="AJ798" s="167"/>
      <c r="AK798" s="168"/>
      <c r="AL798" s="169"/>
      <c r="AM798" s="509"/>
      <c r="AN798" s="510"/>
      <c r="AO798" s="510"/>
    </row>
    <row r="799" spans="1:41">
      <c r="A799" s="177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77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78"/>
      <c r="AA799" s="167"/>
      <c r="AB799" s="169"/>
      <c r="AC799" s="169"/>
      <c r="AD799" s="169"/>
      <c r="AE799" s="169"/>
      <c r="AF799" s="169"/>
      <c r="AG799" s="179"/>
      <c r="AH799" s="169"/>
      <c r="AI799" s="168"/>
      <c r="AJ799" s="167"/>
      <c r="AK799" s="168"/>
      <c r="AL799" s="169"/>
      <c r="AM799" s="509"/>
      <c r="AN799" s="510"/>
      <c r="AO799" s="510"/>
    </row>
    <row r="800" spans="1:41">
      <c r="A800" s="177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77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78"/>
      <c r="AA800" s="167"/>
      <c r="AB800" s="169"/>
      <c r="AC800" s="169"/>
      <c r="AD800" s="169"/>
      <c r="AE800" s="169"/>
      <c r="AF800" s="169"/>
      <c r="AG800" s="179"/>
      <c r="AH800" s="169"/>
      <c r="AI800" s="168"/>
      <c r="AJ800" s="167"/>
      <c r="AK800" s="168"/>
      <c r="AL800" s="169"/>
      <c r="AM800" s="509"/>
      <c r="AN800" s="510"/>
      <c r="AO800" s="510"/>
    </row>
    <row r="801" spans="1:41">
      <c r="A801" s="177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77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78"/>
      <c r="AA801" s="167"/>
      <c r="AB801" s="169"/>
      <c r="AC801" s="169"/>
      <c r="AD801" s="169"/>
      <c r="AE801" s="169"/>
      <c r="AF801" s="169"/>
      <c r="AG801" s="179"/>
      <c r="AH801" s="169"/>
      <c r="AI801" s="168"/>
      <c r="AJ801" s="167"/>
      <c r="AK801" s="168"/>
      <c r="AL801" s="169"/>
      <c r="AM801" s="509"/>
      <c r="AN801" s="510"/>
      <c r="AO801" s="510"/>
    </row>
    <row r="802" spans="1:41">
      <c r="A802" s="177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77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78"/>
      <c r="AA802" s="167"/>
      <c r="AB802" s="169"/>
      <c r="AC802" s="169"/>
      <c r="AD802" s="169"/>
      <c r="AE802" s="169"/>
      <c r="AF802" s="169"/>
      <c r="AG802" s="179"/>
      <c r="AH802" s="169"/>
      <c r="AI802" s="168"/>
      <c r="AJ802" s="167"/>
      <c r="AK802" s="168"/>
      <c r="AL802" s="169"/>
      <c r="AM802" s="509"/>
      <c r="AN802" s="510"/>
      <c r="AO802" s="510"/>
    </row>
    <row r="803" spans="1:41">
      <c r="A803" s="177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77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78"/>
      <c r="AA803" s="167"/>
      <c r="AB803" s="169"/>
      <c r="AC803" s="169"/>
      <c r="AD803" s="169"/>
      <c r="AE803" s="169"/>
      <c r="AF803" s="169"/>
      <c r="AG803" s="179"/>
      <c r="AH803" s="169"/>
      <c r="AI803" s="168"/>
      <c r="AJ803" s="167"/>
      <c r="AK803" s="168"/>
      <c r="AL803" s="169"/>
      <c r="AM803" s="509"/>
      <c r="AN803" s="510"/>
      <c r="AO803" s="510"/>
    </row>
    <row r="804" spans="1:41">
      <c r="A804" s="177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77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78"/>
      <c r="AA804" s="167"/>
      <c r="AB804" s="169"/>
      <c r="AC804" s="169"/>
      <c r="AD804" s="169"/>
      <c r="AE804" s="169"/>
      <c r="AF804" s="169"/>
      <c r="AG804" s="179"/>
      <c r="AH804" s="169"/>
      <c r="AI804" s="168"/>
      <c r="AJ804" s="167"/>
      <c r="AK804" s="168"/>
      <c r="AL804" s="169"/>
      <c r="AM804" s="509"/>
      <c r="AN804" s="510"/>
      <c r="AO804" s="510"/>
    </row>
    <row r="805" spans="1:41">
      <c r="A805" s="177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77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78"/>
      <c r="AA805" s="167"/>
      <c r="AB805" s="169"/>
      <c r="AC805" s="169"/>
      <c r="AD805" s="169"/>
      <c r="AE805" s="169"/>
      <c r="AF805" s="169"/>
      <c r="AG805" s="179"/>
      <c r="AH805" s="169"/>
      <c r="AI805" s="168"/>
      <c r="AJ805" s="167"/>
      <c r="AK805" s="168"/>
      <c r="AL805" s="169"/>
      <c r="AM805" s="509"/>
      <c r="AN805" s="510"/>
      <c r="AO805" s="510"/>
    </row>
    <row r="806" spans="1:41">
      <c r="A806" s="177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77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78"/>
      <c r="AA806" s="167"/>
      <c r="AB806" s="169"/>
      <c r="AC806" s="169"/>
      <c r="AD806" s="169"/>
      <c r="AE806" s="169"/>
      <c r="AF806" s="169"/>
      <c r="AG806" s="179"/>
      <c r="AH806" s="169"/>
      <c r="AI806" s="168"/>
      <c r="AJ806" s="167"/>
      <c r="AK806" s="168"/>
      <c r="AL806" s="169"/>
      <c r="AM806" s="509"/>
      <c r="AN806" s="510"/>
      <c r="AO806" s="510"/>
    </row>
    <row r="807" spans="1:41">
      <c r="A807" s="177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77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78"/>
      <c r="AA807" s="167"/>
      <c r="AB807" s="169"/>
      <c r="AC807" s="169"/>
      <c r="AD807" s="169"/>
      <c r="AE807" s="169"/>
      <c r="AF807" s="169"/>
      <c r="AG807" s="179"/>
      <c r="AH807" s="169"/>
      <c r="AI807" s="168"/>
      <c r="AJ807" s="167"/>
      <c r="AK807" s="168"/>
      <c r="AL807" s="169"/>
      <c r="AM807" s="509"/>
      <c r="AN807" s="510"/>
      <c r="AO807" s="510"/>
    </row>
    <row r="808" spans="1:41">
      <c r="A808" s="177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77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78"/>
      <c r="AA808" s="167"/>
      <c r="AB808" s="169"/>
      <c r="AC808" s="169"/>
      <c r="AD808" s="169"/>
      <c r="AE808" s="169"/>
      <c r="AF808" s="169"/>
      <c r="AG808" s="179"/>
      <c r="AH808" s="169"/>
      <c r="AI808" s="168"/>
      <c r="AJ808" s="167"/>
      <c r="AK808" s="168"/>
      <c r="AL808" s="169"/>
      <c r="AM808" s="509"/>
      <c r="AN808" s="510"/>
      <c r="AO808" s="510"/>
    </row>
    <row r="809" spans="1:41">
      <c r="A809" s="177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77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78"/>
      <c r="AA809" s="167"/>
      <c r="AB809" s="169"/>
      <c r="AC809" s="169"/>
      <c r="AD809" s="169"/>
      <c r="AE809" s="169"/>
      <c r="AF809" s="169"/>
      <c r="AG809" s="179"/>
      <c r="AH809" s="169"/>
      <c r="AI809" s="168"/>
      <c r="AJ809" s="167"/>
      <c r="AK809" s="168"/>
      <c r="AL809" s="169"/>
      <c r="AM809" s="509"/>
      <c r="AN809" s="510"/>
      <c r="AO809" s="510"/>
    </row>
    <row r="810" spans="1:41">
      <c r="A810" s="177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77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78"/>
      <c r="AA810" s="167"/>
      <c r="AB810" s="169"/>
      <c r="AC810" s="169"/>
      <c r="AD810" s="169"/>
      <c r="AE810" s="169"/>
      <c r="AF810" s="169"/>
      <c r="AG810" s="179"/>
      <c r="AH810" s="169"/>
      <c r="AI810" s="168"/>
      <c r="AJ810" s="167"/>
      <c r="AK810" s="168"/>
      <c r="AL810" s="169"/>
      <c r="AM810" s="509"/>
      <c r="AN810" s="510"/>
      <c r="AO810" s="510"/>
    </row>
    <row r="811" spans="1:41">
      <c r="A811" s="177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77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78"/>
      <c r="AA811" s="167"/>
      <c r="AB811" s="169"/>
      <c r="AC811" s="169"/>
      <c r="AD811" s="169"/>
      <c r="AE811" s="169"/>
      <c r="AF811" s="169"/>
      <c r="AG811" s="179"/>
      <c r="AH811" s="169"/>
      <c r="AI811" s="168"/>
      <c r="AJ811" s="167"/>
      <c r="AK811" s="168"/>
      <c r="AL811" s="169"/>
      <c r="AM811" s="509"/>
      <c r="AN811" s="510"/>
      <c r="AO811" s="510"/>
    </row>
    <row r="812" spans="1:41">
      <c r="A812" s="177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77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78"/>
      <c r="AA812" s="167"/>
      <c r="AB812" s="169"/>
      <c r="AC812" s="169"/>
      <c r="AD812" s="169"/>
      <c r="AE812" s="169"/>
      <c r="AF812" s="169"/>
      <c r="AG812" s="179"/>
      <c r="AH812" s="169"/>
      <c r="AI812" s="168"/>
      <c r="AJ812" s="167"/>
      <c r="AK812" s="168"/>
      <c r="AL812" s="169"/>
      <c r="AM812" s="509"/>
      <c r="AN812" s="510"/>
      <c r="AO812" s="510"/>
    </row>
    <row r="813" spans="1:41">
      <c r="A813" s="177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77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78"/>
      <c r="AA813" s="167"/>
      <c r="AB813" s="169"/>
      <c r="AC813" s="169"/>
      <c r="AD813" s="169"/>
      <c r="AE813" s="169"/>
      <c r="AF813" s="169"/>
      <c r="AG813" s="179"/>
      <c r="AH813" s="169"/>
      <c r="AI813" s="168"/>
      <c r="AJ813" s="167"/>
      <c r="AK813" s="168"/>
      <c r="AL813" s="169"/>
      <c r="AM813" s="509"/>
      <c r="AN813" s="510"/>
      <c r="AO813" s="510"/>
    </row>
    <row r="814" spans="1:41">
      <c r="A814" s="177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77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78"/>
      <c r="AA814" s="167"/>
      <c r="AB814" s="169"/>
      <c r="AC814" s="169"/>
      <c r="AD814" s="169"/>
      <c r="AE814" s="169"/>
      <c r="AF814" s="169"/>
      <c r="AG814" s="179"/>
      <c r="AH814" s="169"/>
      <c r="AI814" s="168"/>
      <c r="AJ814" s="167"/>
      <c r="AK814" s="168"/>
      <c r="AL814" s="169"/>
      <c r="AM814" s="509"/>
      <c r="AN814" s="510"/>
      <c r="AO814" s="510"/>
    </row>
    <row r="815" spans="1:41">
      <c r="A815" s="177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77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78"/>
      <c r="AA815" s="167"/>
      <c r="AB815" s="169"/>
      <c r="AC815" s="169"/>
      <c r="AD815" s="169"/>
      <c r="AE815" s="169"/>
      <c r="AF815" s="169"/>
      <c r="AG815" s="179"/>
      <c r="AH815" s="169"/>
      <c r="AI815" s="168"/>
      <c r="AJ815" s="167"/>
      <c r="AK815" s="168"/>
      <c r="AL815" s="169"/>
      <c r="AM815" s="509"/>
      <c r="AN815" s="510"/>
      <c r="AO815" s="510"/>
    </row>
    <row r="816" spans="1:41">
      <c r="A816" s="177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77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78"/>
      <c r="AA816" s="167"/>
      <c r="AB816" s="169"/>
      <c r="AC816" s="169"/>
      <c r="AD816" s="169"/>
      <c r="AE816" s="169"/>
      <c r="AF816" s="169"/>
      <c r="AG816" s="179"/>
      <c r="AH816" s="169"/>
      <c r="AI816" s="168"/>
      <c r="AJ816" s="167"/>
      <c r="AK816" s="168"/>
      <c r="AL816" s="169"/>
      <c r="AM816" s="509"/>
      <c r="AN816" s="510"/>
      <c r="AO816" s="510"/>
    </row>
    <row r="817" spans="1:41">
      <c r="A817" s="177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77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78"/>
      <c r="AA817" s="167"/>
      <c r="AB817" s="169"/>
      <c r="AC817" s="169"/>
      <c r="AD817" s="169"/>
      <c r="AE817" s="169"/>
      <c r="AF817" s="169"/>
      <c r="AG817" s="179"/>
      <c r="AH817" s="169"/>
      <c r="AI817" s="168"/>
      <c r="AJ817" s="167"/>
      <c r="AK817" s="168"/>
      <c r="AL817" s="169"/>
      <c r="AM817" s="509"/>
      <c r="AN817" s="510"/>
      <c r="AO817" s="510"/>
    </row>
    <row r="818" spans="1:41">
      <c r="A818" s="177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77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78"/>
      <c r="AA818" s="167"/>
      <c r="AB818" s="169"/>
      <c r="AC818" s="169"/>
      <c r="AD818" s="169"/>
      <c r="AE818" s="169"/>
      <c r="AF818" s="169"/>
      <c r="AG818" s="179"/>
      <c r="AH818" s="169"/>
      <c r="AI818" s="168"/>
      <c r="AJ818" s="167"/>
      <c r="AK818" s="168"/>
      <c r="AL818" s="169"/>
      <c r="AM818" s="509"/>
      <c r="AN818" s="510"/>
      <c r="AO818" s="510"/>
    </row>
    <row r="819" spans="1:41">
      <c r="A819" s="177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77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78"/>
      <c r="AA819" s="167"/>
      <c r="AB819" s="169"/>
      <c r="AC819" s="169"/>
      <c r="AD819" s="169"/>
      <c r="AE819" s="169"/>
      <c r="AF819" s="169"/>
      <c r="AG819" s="179"/>
      <c r="AH819" s="169"/>
      <c r="AI819" s="168"/>
      <c r="AJ819" s="167"/>
      <c r="AK819" s="168"/>
      <c r="AL819" s="169"/>
      <c r="AM819" s="509"/>
      <c r="AN819" s="510"/>
      <c r="AO819" s="510"/>
    </row>
    <row r="820" spans="1:41">
      <c r="A820" s="177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77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78"/>
      <c r="AA820" s="167"/>
      <c r="AB820" s="169"/>
      <c r="AC820" s="169"/>
      <c r="AD820" s="169"/>
      <c r="AE820" s="169"/>
      <c r="AF820" s="169"/>
      <c r="AG820" s="179"/>
      <c r="AH820" s="169"/>
      <c r="AI820" s="168"/>
      <c r="AJ820" s="167"/>
      <c r="AK820" s="168"/>
      <c r="AL820" s="169"/>
      <c r="AM820" s="509"/>
      <c r="AN820" s="510"/>
      <c r="AO820" s="510"/>
    </row>
    <row r="821" spans="1:41">
      <c r="A821" s="177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77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78"/>
      <c r="AA821" s="167"/>
      <c r="AB821" s="169"/>
      <c r="AC821" s="169"/>
      <c r="AD821" s="169"/>
      <c r="AE821" s="169"/>
      <c r="AF821" s="169"/>
      <c r="AG821" s="179"/>
      <c r="AH821" s="169"/>
      <c r="AI821" s="168"/>
      <c r="AJ821" s="167"/>
      <c r="AK821" s="168"/>
      <c r="AL821" s="169"/>
      <c r="AM821" s="509"/>
      <c r="AN821" s="510"/>
      <c r="AO821" s="510"/>
    </row>
    <row r="822" spans="1:41">
      <c r="A822" s="177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77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78"/>
      <c r="AA822" s="167"/>
      <c r="AB822" s="169"/>
      <c r="AC822" s="169"/>
      <c r="AD822" s="169"/>
      <c r="AE822" s="169"/>
      <c r="AF822" s="169"/>
      <c r="AG822" s="179"/>
      <c r="AH822" s="169"/>
      <c r="AI822" s="168"/>
      <c r="AJ822" s="167"/>
      <c r="AK822" s="168"/>
      <c r="AL822" s="169"/>
      <c r="AM822" s="509"/>
      <c r="AN822" s="510"/>
      <c r="AO822" s="510"/>
    </row>
    <row r="823" spans="1:41">
      <c r="A823" s="177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77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78"/>
      <c r="AA823" s="167"/>
      <c r="AB823" s="169"/>
      <c r="AC823" s="169"/>
      <c r="AD823" s="169"/>
      <c r="AE823" s="169"/>
      <c r="AF823" s="169"/>
      <c r="AG823" s="179"/>
      <c r="AH823" s="169"/>
      <c r="AI823" s="168"/>
      <c r="AJ823" s="167"/>
      <c r="AK823" s="168"/>
      <c r="AL823" s="169"/>
      <c r="AM823" s="509"/>
      <c r="AN823" s="510"/>
      <c r="AO823" s="510"/>
    </row>
    <row r="824" spans="1:41">
      <c r="A824" s="177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77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78"/>
      <c r="AA824" s="167"/>
      <c r="AB824" s="169"/>
      <c r="AC824" s="169"/>
      <c r="AD824" s="169"/>
      <c r="AE824" s="169"/>
      <c r="AF824" s="169"/>
      <c r="AG824" s="179"/>
      <c r="AH824" s="169"/>
      <c r="AI824" s="168"/>
      <c r="AJ824" s="167"/>
      <c r="AK824" s="168"/>
      <c r="AL824" s="169"/>
      <c r="AM824" s="509"/>
      <c r="AN824" s="510"/>
      <c r="AO824" s="510"/>
    </row>
    <row r="825" spans="1:41">
      <c r="A825" s="177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77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78"/>
      <c r="AA825" s="167"/>
      <c r="AB825" s="169"/>
      <c r="AC825" s="169"/>
      <c r="AD825" s="169"/>
      <c r="AE825" s="169"/>
      <c r="AF825" s="169"/>
      <c r="AG825" s="179"/>
      <c r="AH825" s="169"/>
      <c r="AI825" s="168"/>
      <c r="AJ825" s="167"/>
      <c r="AK825" s="168"/>
      <c r="AL825" s="169"/>
      <c r="AM825" s="509"/>
      <c r="AN825" s="510"/>
      <c r="AO825" s="510"/>
    </row>
    <row r="826" spans="1:41">
      <c r="A826" s="177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77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78"/>
      <c r="AA826" s="167"/>
      <c r="AB826" s="169"/>
      <c r="AC826" s="169"/>
      <c r="AD826" s="169"/>
      <c r="AE826" s="169"/>
      <c r="AF826" s="169"/>
      <c r="AG826" s="179"/>
      <c r="AH826" s="169"/>
      <c r="AI826" s="168"/>
      <c r="AJ826" s="167"/>
      <c r="AK826" s="168"/>
      <c r="AL826" s="169"/>
      <c r="AM826" s="509"/>
      <c r="AN826" s="510"/>
      <c r="AO826" s="510"/>
    </row>
    <row r="827" spans="1:41">
      <c r="A827" s="177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77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78"/>
      <c r="AA827" s="167"/>
      <c r="AB827" s="169"/>
      <c r="AC827" s="169"/>
      <c r="AD827" s="169"/>
      <c r="AE827" s="169"/>
      <c r="AF827" s="169"/>
      <c r="AG827" s="179"/>
      <c r="AH827" s="169"/>
      <c r="AI827" s="168"/>
      <c r="AJ827" s="167"/>
      <c r="AK827" s="168"/>
      <c r="AL827" s="169"/>
      <c r="AM827" s="509"/>
      <c r="AN827" s="510"/>
      <c r="AO827" s="510"/>
    </row>
    <row r="828" spans="1:41">
      <c r="A828" s="177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77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78"/>
      <c r="AA828" s="167"/>
      <c r="AB828" s="169"/>
      <c r="AC828" s="169"/>
      <c r="AD828" s="169"/>
      <c r="AE828" s="169"/>
      <c r="AF828" s="169"/>
      <c r="AG828" s="179"/>
      <c r="AH828" s="169"/>
      <c r="AI828" s="168"/>
      <c r="AJ828" s="167"/>
      <c r="AK828" s="168"/>
      <c r="AL828" s="169"/>
      <c r="AM828" s="509"/>
      <c r="AN828" s="510"/>
      <c r="AO828" s="510"/>
    </row>
    <row r="829" spans="1:41">
      <c r="A829" s="177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77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78"/>
      <c r="AA829" s="167"/>
      <c r="AB829" s="169"/>
      <c r="AC829" s="169"/>
      <c r="AD829" s="169"/>
      <c r="AE829" s="169"/>
      <c r="AF829" s="169"/>
      <c r="AG829" s="179"/>
      <c r="AH829" s="169"/>
      <c r="AI829" s="168"/>
      <c r="AJ829" s="167"/>
      <c r="AK829" s="168"/>
      <c r="AL829" s="169"/>
      <c r="AM829" s="509"/>
      <c r="AN829" s="510"/>
      <c r="AO829" s="510"/>
    </row>
    <row r="830" spans="1:41">
      <c r="A830" s="177"/>
      <c r="B830" s="169"/>
      <c r="C830" s="169"/>
      <c r="D830" s="169"/>
      <c r="E830" s="169"/>
      <c r="F830" s="169"/>
      <c r="G830" s="169"/>
      <c r="H830" s="169"/>
      <c r="I830" s="169"/>
      <c r="J830" s="169"/>
      <c r="K830" s="169"/>
      <c r="L830" s="169"/>
      <c r="M830" s="169"/>
      <c r="N830" s="177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78"/>
      <c r="AA830" s="167"/>
      <c r="AB830" s="169"/>
      <c r="AC830" s="169"/>
      <c r="AD830" s="169"/>
      <c r="AE830" s="169"/>
      <c r="AF830" s="169"/>
      <c r="AG830" s="179"/>
      <c r="AH830" s="169"/>
      <c r="AI830" s="168"/>
      <c r="AJ830" s="167"/>
      <c r="AK830" s="168"/>
      <c r="AL830" s="169"/>
      <c r="AM830" s="509"/>
      <c r="AN830" s="510"/>
      <c r="AO830" s="510"/>
    </row>
    <row r="831" spans="1:41">
      <c r="A831" s="177"/>
      <c r="B831" s="169"/>
      <c r="C831" s="169"/>
      <c r="D831" s="169"/>
      <c r="E831" s="169"/>
      <c r="F831" s="169"/>
      <c r="G831" s="169"/>
      <c r="H831" s="169"/>
      <c r="I831" s="169"/>
      <c r="J831" s="169"/>
      <c r="K831" s="169"/>
      <c r="L831" s="169"/>
      <c r="M831" s="169"/>
      <c r="N831" s="177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78"/>
      <c r="AA831" s="167"/>
      <c r="AB831" s="169"/>
      <c r="AC831" s="169"/>
      <c r="AD831" s="169"/>
      <c r="AE831" s="169"/>
      <c r="AF831" s="169"/>
      <c r="AG831" s="179"/>
      <c r="AH831" s="169"/>
      <c r="AI831" s="168"/>
      <c r="AJ831" s="167"/>
      <c r="AK831" s="168"/>
      <c r="AL831" s="169"/>
      <c r="AM831" s="509"/>
      <c r="AN831" s="510"/>
      <c r="AO831" s="510"/>
    </row>
    <row r="832" spans="1:41">
      <c r="A832" s="177"/>
      <c r="B832" s="169"/>
      <c r="C832" s="169"/>
      <c r="D832" s="169"/>
      <c r="E832" s="169"/>
      <c r="F832" s="169"/>
      <c r="G832" s="169"/>
      <c r="H832" s="169"/>
      <c r="I832" s="169"/>
      <c r="J832" s="169"/>
      <c r="K832" s="169"/>
      <c r="L832" s="169"/>
      <c r="M832" s="169"/>
      <c r="N832" s="177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78"/>
      <c r="AA832" s="167"/>
      <c r="AB832" s="169"/>
      <c r="AC832" s="169"/>
      <c r="AD832" s="169"/>
      <c r="AE832" s="169"/>
      <c r="AF832" s="169"/>
      <c r="AG832" s="179"/>
      <c r="AH832" s="169"/>
      <c r="AI832" s="168"/>
      <c r="AJ832" s="167"/>
      <c r="AK832" s="168"/>
      <c r="AL832" s="169"/>
      <c r="AM832" s="509"/>
      <c r="AN832" s="510"/>
      <c r="AO832" s="510"/>
    </row>
    <row r="833" spans="1:41">
      <c r="A833" s="177"/>
      <c r="B833" s="169"/>
      <c r="C833" s="169"/>
      <c r="D833" s="169"/>
      <c r="E833" s="169"/>
      <c r="F833" s="169"/>
      <c r="G833" s="169"/>
      <c r="H833" s="169"/>
      <c r="I833" s="169"/>
      <c r="J833" s="169"/>
      <c r="K833" s="169"/>
      <c r="L833" s="169"/>
      <c r="M833" s="169"/>
      <c r="N833" s="177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78"/>
      <c r="AA833" s="167"/>
      <c r="AB833" s="169"/>
      <c r="AC833" s="169"/>
      <c r="AD833" s="169"/>
      <c r="AE833" s="169"/>
      <c r="AF833" s="169"/>
      <c r="AG833" s="179"/>
      <c r="AH833" s="169"/>
      <c r="AI833" s="168"/>
      <c r="AJ833" s="167"/>
      <c r="AK833" s="168"/>
      <c r="AL833" s="169"/>
      <c r="AM833" s="509"/>
      <c r="AN833" s="510"/>
      <c r="AO833" s="510"/>
    </row>
    <row r="834" spans="1:41">
      <c r="A834" s="177"/>
      <c r="B834" s="169"/>
      <c r="C834" s="169"/>
      <c r="D834" s="169"/>
      <c r="E834" s="169"/>
      <c r="F834" s="169"/>
      <c r="G834" s="169"/>
      <c r="H834" s="169"/>
      <c r="I834" s="169"/>
      <c r="J834" s="169"/>
      <c r="K834" s="169"/>
      <c r="L834" s="169"/>
      <c r="M834" s="169"/>
      <c r="N834" s="177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78"/>
      <c r="AA834" s="167"/>
      <c r="AB834" s="169"/>
      <c r="AC834" s="169"/>
      <c r="AD834" s="169"/>
      <c r="AE834" s="169"/>
      <c r="AF834" s="169"/>
      <c r="AG834" s="179"/>
      <c r="AH834" s="169"/>
      <c r="AI834" s="168"/>
      <c r="AJ834" s="167"/>
      <c r="AK834" s="168"/>
      <c r="AL834" s="169"/>
      <c r="AM834" s="509"/>
      <c r="AN834" s="510"/>
      <c r="AO834" s="510"/>
    </row>
    <row r="835" spans="1:41">
      <c r="A835" s="177"/>
      <c r="B835" s="169"/>
      <c r="C835" s="169"/>
      <c r="D835" s="169"/>
      <c r="E835" s="169"/>
      <c r="F835" s="169"/>
      <c r="G835" s="169"/>
      <c r="H835" s="169"/>
      <c r="I835" s="169"/>
      <c r="J835" s="169"/>
      <c r="K835" s="169"/>
      <c r="L835" s="169"/>
      <c r="M835" s="169"/>
      <c r="N835" s="177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78"/>
      <c r="AA835" s="167"/>
      <c r="AB835" s="169"/>
      <c r="AC835" s="169"/>
      <c r="AD835" s="169"/>
      <c r="AE835" s="169"/>
      <c r="AF835" s="169"/>
      <c r="AG835" s="179"/>
      <c r="AH835" s="169"/>
      <c r="AI835" s="168"/>
      <c r="AJ835" s="167"/>
      <c r="AK835" s="168"/>
      <c r="AL835" s="169"/>
      <c r="AM835" s="509"/>
      <c r="AN835" s="510"/>
      <c r="AO835" s="510"/>
    </row>
    <row r="836" spans="1:41">
      <c r="A836" s="177"/>
      <c r="B836" s="169"/>
      <c r="C836" s="169"/>
      <c r="D836" s="169"/>
      <c r="E836" s="169"/>
      <c r="F836" s="169"/>
      <c r="G836" s="169"/>
      <c r="H836" s="169"/>
      <c r="I836" s="169"/>
      <c r="J836" s="169"/>
      <c r="K836" s="169"/>
      <c r="L836" s="169"/>
      <c r="M836" s="169"/>
      <c r="N836" s="177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78"/>
      <c r="AA836" s="167"/>
      <c r="AB836" s="169"/>
      <c r="AC836" s="169"/>
      <c r="AD836" s="169"/>
      <c r="AE836" s="169"/>
      <c r="AF836" s="169"/>
      <c r="AG836" s="179"/>
      <c r="AH836" s="169"/>
      <c r="AI836" s="168"/>
      <c r="AJ836" s="167"/>
      <c r="AK836" s="168"/>
      <c r="AL836" s="169"/>
      <c r="AM836" s="509"/>
      <c r="AN836" s="510"/>
      <c r="AO836" s="510"/>
    </row>
    <row r="837" spans="1:41">
      <c r="A837" s="177"/>
      <c r="B837" s="169"/>
      <c r="C837" s="169"/>
      <c r="D837" s="169"/>
      <c r="E837" s="169"/>
      <c r="F837" s="169"/>
      <c r="G837" s="169"/>
      <c r="H837" s="169"/>
      <c r="I837" s="169"/>
      <c r="J837" s="169"/>
      <c r="K837" s="169"/>
      <c r="L837" s="169"/>
      <c r="M837" s="169"/>
      <c r="N837" s="177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78"/>
      <c r="AA837" s="167"/>
      <c r="AB837" s="169"/>
      <c r="AC837" s="169"/>
      <c r="AD837" s="169"/>
      <c r="AE837" s="169"/>
      <c r="AF837" s="169"/>
      <c r="AG837" s="179"/>
      <c r="AH837" s="169"/>
      <c r="AI837" s="168"/>
      <c r="AJ837" s="167"/>
      <c r="AK837" s="168"/>
      <c r="AL837" s="169"/>
      <c r="AM837" s="509"/>
      <c r="AN837" s="510"/>
      <c r="AO837" s="510"/>
    </row>
    <row r="838" spans="1:41">
      <c r="A838" s="177"/>
      <c r="B838" s="169"/>
      <c r="C838" s="169"/>
      <c r="D838" s="169"/>
      <c r="E838" s="169"/>
      <c r="F838" s="169"/>
      <c r="G838" s="169"/>
      <c r="H838" s="169"/>
      <c r="I838" s="169"/>
      <c r="J838" s="169"/>
      <c r="K838" s="169"/>
      <c r="L838" s="169"/>
      <c r="M838" s="169"/>
      <c r="N838" s="177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78"/>
      <c r="AA838" s="167"/>
      <c r="AB838" s="169"/>
      <c r="AC838" s="169"/>
      <c r="AD838" s="169"/>
      <c r="AE838" s="169"/>
      <c r="AF838" s="169"/>
      <c r="AG838" s="179"/>
      <c r="AH838" s="169"/>
      <c r="AI838" s="168"/>
      <c r="AJ838" s="167"/>
      <c r="AK838" s="168"/>
      <c r="AL838" s="169"/>
      <c r="AM838" s="509"/>
      <c r="AN838" s="510"/>
      <c r="AO838" s="510"/>
    </row>
    <row r="839" spans="1:41">
      <c r="A839" s="177"/>
      <c r="B839" s="169"/>
      <c r="C839" s="169"/>
      <c r="D839" s="169"/>
      <c r="E839" s="169"/>
      <c r="F839" s="169"/>
      <c r="G839" s="169"/>
      <c r="H839" s="169"/>
      <c r="I839" s="169"/>
      <c r="J839" s="169"/>
      <c r="K839" s="169"/>
      <c r="L839" s="169"/>
      <c r="M839" s="169"/>
      <c r="N839" s="177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78"/>
      <c r="AA839" s="167"/>
      <c r="AB839" s="169"/>
      <c r="AC839" s="169"/>
      <c r="AD839" s="169"/>
      <c r="AE839" s="169"/>
      <c r="AF839" s="169"/>
      <c r="AG839" s="179"/>
      <c r="AH839" s="169"/>
      <c r="AI839" s="168"/>
      <c r="AJ839" s="167"/>
      <c r="AK839" s="168"/>
      <c r="AL839" s="169"/>
      <c r="AM839" s="509"/>
      <c r="AN839" s="510"/>
      <c r="AO839" s="510"/>
    </row>
    <row r="840" spans="1:41">
      <c r="A840" s="177"/>
      <c r="B840" s="169"/>
      <c r="C840" s="169"/>
      <c r="D840" s="169"/>
      <c r="E840" s="169"/>
      <c r="F840" s="169"/>
      <c r="G840" s="169"/>
      <c r="H840" s="169"/>
      <c r="I840" s="169"/>
      <c r="J840" s="169"/>
      <c r="K840" s="169"/>
      <c r="L840" s="169"/>
      <c r="M840" s="169"/>
      <c r="N840" s="177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78"/>
      <c r="AA840" s="167"/>
      <c r="AB840" s="169"/>
      <c r="AC840" s="169"/>
      <c r="AD840" s="169"/>
      <c r="AE840" s="169"/>
      <c r="AF840" s="169"/>
      <c r="AG840" s="179"/>
      <c r="AH840" s="169"/>
      <c r="AI840" s="168"/>
      <c r="AJ840" s="167"/>
      <c r="AK840" s="168"/>
      <c r="AL840" s="169"/>
      <c r="AM840" s="509"/>
      <c r="AN840" s="510"/>
      <c r="AO840" s="510"/>
    </row>
    <row r="841" spans="1:41">
      <c r="A841" s="177"/>
      <c r="B841" s="169"/>
      <c r="C841" s="169"/>
      <c r="D841" s="169"/>
      <c r="E841" s="169"/>
      <c r="F841" s="169"/>
      <c r="G841" s="169"/>
      <c r="H841" s="169"/>
      <c r="I841" s="169"/>
      <c r="J841" s="169"/>
      <c r="K841" s="169"/>
      <c r="L841" s="169"/>
      <c r="M841" s="169"/>
      <c r="N841" s="177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78"/>
      <c r="AA841" s="167"/>
      <c r="AB841" s="169"/>
      <c r="AC841" s="169"/>
      <c r="AD841" s="169"/>
      <c r="AE841" s="169"/>
      <c r="AF841" s="169"/>
      <c r="AG841" s="179"/>
      <c r="AH841" s="169"/>
      <c r="AI841" s="168"/>
      <c r="AJ841" s="167"/>
      <c r="AK841" s="168"/>
      <c r="AL841" s="169"/>
      <c r="AM841" s="509"/>
      <c r="AN841" s="510"/>
      <c r="AO841" s="510"/>
    </row>
    <row r="842" spans="1:41">
      <c r="A842" s="177"/>
      <c r="B842" s="169"/>
      <c r="C842" s="169"/>
      <c r="D842" s="169"/>
      <c r="E842" s="169"/>
      <c r="F842" s="169"/>
      <c r="G842" s="169"/>
      <c r="H842" s="169"/>
      <c r="I842" s="169"/>
      <c r="J842" s="169"/>
      <c r="K842" s="169"/>
      <c r="L842" s="169"/>
      <c r="M842" s="169"/>
      <c r="N842" s="177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78"/>
      <c r="AA842" s="167"/>
      <c r="AB842" s="169"/>
      <c r="AC842" s="169"/>
      <c r="AD842" s="169"/>
      <c r="AE842" s="169"/>
      <c r="AF842" s="169"/>
      <c r="AG842" s="179"/>
      <c r="AH842" s="169"/>
      <c r="AI842" s="168"/>
      <c r="AJ842" s="167"/>
      <c r="AK842" s="168"/>
      <c r="AL842" s="169"/>
      <c r="AM842" s="509"/>
      <c r="AN842" s="510"/>
      <c r="AO842" s="510"/>
    </row>
    <row r="843" spans="1:41">
      <c r="A843" s="177"/>
      <c r="B843" s="169"/>
      <c r="C843" s="169"/>
      <c r="D843" s="169"/>
      <c r="E843" s="169"/>
      <c r="F843" s="169"/>
      <c r="G843" s="169"/>
      <c r="H843" s="169"/>
      <c r="I843" s="169"/>
      <c r="J843" s="169"/>
      <c r="K843" s="169"/>
      <c r="L843" s="169"/>
      <c r="M843" s="169"/>
      <c r="N843" s="177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78"/>
      <c r="AA843" s="167"/>
      <c r="AB843" s="169"/>
      <c r="AC843" s="169"/>
      <c r="AD843" s="169"/>
      <c r="AE843" s="169"/>
      <c r="AF843" s="169"/>
      <c r="AG843" s="179"/>
      <c r="AH843" s="169"/>
      <c r="AI843" s="168"/>
      <c r="AJ843" s="167"/>
      <c r="AK843" s="168"/>
      <c r="AL843" s="169"/>
      <c r="AM843" s="509"/>
      <c r="AN843" s="510"/>
      <c r="AO843" s="510"/>
    </row>
    <row r="844" spans="1:41">
      <c r="A844" s="177"/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77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78"/>
      <c r="AA844" s="167"/>
      <c r="AB844" s="169"/>
      <c r="AC844" s="169"/>
      <c r="AD844" s="169"/>
      <c r="AE844" s="169"/>
      <c r="AF844" s="169"/>
      <c r="AG844" s="179"/>
      <c r="AH844" s="169"/>
      <c r="AI844" s="168"/>
      <c r="AJ844" s="167"/>
      <c r="AK844" s="168"/>
      <c r="AL844" s="169"/>
      <c r="AM844" s="509"/>
      <c r="AN844" s="510"/>
      <c r="AO844" s="510"/>
    </row>
    <row r="845" spans="1:41">
      <c r="A845" s="177"/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77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78"/>
      <c r="AA845" s="167"/>
      <c r="AB845" s="169"/>
      <c r="AC845" s="169"/>
      <c r="AD845" s="169"/>
      <c r="AE845" s="169"/>
      <c r="AF845" s="169"/>
      <c r="AG845" s="179"/>
      <c r="AH845" s="169"/>
      <c r="AI845" s="168"/>
      <c r="AJ845" s="167"/>
      <c r="AK845" s="168"/>
      <c r="AL845" s="169"/>
      <c r="AM845" s="509"/>
      <c r="AN845" s="510"/>
      <c r="AO845" s="510"/>
    </row>
    <row r="846" spans="1:41">
      <c r="A846" s="177"/>
      <c r="B846" s="169"/>
      <c r="C846" s="169"/>
      <c r="D846" s="169"/>
      <c r="E846" s="169"/>
      <c r="F846" s="169"/>
      <c r="G846" s="169"/>
      <c r="H846" s="169"/>
      <c r="I846" s="169"/>
      <c r="J846" s="169"/>
      <c r="K846" s="169"/>
      <c r="L846" s="169"/>
      <c r="M846" s="169"/>
      <c r="N846" s="177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78"/>
      <c r="AA846" s="167"/>
      <c r="AB846" s="169"/>
      <c r="AC846" s="169"/>
      <c r="AD846" s="169"/>
      <c r="AE846" s="169"/>
      <c r="AF846" s="169"/>
      <c r="AG846" s="179"/>
      <c r="AH846" s="169"/>
      <c r="AI846" s="168"/>
      <c r="AJ846" s="167"/>
      <c r="AK846" s="168"/>
      <c r="AL846" s="169"/>
      <c r="AM846" s="509"/>
      <c r="AN846" s="510"/>
      <c r="AO846" s="510"/>
    </row>
    <row r="847" spans="1:41">
      <c r="A847" s="177"/>
      <c r="B847" s="169"/>
      <c r="C847" s="169"/>
      <c r="D847" s="169"/>
      <c r="E847" s="169"/>
      <c r="F847" s="169"/>
      <c r="G847" s="169"/>
      <c r="H847" s="169"/>
      <c r="I847" s="169"/>
      <c r="J847" s="169"/>
      <c r="K847" s="169"/>
      <c r="L847" s="169"/>
      <c r="M847" s="169"/>
      <c r="N847" s="177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78"/>
      <c r="AA847" s="167"/>
      <c r="AB847" s="169"/>
      <c r="AC847" s="169"/>
      <c r="AD847" s="169"/>
      <c r="AE847" s="169"/>
      <c r="AF847" s="169"/>
      <c r="AG847" s="179"/>
      <c r="AH847" s="169"/>
      <c r="AI847" s="168"/>
      <c r="AJ847" s="167"/>
      <c r="AK847" s="168"/>
      <c r="AL847" s="169"/>
      <c r="AM847" s="509"/>
      <c r="AN847" s="510"/>
      <c r="AO847" s="510"/>
    </row>
    <row r="848" spans="1:41">
      <c r="A848" s="177"/>
      <c r="B848" s="169"/>
      <c r="C848" s="169"/>
      <c r="D848" s="169"/>
      <c r="E848" s="169"/>
      <c r="F848" s="169"/>
      <c r="G848" s="169"/>
      <c r="H848" s="169"/>
      <c r="I848" s="169"/>
      <c r="J848" s="169"/>
      <c r="K848" s="169"/>
      <c r="L848" s="169"/>
      <c r="M848" s="169"/>
      <c r="N848" s="177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78"/>
      <c r="AA848" s="167"/>
      <c r="AB848" s="169"/>
      <c r="AC848" s="169"/>
      <c r="AD848" s="169"/>
      <c r="AE848" s="169"/>
      <c r="AF848" s="169"/>
      <c r="AG848" s="179"/>
      <c r="AH848" s="169"/>
      <c r="AI848" s="168"/>
      <c r="AJ848" s="167"/>
      <c r="AK848" s="168"/>
      <c r="AL848" s="169"/>
      <c r="AM848" s="509"/>
      <c r="AN848" s="510"/>
      <c r="AO848" s="510"/>
    </row>
    <row r="849" spans="1:41">
      <c r="A849" s="177"/>
      <c r="B849" s="169"/>
      <c r="C849" s="169"/>
      <c r="D849" s="169"/>
      <c r="E849" s="169"/>
      <c r="F849" s="169"/>
      <c r="G849" s="169"/>
      <c r="H849" s="169"/>
      <c r="I849" s="169"/>
      <c r="J849" s="169"/>
      <c r="K849" s="169"/>
      <c r="L849" s="169"/>
      <c r="M849" s="169"/>
      <c r="N849" s="177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78"/>
      <c r="AA849" s="167"/>
      <c r="AB849" s="169"/>
      <c r="AC849" s="169"/>
      <c r="AD849" s="169"/>
      <c r="AE849" s="169"/>
      <c r="AF849" s="169"/>
      <c r="AG849" s="179"/>
      <c r="AH849" s="169"/>
      <c r="AI849" s="168"/>
      <c r="AJ849" s="167"/>
      <c r="AK849" s="168"/>
      <c r="AL849" s="169"/>
      <c r="AM849" s="509"/>
      <c r="AN849" s="510"/>
      <c r="AO849" s="510"/>
    </row>
    <row r="850" spans="1:41">
      <c r="A850" s="177"/>
      <c r="B850" s="169"/>
      <c r="C850" s="169"/>
      <c r="D850" s="169"/>
      <c r="E850" s="169"/>
      <c r="F850" s="169"/>
      <c r="G850" s="169"/>
      <c r="H850" s="169"/>
      <c r="I850" s="169"/>
      <c r="J850" s="169"/>
      <c r="K850" s="169"/>
      <c r="L850" s="169"/>
      <c r="M850" s="169"/>
      <c r="N850" s="177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78"/>
      <c r="AA850" s="167"/>
      <c r="AB850" s="169"/>
      <c r="AC850" s="169"/>
      <c r="AD850" s="169"/>
      <c r="AE850" s="169"/>
      <c r="AF850" s="169"/>
      <c r="AG850" s="179"/>
      <c r="AH850" s="169"/>
      <c r="AI850" s="168"/>
      <c r="AJ850" s="167"/>
      <c r="AK850" s="168"/>
      <c r="AL850" s="169"/>
      <c r="AM850" s="509"/>
      <c r="AN850" s="510"/>
      <c r="AO850" s="510"/>
    </row>
    <row r="851" spans="1:41">
      <c r="A851" s="177"/>
      <c r="B851" s="169"/>
      <c r="C851" s="169"/>
      <c r="D851" s="169"/>
      <c r="E851" s="169"/>
      <c r="F851" s="169"/>
      <c r="G851" s="169"/>
      <c r="H851" s="169"/>
      <c r="I851" s="169"/>
      <c r="J851" s="169"/>
      <c r="K851" s="169"/>
      <c r="L851" s="169"/>
      <c r="M851" s="169"/>
      <c r="N851" s="177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78"/>
      <c r="AA851" s="167"/>
      <c r="AB851" s="169"/>
      <c r="AC851" s="169"/>
      <c r="AD851" s="169"/>
      <c r="AE851" s="169"/>
      <c r="AF851" s="169"/>
      <c r="AG851" s="179"/>
      <c r="AH851" s="169"/>
      <c r="AI851" s="168"/>
      <c r="AJ851" s="167"/>
      <c r="AK851" s="168"/>
      <c r="AL851" s="169"/>
      <c r="AM851" s="509"/>
      <c r="AN851" s="510"/>
      <c r="AO851" s="510"/>
    </row>
    <row r="852" spans="1:41">
      <c r="A852" s="177"/>
      <c r="B852" s="169"/>
      <c r="C852" s="169"/>
      <c r="D852" s="169"/>
      <c r="E852" s="169"/>
      <c r="F852" s="169"/>
      <c r="G852" s="169"/>
      <c r="H852" s="169"/>
      <c r="I852" s="169"/>
      <c r="J852" s="169"/>
      <c r="K852" s="169"/>
      <c r="L852" s="169"/>
      <c r="M852" s="169"/>
      <c r="N852" s="177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78"/>
      <c r="AA852" s="167"/>
      <c r="AB852" s="169"/>
      <c r="AC852" s="169"/>
      <c r="AD852" s="169"/>
      <c r="AE852" s="169"/>
      <c r="AF852" s="169"/>
      <c r="AG852" s="179"/>
      <c r="AH852" s="169"/>
      <c r="AI852" s="168"/>
      <c r="AJ852" s="167"/>
      <c r="AK852" s="168"/>
      <c r="AL852" s="169"/>
      <c r="AM852" s="509"/>
      <c r="AN852" s="510"/>
      <c r="AO852" s="510"/>
    </row>
    <row r="853" spans="1:41">
      <c r="A853" s="177"/>
      <c r="B853" s="169"/>
      <c r="C853" s="169"/>
      <c r="D853" s="169"/>
      <c r="E853" s="169"/>
      <c r="F853" s="169"/>
      <c r="G853" s="169"/>
      <c r="H853" s="169"/>
      <c r="I853" s="169"/>
      <c r="J853" s="169"/>
      <c r="K853" s="169"/>
      <c r="L853" s="169"/>
      <c r="M853" s="169"/>
      <c r="N853" s="177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78"/>
      <c r="AA853" s="167"/>
      <c r="AB853" s="169"/>
      <c r="AC853" s="169"/>
      <c r="AD853" s="169"/>
      <c r="AE853" s="169"/>
      <c r="AF853" s="169"/>
      <c r="AG853" s="179"/>
      <c r="AH853" s="169"/>
      <c r="AI853" s="168"/>
      <c r="AJ853" s="167"/>
      <c r="AK853" s="168"/>
      <c r="AL853" s="169"/>
      <c r="AM853" s="509"/>
      <c r="AN853" s="510"/>
      <c r="AO853" s="510"/>
    </row>
    <row r="854" spans="1:41">
      <c r="A854" s="177"/>
      <c r="B854" s="169"/>
      <c r="C854" s="169"/>
      <c r="D854" s="169"/>
      <c r="E854" s="169"/>
      <c r="F854" s="169"/>
      <c r="G854" s="169"/>
      <c r="H854" s="169"/>
      <c r="I854" s="169"/>
      <c r="J854" s="169"/>
      <c r="K854" s="169"/>
      <c r="L854" s="169"/>
      <c r="M854" s="169"/>
      <c r="N854" s="177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78"/>
      <c r="AA854" s="167"/>
      <c r="AB854" s="169"/>
      <c r="AC854" s="169"/>
      <c r="AD854" s="169"/>
      <c r="AE854" s="169"/>
      <c r="AF854" s="169"/>
      <c r="AG854" s="179"/>
      <c r="AH854" s="169"/>
      <c r="AI854" s="168"/>
      <c r="AJ854" s="167"/>
      <c r="AK854" s="168"/>
      <c r="AL854" s="169"/>
      <c r="AM854" s="509"/>
      <c r="AN854" s="510"/>
      <c r="AO854" s="510"/>
    </row>
    <row r="855" spans="1:41">
      <c r="A855" s="177"/>
      <c r="B855" s="169"/>
      <c r="C855" s="169"/>
      <c r="D855" s="169"/>
      <c r="E855" s="169"/>
      <c r="F855" s="169"/>
      <c r="G855" s="169"/>
      <c r="H855" s="169"/>
      <c r="I855" s="169"/>
      <c r="J855" s="169"/>
      <c r="K855" s="169"/>
      <c r="L855" s="169"/>
      <c r="M855" s="169"/>
      <c r="N855" s="177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78"/>
      <c r="AA855" s="167"/>
      <c r="AB855" s="169"/>
      <c r="AC855" s="169"/>
      <c r="AD855" s="169"/>
      <c r="AE855" s="169"/>
      <c r="AF855" s="169"/>
      <c r="AG855" s="179"/>
      <c r="AH855" s="169"/>
      <c r="AI855" s="168"/>
      <c r="AJ855" s="167"/>
      <c r="AK855" s="168"/>
      <c r="AL855" s="169"/>
      <c r="AM855" s="509"/>
      <c r="AN855" s="510"/>
      <c r="AO855" s="510"/>
    </row>
    <row r="856" spans="1:41">
      <c r="A856" s="177"/>
      <c r="B856" s="169"/>
      <c r="C856" s="169"/>
      <c r="D856" s="169"/>
      <c r="E856" s="169"/>
      <c r="F856" s="169"/>
      <c r="G856" s="169"/>
      <c r="H856" s="169"/>
      <c r="I856" s="169"/>
      <c r="J856" s="169"/>
      <c r="K856" s="169"/>
      <c r="L856" s="169"/>
      <c r="M856" s="169"/>
      <c r="N856" s="177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78"/>
      <c r="AA856" s="167"/>
      <c r="AB856" s="169"/>
      <c r="AC856" s="169"/>
      <c r="AD856" s="169"/>
      <c r="AE856" s="169"/>
      <c r="AF856" s="169"/>
      <c r="AG856" s="179"/>
      <c r="AH856" s="169"/>
      <c r="AI856" s="168"/>
      <c r="AJ856" s="167"/>
      <c r="AK856" s="168"/>
      <c r="AL856" s="169"/>
      <c r="AM856" s="509"/>
      <c r="AN856" s="510"/>
      <c r="AO856" s="510"/>
    </row>
    <row r="857" spans="1:41">
      <c r="A857" s="177"/>
      <c r="B857" s="169"/>
      <c r="C857" s="169"/>
      <c r="D857" s="169"/>
      <c r="E857" s="169"/>
      <c r="F857" s="169"/>
      <c r="G857" s="169"/>
      <c r="H857" s="169"/>
      <c r="I857" s="169"/>
      <c r="J857" s="169"/>
      <c r="K857" s="169"/>
      <c r="L857" s="169"/>
      <c r="M857" s="169"/>
      <c r="N857" s="177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78"/>
      <c r="AA857" s="167"/>
      <c r="AB857" s="169"/>
      <c r="AC857" s="169"/>
      <c r="AD857" s="169"/>
      <c r="AE857" s="169"/>
      <c r="AF857" s="169"/>
      <c r="AG857" s="179"/>
      <c r="AH857" s="169"/>
      <c r="AI857" s="168"/>
      <c r="AJ857" s="167"/>
      <c r="AK857" s="168"/>
      <c r="AL857" s="169"/>
      <c r="AM857" s="509"/>
      <c r="AN857" s="510"/>
      <c r="AO857" s="510"/>
    </row>
    <row r="858" spans="1:41">
      <c r="A858" s="177"/>
      <c r="B858" s="169"/>
      <c r="C858" s="169"/>
      <c r="D858" s="169"/>
      <c r="E858" s="169"/>
      <c r="F858" s="169"/>
      <c r="G858" s="169"/>
      <c r="H858" s="169"/>
      <c r="I858" s="169"/>
      <c r="J858" s="169"/>
      <c r="K858" s="169"/>
      <c r="L858" s="169"/>
      <c r="M858" s="169"/>
      <c r="N858" s="177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78"/>
      <c r="AA858" s="167"/>
      <c r="AB858" s="169"/>
      <c r="AC858" s="169"/>
      <c r="AD858" s="169"/>
      <c r="AE858" s="169"/>
      <c r="AF858" s="169"/>
      <c r="AG858" s="179"/>
      <c r="AH858" s="169"/>
      <c r="AI858" s="168"/>
      <c r="AJ858" s="167"/>
      <c r="AK858" s="168"/>
      <c r="AL858" s="169"/>
      <c r="AM858" s="509"/>
      <c r="AN858" s="510"/>
      <c r="AO858" s="510"/>
    </row>
    <row r="859" spans="1:41">
      <c r="A859" s="177"/>
      <c r="B859" s="169"/>
      <c r="C859" s="169"/>
      <c r="D859" s="169"/>
      <c r="E859" s="169"/>
      <c r="F859" s="169"/>
      <c r="G859" s="169"/>
      <c r="H859" s="169"/>
      <c r="I859" s="169"/>
      <c r="J859" s="169"/>
      <c r="K859" s="169"/>
      <c r="L859" s="169"/>
      <c r="M859" s="169"/>
      <c r="N859" s="177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78"/>
      <c r="AA859" s="167"/>
      <c r="AB859" s="169"/>
      <c r="AC859" s="169"/>
      <c r="AD859" s="169"/>
      <c r="AE859" s="169"/>
      <c r="AF859" s="169"/>
      <c r="AG859" s="179"/>
      <c r="AH859" s="169"/>
      <c r="AI859" s="168"/>
      <c r="AJ859" s="167"/>
      <c r="AK859" s="168"/>
      <c r="AL859" s="169"/>
      <c r="AM859" s="509"/>
      <c r="AN859" s="510"/>
      <c r="AO859" s="510"/>
    </row>
    <row r="860" spans="1:41">
      <c r="A860" s="177"/>
      <c r="B860" s="169"/>
      <c r="C860" s="169"/>
      <c r="D860" s="169"/>
      <c r="E860" s="169"/>
      <c r="F860" s="169"/>
      <c r="G860" s="169"/>
      <c r="H860" s="169"/>
      <c r="I860" s="169"/>
      <c r="J860" s="169"/>
      <c r="K860" s="169"/>
      <c r="L860" s="169"/>
      <c r="M860" s="169"/>
      <c r="N860" s="177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78"/>
      <c r="AA860" s="167"/>
      <c r="AB860" s="169"/>
      <c r="AC860" s="169"/>
      <c r="AD860" s="169"/>
      <c r="AE860" s="169"/>
      <c r="AF860" s="169"/>
      <c r="AG860" s="179"/>
      <c r="AH860" s="169"/>
      <c r="AI860" s="168"/>
      <c r="AJ860" s="167"/>
      <c r="AK860" s="168"/>
      <c r="AL860" s="169"/>
      <c r="AM860" s="509"/>
      <c r="AN860" s="510"/>
      <c r="AO860" s="510"/>
    </row>
    <row r="861" spans="1:41">
      <c r="A861" s="177"/>
      <c r="B861" s="169"/>
      <c r="C861" s="169"/>
      <c r="D861" s="169"/>
      <c r="E861" s="169"/>
      <c r="F861" s="169"/>
      <c r="G861" s="169"/>
      <c r="H861" s="169"/>
      <c r="I861" s="169"/>
      <c r="J861" s="169"/>
      <c r="K861" s="169"/>
      <c r="L861" s="169"/>
      <c r="M861" s="169"/>
      <c r="N861" s="177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78"/>
      <c r="AA861" s="167"/>
      <c r="AB861" s="169"/>
      <c r="AC861" s="169"/>
      <c r="AD861" s="169"/>
      <c r="AE861" s="169"/>
      <c r="AF861" s="169"/>
      <c r="AG861" s="179"/>
      <c r="AH861" s="169"/>
      <c r="AI861" s="168"/>
      <c r="AJ861" s="167"/>
      <c r="AK861" s="168"/>
      <c r="AL861" s="169"/>
      <c r="AM861" s="509"/>
      <c r="AN861" s="510"/>
      <c r="AO861" s="510"/>
    </row>
    <row r="862" spans="1:41">
      <c r="A862" s="177"/>
      <c r="B862" s="169"/>
      <c r="C862" s="169"/>
      <c r="D862" s="169"/>
      <c r="E862" s="169"/>
      <c r="F862" s="169"/>
      <c r="G862" s="169"/>
      <c r="H862" s="169"/>
      <c r="I862" s="169"/>
      <c r="J862" s="169"/>
      <c r="K862" s="169"/>
      <c r="L862" s="169"/>
      <c r="M862" s="169"/>
      <c r="N862" s="177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78"/>
      <c r="AA862" s="167"/>
      <c r="AB862" s="169"/>
      <c r="AC862" s="169"/>
      <c r="AD862" s="169"/>
      <c r="AE862" s="169"/>
      <c r="AF862" s="169"/>
      <c r="AG862" s="179"/>
      <c r="AH862" s="169"/>
      <c r="AI862" s="168"/>
      <c r="AJ862" s="167"/>
      <c r="AK862" s="168"/>
      <c r="AL862" s="169"/>
      <c r="AM862" s="509"/>
      <c r="AN862" s="510"/>
      <c r="AO862" s="510"/>
    </row>
    <row r="863" spans="1:41">
      <c r="A863" s="177"/>
      <c r="B863" s="169"/>
      <c r="C863" s="169"/>
      <c r="D863" s="169"/>
      <c r="E863" s="169"/>
      <c r="F863" s="169"/>
      <c r="G863" s="169"/>
      <c r="H863" s="169"/>
      <c r="I863" s="169"/>
      <c r="J863" s="169"/>
      <c r="K863" s="169"/>
      <c r="L863" s="169"/>
      <c r="M863" s="169"/>
      <c r="N863" s="177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78"/>
      <c r="AA863" s="167"/>
      <c r="AB863" s="169"/>
      <c r="AC863" s="169"/>
      <c r="AD863" s="169"/>
      <c r="AE863" s="169"/>
      <c r="AF863" s="169"/>
      <c r="AG863" s="179"/>
      <c r="AH863" s="169"/>
      <c r="AI863" s="168"/>
      <c r="AJ863" s="167"/>
      <c r="AK863" s="168"/>
      <c r="AL863" s="169"/>
      <c r="AM863" s="509"/>
      <c r="AN863" s="510"/>
      <c r="AO863" s="510"/>
    </row>
    <row r="864" spans="1:41">
      <c r="A864" s="177"/>
      <c r="B864" s="169"/>
      <c r="C864" s="169"/>
      <c r="D864" s="169"/>
      <c r="E864" s="169"/>
      <c r="F864" s="169"/>
      <c r="G864" s="169"/>
      <c r="H864" s="169"/>
      <c r="I864" s="169"/>
      <c r="J864" s="169"/>
      <c r="K864" s="169"/>
      <c r="L864" s="169"/>
      <c r="M864" s="169"/>
      <c r="N864" s="177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78"/>
      <c r="AA864" s="167"/>
      <c r="AB864" s="169"/>
      <c r="AC864" s="169"/>
      <c r="AD864" s="169"/>
      <c r="AE864" s="169"/>
      <c r="AF864" s="169"/>
      <c r="AG864" s="179"/>
      <c r="AH864" s="169"/>
      <c r="AI864" s="168"/>
      <c r="AJ864" s="167"/>
      <c r="AK864" s="168"/>
      <c r="AL864" s="169"/>
      <c r="AM864" s="509"/>
      <c r="AN864" s="510"/>
      <c r="AO864" s="510"/>
    </row>
    <row r="865" spans="1:41">
      <c r="A865" s="177"/>
      <c r="B865" s="169"/>
      <c r="C865" s="169"/>
      <c r="D865" s="169"/>
      <c r="E865" s="169"/>
      <c r="F865" s="169"/>
      <c r="G865" s="169"/>
      <c r="H865" s="169"/>
      <c r="I865" s="169"/>
      <c r="J865" s="169"/>
      <c r="K865" s="169"/>
      <c r="L865" s="169"/>
      <c r="M865" s="169"/>
      <c r="N865" s="177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78"/>
      <c r="AA865" s="167"/>
      <c r="AB865" s="169"/>
      <c r="AC865" s="169"/>
      <c r="AD865" s="169"/>
      <c r="AE865" s="169"/>
      <c r="AF865" s="169"/>
      <c r="AG865" s="179"/>
      <c r="AH865" s="169"/>
      <c r="AI865" s="168"/>
      <c r="AJ865" s="167"/>
      <c r="AK865" s="168"/>
      <c r="AL865" s="169"/>
      <c r="AM865" s="509"/>
      <c r="AN865" s="510"/>
      <c r="AO865" s="510"/>
    </row>
    <row r="866" spans="1:41">
      <c r="A866" s="177"/>
      <c r="B866" s="169"/>
      <c r="C866" s="169"/>
      <c r="D866" s="169"/>
      <c r="E866" s="169"/>
      <c r="F866" s="169"/>
      <c r="G866" s="169"/>
      <c r="H866" s="169"/>
      <c r="I866" s="169"/>
      <c r="J866" s="169"/>
      <c r="K866" s="169"/>
      <c r="L866" s="169"/>
      <c r="M866" s="169"/>
      <c r="N866" s="177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78"/>
      <c r="AA866" s="167"/>
      <c r="AB866" s="169"/>
      <c r="AC866" s="169"/>
      <c r="AD866" s="169"/>
      <c r="AE866" s="169"/>
      <c r="AF866" s="169"/>
      <c r="AG866" s="179"/>
      <c r="AH866" s="169"/>
      <c r="AI866" s="168"/>
      <c r="AJ866" s="167"/>
      <c r="AK866" s="168"/>
      <c r="AL866" s="169"/>
      <c r="AM866" s="509"/>
      <c r="AN866" s="510"/>
      <c r="AO866" s="510"/>
    </row>
    <row r="867" spans="1:41">
      <c r="A867" s="177"/>
      <c r="B867" s="169"/>
      <c r="C867" s="169"/>
      <c r="D867" s="169"/>
      <c r="E867" s="169"/>
      <c r="F867" s="169"/>
      <c r="G867" s="169"/>
      <c r="H867" s="169"/>
      <c r="I867" s="169"/>
      <c r="J867" s="169"/>
      <c r="K867" s="169"/>
      <c r="L867" s="169"/>
      <c r="M867" s="169"/>
      <c r="N867" s="177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78"/>
      <c r="AA867" s="167"/>
      <c r="AB867" s="169"/>
      <c r="AC867" s="169"/>
      <c r="AD867" s="169"/>
      <c r="AE867" s="169"/>
      <c r="AF867" s="169"/>
      <c r="AG867" s="179"/>
      <c r="AH867" s="169"/>
      <c r="AI867" s="168"/>
      <c r="AJ867" s="167"/>
      <c r="AK867" s="168"/>
      <c r="AL867" s="169"/>
      <c r="AM867" s="509"/>
      <c r="AN867" s="510"/>
      <c r="AO867" s="510"/>
    </row>
    <row r="868" spans="1:41">
      <c r="A868" s="177"/>
      <c r="B868" s="169"/>
      <c r="C868" s="169"/>
      <c r="D868" s="169"/>
      <c r="E868" s="169"/>
      <c r="F868" s="169"/>
      <c r="G868" s="169"/>
      <c r="H868" s="169"/>
      <c r="I868" s="169"/>
      <c r="J868" s="169"/>
      <c r="K868" s="169"/>
      <c r="L868" s="169"/>
      <c r="M868" s="169"/>
      <c r="N868" s="177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78"/>
      <c r="AA868" s="167"/>
      <c r="AB868" s="169"/>
      <c r="AC868" s="169"/>
      <c r="AD868" s="169"/>
      <c r="AE868" s="169"/>
      <c r="AF868" s="169"/>
      <c r="AG868" s="179"/>
      <c r="AH868" s="169"/>
      <c r="AI868" s="168"/>
      <c r="AJ868" s="167"/>
      <c r="AK868" s="168"/>
      <c r="AL868" s="169"/>
      <c r="AM868" s="509"/>
      <c r="AN868" s="510"/>
      <c r="AO868" s="510"/>
    </row>
    <row r="869" spans="1:41">
      <c r="A869" s="177"/>
      <c r="B869" s="169"/>
      <c r="C869" s="169"/>
      <c r="D869" s="169"/>
      <c r="E869" s="169"/>
      <c r="F869" s="169"/>
      <c r="G869" s="169"/>
      <c r="H869" s="169"/>
      <c r="I869" s="169"/>
      <c r="J869" s="169"/>
      <c r="K869" s="169"/>
      <c r="L869" s="169"/>
      <c r="M869" s="169"/>
      <c r="N869" s="177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78"/>
      <c r="AA869" s="167"/>
      <c r="AB869" s="169"/>
      <c r="AC869" s="169"/>
      <c r="AD869" s="169"/>
      <c r="AE869" s="169"/>
      <c r="AF869" s="169"/>
      <c r="AG869" s="179"/>
      <c r="AH869" s="169"/>
      <c r="AI869" s="168"/>
      <c r="AJ869" s="167"/>
      <c r="AK869" s="168"/>
      <c r="AL869" s="169"/>
      <c r="AM869" s="509"/>
      <c r="AN869" s="510"/>
      <c r="AO869" s="510"/>
    </row>
    <row r="870" spans="1:41">
      <c r="A870" s="177"/>
      <c r="B870" s="169"/>
      <c r="C870" s="169"/>
      <c r="D870" s="169"/>
      <c r="E870" s="169"/>
      <c r="F870" s="169"/>
      <c r="G870" s="169"/>
      <c r="H870" s="169"/>
      <c r="I870" s="169"/>
      <c r="J870" s="169"/>
      <c r="K870" s="169"/>
      <c r="L870" s="169"/>
      <c r="M870" s="169"/>
      <c r="N870" s="177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78"/>
      <c r="AA870" s="167"/>
      <c r="AB870" s="169"/>
      <c r="AC870" s="169"/>
      <c r="AD870" s="169"/>
      <c r="AE870" s="169"/>
      <c r="AF870" s="169"/>
      <c r="AG870" s="179"/>
      <c r="AH870" s="169"/>
      <c r="AI870" s="168"/>
      <c r="AJ870" s="167"/>
      <c r="AK870" s="168"/>
      <c r="AL870" s="169"/>
      <c r="AM870" s="509"/>
      <c r="AN870" s="510"/>
      <c r="AO870" s="510"/>
    </row>
    <row r="871" spans="1:41">
      <c r="A871" s="177"/>
      <c r="B871" s="169"/>
      <c r="C871" s="169"/>
      <c r="D871" s="169"/>
      <c r="E871" s="169"/>
      <c r="F871" s="169"/>
      <c r="G871" s="169"/>
      <c r="H871" s="169"/>
      <c r="I871" s="169"/>
      <c r="J871" s="169"/>
      <c r="K871" s="169"/>
      <c r="L871" s="169"/>
      <c r="M871" s="169"/>
      <c r="N871" s="177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78"/>
      <c r="AA871" s="167"/>
      <c r="AB871" s="169"/>
      <c r="AC871" s="169"/>
      <c r="AD871" s="169"/>
      <c r="AE871" s="169"/>
      <c r="AF871" s="169"/>
      <c r="AG871" s="179"/>
      <c r="AH871" s="169"/>
      <c r="AI871" s="168"/>
      <c r="AJ871" s="167"/>
      <c r="AK871" s="168"/>
      <c r="AL871" s="169"/>
      <c r="AM871" s="509"/>
      <c r="AN871" s="510"/>
      <c r="AO871" s="510"/>
    </row>
    <row r="872" spans="1:41">
      <c r="A872" s="177"/>
      <c r="B872" s="169"/>
      <c r="C872" s="169"/>
      <c r="D872" s="169"/>
      <c r="E872" s="169"/>
      <c r="F872" s="169"/>
      <c r="G872" s="169"/>
      <c r="H872" s="169"/>
      <c r="I872" s="169"/>
      <c r="J872" s="169"/>
      <c r="K872" s="169"/>
      <c r="L872" s="169"/>
      <c r="M872" s="169"/>
      <c r="N872" s="177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78"/>
      <c r="AA872" s="167"/>
      <c r="AB872" s="169"/>
      <c r="AC872" s="169"/>
      <c r="AD872" s="169"/>
      <c r="AE872" s="169"/>
      <c r="AF872" s="169"/>
      <c r="AG872" s="179"/>
      <c r="AH872" s="169"/>
      <c r="AI872" s="168"/>
      <c r="AJ872" s="167"/>
      <c r="AK872" s="168"/>
      <c r="AL872" s="169"/>
      <c r="AM872" s="509"/>
      <c r="AN872" s="510"/>
      <c r="AO872" s="510"/>
    </row>
    <row r="873" spans="1:41">
      <c r="A873" s="177"/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77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78"/>
      <c r="AA873" s="167"/>
      <c r="AB873" s="169"/>
      <c r="AC873" s="169"/>
      <c r="AD873" s="169"/>
      <c r="AE873" s="169"/>
      <c r="AF873" s="169"/>
      <c r="AG873" s="179"/>
      <c r="AH873" s="169"/>
      <c r="AI873" s="168"/>
      <c r="AJ873" s="167"/>
      <c r="AK873" s="168"/>
      <c r="AL873" s="169"/>
      <c r="AM873" s="509"/>
      <c r="AN873" s="510"/>
      <c r="AO873" s="510"/>
    </row>
    <row r="874" spans="1:41">
      <c r="A874" s="177"/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77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78"/>
      <c r="AA874" s="167"/>
      <c r="AB874" s="169"/>
      <c r="AC874" s="169"/>
      <c r="AD874" s="169"/>
      <c r="AE874" s="169"/>
      <c r="AF874" s="169"/>
      <c r="AG874" s="179"/>
      <c r="AH874" s="169"/>
      <c r="AI874" s="168"/>
      <c r="AJ874" s="167"/>
      <c r="AK874" s="168"/>
      <c r="AL874" s="169"/>
      <c r="AM874" s="509"/>
      <c r="AN874" s="510"/>
      <c r="AO874" s="510"/>
    </row>
    <row r="875" spans="1:41">
      <c r="A875" s="177"/>
      <c r="B875" s="169"/>
      <c r="C875" s="169"/>
      <c r="D875" s="169"/>
      <c r="E875" s="169"/>
      <c r="F875" s="169"/>
      <c r="G875" s="169"/>
      <c r="H875" s="169"/>
      <c r="I875" s="169"/>
      <c r="J875" s="169"/>
      <c r="K875" s="169"/>
      <c r="L875" s="169"/>
      <c r="M875" s="169"/>
      <c r="N875" s="177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78"/>
      <c r="AA875" s="167"/>
      <c r="AB875" s="169"/>
      <c r="AC875" s="169"/>
      <c r="AD875" s="169"/>
      <c r="AE875" s="169"/>
      <c r="AF875" s="169"/>
      <c r="AG875" s="179"/>
      <c r="AH875" s="169"/>
      <c r="AI875" s="168"/>
      <c r="AJ875" s="167"/>
      <c r="AK875" s="168"/>
      <c r="AL875" s="169"/>
      <c r="AM875" s="509"/>
      <c r="AN875" s="510"/>
      <c r="AO875" s="510"/>
    </row>
    <row r="876" spans="1:41">
      <c r="A876" s="177"/>
      <c r="B876" s="169"/>
      <c r="C876" s="169"/>
      <c r="D876" s="169"/>
      <c r="E876" s="169"/>
      <c r="F876" s="169"/>
      <c r="G876" s="169"/>
      <c r="H876" s="169"/>
      <c r="I876" s="169"/>
      <c r="J876" s="169"/>
      <c r="K876" s="169"/>
      <c r="L876" s="169"/>
      <c r="M876" s="169"/>
      <c r="N876" s="177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78"/>
      <c r="AA876" s="167"/>
      <c r="AB876" s="169"/>
      <c r="AC876" s="169"/>
      <c r="AD876" s="169"/>
      <c r="AE876" s="169"/>
      <c r="AF876" s="169"/>
      <c r="AG876" s="179"/>
      <c r="AH876" s="169"/>
      <c r="AI876" s="168"/>
      <c r="AJ876" s="167"/>
      <c r="AK876" s="168"/>
      <c r="AL876" s="169"/>
      <c r="AM876" s="509"/>
      <c r="AN876" s="510"/>
      <c r="AO876" s="510"/>
    </row>
    <row r="877" spans="1:41">
      <c r="A877" s="177"/>
      <c r="B877" s="169"/>
      <c r="C877" s="169"/>
      <c r="D877" s="169"/>
      <c r="E877" s="169"/>
      <c r="F877" s="169"/>
      <c r="G877" s="169"/>
      <c r="H877" s="169"/>
      <c r="I877" s="169"/>
      <c r="J877" s="169"/>
      <c r="K877" s="169"/>
      <c r="L877" s="169"/>
      <c r="M877" s="169"/>
      <c r="N877" s="177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78"/>
      <c r="AA877" s="167"/>
      <c r="AB877" s="169"/>
      <c r="AC877" s="169"/>
      <c r="AD877" s="169"/>
      <c r="AE877" s="169"/>
      <c r="AF877" s="169"/>
      <c r="AG877" s="179"/>
      <c r="AH877" s="169"/>
      <c r="AI877" s="168"/>
      <c r="AJ877" s="167"/>
      <c r="AK877" s="168"/>
      <c r="AL877" s="169"/>
      <c r="AM877" s="509"/>
      <c r="AN877" s="510"/>
      <c r="AO877" s="510"/>
    </row>
    <row r="878" spans="1:41">
      <c r="A878" s="177"/>
      <c r="B878" s="169"/>
      <c r="C878" s="169"/>
      <c r="D878" s="169"/>
      <c r="E878" s="169"/>
      <c r="F878" s="169"/>
      <c r="G878" s="169"/>
      <c r="H878" s="169"/>
      <c r="I878" s="169"/>
      <c r="J878" s="169"/>
      <c r="K878" s="169"/>
      <c r="L878" s="169"/>
      <c r="M878" s="169"/>
      <c r="N878" s="177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78"/>
      <c r="AA878" s="167"/>
      <c r="AB878" s="169"/>
      <c r="AC878" s="169"/>
      <c r="AD878" s="169"/>
      <c r="AE878" s="169"/>
      <c r="AF878" s="169"/>
      <c r="AG878" s="179"/>
      <c r="AH878" s="169"/>
      <c r="AI878" s="168"/>
      <c r="AJ878" s="167"/>
      <c r="AK878" s="168"/>
      <c r="AL878" s="169"/>
      <c r="AM878" s="509"/>
      <c r="AN878" s="510"/>
      <c r="AO878" s="510"/>
    </row>
    <row r="879" spans="1:41">
      <c r="A879" s="177"/>
      <c r="B879" s="169"/>
      <c r="C879" s="169"/>
      <c r="D879" s="169"/>
      <c r="E879" s="169"/>
      <c r="F879" s="169"/>
      <c r="G879" s="169"/>
      <c r="H879" s="169"/>
      <c r="I879" s="169"/>
      <c r="J879" s="169"/>
      <c r="K879" s="169"/>
      <c r="L879" s="169"/>
      <c r="M879" s="169"/>
      <c r="N879" s="177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78"/>
      <c r="AA879" s="167"/>
      <c r="AB879" s="169"/>
      <c r="AC879" s="169"/>
      <c r="AD879" s="169"/>
      <c r="AE879" s="169"/>
      <c r="AF879" s="169"/>
      <c r="AG879" s="179"/>
      <c r="AH879" s="169"/>
      <c r="AI879" s="168"/>
      <c r="AJ879" s="167"/>
      <c r="AK879" s="168"/>
      <c r="AL879" s="169"/>
      <c r="AM879" s="509"/>
      <c r="AN879" s="510"/>
      <c r="AO879" s="510"/>
    </row>
    <row r="880" spans="1:41">
      <c r="A880" s="177"/>
      <c r="B880" s="169"/>
      <c r="C880" s="169"/>
      <c r="D880" s="169"/>
      <c r="E880" s="169"/>
      <c r="F880" s="169"/>
      <c r="G880" s="169"/>
      <c r="H880" s="169"/>
      <c r="I880" s="169"/>
      <c r="J880" s="169"/>
      <c r="K880" s="169"/>
      <c r="L880" s="169"/>
      <c r="M880" s="169"/>
      <c r="N880" s="177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78"/>
      <c r="AA880" s="167"/>
      <c r="AB880" s="169"/>
      <c r="AC880" s="169"/>
      <c r="AD880" s="169"/>
      <c r="AE880" s="169"/>
      <c r="AF880" s="169"/>
      <c r="AG880" s="179"/>
      <c r="AH880" s="169"/>
      <c r="AI880" s="168"/>
      <c r="AJ880" s="167"/>
      <c r="AK880" s="168"/>
      <c r="AL880" s="169"/>
      <c r="AM880" s="509"/>
      <c r="AN880" s="510"/>
      <c r="AO880" s="510"/>
    </row>
    <row r="881" spans="1:41">
      <c r="A881" s="177"/>
      <c r="B881" s="169"/>
      <c r="C881" s="169"/>
      <c r="D881" s="169"/>
      <c r="E881" s="169"/>
      <c r="F881" s="169"/>
      <c r="G881" s="169"/>
      <c r="H881" s="169"/>
      <c r="I881" s="169"/>
      <c r="J881" s="169"/>
      <c r="K881" s="169"/>
      <c r="L881" s="169"/>
      <c r="M881" s="169"/>
      <c r="N881" s="177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78"/>
      <c r="AA881" s="167"/>
      <c r="AB881" s="169"/>
      <c r="AC881" s="169"/>
      <c r="AD881" s="169"/>
      <c r="AE881" s="169"/>
      <c r="AF881" s="169"/>
      <c r="AG881" s="179"/>
      <c r="AH881" s="169"/>
      <c r="AI881" s="168"/>
      <c r="AJ881" s="167"/>
      <c r="AK881" s="168"/>
      <c r="AL881" s="169"/>
      <c r="AM881" s="509"/>
      <c r="AN881" s="510"/>
      <c r="AO881" s="510"/>
    </row>
    <row r="882" spans="1:41">
      <c r="A882" s="177"/>
      <c r="B882" s="169"/>
      <c r="C882" s="169"/>
      <c r="D882" s="169"/>
      <c r="E882" s="169"/>
      <c r="F882" s="169"/>
      <c r="G882" s="169"/>
      <c r="H882" s="169"/>
      <c r="I882" s="169"/>
      <c r="J882" s="169"/>
      <c r="K882" s="169"/>
      <c r="L882" s="169"/>
      <c r="M882" s="169"/>
      <c r="N882" s="177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78"/>
      <c r="AA882" s="167"/>
      <c r="AB882" s="169"/>
      <c r="AC882" s="169"/>
      <c r="AD882" s="169"/>
      <c r="AE882" s="169"/>
      <c r="AF882" s="169"/>
      <c r="AG882" s="179"/>
      <c r="AH882" s="169"/>
      <c r="AI882" s="168"/>
      <c r="AJ882" s="167"/>
      <c r="AK882" s="168"/>
      <c r="AL882" s="169"/>
      <c r="AM882" s="509"/>
      <c r="AN882" s="510"/>
      <c r="AO882" s="510"/>
    </row>
    <row r="883" spans="1:41">
      <c r="A883" s="177"/>
      <c r="B883" s="169"/>
      <c r="C883" s="169"/>
      <c r="D883" s="169"/>
      <c r="E883" s="169"/>
      <c r="F883" s="169"/>
      <c r="G883" s="169"/>
      <c r="H883" s="169"/>
      <c r="I883" s="169"/>
      <c r="J883" s="169"/>
      <c r="K883" s="169"/>
      <c r="L883" s="169"/>
      <c r="M883" s="169"/>
      <c r="N883" s="177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78"/>
      <c r="AA883" s="167"/>
      <c r="AB883" s="169"/>
      <c r="AC883" s="169"/>
      <c r="AD883" s="169"/>
      <c r="AE883" s="169"/>
      <c r="AF883" s="169"/>
      <c r="AG883" s="179"/>
      <c r="AH883" s="169"/>
      <c r="AI883" s="168"/>
      <c r="AJ883" s="167"/>
      <c r="AK883" s="168"/>
      <c r="AL883" s="169"/>
      <c r="AM883" s="509"/>
      <c r="AN883" s="510"/>
      <c r="AO883" s="510"/>
    </row>
    <row r="884" spans="1:41">
      <c r="A884" s="177"/>
      <c r="B884" s="169"/>
      <c r="C884" s="169"/>
      <c r="D884" s="169"/>
      <c r="E884" s="169"/>
      <c r="F884" s="169"/>
      <c r="G884" s="169"/>
      <c r="H884" s="169"/>
      <c r="I884" s="169"/>
      <c r="J884" s="169"/>
      <c r="K884" s="169"/>
      <c r="L884" s="169"/>
      <c r="M884" s="169"/>
      <c r="N884" s="177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78"/>
      <c r="AA884" s="167"/>
      <c r="AB884" s="169"/>
      <c r="AC884" s="169"/>
      <c r="AD884" s="169"/>
      <c r="AE884" s="169"/>
      <c r="AF884" s="169"/>
      <c r="AG884" s="179"/>
      <c r="AH884" s="169"/>
      <c r="AI884" s="168"/>
      <c r="AJ884" s="167"/>
      <c r="AK884" s="168"/>
      <c r="AL884" s="169"/>
      <c r="AM884" s="509"/>
      <c r="AN884" s="510"/>
      <c r="AO884" s="510"/>
    </row>
    <row r="885" spans="1:41">
      <c r="A885" s="177"/>
      <c r="B885" s="169"/>
      <c r="C885" s="169"/>
      <c r="D885" s="169"/>
      <c r="E885" s="169"/>
      <c r="F885" s="169"/>
      <c r="G885" s="169"/>
      <c r="H885" s="169"/>
      <c r="I885" s="169"/>
      <c r="J885" s="169"/>
      <c r="K885" s="169"/>
      <c r="L885" s="169"/>
      <c r="M885" s="169"/>
      <c r="N885" s="177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78"/>
      <c r="AA885" s="167"/>
      <c r="AB885" s="169"/>
      <c r="AC885" s="169"/>
      <c r="AD885" s="169"/>
      <c r="AE885" s="169"/>
      <c r="AF885" s="169"/>
      <c r="AG885" s="179"/>
      <c r="AH885" s="169"/>
      <c r="AI885" s="168"/>
      <c r="AJ885" s="167"/>
      <c r="AK885" s="168"/>
      <c r="AL885" s="169"/>
      <c r="AM885" s="509"/>
      <c r="AN885" s="510"/>
      <c r="AO885" s="510"/>
    </row>
    <row r="886" spans="1:41">
      <c r="A886" s="177"/>
      <c r="B886" s="169"/>
      <c r="C886" s="169"/>
      <c r="D886" s="169"/>
      <c r="E886" s="169"/>
      <c r="F886" s="169"/>
      <c r="G886" s="169"/>
      <c r="H886" s="169"/>
      <c r="I886" s="169"/>
      <c r="J886" s="169"/>
      <c r="K886" s="169"/>
      <c r="L886" s="169"/>
      <c r="M886" s="169"/>
      <c r="N886" s="177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78"/>
      <c r="AA886" s="167"/>
      <c r="AB886" s="169"/>
      <c r="AC886" s="169"/>
      <c r="AD886" s="169"/>
      <c r="AE886" s="169"/>
      <c r="AF886" s="169"/>
      <c r="AG886" s="179"/>
      <c r="AH886" s="169"/>
      <c r="AI886" s="168"/>
      <c r="AJ886" s="167"/>
      <c r="AK886" s="168"/>
      <c r="AL886" s="169"/>
      <c r="AM886" s="509"/>
      <c r="AN886" s="510"/>
      <c r="AO886" s="510"/>
    </row>
    <row r="887" spans="1:41">
      <c r="A887" s="177"/>
      <c r="B887" s="169"/>
      <c r="C887" s="169"/>
      <c r="D887" s="169"/>
      <c r="E887" s="169"/>
      <c r="F887" s="169"/>
      <c r="G887" s="169"/>
      <c r="H887" s="169"/>
      <c r="I887" s="169"/>
      <c r="J887" s="169"/>
      <c r="K887" s="169"/>
      <c r="L887" s="169"/>
      <c r="M887" s="169"/>
      <c r="N887" s="177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78"/>
      <c r="AA887" s="167"/>
      <c r="AB887" s="169"/>
      <c r="AC887" s="169"/>
      <c r="AD887" s="169"/>
      <c r="AE887" s="169"/>
      <c r="AF887" s="169"/>
      <c r="AG887" s="179"/>
      <c r="AH887" s="169"/>
      <c r="AI887" s="168"/>
      <c r="AJ887" s="167"/>
      <c r="AK887" s="168"/>
      <c r="AL887" s="169"/>
      <c r="AM887" s="509"/>
      <c r="AN887" s="510"/>
      <c r="AO887" s="510"/>
    </row>
    <row r="888" spans="1:41">
      <c r="A888" s="177"/>
      <c r="B888" s="169"/>
      <c r="C888" s="169"/>
      <c r="D888" s="169"/>
      <c r="E888" s="169"/>
      <c r="F888" s="169"/>
      <c r="G888" s="169"/>
      <c r="H888" s="169"/>
      <c r="I888" s="169"/>
      <c r="J888" s="169"/>
      <c r="K888" s="169"/>
      <c r="L888" s="169"/>
      <c r="M888" s="169"/>
      <c r="N888" s="177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78"/>
      <c r="AA888" s="167"/>
      <c r="AB888" s="169"/>
      <c r="AC888" s="169"/>
      <c r="AD888" s="169"/>
      <c r="AE888" s="169"/>
      <c r="AF888" s="169"/>
      <c r="AG888" s="179"/>
      <c r="AH888" s="169"/>
      <c r="AI888" s="168"/>
      <c r="AJ888" s="167"/>
      <c r="AK888" s="168"/>
      <c r="AL888" s="169"/>
      <c r="AM888" s="509"/>
      <c r="AN888" s="510"/>
      <c r="AO888" s="510"/>
    </row>
    <row r="889" spans="1:41">
      <c r="A889" s="177"/>
      <c r="B889" s="169"/>
      <c r="C889" s="169"/>
      <c r="D889" s="169"/>
      <c r="E889" s="169"/>
      <c r="F889" s="169"/>
      <c r="G889" s="169"/>
      <c r="H889" s="169"/>
      <c r="I889" s="169"/>
      <c r="J889" s="169"/>
      <c r="K889" s="169"/>
      <c r="L889" s="169"/>
      <c r="M889" s="169"/>
      <c r="N889" s="177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78"/>
      <c r="AA889" s="167"/>
      <c r="AB889" s="169"/>
      <c r="AC889" s="169"/>
      <c r="AD889" s="169"/>
      <c r="AE889" s="169"/>
      <c r="AF889" s="169"/>
      <c r="AG889" s="179"/>
      <c r="AH889" s="169"/>
      <c r="AI889" s="168"/>
      <c r="AJ889" s="167"/>
      <c r="AK889" s="168"/>
      <c r="AL889" s="169"/>
      <c r="AM889" s="509"/>
      <c r="AN889" s="510"/>
      <c r="AO889" s="510"/>
    </row>
    <row r="890" spans="1:41">
      <c r="A890" s="177"/>
      <c r="B890" s="169"/>
      <c r="C890" s="169"/>
      <c r="D890" s="169"/>
      <c r="E890" s="169"/>
      <c r="F890" s="169"/>
      <c r="G890" s="169"/>
      <c r="H890" s="169"/>
      <c r="I890" s="169"/>
      <c r="J890" s="169"/>
      <c r="K890" s="169"/>
      <c r="L890" s="169"/>
      <c r="M890" s="169"/>
      <c r="N890" s="177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78"/>
      <c r="AA890" s="167"/>
      <c r="AB890" s="169"/>
      <c r="AC890" s="169"/>
      <c r="AD890" s="169"/>
      <c r="AE890" s="169"/>
      <c r="AF890" s="169"/>
      <c r="AG890" s="179"/>
      <c r="AH890" s="169"/>
      <c r="AI890" s="168"/>
      <c r="AJ890" s="167"/>
      <c r="AK890" s="168"/>
      <c r="AL890" s="169"/>
      <c r="AM890" s="509"/>
      <c r="AN890" s="510"/>
      <c r="AO890" s="510"/>
    </row>
    <row r="891" spans="1:41">
      <c r="A891" s="177"/>
      <c r="B891" s="169"/>
      <c r="C891" s="169"/>
      <c r="D891" s="169"/>
      <c r="E891" s="169"/>
      <c r="F891" s="169"/>
      <c r="G891" s="169"/>
      <c r="H891" s="169"/>
      <c r="I891" s="169"/>
      <c r="J891" s="169"/>
      <c r="K891" s="169"/>
      <c r="L891" s="169"/>
      <c r="M891" s="169"/>
      <c r="N891" s="177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78"/>
      <c r="AA891" s="167"/>
      <c r="AB891" s="169"/>
      <c r="AC891" s="169"/>
      <c r="AD891" s="169"/>
      <c r="AE891" s="169"/>
      <c r="AF891" s="169"/>
      <c r="AG891" s="179"/>
      <c r="AH891" s="169"/>
      <c r="AI891" s="168"/>
      <c r="AJ891" s="167"/>
      <c r="AK891" s="168"/>
      <c r="AL891" s="169"/>
      <c r="AM891" s="509"/>
      <c r="AN891" s="510"/>
      <c r="AO891" s="510"/>
    </row>
    <row r="892" spans="1:41">
      <c r="A892" s="177"/>
      <c r="B892" s="169"/>
      <c r="C892" s="169"/>
      <c r="D892" s="169"/>
      <c r="E892" s="169"/>
      <c r="F892" s="169"/>
      <c r="G892" s="169"/>
      <c r="H892" s="169"/>
      <c r="I892" s="169"/>
      <c r="J892" s="169"/>
      <c r="K892" s="169"/>
      <c r="L892" s="169"/>
      <c r="M892" s="169"/>
      <c r="N892" s="177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78"/>
      <c r="AA892" s="167"/>
      <c r="AB892" s="169"/>
      <c r="AC892" s="169"/>
      <c r="AD892" s="169"/>
      <c r="AE892" s="169"/>
      <c r="AF892" s="169"/>
      <c r="AG892" s="179"/>
      <c r="AH892" s="169"/>
      <c r="AI892" s="168"/>
      <c r="AJ892" s="167"/>
      <c r="AK892" s="168"/>
      <c r="AL892" s="169"/>
      <c r="AM892" s="509"/>
      <c r="AN892" s="510"/>
      <c r="AO892" s="510"/>
    </row>
    <row r="893" spans="1:41">
      <c r="A893" s="177"/>
      <c r="B893" s="169"/>
      <c r="C893" s="169"/>
      <c r="D893" s="169"/>
      <c r="E893" s="169"/>
      <c r="F893" s="169"/>
      <c r="G893" s="169"/>
      <c r="H893" s="169"/>
      <c r="I893" s="169"/>
      <c r="J893" s="169"/>
      <c r="K893" s="169"/>
      <c r="L893" s="169"/>
      <c r="M893" s="169"/>
      <c r="N893" s="177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78"/>
      <c r="AA893" s="167"/>
      <c r="AB893" s="169"/>
      <c r="AC893" s="169"/>
      <c r="AD893" s="169"/>
      <c r="AE893" s="169"/>
      <c r="AF893" s="169"/>
      <c r="AG893" s="179"/>
      <c r="AH893" s="169"/>
      <c r="AI893" s="168"/>
      <c r="AJ893" s="167"/>
      <c r="AK893" s="168"/>
      <c r="AL893" s="169"/>
      <c r="AM893" s="509"/>
      <c r="AN893" s="510"/>
      <c r="AO893" s="510"/>
    </row>
    <row r="894" spans="1:41">
      <c r="A894" s="177"/>
      <c r="B894" s="169"/>
      <c r="C894" s="169"/>
      <c r="D894" s="169"/>
      <c r="E894" s="169"/>
      <c r="F894" s="169"/>
      <c r="G894" s="169"/>
      <c r="H894" s="169"/>
      <c r="I894" s="169"/>
      <c r="J894" s="169"/>
      <c r="K894" s="169"/>
      <c r="L894" s="169"/>
      <c r="M894" s="169"/>
      <c r="N894" s="177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78"/>
      <c r="AA894" s="167"/>
      <c r="AB894" s="169"/>
      <c r="AC894" s="169"/>
      <c r="AD894" s="169"/>
      <c r="AE894" s="169"/>
      <c r="AF894" s="169"/>
      <c r="AG894" s="179"/>
      <c r="AH894" s="169"/>
      <c r="AI894" s="168"/>
      <c r="AJ894" s="167"/>
      <c r="AK894" s="168"/>
      <c r="AL894" s="169"/>
      <c r="AM894" s="509"/>
      <c r="AN894" s="510"/>
      <c r="AO894" s="510"/>
    </row>
    <row r="895" spans="1:41">
      <c r="A895" s="177"/>
      <c r="B895" s="169"/>
      <c r="C895" s="169"/>
      <c r="D895" s="169"/>
      <c r="E895" s="169"/>
      <c r="F895" s="169"/>
      <c r="G895" s="169"/>
      <c r="H895" s="169"/>
      <c r="I895" s="169"/>
      <c r="J895" s="169"/>
      <c r="K895" s="169"/>
      <c r="L895" s="169"/>
      <c r="M895" s="169"/>
      <c r="N895" s="177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78"/>
      <c r="AA895" s="167"/>
      <c r="AB895" s="169"/>
      <c r="AC895" s="169"/>
      <c r="AD895" s="169"/>
      <c r="AE895" s="169"/>
      <c r="AF895" s="169"/>
      <c r="AG895" s="179"/>
      <c r="AH895" s="169"/>
      <c r="AI895" s="168"/>
      <c r="AJ895" s="167"/>
      <c r="AK895" s="168"/>
      <c r="AL895" s="169"/>
      <c r="AM895" s="509"/>
      <c r="AN895" s="510"/>
      <c r="AO895" s="510"/>
    </row>
    <row r="896" spans="1:41">
      <c r="A896" s="177"/>
      <c r="B896" s="169"/>
      <c r="C896" s="169"/>
      <c r="D896" s="169"/>
      <c r="E896" s="169"/>
      <c r="F896" s="169"/>
      <c r="G896" s="169"/>
      <c r="H896" s="169"/>
      <c r="I896" s="169"/>
      <c r="J896" s="169"/>
      <c r="K896" s="169"/>
      <c r="L896" s="169"/>
      <c r="M896" s="169"/>
      <c r="N896" s="177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78"/>
      <c r="AA896" s="167"/>
      <c r="AB896" s="169"/>
      <c r="AC896" s="169"/>
      <c r="AD896" s="169"/>
      <c r="AE896" s="169"/>
      <c r="AF896" s="169"/>
      <c r="AG896" s="179"/>
      <c r="AH896" s="169"/>
      <c r="AI896" s="168"/>
      <c r="AJ896" s="167"/>
      <c r="AK896" s="168"/>
      <c r="AL896" s="169"/>
      <c r="AM896" s="509"/>
      <c r="AN896" s="510"/>
      <c r="AO896" s="510"/>
    </row>
    <row r="897" spans="1:41">
      <c r="A897" s="177"/>
      <c r="B897" s="169"/>
      <c r="C897" s="169"/>
      <c r="D897" s="169"/>
      <c r="E897" s="169"/>
      <c r="F897" s="169"/>
      <c r="G897" s="169"/>
      <c r="H897" s="169"/>
      <c r="I897" s="169"/>
      <c r="J897" s="169"/>
      <c r="K897" s="169"/>
      <c r="L897" s="169"/>
      <c r="M897" s="169"/>
      <c r="N897" s="177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78"/>
      <c r="AA897" s="167"/>
      <c r="AB897" s="169"/>
      <c r="AC897" s="169"/>
      <c r="AD897" s="169"/>
      <c r="AE897" s="169"/>
      <c r="AF897" s="169"/>
      <c r="AG897" s="179"/>
      <c r="AH897" s="169"/>
      <c r="AI897" s="168"/>
      <c r="AJ897" s="167"/>
      <c r="AK897" s="168"/>
      <c r="AL897" s="169"/>
      <c r="AM897" s="509"/>
      <c r="AN897" s="510"/>
      <c r="AO897" s="510"/>
    </row>
    <row r="898" spans="1:41">
      <c r="A898" s="177"/>
      <c r="B898" s="169"/>
      <c r="C898" s="169"/>
      <c r="D898" s="169"/>
      <c r="E898" s="169"/>
      <c r="F898" s="169"/>
      <c r="G898" s="169"/>
      <c r="H898" s="169"/>
      <c r="I898" s="169"/>
      <c r="J898" s="169"/>
      <c r="K898" s="169"/>
      <c r="L898" s="169"/>
      <c r="M898" s="169"/>
      <c r="N898" s="177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78"/>
      <c r="AA898" s="167"/>
      <c r="AB898" s="169"/>
      <c r="AC898" s="169"/>
      <c r="AD898" s="169"/>
      <c r="AE898" s="169"/>
      <c r="AF898" s="169"/>
      <c r="AG898" s="179"/>
      <c r="AH898" s="169"/>
      <c r="AI898" s="168"/>
      <c r="AJ898" s="167"/>
      <c r="AK898" s="168"/>
      <c r="AL898" s="169"/>
      <c r="AM898" s="509"/>
      <c r="AN898" s="510"/>
      <c r="AO898" s="510"/>
    </row>
    <row r="899" spans="1:41">
      <c r="A899" s="177"/>
      <c r="B899" s="169"/>
      <c r="C899" s="169"/>
      <c r="D899" s="169"/>
      <c r="E899" s="169"/>
      <c r="F899" s="169"/>
      <c r="G899" s="169"/>
      <c r="H899" s="169"/>
      <c r="I899" s="169"/>
      <c r="J899" s="169"/>
      <c r="K899" s="169"/>
      <c r="L899" s="169"/>
      <c r="M899" s="169"/>
      <c r="N899" s="177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78"/>
      <c r="AA899" s="167"/>
      <c r="AB899" s="169"/>
      <c r="AC899" s="169"/>
      <c r="AD899" s="169"/>
      <c r="AE899" s="169"/>
      <c r="AF899" s="169"/>
      <c r="AG899" s="179"/>
      <c r="AH899" s="169"/>
      <c r="AI899" s="168"/>
      <c r="AJ899" s="167"/>
      <c r="AK899" s="168"/>
      <c r="AL899" s="169"/>
      <c r="AM899" s="509"/>
      <c r="AN899" s="510"/>
      <c r="AO899" s="510"/>
    </row>
    <row r="900" spans="1:41">
      <c r="A900" s="177"/>
      <c r="B900" s="169"/>
      <c r="C900" s="169"/>
      <c r="D900" s="169"/>
      <c r="E900" s="169"/>
      <c r="F900" s="169"/>
      <c r="G900" s="169"/>
      <c r="H900" s="169"/>
      <c r="I900" s="169"/>
      <c r="J900" s="169"/>
      <c r="K900" s="169"/>
      <c r="L900" s="169"/>
      <c r="M900" s="169"/>
      <c r="N900" s="177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78"/>
      <c r="AA900" s="167"/>
      <c r="AB900" s="169"/>
      <c r="AC900" s="169"/>
      <c r="AD900" s="169"/>
      <c r="AE900" s="169"/>
      <c r="AF900" s="169"/>
      <c r="AG900" s="179"/>
      <c r="AH900" s="169"/>
      <c r="AI900" s="168"/>
      <c r="AJ900" s="167"/>
      <c r="AK900" s="168"/>
      <c r="AL900" s="169"/>
      <c r="AM900" s="509"/>
      <c r="AN900" s="510"/>
      <c r="AO900" s="510"/>
    </row>
    <row r="901" spans="1:41">
      <c r="A901" s="177"/>
      <c r="B901" s="169"/>
      <c r="C901" s="169"/>
      <c r="D901" s="169"/>
      <c r="E901" s="169"/>
      <c r="F901" s="169"/>
      <c r="G901" s="169"/>
      <c r="H901" s="169"/>
      <c r="I901" s="169"/>
      <c r="J901" s="169"/>
      <c r="K901" s="169"/>
      <c r="L901" s="169"/>
      <c r="M901" s="169"/>
      <c r="N901" s="177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78"/>
      <c r="AA901" s="167"/>
      <c r="AB901" s="169"/>
      <c r="AC901" s="169"/>
      <c r="AD901" s="169"/>
      <c r="AE901" s="169"/>
      <c r="AF901" s="169"/>
      <c r="AG901" s="179"/>
      <c r="AH901" s="169"/>
      <c r="AI901" s="168"/>
      <c r="AJ901" s="167"/>
      <c r="AK901" s="168"/>
      <c r="AL901" s="169"/>
      <c r="AM901" s="509"/>
      <c r="AN901" s="510"/>
      <c r="AO901" s="510"/>
    </row>
    <row r="902" spans="1:41">
      <c r="A902" s="177"/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77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78"/>
      <c r="AA902" s="167"/>
      <c r="AB902" s="169"/>
      <c r="AC902" s="169"/>
      <c r="AD902" s="169"/>
      <c r="AE902" s="169"/>
      <c r="AF902" s="169"/>
      <c r="AG902" s="179"/>
      <c r="AH902" s="169"/>
      <c r="AI902" s="168"/>
      <c r="AJ902" s="167"/>
      <c r="AK902" s="168"/>
      <c r="AL902" s="169"/>
      <c r="AM902" s="509"/>
      <c r="AN902" s="510"/>
      <c r="AO902" s="510"/>
    </row>
    <row r="903" spans="1:41">
      <c r="A903" s="177"/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77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78"/>
      <c r="AA903" s="167"/>
      <c r="AB903" s="169"/>
      <c r="AC903" s="169"/>
      <c r="AD903" s="169"/>
      <c r="AE903" s="169"/>
      <c r="AF903" s="169"/>
      <c r="AG903" s="179"/>
      <c r="AH903" s="169"/>
      <c r="AI903" s="168"/>
      <c r="AJ903" s="167"/>
      <c r="AK903" s="168"/>
      <c r="AL903" s="169"/>
      <c r="AM903" s="509"/>
      <c r="AN903" s="510"/>
      <c r="AO903" s="510"/>
    </row>
    <row r="904" spans="1:41">
      <c r="A904" s="177"/>
      <c r="B904" s="169"/>
      <c r="C904" s="169"/>
      <c r="D904" s="169"/>
      <c r="E904" s="169"/>
      <c r="F904" s="169"/>
      <c r="G904" s="169"/>
      <c r="H904" s="169"/>
      <c r="I904" s="169"/>
      <c r="J904" s="169"/>
      <c r="K904" s="169"/>
      <c r="L904" s="169"/>
      <c r="M904" s="169"/>
      <c r="N904" s="177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78"/>
      <c r="AA904" s="167"/>
      <c r="AB904" s="169"/>
      <c r="AC904" s="169"/>
      <c r="AD904" s="169"/>
      <c r="AE904" s="169"/>
      <c r="AF904" s="169"/>
      <c r="AG904" s="179"/>
      <c r="AH904" s="169"/>
      <c r="AI904" s="168"/>
      <c r="AJ904" s="167"/>
      <c r="AK904" s="168"/>
      <c r="AL904" s="169"/>
      <c r="AM904" s="509"/>
      <c r="AN904" s="510"/>
      <c r="AO904" s="510"/>
    </row>
    <row r="905" spans="1:41">
      <c r="A905" s="177"/>
      <c r="B905" s="169"/>
      <c r="C905" s="169"/>
      <c r="D905" s="169"/>
      <c r="E905" s="169"/>
      <c r="F905" s="169"/>
      <c r="G905" s="169"/>
      <c r="H905" s="169"/>
      <c r="I905" s="169"/>
      <c r="J905" s="169"/>
      <c r="K905" s="169"/>
      <c r="L905" s="169"/>
      <c r="M905" s="169"/>
      <c r="N905" s="177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78"/>
      <c r="AA905" s="167"/>
      <c r="AB905" s="169"/>
      <c r="AC905" s="169"/>
      <c r="AD905" s="169"/>
      <c r="AE905" s="169"/>
      <c r="AF905" s="169"/>
      <c r="AG905" s="179"/>
      <c r="AH905" s="169"/>
      <c r="AI905" s="168"/>
      <c r="AJ905" s="167"/>
      <c r="AK905" s="168"/>
      <c r="AL905" s="169"/>
      <c r="AM905" s="509"/>
      <c r="AN905" s="510"/>
      <c r="AO905" s="510"/>
    </row>
    <row r="906" spans="1:41">
      <c r="A906" s="177"/>
      <c r="B906" s="169"/>
      <c r="C906" s="169"/>
      <c r="D906" s="169"/>
      <c r="E906" s="169"/>
      <c r="F906" s="169"/>
      <c r="G906" s="169"/>
      <c r="H906" s="169"/>
      <c r="I906" s="169"/>
      <c r="J906" s="169"/>
      <c r="K906" s="169"/>
      <c r="L906" s="169"/>
      <c r="M906" s="169"/>
      <c r="N906" s="177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78"/>
      <c r="AA906" s="167"/>
      <c r="AB906" s="169"/>
      <c r="AC906" s="169"/>
      <c r="AD906" s="169"/>
      <c r="AE906" s="169"/>
      <c r="AF906" s="169"/>
      <c r="AG906" s="179"/>
      <c r="AH906" s="169"/>
      <c r="AI906" s="168"/>
      <c r="AJ906" s="167"/>
      <c r="AK906" s="168"/>
      <c r="AL906" s="169"/>
      <c r="AM906" s="509"/>
      <c r="AN906" s="510"/>
      <c r="AO906" s="510"/>
    </row>
    <row r="907" spans="1:41">
      <c r="A907" s="177"/>
      <c r="B907" s="169"/>
      <c r="C907" s="169"/>
      <c r="D907" s="169"/>
      <c r="E907" s="169"/>
      <c r="F907" s="169"/>
      <c r="G907" s="169"/>
      <c r="H907" s="169"/>
      <c r="I907" s="169"/>
      <c r="J907" s="169"/>
      <c r="K907" s="169"/>
      <c r="L907" s="169"/>
      <c r="M907" s="169"/>
      <c r="N907" s="177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78"/>
      <c r="AA907" s="167"/>
      <c r="AB907" s="169"/>
      <c r="AC907" s="169"/>
      <c r="AD907" s="169"/>
      <c r="AE907" s="169"/>
      <c r="AF907" s="169"/>
      <c r="AG907" s="179"/>
      <c r="AH907" s="169"/>
      <c r="AI907" s="168"/>
      <c r="AJ907" s="167"/>
      <c r="AK907" s="168"/>
      <c r="AL907" s="169"/>
      <c r="AM907" s="509"/>
      <c r="AN907" s="510"/>
      <c r="AO907" s="510"/>
    </row>
    <row r="908" spans="1:41">
      <c r="A908" s="177"/>
      <c r="B908" s="169"/>
      <c r="C908" s="169"/>
      <c r="D908" s="169"/>
      <c r="E908" s="169"/>
      <c r="F908" s="169"/>
      <c r="G908" s="169"/>
      <c r="H908" s="169"/>
      <c r="I908" s="169"/>
      <c r="J908" s="169"/>
      <c r="K908" s="169"/>
      <c r="L908" s="169"/>
      <c r="M908" s="169"/>
      <c r="N908" s="177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78"/>
      <c r="AA908" s="167"/>
      <c r="AB908" s="169"/>
      <c r="AC908" s="169"/>
      <c r="AD908" s="169"/>
      <c r="AE908" s="169"/>
      <c r="AF908" s="169"/>
      <c r="AG908" s="179"/>
      <c r="AH908" s="169"/>
      <c r="AI908" s="168"/>
      <c r="AJ908" s="167"/>
      <c r="AK908" s="168"/>
      <c r="AL908" s="169"/>
      <c r="AM908" s="509"/>
      <c r="AN908" s="510"/>
      <c r="AO908" s="510"/>
    </row>
    <row r="909" spans="1:41">
      <c r="A909" s="177"/>
      <c r="B909" s="169"/>
      <c r="C909" s="169"/>
      <c r="D909" s="169"/>
      <c r="E909" s="169"/>
      <c r="F909" s="169"/>
      <c r="G909" s="169"/>
      <c r="H909" s="169"/>
      <c r="I909" s="169"/>
      <c r="J909" s="169"/>
      <c r="K909" s="169"/>
      <c r="L909" s="169"/>
      <c r="M909" s="169"/>
      <c r="N909" s="177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78"/>
      <c r="AA909" s="167"/>
      <c r="AB909" s="169"/>
      <c r="AC909" s="169"/>
      <c r="AD909" s="169"/>
      <c r="AE909" s="169"/>
      <c r="AF909" s="169"/>
      <c r="AG909" s="179"/>
      <c r="AH909" s="169"/>
      <c r="AI909" s="168"/>
      <c r="AJ909" s="167"/>
      <c r="AK909" s="168"/>
      <c r="AL909" s="169"/>
      <c r="AM909" s="509"/>
      <c r="AN909" s="510"/>
      <c r="AO909" s="510"/>
    </row>
    <row r="910" spans="1:41">
      <c r="A910" s="177"/>
      <c r="B910" s="169"/>
      <c r="C910" s="169"/>
      <c r="D910" s="169"/>
      <c r="E910" s="169"/>
      <c r="F910" s="169"/>
      <c r="G910" s="169"/>
      <c r="H910" s="169"/>
      <c r="I910" s="169"/>
      <c r="J910" s="169"/>
      <c r="K910" s="169"/>
      <c r="L910" s="169"/>
      <c r="M910" s="169"/>
      <c r="N910" s="177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78"/>
      <c r="AA910" s="167"/>
      <c r="AB910" s="169"/>
      <c r="AC910" s="169"/>
      <c r="AD910" s="169"/>
      <c r="AE910" s="169"/>
      <c r="AF910" s="169"/>
      <c r="AG910" s="179"/>
      <c r="AH910" s="169"/>
      <c r="AI910" s="168"/>
      <c r="AJ910" s="167"/>
      <c r="AK910" s="168"/>
      <c r="AL910" s="169"/>
      <c r="AM910" s="509"/>
      <c r="AN910" s="510"/>
      <c r="AO910" s="510"/>
    </row>
    <row r="911" spans="1:41">
      <c r="A911" s="177"/>
      <c r="B911" s="169"/>
      <c r="C911" s="169"/>
      <c r="D911" s="169"/>
      <c r="E911" s="169"/>
      <c r="F911" s="169"/>
      <c r="G911" s="169"/>
      <c r="H911" s="169"/>
      <c r="I911" s="169"/>
      <c r="J911" s="169"/>
      <c r="K911" s="169"/>
      <c r="L911" s="169"/>
      <c r="M911" s="169"/>
      <c r="N911" s="177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78"/>
      <c r="AA911" s="167"/>
      <c r="AB911" s="169"/>
      <c r="AC911" s="169"/>
      <c r="AD911" s="169"/>
      <c r="AE911" s="169"/>
      <c r="AF911" s="169"/>
      <c r="AG911" s="179"/>
      <c r="AH911" s="169"/>
      <c r="AI911" s="168"/>
      <c r="AJ911" s="167"/>
      <c r="AK911" s="168"/>
      <c r="AL911" s="169"/>
      <c r="AM911" s="509"/>
      <c r="AN911" s="510"/>
      <c r="AO911" s="510"/>
    </row>
    <row r="912" spans="1:41">
      <c r="A912" s="177"/>
      <c r="B912" s="169"/>
      <c r="C912" s="169"/>
      <c r="D912" s="169"/>
      <c r="E912" s="169"/>
      <c r="F912" s="169"/>
      <c r="G912" s="169"/>
      <c r="H912" s="169"/>
      <c r="I912" s="169"/>
      <c r="J912" s="169"/>
      <c r="K912" s="169"/>
      <c r="L912" s="169"/>
      <c r="M912" s="169"/>
      <c r="N912" s="177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78"/>
      <c r="AA912" s="167"/>
      <c r="AB912" s="169"/>
      <c r="AC912" s="169"/>
      <c r="AD912" s="169"/>
      <c r="AE912" s="169"/>
      <c r="AF912" s="169"/>
      <c r="AG912" s="179"/>
      <c r="AH912" s="169"/>
      <c r="AI912" s="168"/>
      <c r="AJ912" s="167"/>
      <c r="AK912" s="168"/>
      <c r="AL912" s="169"/>
      <c r="AM912" s="509"/>
      <c r="AN912" s="510"/>
      <c r="AO912" s="510"/>
    </row>
    <row r="913" spans="1:41">
      <c r="A913" s="177"/>
      <c r="B913" s="169"/>
      <c r="C913" s="169"/>
      <c r="D913" s="169"/>
      <c r="E913" s="169"/>
      <c r="F913" s="169"/>
      <c r="G913" s="169"/>
      <c r="H913" s="169"/>
      <c r="I913" s="169"/>
      <c r="J913" s="169"/>
      <c r="K913" s="169"/>
      <c r="L913" s="169"/>
      <c r="M913" s="169"/>
      <c r="N913" s="177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78"/>
      <c r="AA913" s="167"/>
      <c r="AB913" s="169"/>
      <c r="AC913" s="169"/>
      <c r="AD913" s="169"/>
      <c r="AE913" s="169"/>
      <c r="AF913" s="169"/>
      <c r="AG913" s="179"/>
      <c r="AH913" s="169"/>
      <c r="AI913" s="168"/>
      <c r="AJ913" s="167"/>
      <c r="AK913" s="168"/>
      <c r="AL913" s="169"/>
      <c r="AM913" s="509"/>
      <c r="AN913" s="510"/>
      <c r="AO913" s="510"/>
    </row>
    <row r="914" spans="1:41">
      <c r="A914" s="177"/>
      <c r="B914" s="169"/>
      <c r="C914" s="169"/>
      <c r="D914" s="169"/>
      <c r="E914" s="169"/>
      <c r="F914" s="169"/>
      <c r="G914" s="169"/>
      <c r="H914" s="169"/>
      <c r="I914" s="169"/>
      <c r="J914" s="169"/>
      <c r="K914" s="169"/>
      <c r="L914" s="169"/>
      <c r="M914" s="169"/>
      <c r="N914" s="177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78"/>
      <c r="AA914" s="167"/>
      <c r="AB914" s="169"/>
      <c r="AC914" s="169"/>
      <c r="AD914" s="169"/>
      <c r="AE914" s="169"/>
      <c r="AF914" s="169"/>
      <c r="AG914" s="179"/>
      <c r="AH914" s="169"/>
      <c r="AI914" s="168"/>
      <c r="AJ914" s="167"/>
      <c r="AK914" s="168"/>
      <c r="AL914" s="169"/>
      <c r="AM914" s="509"/>
      <c r="AN914" s="510"/>
      <c r="AO914" s="510"/>
    </row>
    <row r="915" spans="1:41">
      <c r="A915" s="177"/>
      <c r="B915" s="169"/>
      <c r="C915" s="169"/>
      <c r="D915" s="169"/>
      <c r="E915" s="169"/>
      <c r="F915" s="169"/>
      <c r="G915" s="169"/>
      <c r="H915" s="169"/>
      <c r="I915" s="169"/>
      <c r="J915" s="169"/>
      <c r="K915" s="169"/>
      <c r="L915" s="169"/>
      <c r="M915" s="169"/>
      <c r="N915" s="177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78"/>
      <c r="AA915" s="167"/>
      <c r="AB915" s="169"/>
      <c r="AC915" s="169"/>
      <c r="AD915" s="169"/>
      <c r="AE915" s="169"/>
      <c r="AF915" s="169"/>
      <c r="AG915" s="179"/>
      <c r="AH915" s="169"/>
      <c r="AI915" s="168"/>
      <c r="AJ915" s="167"/>
      <c r="AK915" s="168"/>
      <c r="AL915" s="169"/>
      <c r="AM915" s="509"/>
      <c r="AN915" s="510"/>
      <c r="AO915" s="510"/>
    </row>
    <row r="916" spans="1:41">
      <c r="A916" s="177"/>
      <c r="B916" s="169"/>
      <c r="C916" s="169"/>
      <c r="D916" s="169"/>
      <c r="E916" s="169"/>
      <c r="F916" s="169"/>
      <c r="G916" s="169"/>
      <c r="H916" s="169"/>
      <c r="I916" s="169"/>
      <c r="J916" s="169"/>
      <c r="K916" s="169"/>
      <c r="L916" s="169"/>
      <c r="M916" s="169"/>
      <c r="N916" s="177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78"/>
      <c r="AA916" s="167"/>
      <c r="AB916" s="169"/>
      <c r="AC916" s="169"/>
      <c r="AD916" s="169"/>
      <c r="AE916" s="169"/>
      <c r="AF916" s="169"/>
      <c r="AG916" s="179"/>
      <c r="AH916" s="169"/>
      <c r="AI916" s="168"/>
      <c r="AJ916" s="167"/>
      <c r="AK916" s="168"/>
      <c r="AL916" s="169"/>
      <c r="AM916" s="509"/>
      <c r="AN916" s="510"/>
      <c r="AO916" s="510"/>
    </row>
    <row r="917" spans="1:41">
      <c r="A917" s="177"/>
      <c r="B917" s="169"/>
      <c r="C917" s="169"/>
      <c r="D917" s="169"/>
      <c r="E917" s="169"/>
      <c r="F917" s="169"/>
      <c r="G917" s="169"/>
      <c r="H917" s="169"/>
      <c r="I917" s="169"/>
      <c r="J917" s="169"/>
      <c r="K917" s="169"/>
      <c r="L917" s="169"/>
      <c r="M917" s="169"/>
      <c r="N917" s="177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78"/>
      <c r="AA917" s="167"/>
      <c r="AB917" s="169"/>
      <c r="AC917" s="169"/>
      <c r="AD917" s="169"/>
      <c r="AE917" s="169"/>
      <c r="AF917" s="169"/>
      <c r="AG917" s="179"/>
      <c r="AH917" s="169"/>
      <c r="AI917" s="168"/>
      <c r="AJ917" s="167"/>
      <c r="AK917" s="168"/>
      <c r="AL917" s="169"/>
      <c r="AM917" s="509"/>
      <c r="AN917" s="510"/>
      <c r="AO917" s="510"/>
    </row>
    <row r="918" spans="1:41">
      <c r="A918" s="177"/>
      <c r="B918" s="169"/>
      <c r="C918" s="169"/>
      <c r="D918" s="169"/>
      <c r="E918" s="169"/>
      <c r="F918" s="169"/>
      <c r="G918" s="169"/>
      <c r="H918" s="169"/>
      <c r="I918" s="169"/>
      <c r="J918" s="169"/>
      <c r="K918" s="169"/>
      <c r="L918" s="169"/>
      <c r="M918" s="169"/>
      <c r="N918" s="177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78"/>
      <c r="AA918" s="167"/>
      <c r="AB918" s="169"/>
      <c r="AC918" s="169"/>
      <c r="AD918" s="169"/>
      <c r="AE918" s="169"/>
      <c r="AF918" s="169"/>
      <c r="AG918" s="179"/>
      <c r="AH918" s="169"/>
      <c r="AI918" s="168"/>
      <c r="AJ918" s="167"/>
      <c r="AK918" s="168"/>
      <c r="AL918" s="169"/>
      <c r="AM918" s="509"/>
      <c r="AN918" s="510"/>
      <c r="AO918" s="510"/>
    </row>
    <row r="919" spans="1:41">
      <c r="A919" s="177"/>
      <c r="B919" s="169"/>
      <c r="C919" s="169"/>
      <c r="D919" s="169"/>
      <c r="E919" s="169"/>
      <c r="F919" s="169"/>
      <c r="G919" s="169"/>
      <c r="H919" s="169"/>
      <c r="I919" s="169"/>
      <c r="J919" s="169"/>
      <c r="K919" s="169"/>
      <c r="L919" s="169"/>
      <c r="M919" s="169"/>
      <c r="N919" s="177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78"/>
      <c r="AA919" s="167"/>
      <c r="AB919" s="169"/>
      <c r="AC919" s="169"/>
      <c r="AD919" s="169"/>
      <c r="AE919" s="169"/>
      <c r="AF919" s="169"/>
      <c r="AG919" s="179"/>
      <c r="AH919" s="169"/>
      <c r="AI919" s="168"/>
      <c r="AJ919" s="167"/>
      <c r="AK919" s="168"/>
      <c r="AL919" s="169"/>
      <c r="AM919" s="509"/>
      <c r="AN919" s="510"/>
      <c r="AO919" s="510"/>
    </row>
    <row r="920" spans="1:41">
      <c r="A920" s="177"/>
      <c r="B920" s="169"/>
      <c r="C920" s="169"/>
      <c r="D920" s="169"/>
      <c r="E920" s="169"/>
      <c r="F920" s="169"/>
      <c r="G920" s="169"/>
      <c r="H920" s="169"/>
      <c r="I920" s="169"/>
      <c r="J920" s="169"/>
      <c r="K920" s="169"/>
      <c r="L920" s="169"/>
      <c r="M920" s="169"/>
      <c r="N920" s="177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78"/>
      <c r="AA920" s="167"/>
      <c r="AB920" s="169"/>
      <c r="AC920" s="169"/>
      <c r="AD920" s="169"/>
      <c r="AE920" s="169"/>
      <c r="AF920" s="169"/>
      <c r="AG920" s="179"/>
      <c r="AH920" s="169"/>
      <c r="AI920" s="168"/>
      <c r="AJ920" s="167"/>
      <c r="AK920" s="168"/>
      <c r="AL920" s="169"/>
      <c r="AM920" s="509"/>
      <c r="AN920" s="510"/>
      <c r="AO920" s="510"/>
    </row>
    <row r="921" spans="1:41">
      <c r="A921" s="177"/>
      <c r="B921" s="169"/>
      <c r="C921" s="169"/>
      <c r="D921" s="169"/>
      <c r="E921" s="169"/>
      <c r="F921" s="169"/>
      <c r="G921" s="169"/>
      <c r="H921" s="169"/>
      <c r="I921" s="169"/>
      <c r="J921" s="169"/>
      <c r="K921" s="169"/>
      <c r="L921" s="169"/>
      <c r="M921" s="169"/>
      <c r="N921" s="177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78"/>
      <c r="AA921" s="167"/>
      <c r="AB921" s="169"/>
      <c r="AC921" s="169"/>
      <c r="AD921" s="169"/>
      <c r="AE921" s="169"/>
      <c r="AF921" s="169"/>
      <c r="AG921" s="179"/>
      <c r="AH921" s="169"/>
      <c r="AI921" s="168"/>
      <c r="AJ921" s="167"/>
      <c r="AK921" s="168"/>
      <c r="AL921" s="169"/>
      <c r="AM921" s="509"/>
      <c r="AN921" s="510"/>
      <c r="AO921" s="510"/>
    </row>
    <row r="922" spans="1:41">
      <c r="A922" s="177"/>
      <c r="B922" s="169"/>
      <c r="C922" s="169"/>
      <c r="D922" s="169"/>
      <c r="E922" s="169"/>
      <c r="F922" s="169"/>
      <c r="G922" s="169"/>
      <c r="H922" s="169"/>
      <c r="I922" s="169"/>
      <c r="J922" s="169"/>
      <c r="K922" s="169"/>
      <c r="L922" s="169"/>
      <c r="M922" s="169"/>
      <c r="N922" s="177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78"/>
      <c r="AA922" s="167"/>
      <c r="AB922" s="169"/>
      <c r="AC922" s="169"/>
      <c r="AD922" s="169"/>
      <c r="AE922" s="169"/>
      <c r="AF922" s="169"/>
      <c r="AG922" s="179"/>
      <c r="AH922" s="169"/>
      <c r="AI922" s="168"/>
      <c r="AJ922" s="167"/>
      <c r="AK922" s="168"/>
      <c r="AL922" s="169"/>
      <c r="AM922" s="509"/>
      <c r="AN922" s="510"/>
      <c r="AO922" s="510"/>
    </row>
    <row r="923" spans="1:41">
      <c r="A923" s="177"/>
      <c r="B923" s="169"/>
      <c r="C923" s="169"/>
      <c r="D923" s="169"/>
      <c r="E923" s="169"/>
      <c r="F923" s="169"/>
      <c r="G923" s="169"/>
      <c r="H923" s="169"/>
      <c r="I923" s="169"/>
      <c r="J923" s="169"/>
      <c r="K923" s="169"/>
      <c r="L923" s="169"/>
      <c r="M923" s="169"/>
      <c r="N923" s="177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78"/>
      <c r="AA923" s="167"/>
      <c r="AB923" s="169"/>
      <c r="AC923" s="169"/>
      <c r="AD923" s="169"/>
      <c r="AE923" s="169"/>
      <c r="AF923" s="169"/>
      <c r="AG923" s="179"/>
      <c r="AH923" s="169"/>
      <c r="AI923" s="168"/>
      <c r="AJ923" s="167"/>
      <c r="AK923" s="168"/>
      <c r="AL923" s="169"/>
      <c r="AM923" s="509"/>
      <c r="AN923" s="510"/>
      <c r="AO923" s="510"/>
    </row>
    <row r="924" spans="1:41">
      <c r="A924" s="177"/>
      <c r="B924" s="169"/>
      <c r="C924" s="169"/>
      <c r="D924" s="169"/>
      <c r="E924" s="169"/>
      <c r="F924" s="169"/>
      <c r="G924" s="169"/>
      <c r="H924" s="169"/>
      <c r="I924" s="169"/>
      <c r="J924" s="169"/>
      <c r="K924" s="169"/>
      <c r="L924" s="169"/>
      <c r="M924" s="169"/>
      <c r="N924" s="177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78"/>
      <c r="AA924" s="167"/>
      <c r="AB924" s="169"/>
      <c r="AC924" s="169"/>
      <c r="AD924" s="169"/>
      <c r="AE924" s="169"/>
      <c r="AF924" s="169"/>
      <c r="AG924" s="179"/>
      <c r="AH924" s="169"/>
      <c r="AI924" s="168"/>
      <c r="AJ924" s="167"/>
      <c r="AK924" s="168"/>
      <c r="AL924" s="169"/>
      <c r="AM924" s="509"/>
      <c r="AN924" s="510"/>
      <c r="AO924" s="510"/>
    </row>
    <row r="925" spans="1:41">
      <c r="A925" s="177"/>
      <c r="B925" s="169"/>
      <c r="C925" s="169"/>
      <c r="D925" s="169"/>
      <c r="E925" s="169"/>
      <c r="F925" s="169"/>
      <c r="G925" s="169"/>
      <c r="H925" s="169"/>
      <c r="I925" s="169"/>
      <c r="J925" s="169"/>
      <c r="K925" s="169"/>
      <c r="L925" s="169"/>
      <c r="M925" s="169"/>
      <c r="N925" s="177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78"/>
      <c r="AA925" s="167"/>
      <c r="AB925" s="169"/>
      <c r="AC925" s="169"/>
      <c r="AD925" s="169"/>
      <c r="AE925" s="169"/>
      <c r="AF925" s="169"/>
      <c r="AG925" s="179"/>
      <c r="AH925" s="169"/>
      <c r="AI925" s="168"/>
      <c r="AJ925" s="167"/>
      <c r="AK925" s="168"/>
      <c r="AL925" s="169"/>
      <c r="AM925" s="509"/>
      <c r="AN925" s="510"/>
      <c r="AO925" s="510"/>
    </row>
    <row r="926" spans="1:41">
      <c r="A926" s="177"/>
      <c r="B926" s="169"/>
      <c r="C926" s="169"/>
      <c r="D926" s="169"/>
      <c r="E926" s="169"/>
      <c r="F926" s="169"/>
      <c r="G926" s="169"/>
      <c r="H926" s="169"/>
      <c r="I926" s="169"/>
      <c r="J926" s="169"/>
      <c r="K926" s="169"/>
      <c r="L926" s="169"/>
      <c r="M926" s="169"/>
      <c r="N926" s="177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78"/>
      <c r="AA926" s="167"/>
      <c r="AB926" s="169"/>
      <c r="AC926" s="169"/>
      <c r="AD926" s="169"/>
      <c r="AE926" s="169"/>
      <c r="AF926" s="169"/>
      <c r="AG926" s="179"/>
      <c r="AH926" s="169"/>
      <c r="AI926" s="168"/>
      <c r="AJ926" s="167"/>
      <c r="AK926" s="168"/>
      <c r="AL926" s="169"/>
      <c r="AM926" s="509"/>
      <c r="AN926" s="510"/>
      <c r="AO926" s="510"/>
    </row>
    <row r="927" spans="1:41">
      <c r="A927" s="177"/>
      <c r="B927" s="169"/>
      <c r="C927" s="169"/>
      <c r="D927" s="169"/>
      <c r="E927" s="169"/>
      <c r="F927" s="169"/>
      <c r="G927" s="169"/>
      <c r="H927" s="169"/>
      <c r="I927" s="169"/>
      <c r="J927" s="169"/>
      <c r="K927" s="169"/>
      <c r="L927" s="169"/>
      <c r="M927" s="169"/>
      <c r="N927" s="177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78"/>
      <c r="AA927" s="167"/>
      <c r="AB927" s="169"/>
      <c r="AC927" s="169"/>
      <c r="AD927" s="169"/>
      <c r="AE927" s="169"/>
      <c r="AF927" s="169"/>
      <c r="AG927" s="179"/>
      <c r="AH927" s="169"/>
      <c r="AI927" s="168"/>
      <c r="AJ927" s="167"/>
      <c r="AK927" s="168"/>
      <c r="AL927" s="169"/>
      <c r="AM927" s="509"/>
      <c r="AN927" s="510"/>
      <c r="AO927" s="510"/>
    </row>
    <row r="928" spans="1:41">
      <c r="A928" s="177"/>
      <c r="B928" s="169"/>
      <c r="C928" s="169"/>
      <c r="D928" s="169"/>
      <c r="E928" s="169"/>
      <c r="F928" s="169"/>
      <c r="G928" s="169"/>
      <c r="H928" s="169"/>
      <c r="I928" s="169"/>
      <c r="J928" s="169"/>
      <c r="K928" s="169"/>
      <c r="L928" s="169"/>
      <c r="M928" s="169"/>
      <c r="N928" s="177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78"/>
      <c r="AA928" s="167"/>
      <c r="AB928" s="169"/>
      <c r="AC928" s="169"/>
      <c r="AD928" s="169"/>
      <c r="AE928" s="169"/>
      <c r="AF928" s="169"/>
      <c r="AG928" s="179"/>
      <c r="AH928" s="169"/>
      <c r="AI928" s="168"/>
      <c r="AJ928" s="167"/>
      <c r="AK928" s="168"/>
      <c r="AL928" s="169"/>
      <c r="AM928" s="509"/>
      <c r="AN928" s="510"/>
      <c r="AO928" s="510"/>
    </row>
    <row r="929" spans="1:41">
      <c r="A929" s="177"/>
      <c r="B929" s="169"/>
      <c r="C929" s="169"/>
      <c r="D929" s="169"/>
      <c r="E929" s="169"/>
      <c r="F929" s="169"/>
      <c r="G929" s="169"/>
      <c r="H929" s="169"/>
      <c r="I929" s="169"/>
      <c r="J929" s="169"/>
      <c r="K929" s="169"/>
      <c r="L929" s="169"/>
      <c r="M929" s="169"/>
      <c r="N929" s="177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78"/>
      <c r="AA929" s="167"/>
      <c r="AB929" s="169"/>
      <c r="AC929" s="169"/>
      <c r="AD929" s="169"/>
      <c r="AE929" s="169"/>
      <c r="AF929" s="169"/>
      <c r="AG929" s="179"/>
      <c r="AH929" s="169"/>
      <c r="AI929" s="168"/>
      <c r="AJ929" s="167"/>
      <c r="AK929" s="168"/>
      <c r="AL929" s="169"/>
      <c r="AM929" s="509"/>
      <c r="AN929" s="510"/>
      <c r="AO929" s="510"/>
    </row>
    <row r="930" spans="1:41">
      <c r="A930" s="177"/>
      <c r="B930" s="169"/>
      <c r="C930" s="169"/>
      <c r="D930" s="169"/>
      <c r="E930" s="169"/>
      <c r="F930" s="169"/>
      <c r="G930" s="169"/>
      <c r="H930" s="169"/>
      <c r="I930" s="169"/>
      <c r="J930" s="169"/>
      <c r="K930" s="169"/>
      <c r="L930" s="169"/>
      <c r="M930" s="169"/>
      <c r="N930" s="177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78"/>
      <c r="AA930" s="167"/>
      <c r="AB930" s="169"/>
      <c r="AC930" s="169"/>
      <c r="AD930" s="169"/>
      <c r="AE930" s="169"/>
      <c r="AF930" s="169"/>
      <c r="AG930" s="179"/>
      <c r="AH930" s="169"/>
      <c r="AI930" s="168"/>
      <c r="AJ930" s="167"/>
      <c r="AK930" s="168"/>
      <c r="AL930" s="169"/>
      <c r="AM930" s="509"/>
      <c r="AN930" s="510"/>
      <c r="AO930" s="510"/>
    </row>
    <row r="931" spans="1:41">
      <c r="A931" s="177"/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77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78"/>
      <c r="AA931" s="167"/>
      <c r="AB931" s="169"/>
      <c r="AC931" s="169"/>
      <c r="AD931" s="169"/>
      <c r="AE931" s="169"/>
      <c r="AF931" s="169"/>
      <c r="AG931" s="179"/>
      <c r="AH931" s="169"/>
      <c r="AI931" s="168"/>
      <c r="AJ931" s="167"/>
      <c r="AK931" s="168"/>
      <c r="AL931" s="169"/>
      <c r="AM931" s="509"/>
      <c r="AN931" s="510"/>
      <c r="AO931" s="510"/>
    </row>
    <row r="932" spans="1:41">
      <c r="A932" s="177"/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77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78"/>
      <c r="AA932" s="167"/>
      <c r="AB932" s="169"/>
      <c r="AC932" s="169"/>
      <c r="AD932" s="169"/>
      <c r="AE932" s="169"/>
      <c r="AF932" s="169"/>
      <c r="AG932" s="179"/>
      <c r="AH932" s="169"/>
      <c r="AI932" s="168"/>
      <c r="AJ932" s="167"/>
      <c r="AK932" s="168"/>
      <c r="AL932" s="169"/>
      <c r="AM932" s="509"/>
      <c r="AN932" s="510"/>
      <c r="AO932" s="510"/>
    </row>
    <row r="933" spans="1:41">
      <c r="A933" s="177"/>
      <c r="B933" s="169"/>
      <c r="C933" s="169"/>
      <c r="D933" s="169"/>
      <c r="E933" s="169"/>
      <c r="F933" s="169"/>
      <c r="G933" s="169"/>
      <c r="H933" s="169"/>
      <c r="I933" s="169"/>
      <c r="J933" s="169"/>
      <c r="K933" s="169"/>
      <c r="L933" s="169"/>
      <c r="M933" s="169"/>
      <c r="N933" s="177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78"/>
      <c r="AA933" s="167"/>
      <c r="AB933" s="169"/>
      <c r="AC933" s="169"/>
      <c r="AD933" s="169"/>
      <c r="AE933" s="169"/>
      <c r="AF933" s="169"/>
      <c r="AG933" s="179"/>
      <c r="AH933" s="169"/>
      <c r="AI933" s="168"/>
      <c r="AJ933" s="167"/>
      <c r="AK933" s="168"/>
      <c r="AL933" s="169"/>
      <c r="AM933" s="509"/>
      <c r="AN933" s="510"/>
      <c r="AO933" s="510"/>
    </row>
    <row r="934" spans="1:41">
      <c r="A934" s="177"/>
      <c r="B934" s="169"/>
      <c r="C934" s="169"/>
      <c r="D934" s="169"/>
      <c r="E934" s="169"/>
      <c r="F934" s="169"/>
      <c r="G934" s="169"/>
      <c r="H934" s="169"/>
      <c r="I934" s="169"/>
      <c r="J934" s="169"/>
      <c r="K934" s="169"/>
      <c r="L934" s="169"/>
      <c r="M934" s="169"/>
      <c r="N934" s="177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78"/>
      <c r="AA934" s="167"/>
      <c r="AB934" s="169"/>
      <c r="AC934" s="169"/>
      <c r="AD934" s="169"/>
      <c r="AE934" s="169"/>
      <c r="AF934" s="169"/>
      <c r="AG934" s="179"/>
      <c r="AH934" s="169"/>
      <c r="AI934" s="168"/>
      <c r="AJ934" s="167"/>
      <c r="AK934" s="168"/>
      <c r="AL934" s="169"/>
      <c r="AM934" s="509"/>
      <c r="AN934" s="510"/>
      <c r="AO934" s="510"/>
    </row>
    <row r="935" spans="1:41">
      <c r="A935" s="177"/>
      <c r="B935" s="169"/>
      <c r="C935" s="169"/>
      <c r="D935" s="169"/>
      <c r="E935" s="169"/>
      <c r="F935" s="169"/>
      <c r="G935" s="169"/>
      <c r="H935" s="169"/>
      <c r="I935" s="169"/>
      <c r="J935" s="169"/>
      <c r="K935" s="169"/>
      <c r="L935" s="169"/>
      <c r="M935" s="169"/>
      <c r="N935" s="177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78"/>
      <c r="AA935" s="167"/>
      <c r="AB935" s="169"/>
      <c r="AC935" s="169"/>
      <c r="AD935" s="169"/>
      <c r="AE935" s="169"/>
      <c r="AF935" s="169"/>
      <c r="AG935" s="179"/>
      <c r="AH935" s="169"/>
      <c r="AI935" s="168"/>
      <c r="AJ935" s="167"/>
      <c r="AK935" s="168"/>
      <c r="AL935" s="169"/>
      <c r="AM935" s="509"/>
      <c r="AN935" s="510"/>
      <c r="AO935" s="510"/>
    </row>
    <row r="936" spans="1:41">
      <c r="A936" s="177"/>
      <c r="B936" s="169"/>
      <c r="C936" s="169"/>
      <c r="D936" s="169"/>
      <c r="E936" s="169"/>
      <c r="F936" s="169"/>
      <c r="G936" s="169"/>
      <c r="H936" s="169"/>
      <c r="I936" s="169"/>
      <c r="J936" s="169"/>
      <c r="K936" s="169"/>
      <c r="L936" s="169"/>
      <c r="M936" s="169"/>
      <c r="N936" s="177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78"/>
      <c r="AA936" s="167"/>
      <c r="AB936" s="169"/>
      <c r="AC936" s="169"/>
      <c r="AD936" s="169"/>
      <c r="AE936" s="169"/>
      <c r="AF936" s="169"/>
      <c r="AG936" s="179"/>
      <c r="AH936" s="169"/>
      <c r="AI936" s="168"/>
      <c r="AJ936" s="167"/>
      <c r="AK936" s="168"/>
      <c r="AL936" s="169"/>
      <c r="AM936" s="509"/>
      <c r="AN936" s="510"/>
      <c r="AO936" s="510"/>
    </row>
    <row r="937" spans="1:41">
      <c r="A937" s="177"/>
      <c r="B937" s="169"/>
      <c r="C937" s="169"/>
      <c r="D937" s="169"/>
      <c r="E937" s="169"/>
      <c r="F937" s="169"/>
      <c r="G937" s="169"/>
      <c r="H937" s="169"/>
      <c r="I937" s="169"/>
      <c r="J937" s="169"/>
      <c r="K937" s="169"/>
      <c r="L937" s="169"/>
      <c r="M937" s="169"/>
      <c r="N937" s="177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78"/>
      <c r="AA937" s="167"/>
      <c r="AB937" s="169"/>
      <c r="AC937" s="169"/>
      <c r="AD937" s="169"/>
      <c r="AE937" s="169"/>
      <c r="AF937" s="169"/>
      <c r="AG937" s="179"/>
      <c r="AH937" s="169"/>
      <c r="AI937" s="168"/>
      <c r="AJ937" s="167"/>
      <c r="AK937" s="168"/>
      <c r="AL937" s="169"/>
      <c r="AM937" s="509"/>
      <c r="AN937" s="510"/>
      <c r="AO937" s="510"/>
    </row>
    <row r="938" spans="1:41">
      <c r="A938" s="177"/>
      <c r="B938" s="169"/>
      <c r="C938" s="169"/>
      <c r="D938" s="169"/>
      <c r="E938" s="169"/>
      <c r="F938" s="169"/>
      <c r="G938" s="169"/>
      <c r="H938" s="169"/>
      <c r="I938" s="169"/>
      <c r="J938" s="169"/>
      <c r="K938" s="169"/>
      <c r="L938" s="169"/>
      <c r="M938" s="169"/>
      <c r="N938" s="177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78"/>
      <c r="AA938" s="167"/>
      <c r="AB938" s="169"/>
      <c r="AC938" s="169"/>
      <c r="AD938" s="169"/>
      <c r="AE938" s="169"/>
      <c r="AF938" s="169"/>
      <c r="AG938" s="179"/>
      <c r="AH938" s="169"/>
      <c r="AI938" s="168"/>
      <c r="AJ938" s="167"/>
      <c r="AK938" s="168"/>
      <c r="AL938" s="169"/>
      <c r="AM938" s="509"/>
      <c r="AN938" s="510"/>
      <c r="AO938" s="510"/>
    </row>
    <row r="939" spans="1:41">
      <c r="A939" s="177"/>
      <c r="B939" s="169"/>
      <c r="C939" s="169"/>
      <c r="D939" s="169"/>
      <c r="E939" s="169"/>
      <c r="F939" s="169"/>
      <c r="G939" s="169"/>
      <c r="H939" s="169"/>
      <c r="I939" s="169"/>
      <c r="J939" s="169"/>
      <c r="K939" s="169"/>
      <c r="L939" s="169"/>
      <c r="M939" s="169"/>
      <c r="N939" s="177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78"/>
      <c r="AA939" s="167"/>
      <c r="AB939" s="169"/>
      <c r="AC939" s="169"/>
      <c r="AD939" s="169"/>
      <c r="AE939" s="169"/>
      <c r="AF939" s="169"/>
      <c r="AG939" s="179"/>
      <c r="AH939" s="169"/>
      <c r="AI939" s="168"/>
      <c r="AJ939" s="167"/>
      <c r="AK939" s="168"/>
      <c r="AL939" s="169"/>
      <c r="AM939" s="509"/>
      <c r="AN939" s="510"/>
      <c r="AO939" s="510"/>
    </row>
    <row r="940" spans="1:41">
      <c r="A940" s="177"/>
      <c r="B940" s="169"/>
      <c r="C940" s="169"/>
      <c r="D940" s="169"/>
      <c r="E940" s="169"/>
      <c r="F940" s="169"/>
      <c r="G940" s="169"/>
      <c r="H940" s="169"/>
      <c r="I940" s="169"/>
      <c r="J940" s="169"/>
      <c r="K940" s="169"/>
      <c r="L940" s="169"/>
      <c r="M940" s="169"/>
      <c r="N940" s="177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78"/>
      <c r="AA940" s="167"/>
      <c r="AB940" s="169"/>
      <c r="AC940" s="169"/>
      <c r="AD940" s="169"/>
      <c r="AE940" s="169"/>
      <c r="AF940" s="169"/>
      <c r="AG940" s="179"/>
      <c r="AH940" s="169"/>
      <c r="AI940" s="168"/>
      <c r="AJ940" s="167"/>
      <c r="AK940" s="168"/>
      <c r="AL940" s="169"/>
      <c r="AM940" s="509"/>
      <c r="AN940" s="510"/>
      <c r="AO940" s="510"/>
    </row>
    <row r="941" spans="1:41">
      <c r="A941" s="177"/>
      <c r="B941" s="169"/>
      <c r="C941" s="169"/>
      <c r="D941" s="169"/>
      <c r="E941" s="169"/>
      <c r="F941" s="169"/>
      <c r="G941" s="169"/>
      <c r="H941" s="169"/>
      <c r="I941" s="169"/>
      <c r="J941" s="169"/>
      <c r="K941" s="169"/>
      <c r="L941" s="169"/>
      <c r="M941" s="169"/>
      <c r="N941" s="177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78"/>
      <c r="AA941" s="167"/>
      <c r="AB941" s="169"/>
      <c r="AC941" s="169"/>
      <c r="AD941" s="169"/>
      <c r="AE941" s="169"/>
      <c r="AF941" s="169"/>
      <c r="AG941" s="179"/>
      <c r="AH941" s="169"/>
      <c r="AI941" s="168"/>
      <c r="AJ941" s="167"/>
      <c r="AK941" s="168"/>
      <c r="AL941" s="169"/>
      <c r="AM941" s="509"/>
      <c r="AN941" s="510"/>
      <c r="AO941" s="510"/>
    </row>
    <row r="942" spans="1:41">
      <c r="A942" s="177"/>
      <c r="B942" s="169"/>
      <c r="C942" s="169"/>
      <c r="D942" s="169"/>
      <c r="E942" s="169"/>
      <c r="F942" s="169"/>
      <c r="G942" s="169"/>
      <c r="H942" s="169"/>
      <c r="I942" s="169"/>
      <c r="J942" s="169"/>
      <c r="K942" s="169"/>
      <c r="L942" s="169"/>
      <c r="M942" s="169"/>
      <c r="N942" s="177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78"/>
      <c r="AA942" s="167"/>
      <c r="AB942" s="169"/>
      <c r="AC942" s="169"/>
      <c r="AD942" s="169"/>
      <c r="AE942" s="169"/>
      <c r="AF942" s="169"/>
      <c r="AG942" s="179"/>
      <c r="AH942" s="169"/>
      <c r="AI942" s="168"/>
      <c r="AJ942" s="167"/>
      <c r="AK942" s="168"/>
      <c r="AL942" s="169"/>
      <c r="AM942" s="509"/>
      <c r="AN942" s="510"/>
      <c r="AO942" s="510"/>
    </row>
    <row r="943" spans="1:41">
      <c r="A943" s="177"/>
      <c r="B943" s="169"/>
      <c r="C943" s="169"/>
      <c r="D943" s="169"/>
      <c r="E943" s="169"/>
      <c r="F943" s="169"/>
      <c r="G943" s="169"/>
      <c r="H943" s="169"/>
      <c r="I943" s="169"/>
      <c r="J943" s="169"/>
      <c r="K943" s="169"/>
      <c r="L943" s="169"/>
      <c r="M943" s="169"/>
      <c r="N943" s="177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78"/>
      <c r="AA943" s="167"/>
      <c r="AB943" s="169"/>
      <c r="AC943" s="169"/>
      <c r="AD943" s="169"/>
      <c r="AE943" s="169"/>
      <c r="AF943" s="169"/>
      <c r="AG943" s="179"/>
      <c r="AH943" s="169"/>
      <c r="AI943" s="168"/>
      <c r="AJ943" s="167"/>
      <c r="AK943" s="168"/>
      <c r="AL943" s="169"/>
      <c r="AM943" s="509"/>
      <c r="AN943" s="510"/>
      <c r="AO943" s="510"/>
    </row>
    <row r="944" spans="1:41">
      <c r="A944" s="177"/>
      <c r="B944" s="169"/>
      <c r="C944" s="169"/>
      <c r="D944" s="169"/>
      <c r="E944" s="169"/>
      <c r="F944" s="169"/>
      <c r="G944" s="169"/>
      <c r="H944" s="169"/>
      <c r="I944" s="169"/>
      <c r="J944" s="169"/>
      <c r="K944" s="169"/>
      <c r="L944" s="169"/>
      <c r="M944" s="169"/>
      <c r="N944" s="177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78"/>
      <c r="AA944" s="167"/>
      <c r="AB944" s="169"/>
      <c r="AC944" s="169"/>
      <c r="AD944" s="169"/>
      <c r="AE944" s="169"/>
      <c r="AF944" s="169"/>
      <c r="AG944" s="179"/>
      <c r="AH944" s="169"/>
      <c r="AI944" s="168"/>
      <c r="AJ944" s="167"/>
      <c r="AK944" s="168"/>
      <c r="AL944" s="169"/>
      <c r="AM944" s="509"/>
      <c r="AN944" s="510"/>
      <c r="AO944" s="510"/>
    </row>
    <row r="945" spans="1:41">
      <c r="A945" s="177"/>
      <c r="B945" s="169"/>
      <c r="C945" s="169"/>
      <c r="D945" s="169"/>
      <c r="E945" s="169"/>
      <c r="F945" s="169"/>
      <c r="G945" s="169"/>
      <c r="H945" s="169"/>
      <c r="I945" s="169"/>
      <c r="J945" s="169"/>
      <c r="K945" s="169"/>
      <c r="L945" s="169"/>
      <c r="M945" s="169"/>
      <c r="N945" s="177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78"/>
      <c r="AA945" s="167"/>
      <c r="AB945" s="169"/>
      <c r="AC945" s="169"/>
      <c r="AD945" s="169"/>
      <c r="AE945" s="169"/>
      <c r="AF945" s="169"/>
      <c r="AG945" s="179"/>
      <c r="AH945" s="169"/>
      <c r="AI945" s="168"/>
      <c r="AJ945" s="167"/>
      <c r="AK945" s="168"/>
      <c r="AL945" s="169"/>
      <c r="AM945" s="509"/>
      <c r="AN945" s="510"/>
      <c r="AO945" s="510"/>
    </row>
    <row r="946" spans="1:41">
      <c r="A946" s="177"/>
      <c r="B946" s="169"/>
      <c r="C946" s="169"/>
      <c r="D946" s="169"/>
      <c r="E946" s="169"/>
      <c r="F946" s="169"/>
      <c r="G946" s="169"/>
      <c r="H946" s="169"/>
      <c r="I946" s="169"/>
      <c r="J946" s="169"/>
      <c r="K946" s="169"/>
      <c r="L946" s="169"/>
      <c r="M946" s="169"/>
      <c r="N946" s="177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78"/>
      <c r="AA946" s="167"/>
      <c r="AB946" s="169"/>
      <c r="AC946" s="169"/>
      <c r="AD946" s="169"/>
      <c r="AE946" s="169"/>
      <c r="AF946" s="169"/>
      <c r="AG946" s="179"/>
      <c r="AH946" s="169"/>
      <c r="AI946" s="168"/>
      <c r="AJ946" s="167"/>
      <c r="AK946" s="168"/>
      <c r="AL946" s="169"/>
      <c r="AM946" s="509"/>
      <c r="AN946" s="510"/>
      <c r="AO946" s="510"/>
    </row>
    <row r="947" spans="1:41">
      <c r="A947" s="177"/>
      <c r="B947" s="169"/>
      <c r="C947" s="169"/>
      <c r="D947" s="169"/>
      <c r="E947" s="169"/>
      <c r="F947" s="169"/>
      <c r="G947" s="169"/>
      <c r="H947" s="169"/>
      <c r="I947" s="169"/>
      <c r="J947" s="169"/>
      <c r="K947" s="169"/>
      <c r="L947" s="169"/>
      <c r="M947" s="169"/>
      <c r="N947" s="177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78"/>
      <c r="AA947" s="167"/>
      <c r="AB947" s="169"/>
      <c r="AC947" s="169"/>
      <c r="AD947" s="169"/>
      <c r="AE947" s="169"/>
      <c r="AF947" s="169"/>
      <c r="AG947" s="179"/>
      <c r="AH947" s="169"/>
      <c r="AI947" s="168"/>
      <c r="AJ947" s="167"/>
      <c r="AK947" s="168"/>
      <c r="AL947" s="169"/>
      <c r="AM947" s="509"/>
      <c r="AN947" s="510"/>
      <c r="AO947" s="510"/>
    </row>
    <row r="948" spans="1:41">
      <c r="A948" s="177"/>
      <c r="B948" s="169"/>
      <c r="C948" s="169"/>
      <c r="D948" s="169"/>
      <c r="E948" s="169"/>
      <c r="F948" s="169"/>
      <c r="G948" s="169"/>
      <c r="H948" s="169"/>
      <c r="I948" s="169"/>
      <c r="J948" s="169"/>
      <c r="K948" s="169"/>
      <c r="L948" s="169"/>
      <c r="M948" s="169"/>
      <c r="N948" s="177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78"/>
      <c r="AA948" s="167"/>
      <c r="AB948" s="169"/>
      <c r="AC948" s="169"/>
      <c r="AD948" s="169"/>
      <c r="AE948" s="169"/>
      <c r="AF948" s="169"/>
      <c r="AG948" s="179"/>
      <c r="AH948" s="169"/>
      <c r="AI948" s="168"/>
      <c r="AJ948" s="167"/>
      <c r="AK948" s="168"/>
      <c r="AL948" s="169"/>
      <c r="AM948" s="509"/>
      <c r="AN948" s="510"/>
      <c r="AO948" s="510"/>
    </row>
    <row r="949" spans="1:41">
      <c r="A949" s="177"/>
      <c r="B949" s="169"/>
      <c r="C949" s="169"/>
      <c r="D949" s="169"/>
      <c r="E949" s="169"/>
      <c r="F949" s="169"/>
      <c r="G949" s="169"/>
      <c r="H949" s="169"/>
      <c r="I949" s="169"/>
      <c r="J949" s="169"/>
      <c r="K949" s="169"/>
      <c r="L949" s="169"/>
      <c r="M949" s="169"/>
      <c r="N949" s="177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78"/>
      <c r="AA949" s="167"/>
      <c r="AB949" s="169"/>
      <c r="AC949" s="169"/>
      <c r="AD949" s="169"/>
      <c r="AE949" s="169"/>
      <c r="AF949" s="169"/>
      <c r="AG949" s="179"/>
      <c r="AH949" s="169"/>
      <c r="AI949" s="168"/>
      <c r="AJ949" s="167"/>
      <c r="AK949" s="168"/>
      <c r="AL949" s="169"/>
      <c r="AM949" s="509"/>
      <c r="AN949" s="510"/>
      <c r="AO949" s="510"/>
    </row>
    <row r="950" spans="1:41">
      <c r="A950" s="177"/>
      <c r="B950" s="169"/>
      <c r="C950" s="169"/>
      <c r="D950" s="169"/>
      <c r="E950" s="169"/>
      <c r="F950" s="169"/>
      <c r="G950" s="169"/>
      <c r="H950" s="169"/>
      <c r="I950" s="169"/>
      <c r="J950" s="169"/>
      <c r="K950" s="169"/>
      <c r="L950" s="169"/>
      <c r="M950" s="169"/>
      <c r="N950" s="177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78"/>
      <c r="AA950" s="167"/>
      <c r="AB950" s="169"/>
      <c r="AC950" s="169"/>
      <c r="AD950" s="169"/>
      <c r="AE950" s="169"/>
      <c r="AF950" s="169"/>
      <c r="AG950" s="179"/>
      <c r="AH950" s="169"/>
      <c r="AI950" s="168"/>
      <c r="AJ950" s="167"/>
      <c r="AK950" s="168"/>
      <c r="AL950" s="169"/>
      <c r="AM950" s="509"/>
      <c r="AN950" s="510"/>
      <c r="AO950" s="510"/>
    </row>
    <row r="951" spans="1:41">
      <c r="A951" s="177"/>
      <c r="B951" s="169"/>
      <c r="C951" s="169"/>
      <c r="D951" s="169"/>
      <c r="E951" s="169"/>
      <c r="F951" s="169"/>
      <c r="G951" s="169"/>
      <c r="H951" s="169"/>
      <c r="I951" s="169"/>
      <c r="J951" s="169"/>
      <c r="K951" s="169"/>
      <c r="L951" s="169"/>
      <c r="M951" s="169"/>
      <c r="N951" s="177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78"/>
      <c r="AA951" s="167"/>
      <c r="AB951" s="169"/>
      <c r="AC951" s="169"/>
      <c r="AD951" s="169"/>
      <c r="AE951" s="169"/>
      <c r="AF951" s="169"/>
      <c r="AG951" s="179"/>
      <c r="AH951" s="169"/>
      <c r="AI951" s="168"/>
      <c r="AJ951" s="167"/>
      <c r="AK951" s="168"/>
      <c r="AL951" s="169"/>
      <c r="AM951" s="509"/>
      <c r="AN951" s="510"/>
      <c r="AO951" s="510"/>
    </row>
    <row r="952" spans="1:41">
      <c r="A952" s="177"/>
      <c r="B952" s="169"/>
      <c r="C952" s="169"/>
      <c r="D952" s="169"/>
      <c r="E952" s="169"/>
      <c r="F952" s="169"/>
      <c r="G952" s="169"/>
      <c r="H952" s="169"/>
      <c r="I952" s="169"/>
      <c r="J952" s="169"/>
      <c r="K952" s="169"/>
      <c r="L952" s="169"/>
      <c r="M952" s="169"/>
      <c r="N952" s="177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78"/>
      <c r="AA952" s="167"/>
      <c r="AB952" s="169"/>
      <c r="AC952" s="169"/>
      <c r="AD952" s="169"/>
      <c r="AE952" s="169"/>
      <c r="AF952" s="169"/>
      <c r="AG952" s="179"/>
      <c r="AH952" s="169"/>
      <c r="AI952" s="168"/>
      <c r="AJ952" s="167"/>
      <c r="AK952" s="168"/>
      <c r="AL952" s="169"/>
      <c r="AM952" s="509"/>
      <c r="AN952" s="510"/>
      <c r="AO952" s="510"/>
    </row>
    <row r="953" spans="1:41">
      <c r="A953" s="177"/>
      <c r="B953" s="169"/>
      <c r="C953" s="169"/>
      <c r="D953" s="169"/>
      <c r="E953" s="169"/>
      <c r="F953" s="169"/>
      <c r="G953" s="169"/>
      <c r="H953" s="169"/>
      <c r="I953" s="169"/>
      <c r="J953" s="169"/>
      <c r="K953" s="169"/>
      <c r="L953" s="169"/>
      <c r="M953" s="169"/>
      <c r="N953" s="177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78"/>
      <c r="AA953" s="167"/>
      <c r="AB953" s="169"/>
      <c r="AC953" s="169"/>
      <c r="AD953" s="169"/>
      <c r="AE953" s="169"/>
      <c r="AF953" s="169"/>
      <c r="AG953" s="179"/>
      <c r="AH953" s="169"/>
      <c r="AI953" s="168"/>
      <c r="AJ953" s="167"/>
      <c r="AK953" s="168"/>
      <c r="AL953" s="169"/>
      <c r="AM953" s="509"/>
      <c r="AN953" s="510"/>
      <c r="AO953" s="510"/>
    </row>
    <row r="954" spans="1:41">
      <c r="A954" s="177"/>
      <c r="B954" s="169"/>
      <c r="C954" s="169"/>
      <c r="D954" s="169"/>
      <c r="E954" s="169"/>
      <c r="F954" s="169"/>
      <c r="G954" s="169"/>
      <c r="H954" s="169"/>
      <c r="I954" s="169"/>
      <c r="J954" s="169"/>
      <c r="K954" s="169"/>
      <c r="L954" s="169"/>
      <c r="M954" s="169"/>
      <c r="N954" s="177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78"/>
      <c r="AA954" s="167"/>
      <c r="AB954" s="169"/>
      <c r="AC954" s="169"/>
      <c r="AD954" s="169"/>
      <c r="AE954" s="169"/>
      <c r="AF954" s="169"/>
      <c r="AG954" s="179"/>
      <c r="AH954" s="169"/>
      <c r="AI954" s="168"/>
      <c r="AJ954" s="167"/>
      <c r="AK954" s="168"/>
      <c r="AL954" s="169"/>
      <c r="AM954" s="509"/>
      <c r="AN954" s="510"/>
      <c r="AO954" s="510"/>
    </row>
    <row r="955" spans="1:41">
      <c r="A955" s="177"/>
      <c r="B955" s="169"/>
      <c r="C955" s="169"/>
      <c r="D955" s="169"/>
      <c r="E955" s="169"/>
      <c r="F955" s="169"/>
      <c r="G955" s="169"/>
      <c r="H955" s="169"/>
      <c r="I955" s="169"/>
      <c r="J955" s="169"/>
      <c r="K955" s="169"/>
      <c r="L955" s="169"/>
      <c r="M955" s="169"/>
      <c r="N955" s="177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78"/>
      <c r="AA955" s="167"/>
      <c r="AB955" s="169"/>
      <c r="AC955" s="169"/>
      <c r="AD955" s="169"/>
      <c r="AE955" s="169"/>
      <c r="AF955" s="169"/>
      <c r="AG955" s="179"/>
      <c r="AH955" s="169"/>
      <c r="AI955" s="168"/>
      <c r="AJ955" s="167"/>
      <c r="AK955" s="168"/>
      <c r="AL955" s="169"/>
      <c r="AM955" s="509"/>
      <c r="AN955" s="510"/>
      <c r="AO955" s="510"/>
    </row>
    <row r="956" spans="1:41">
      <c r="A956" s="177"/>
      <c r="B956" s="169"/>
      <c r="C956" s="169"/>
      <c r="D956" s="169"/>
      <c r="E956" s="169"/>
      <c r="F956" s="169"/>
      <c r="G956" s="169"/>
      <c r="H956" s="169"/>
      <c r="I956" s="169"/>
      <c r="J956" s="169"/>
      <c r="K956" s="169"/>
      <c r="L956" s="169"/>
      <c r="M956" s="169"/>
      <c r="N956" s="177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78"/>
      <c r="AA956" s="167"/>
      <c r="AB956" s="169"/>
      <c r="AC956" s="169"/>
      <c r="AD956" s="169"/>
      <c r="AE956" s="169"/>
      <c r="AF956" s="169"/>
      <c r="AG956" s="179"/>
      <c r="AH956" s="169"/>
      <c r="AI956" s="168"/>
      <c r="AJ956" s="167"/>
      <c r="AK956" s="168"/>
      <c r="AL956" s="169"/>
      <c r="AM956" s="509"/>
      <c r="AN956" s="510"/>
      <c r="AO956" s="510"/>
    </row>
    <row r="957" spans="1:41">
      <c r="A957" s="177"/>
      <c r="B957" s="169"/>
      <c r="C957" s="169"/>
      <c r="D957" s="169"/>
      <c r="E957" s="169"/>
      <c r="F957" s="169"/>
      <c r="G957" s="169"/>
      <c r="H957" s="169"/>
      <c r="I957" s="169"/>
      <c r="J957" s="169"/>
      <c r="K957" s="169"/>
      <c r="L957" s="169"/>
      <c r="M957" s="169"/>
      <c r="N957" s="177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78"/>
      <c r="AA957" s="167"/>
      <c r="AB957" s="169"/>
      <c r="AC957" s="169"/>
      <c r="AD957" s="169"/>
      <c r="AE957" s="169"/>
      <c r="AF957" s="169"/>
      <c r="AG957" s="179"/>
      <c r="AH957" s="169"/>
      <c r="AI957" s="168"/>
      <c r="AJ957" s="167"/>
      <c r="AK957" s="168"/>
      <c r="AL957" s="169"/>
      <c r="AM957" s="509"/>
      <c r="AN957" s="510"/>
      <c r="AO957" s="510"/>
    </row>
    <row r="958" spans="1:41">
      <c r="A958" s="177"/>
      <c r="B958" s="169"/>
      <c r="C958" s="169"/>
      <c r="D958" s="169"/>
      <c r="E958" s="169"/>
      <c r="F958" s="169"/>
      <c r="G958" s="169"/>
      <c r="H958" s="169"/>
      <c r="I958" s="169"/>
      <c r="J958" s="169"/>
      <c r="K958" s="169"/>
      <c r="L958" s="169"/>
      <c r="M958" s="169"/>
      <c r="N958" s="177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78"/>
      <c r="AA958" s="167"/>
      <c r="AB958" s="169"/>
      <c r="AC958" s="169"/>
      <c r="AD958" s="169"/>
      <c r="AE958" s="169"/>
      <c r="AF958" s="169"/>
      <c r="AG958" s="179"/>
      <c r="AH958" s="169"/>
      <c r="AI958" s="168"/>
      <c r="AJ958" s="167"/>
      <c r="AK958" s="168"/>
      <c r="AL958" s="169"/>
      <c r="AM958" s="509"/>
      <c r="AN958" s="510"/>
      <c r="AO958" s="510"/>
    </row>
    <row r="959" spans="1:41">
      <c r="A959" s="177"/>
      <c r="B959" s="169"/>
      <c r="C959" s="169"/>
      <c r="D959" s="169"/>
      <c r="E959" s="169"/>
      <c r="F959" s="169"/>
      <c r="G959" s="169"/>
      <c r="H959" s="169"/>
      <c r="I959" s="169"/>
      <c r="J959" s="169"/>
      <c r="K959" s="169"/>
      <c r="L959" s="169"/>
      <c r="M959" s="169"/>
      <c r="N959" s="177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78"/>
      <c r="AA959" s="167"/>
      <c r="AB959" s="169"/>
      <c r="AC959" s="169"/>
      <c r="AD959" s="169"/>
      <c r="AE959" s="169"/>
      <c r="AF959" s="169"/>
      <c r="AG959" s="179"/>
      <c r="AH959" s="169"/>
      <c r="AI959" s="168"/>
      <c r="AJ959" s="167"/>
      <c r="AK959" s="168"/>
      <c r="AL959" s="169"/>
      <c r="AM959" s="509"/>
      <c r="AN959" s="510"/>
      <c r="AO959" s="510"/>
    </row>
    <row r="960" spans="1:41">
      <c r="A960" s="177"/>
      <c r="B960" s="169"/>
      <c r="C960" s="169"/>
      <c r="D960" s="169"/>
      <c r="E960" s="169"/>
      <c r="F960" s="169"/>
      <c r="G960" s="169"/>
      <c r="H960" s="169"/>
      <c r="I960" s="169"/>
      <c r="J960" s="169"/>
      <c r="K960" s="169"/>
      <c r="L960" s="169"/>
      <c r="M960" s="169"/>
      <c r="N960" s="177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78"/>
      <c r="AA960" s="167"/>
      <c r="AB960" s="169"/>
      <c r="AC960" s="169"/>
      <c r="AD960" s="169"/>
      <c r="AE960" s="169"/>
      <c r="AF960" s="169"/>
      <c r="AG960" s="179"/>
      <c r="AH960" s="169"/>
      <c r="AI960" s="168"/>
      <c r="AJ960" s="167"/>
      <c r="AK960" s="168"/>
      <c r="AL960" s="169"/>
      <c r="AM960" s="509"/>
      <c r="AN960" s="510"/>
      <c r="AO960" s="510"/>
    </row>
    <row r="961" spans="1:41">
      <c r="A961" s="177"/>
      <c r="B961" s="169"/>
      <c r="C961" s="169"/>
      <c r="D961" s="169"/>
      <c r="E961" s="169"/>
      <c r="F961" s="169"/>
      <c r="G961" s="169"/>
      <c r="H961" s="169"/>
      <c r="I961" s="169"/>
      <c r="J961" s="169"/>
      <c r="K961" s="169"/>
      <c r="L961" s="169"/>
      <c r="M961" s="169"/>
      <c r="N961" s="177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78"/>
      <c r="AA961" s="167"/>
      <c r="AB961" s="169"/>
      <c r="AC961" s="169"/>
      <c r="AD961" s="169"/>
      <c r="AE961" s="169"/>
      <c r="AF961" s="169"/>
      <c r="AG961" s="179"/>
      <c r="AH961" s="169"/>
      <c r="AI961" s="168"/>
      <c r="AJ961" s="167"/>
      <c r="AK961" s="168"/>
      <c r="AL961" s="169"/>
      <c r="AM961" s="509"/>
      <c r="AN961" s="510"/>
      <c r="AO961" s="510"/>
    </row>
    <row r="962" spans="1:41">
      <c r="A962" s="177"/>
      <c r="B962" s="169"/>
      <c r="C962" s="169"/>
      <c r="D962" s="169"/>
      <c r="E962" s="169"/>
      <c r="F962" s="169"/>
      <c r="G962" s="169"/>
      <c r="H962" s="169"/>
      <c r="I962" s="169"/>
      <c r="J962" s="169"/>
      <c r="K962" s="169"/>
      <c r="L962" s="169"/>
      <c r="M962" s="169"/>
      <c r="N962" s="177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78"/>
      <c r="AA962" s="167"/>
      <c r="AB962" s="169"/>
      <c r="AC962" s="169"/>
      <c r="AD962" s="169"/>
      <c r="AE962" s="169"/>
      <c r="AF962" s="169"/>
      <c r="AG962" s="179"/>
      <c r="AH962" s="169"/>
      <c r="AI962" s="168"/>
      <c r="AJ962" s="167"/>
      <c r="AK962" s="168"/>
      <c r="AL962" s="169"/>
      <c r="AM962" s="509"/>
      <c r="AN962" s="510"/>
      <c r="AO962" s="510"/>
    </row>
    <row r="963" spans="1:41">
      <c r="A963" s="177"/>
      <c r="B963" s="169"/>
      <c r="C963" s="169"/>
      <c r="D963" s="169"/>
      <c r="E963" s="169"/>
      <c r="F963" s="169"/>
      <c r="G963" s="169"/>
      <c r="H963" s="169"/>
      <c r="I963" s="169"/>
      <c r="J963" s="169"/>
      <c r="K963" s="169"/>
      <c r="L963" s="169"/>
      <c r="M963" s="169"/>
      <c r="N963" s="177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78"/>
      <c r="AA963" s="167"/>
      <c r="AB963" s="169"/>
      <c r="AC963" s="169"/>
      <c r="AD963" s="169"/>
      <c r="AE963" s="169"/>
      <c r="AF963" s="169"/>
      <c r="AG963" s="179"/>
      <c r="AH963" s="169"/>
      <c r="AI963" s="168"/>
      <c r="AJ963" s="167"/>
      <c r="AK963" s="168"/>
      <c r="AL963" s="169"/>
      <c r="AM963" s="509"/>
      <c r="AN963" s="510"/>
      <c r="AO963" s="510"/>
    </row>
    <row r="964" spans="1:41">
      <c r="A964" s="177"/>
      <c r="B964" s="169"/>
      <c r="C964" s="169"/>
      <c r="D964" s="169"/>
      <c r="E964" s="169"/>
      <c r="F964" s="169"/>
      <c r="G964" s="169"/>
      <c r="H964" s="169"/>
      <c r="I964" s="169"/>
      <c r="J964" s="169"/>
      <c r="K964" s="169"/>
      <c r="L964" s="169"/>
      <c r="M964" s="169"/>
      <c r="N964" s="177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78"/>
      <c r="AA964" s="167"/>
      <c r="AB964" s="169"/>
      <c r="AC964" s="169"/>
      <c r="AD964" s="169"/>
      <c r="AE964" s="169"/>
      <c r="AF964" s="169"/>
      <c r="AG964" s="179"/>
      <c r="AH964" s="169"/>
      <c r="AI964" s="168"/>
      <c r="AJ964" s="167"/>
      <c r="AK964" s="168"/>
      <c r="AL964" s="169"/>
      <c r="AM964" s="509"/>
      <c r="AN964" s="510"/>
      <c r="AO964" s="510"/>
    </row>
    <row r="965" spans="1:41">
      <c r="A965" s="177"/>
      <c r="B965" s="169"/>
      <c r="C965" s="169"/>
      <c r="D965" s="169"/>
      <c r="E965" s="169"/>
      <c r="F965" s="169"/>
      <c r="G965" s="169"/>
      <c r="H965" s="169"/>
      <c r="I965" s="169"/>
      <c r="J965" s="169"/>
      <c r="K965" s="169"/>
      <c r="L965" s="169"/>
      <c r="M965" s="169"/>
      <c r="N965" s="177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78"/>
      <c r="AA965" s="167"/>
      <c r="AB965" s="169"/>
      <c r="AC965" s="169"/>
      <c r="AD965" s="169"/>
      <c r="AE965" s="169"/>
      <c r="AF965" s="169"/>
      <c r="AG965" s="179"/>
      <c r="AH965" s="169"/>
      <c r="AI965" s="168"/>
      <c r="AJ965" s="167"/>
      <c r="AK965" s="168"/>
      <c r="AL965" s="169"/>
      <c r="AM965" s="509"/>
      <c r="AN965" s="510"/>
      <c r="AO965" s="510"/>
    </row>
    <row r="966" spans="1:41">
      <c r="A966" s="177"/>
      <c r="B966" s="169"/>
      <c r="C966" s="169"/>
      <c r="D966" s="169"/>
      <c r="E966" s="169"/>
      <c r="F966" s="169"/>
      <c r="G966" s="169"/>
      <c r="H966" s="169"/>
      <c r="I966" s="169"/>
      <c r="J966" s="169"/>
      <c r="K966" s="169"/>
      <c r="L966" s="169"/>
      <c r="M966" s="169"/>
      <c r="N966" s="177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78"/>
      <c r="AA966" s="167"/>
      <c r="AB966" s="169"/>
      <c r="AC966" s="169"/>
      <c r="AD966" s="169"/>
      <c r="AE966" s="169"/>
      <c r="AF966" s="169"/>
      <c r="AG966" s="179"/>
      <c r="AH966" s="169"/>
      <c r="AI966" s="168"/>
      <c r="AJ966" s="167"/>
      <c r="AK966" s="168"/>
      <c r="AL966" s="169"/>
      <c r="AM966" s="509"/>
      <c r="AN966" s="510"/>
      <c r="AO966" s="510"/>
    </row>
    <row r="967" spans="1:41">
      <c r="A967" s="177"/>
      <c r="B967" s="169"/>
      <c r="C967" s="169"/>
      <c r="D967" s="169"/>
      <c r="E967" s="169"/>
      <c r="F967" s="169"/>
      <c r="G967" s="169"/>
      <c r="H967" s="169"/>
      <c r="I967" s="169"/>
      <c r="J967" s="169"/>
      <c r="K967" s="169"/>
      <c r="L967" s="169"/>
      <c r="M967" s="169"/>
      <c r="N967" s="177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78"/>
      <c r="AA967" s="167"/>
      <c r="AB967" s="169"/>
      <c r="AC967" s="169"/>
      <c r="AD967" s="169"/>
      <c r="AE967" s="169"/>
      <c r="AF967" s="169"/>
      <c r="AG967" s="179"/>
      <c r="AH967" s="169"/>
      <c r="AI967" s="168"/>
      <c r="AJ967" s="167"/>
      <c r="AK967" s="168"/>
      <c r="AL967" s="169"/>
      <c r="AM967" s="509"/>
      <c r="AN967" s="510"/>
      <c r="AO967" s="510"/>
    </row>
    <row r="968" spans="1:41">
      <c r="A968" s="177"/>
      <c r="B968" s="169"/>
      <c r="C968" s="169"/>
      <c r="D968" s="169"/>
      <c r="E968" s="169"/>
      <c r="F968" s="169"/>
      <c r="G968" s="169"/>
      <c r="H968" s="169"/>
      <c r="I968" s="169"/>
      <c r="J968" s="169"/>
      <c r="K968" s="169"/>
      <c r="L968" s="169"/>
      <c r="M968" s="169"/>
      <c r="N968" s="177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78"/>
      <c r="AA968" s="167"/>
      <c r="AB968" s="169"/>
      <c r="AC968" s="169"/>
      <c r="AD968" s="169"/>
      <c r="AE968" s="169"/>
      <c r="AF968" s="169"/>
      <c r="AG968" s="179"/>
      <c r="AH968" s="169"/>
      <c r="AI968" s="168"/>
      <c r="AJ968" s="167"/>
      <c r="AK968" s="168"/>
      <c r="AL968" s="169"/>
      <c r="AM968" s="509"/>
      <c r="AN968" s="510"/>
      <c r="AO968" s="510"/>
    </row>
    <row r="969" spans="1:41">
      <c r="A969" s="177"/>
      <c r="B969" s="169"/>
      <c r="C969" s="169"/>
      <c r="D969" s="169"/>
      <c r="E969" s="169"/>
      <c r="F969" s="169"/>
      <c r="G969" s="169"/>
      <c r="H969" s="169"/>
      <c r="I969" s="169"/>
      <c r="J969" s="169"/>
      <c r="K969" s="169"/>
      <c r="L969" s="169"/>
      <c r="M969" s="169"/>
      <c r="N969" s="177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78"/>
      <c r="AA969" s="167"/>
      <c r="AB969" s="169"/>
      <c r="AC969" s="169"/>
      <c r="AD969" s="169"/>
      <c r="AE969" s="169"/>
      <c r="AF969" s="169"/>
      <c r="AG969" s="179"/>
      <c r="AH969" s="169"/>
      <c r="AI969" s="168"/>
      <c r="AJ969" s="167"/>
      <c r="AK969" s="168"/>
      <c r="AL969" s="169"/>
      <c r="AM969" s="509"/>
      <c r="AN969" s="510"/>
      <c r="AO969" s="510"/>
    </row>
    <row r="970" spans="1:41">
      <c r="A970" s="177"/>
      <c r="B970" s="169"/>
      <c r="C970" s="169"/>
      <c r="D970" s="169"/>
      <c r="E970" s="169"/>
      <c r="F970" s="169"/>
      <c r="G970" s="169"/>
      <c r="H970" s="169"/>
      <c r="I970" s="169"/>
      <c r="J970" s="169"/>
      <c r="K970" s="169"/>
      <c r="L970" s="169"/>
      <c r="M970" s="169"/>
      <c r="N970" s="177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78"/>
      <c r="AA970" s="167"/>
      <c r="AB970" s="169"/>
      <c r="AC970" s="169"/>
      <c r="AD970" s="169"/>
      <c r="AE970" s="169"/>
      <c r="AF970" s="169"/>
      <c r="AG970" s="179"/>
      <c r="AH970" s="169"/>
      <c r="AI970" s="168"/>
      <c r="AJ970" s="167"/>
      <c r="AK970" s="168"/>
      <c r="AL970" s="169"/>
      <c r="AM970" s="509"/>
      <c r="AN970" s="510"/>
      <c r="AO970" s="510"/>
    </row>
    <row r="971" spans="1:41">
      <c r="A971" s="177"/>
      <c r="B971" s="169"/>
      <c r="C971" s="169"/>
      <c r="D971" s="169"/>
      <c r="E971" s="169"/>
      <c r="F971" s="169"/>
      <c r="G971" s="169"/>
      <c r="H971" s="169"/>
      <c r="I971" s="169"/>
      <c r="J971" s="169"/>
      <c r="K971" s="169"/>
      <c r="L971" s="169"/>
      <c r="M971" s="169"/>
      <c r="N971" s="177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78"/>
      <c r="AA971" s="167"/>
      <c r="AB971" s="169"/>
      <c r="AC971" s="169"/>
      <c r="AD971" s="169"/>
      <c r="AE971" s="169"/>
      <c r="AF971" s="169"/>
      <c r="AG971" s="179"/>
      <c r="AH971" s="169"/>
      <c r="AI971" s="168"/>
      <c r="AJ971" s="167"/>
      <c r="AK971" s="168"/>
      <c r="AL971" s="169"/>
      <c r="AM971" s="509"/>
      <c r="AN971" s="510"/>
      <c r="AO971" s="510"/>
    </row>
    <row r="972" spans="1:41">
      <c r="A972" s="177"/>
      <c r="B972" s="169"/>
      <c r="C972" s="169"/>
      <c r="D972" s="169"/>
      <c r="E972" s="169"/>
      <c r="F972" s="169"/>
      <c r="G972" s="169"/>
      <c r="H972" s="169"/>
      <c r="I972" s="169"/>
      <c r="J972" s="169"/>
      <c r="K972" s="169"/>
      <c r="L972" s="169"/>
      <c r="M972" s="169"/>
      <c r="N972" s="177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78"/>
      <c r="AA972" s="167"/>
      <c r="AB972" s="169"/>
      <c r="AC972" s="169"/>
      <c r="AD972" s="169"/>
      <c r="AE972" s="169"/>
      <c r="AF972" s="169"/>
      <c r="AG972" s="179"/>
      <c r="AH972" s="169"/>
      <c r="AI972" s="168"/>
      <c r="AJ972" s="167"/>
      <c r="AK972" s="168"/>
      <c r="AL972" s="169"/>
      <c r="AM972" s="509"/>
      <c r="AN972" s="510"/>
      <c r="AO972" s="510"/>
    </row>
    <row r="973" spans="1:41">
      <c r="A973" s="177"/>
      <c r="B973" s="169"/>
      <c r="C973" s="169"/>
      <c r="D973" s="169"/>
      <c r="E973" s="169"/>
      <c r="F973" s="169"/>
      <c r="G973" s="169"/>
      <c r="H973" s="169"/>
      <c r="I973" s="169"/>
      <c r="J973" s="169"/>
      <c r="K973" s="169"/>
      <c r="L973" s="169"/>
      <c r="M973" s="169"/>
      <c r="N973" s="177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78"/>
      <c r="AA973" s="167"/>
      <c r="AB973" s="169"/>
      <c r="AC973" s="169"/>
      <c r="AD973" s="169"/>
      <c r="AE973" s="169"/>
      <c r="AF973" s="169"/>
      <c r="AG973" s="179"/>
      <c r="AH973" s="169"/>
      <c r="AI973" s="168"/>
      <c r="AJ973" s="167"/>
      <c r="AK973" s="168"/>
      <c r="AL973" s="169"/>
      <c r="AM973" s="509"/>
      <c r="AN973" s="510"/>
      <c r="AO973" s="510"/>
    </row>
    <row r="974" spans="1:41">
      <c r="A974" s="177"/>
      <c r="B974" s="169"/>
      <c r="C974" s="169"/>
      <c r="D974" s="169"/>
      <c r="E974" s="169"/>
      <c r="F974" s="169"/>
      <c r="G974" s="169"/>
      <c r="H974" s="169"/>
      <c r="I974" s="169"/>
      <c r="J974" s="169"/>
      <c r="K974" s="169"/>
      <c r="L974" s="169"/>
      <c r="M974" s="169"/>
      <c r="N974" s="177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78"/>
      <c r="AA974" s="167"/>
      <c r="AB974" s="169"/>
      <c r="AC974" s="169"/>
      <c r="AD974" s="169"/>
      <c r="AE974" s="169"/>
      <c r="AF974" s="169"/>
      <c r="AG974" s="179"/>
      <c r="AH974" s="169"/>
      <c r="AI974" s="168"/>
      <c r="AJ974" s="167"/>
      <c r="AK974" s="168"/>
      <c r="AL974" s="169"/>
      <c r="AM974" s="509"/>
      <c r="AN974" s="510"/>
      <c r="AO974" s="510"/>
    </row>
    <row r="975" spans="1:41">
      <c r="A975" s="177"/>
      <c r="B975" s="169"/>
      <c r="C975" s="169"/>
      <c r="D975" s="169"/>
      <c r="E975" s="169"/>
      <c r="F975" s="169"/>
      <c r="G975" s="169"/>
      <c r="H975" s="169"/>
      <c r="I975" s="169"/>
      <c r="J975" s="169"/>
      <c r="K975" s="169"/>
      <c r="L975" s="169"/>
      <c r="M975" s="169"/>
      <c r="N975" s="177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78"/>
      <c r="AA975" s="167"/>
      <c r="AB975" s="169"/>
      <c r="AC975" s="169"/>
      <c r="AD975" s="169"/>
      <c r="AE975" s="169"/>
      <c r="AF975" s="169"/>
      <c r="AG975" s="179"/>
      <c r="AH975" s="169"/>
      <c r="AI975" s="168"/>
      <c r="AJ975" s="167"/>
      <c r="AK975" s="168"/>
      <c r="AL975" s="169"/>
      <c r="AM975" s="509"/>
      <c r="AN975" s="510"/>
      <c r="AO975" s="510"/>
    </row>
    <row r="976" spans="1:41">
      <c r="A976" s="177"/>
      <c r="B976" s="169"/>
      <c r="C976" s="169"/>
      <c r="D976" s="169"/>
      <c r="E976" s="169"/>
      <c r="F976" s="169"/>
      <c r="G976" s="169"/>
      <c r="H976" s="169"/>
      <c r="I976" s="169"/>
      <c r="J976" s="169"/>
      <c r="K976" s="169"/>
      <c r="L976" s="169"/>
      <c r="M976" s="169"/>
      <c r="N976" s="177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78"/>
      <c r="AA976" s="167"/>
      <c r="AB976" s="169"/>
      <c r="AC976" s="169"/>
      <c r="AD976" s="169"/>
      <c r="AE976" s="169"/>
      <c r="AF976" s="169"/>
      <c r="AG976" s="179"/>
      <c r="AH976" s="169"/>
      <c r="AI976" s="168"/>
      <c r="AJ976" s="167"/>
      <c r="AK976" s="168"/>
      <c r="AL976" s="169"/>
      <c r="AM976" s="509"/>
      <c r="AN976" s="510"/>
      <c r="AO976" s="510"/>
    </row>
    <row r="977" spans="1:41">
      <c r="A977" s="177"/>
      <c r="B977" s="169"/>
      <c r="C977" s="169"/>
      <c r="D977" s="169"/>
      <c r="E977" s="169"/>
      <c r="F977" s="169"/>
      <c r="G977" s="169"/>
      <c r="H977" s="169"/>
      <c r="I977" s="169"/>
      <c r="J977" s="169"/>
      <c r="K977" s="169"/>
      <c r="L977" s="169"/>
      <c r="M977" s="169"/>
      <c r="N977" s="177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78"/>
      <c r="AA977" s="167"/>
      <c r="AB977" s="169"/>
      <c r="AC977" s="169"/>
      <c r="AD977" s="169"/>
      <c r="AE977" s="169"/>
      <c r="AF977" s="169"/>
      <c r="AG977" s="179"/>
      <c r="AH977" s="169"/>
      <c r="AI977" s="168"/>
      <c r="AJ977" s="167"/>
      <c r="AK977" s="168"/>
      <c r="AL977" s="169"/>
      <c r="AM977" s="509"/>
      <c r="AN977" s="510"/>
      <c r="AO977" s="510"/>
    </row>
    <row r="978" spans="1:41">
      <c r="A978" s="177"/>
      <c r="B978" s="169"/>
      <c r="C978" s="169"/>
      <c r="D978" s="169"/>
      <c r="E978" s="169"/>
      <c r="F978" s="169"/>
      <c r="G978" s="169"/>
      <c r="H978" s="169"/>
      <c r="I978" s="169"/>
      <c r="J978" s="169"/>
      <c r="K978" s="169"/>
      <c r="L978" s="169"/>
      <c r="M978" s="169"/>
      <c r="N978" s="177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78"/>
      <c r="AA978" s="167"/>
      <c r="AB978" s="169"/>
      <c r="AC978" s="169"/>
      <c r="AD978" s="169"/>
      <c r="AE978" s="169"/>
      <c r="AF978" s="169"/>
      <c r="AG978" s="179"/>
      <c r="AH978" s="169"/>
      <c r="AI978" s="168"/>
      <c r="AJ978" s="167"/>
      <c r="AK978" s="168"/>
      <c r="AL978" s="169"/>
      <c r="AM978" s="509"/>
      <c r="AN978" s="510"/>
      <c r="AO978" s="510"/>
    </row>
    <row r="979" spans="1:41">
      <c r="A979" s="177"/>
      <c r="B979" s="169"/>
      <c r="C979" s="169"/>
      <c r="D979" s="169"/>
      <c r="E979" s="169"/>
      <c r="F979" s="169"/>
      <c r="G979" s="169"/>
      <c r="H979" s="169"/>
      <c r="I979" s="169"/>
      <c r="J979" s="169"/>
      <c r="K979" s="169"/>
      <c r="L979" s="169"/>
      <c r="M979" s="169"/>
      <c r="N979" s="177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78"/>
      <c r="AA979" s="167"/>
      <c r="AB979" s="169"/>
      <c r="AC979" s="169"/>
      <c r="AD979" s="169"/>
      <c r="AE979" s="169"/>
      <c r="AF979" s="169"/>
      <c r="AG979" s="179"/>
      <c r="AH979" s="169"/>
      <c r="AI979" s="168"/>
      <c r="AJ979" s="167"/>
      <c r="AK979" s="168"/>
      <c r="AL979" s="169"/>
      <c r="AM979" s="509"/>
      <c r="AN979" s="510"/>
      <c r="AO979" s="510"/>
    </row>
    <row r="980" spans="1:41">
      <c r="A980" s="177"/>
      <c r="B980" s="169"/>
      <c r="C980" s="169"/>
      <c r="D980" s="169"/>
      <c r="E980" s="169"/>
      <c r="F980" s="169"/>
      <c r="G980" s="169"/>
      <c r="H980" s="169"/>
      <c r="I980" s="169"/>
      <c r="J980" s="169"/>
      <c r="K980" s="169"/>
      <c r="L980" s="169"/>
      <c r="M980" s="169"/>
      <c r="N980" s="177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78"/>
      <c r="AA980" s="167"/>
      <c r="AB980" s="169"/>
      <c r="AC980" s="169"/>
      <c r="AD980" s="169"/>
      <c r="AE980" s="169"/>
      <c r="AF980" s="169"/>
      <c r="AG980" s="179"/>
      <c r="AH980" s="169"/>
      <c r="AI980" s="168"/>
      <c r="AJ980" s="167"/>
      <c r="AK980" s="168"/>
      <c r="AL980" s="169"/>
      <c r="AM980" s="509"/>
      <c r="AN980" s="510"/>
      <c r="AO980" s="510"/>
    </row>
    <row r="981" spans="1:41">
      <c r="A981" s="177"/>
      <c r="B981" s="169"/>
      <c r="C981" s="169"/>
      <c r="D981" s="169"/>
      <c r="E981" s="169"/>
      <c r="F981" s="169"/>
      <c r="G981" s="169"/>
      <c r="H981" s="169"/>
      <c r="I981" s="169"/>
      <c r="J981" s="169"/>
      <c r="K981" s="169"/>
      <c r="L981" s="169"/>
      <c r="M981" s="169"/>
      <c r="N981" s="177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78"/>
      <c r="AA981" s="167"/>
      <c r="AB981" s="169"/>
      <c r="AC981" s="169"/>
      <c r="AD981" s="169"/>
      <c r="AE981" s="169"/>
      <c r="AF981" s="169"/>
      <c r="AG981" s="179"/>
      <c r="AH981" s="169"/>
      <c r="AI981" s="168"/>
      <c r="AJ981" s="167"/>
      <c r="AK981" s="168"/>
      <c r="AL981" s="169"/>
      <c r="AM981" s="509"/>
      <c r="AN981" s="510"/>
      <c r="AO981" s="510"/>
    </row>
    <row r="982" spans="1:41">
      <c r="A982" s="177"/>
      <c r="B982" s="169"/>
      <c r="C982" s="169"/>
      <c r="D982" s="169"/>
      <c r="E982" s="169"/>
      <c r="F982" s="169"/>
      <c r="G982" s="169"/>
      <c r="H982" s="169"/>
      <c r="I982" s="169"/>
      <c r="J982" s="169"/>
      <c r="K982" s="169"/>
      <c r="L982" s="169"/>
      <c r="M982" s="169"/>
      <c r="N982" s="177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78"/>
      <c r="AA982" s="167"/>
      <c r="AB982" s="169"/>
      <c r="AC982" s="169"/>
      <c r="AD982" s="169"/>
      <c r="AE982" s="169"/>
      <c r="AF982" s="169"/>
      <c r="AG982" s="179"/>
      <c r="AH982" s="169"/>
      <c r="AI982" s="168"/>
      <c r="AJ982" s="167"/>
      <c r="AK982" s="168"/>
      <c r="AL982" s="169"/>
      <c r="AM982" s="509"/>
      <c r="AN982" s="510"/>
      <c r="AO982" s="510"/>
    </row>
    <row r="983" spans="1:41">
      <c r="A983" s="177"/>
      <c r="B983" s="169"/>
      <c r="C983" s="169"/>
      <c r="D983" s="169"/>
      <c r="E983" s="169"/>
      <c r="F983" s="169"/>
      <c r="G983" s="169"/>
      <c r="H983" s="169"/>
      <c r="I983" s="169"/>
      <c r="J983" s="169"/>
      <c r="K983" s="169"/>
      <c r="L983" s="169"/>
      <c r="M983" s="169"/>
      <c r="N983" s="177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78"/>
      <c r="AA983" s="167"/>
      <c r="AB983" s="169"/>
      <c r="AC983" s="169"/>
      <c r="AD983" s="169"/>
      <c r="AE983" s="169"/>
      <c r="AF983" s="169"/>
      <c r="AG983" s="179"/>
      <c r="AH983" s="169"/>
      <c r="AI983" s="168"/>
      <c r="AJ983" s="167"/>
      <c r="AK983" s="168"/>
      <c r="AL983" s="169"/>
      <c r="AM983" s="509"/>
      <c r="AN983" s="510"/>
      <c r="AO983" s="510"/>
    </row>
    <row r="984" spans="1:41">
      <c r="A984" s="177"/>
      <c r="B984" s="169"/>
      <c r="C984" s="169"/>
      <c r="D984" s="169"/>
      <c r="E984" s="169"/>
      <c r="F984" s="169"/>
      <c r="G984" s="169"/>
      <c r="H984" s="169"/>
      <c r="I984" s="169"/>
      <c r="J984" s="169"/>
      <c r="K984" s="169"/>
      <c r="L984" s="169"/>
      <c r="M984" s="169"/>
      <c r="N984" s="177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78"/>
      <c r="AA984" s="167"/>
      <c r="AB984" s="169"/>
      <c r="AC984" s="169"/>
      <c r="AD984" s="169"/>
      <c r="AE984" s="169"/>
      <c r="AF984" s="169"/>
      <c r="AG984" s="179"/>
      <c r="AH984" s="169"/>
      <c r="AI984" s="168"/>
      <c r="AJ984" s="167"/>
      <c r="AK984" s="168"/>
      <c r="AL984" s="169"/>
      <c r="AM984" s="509"/>
      <c r="AN984" s="510"/>
      <c r="AO984" s="510"/>
    </row>
    <row r="985" spans="1:41">
      <c r="A985" s="177"/>
      <c r="B985" s="169"/>
      <c r="C985" s="169"/>
      <c r="D985" s="169"/>
      <c r="E985" s="169"/>
      <c r="F985" s="169"/>
      <c r="G985" s="169"/>
      <c r="H985" s="169"/>
      <c r="I985" s="169"/>
      <c r="J985" s="169"/>
      <c r="K985" s="169"/>
      <c r="L985" s="169"/>
      <c r="M985" s="169"/>
      <c r="N985" s="177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78"/>
      <c r="AA985" s="167"/>
      <c r="AB985" s="169"/>
      <c r="AC985" s="169"/>
      <c r="AD985" s="169"/>
      <c r="AE985" s="169"/>
      <c r="AF985" s="169"/>
      <c r="AG985" s="179"/>
      <c r="AH985" s="169"/>
      <c r="AI985" s="168"/>
      <c r="AJ985" s="167"/>
      <c r="AK985" s="168"/>
      <c r="AL985" s="169"/>
      <c r="AM985" s="509"/>
      <c r="AN985" s="510"/>
      <c r="AO985" s="510"/>
    </row>
    <row r="986" spans="1:41">
      <c r="A986" s="177"/>
      <c r="B986" s="169"/>
      <c r="C986" s="169"/>
      <c r="D986" s="169"/>
      <c r="E986" s="169"/>
      <c r="F986" s="169"/>
      <c r="G986" s="169"/>
      <c r="H986" s="169"/>
      <c r="I986" s="169"/>
      <c r="J986" s="169"/>
      <c r="K986" s="169"/>
      <c r="L986" s="169"/>
      <c r="M986" s="169"/>
      <c r="N986" s="177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78"/>
      <c r="AA986" s="167"/>
      <c r="AB986" s="169"/>
      <c r="AC986" s="169"/>
      <c r="AD986" s="169"/>
      <c r="AE986" s="169"/>
      <c r="AF986" s="169"/>
      <c r="AG986" s="179"/>
      <c r="AH986" s="169"/>
      <c r="AI986" s="168"/>
      <c r="AJ986" s="167"/>
      <c r="AK986" s="168"/>
      <c r="AL986" s="169"/>
      <c r="AM986" s="509"/>
      <c r="AN986" s="510"/>
      <c r="AO986" s="510"/>
    </row>
    <row r="987" spans="1:41">
      <c r="A987" s="177"/>
      <c r="B987" s="169"/>
      <c r="C987" s="169"/>
      <c r="D987" s="169"/>
      <c r="E987" s="169"/>
      <c r="F987" s="169"/>
      <c r="G987" s="169"/>
      <c r="H987" s="169"/>
      <c r="I987" s="169"/>
      <c r="J987" s="169"/>
      <c r="K987" s="169"/>
      <c r="L987" s="169"/>
      <c r="M987" s="169"/>
      <c r="N987" s="177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78"/>
      <c r="AA987" s="167"/>
      <c r="AB987" s="169"/>
      <c r="AC987" s="169"/>
      <c r="AD987" s="169"/>
      <c r="AE987" s="169"/>
      <c r="AF987" s="169"/>
      <c r="AG987" s="179"/>
      <c r="AH987" s="169"/>
      <c r="AI987" s="168"/>
      <c r="AJ987" s="167"/>
      <c r="AK987" s="168"/>
      <c r="AL987" s="169"/>
      <c r="AM987" s="509"/>
      <c r="AN987" s="510"/>
      <c r="AO987" s="510"/>
    </row>
    <row r="988" spans="1:41">
      <c r="A988" s="177"/>
      <c r="B988" s="169"/>
      <c r="C988" s="169"/>
      <c r="D988" s="169"/>
      <c r="E988" s="169"/>
      <c r="F988" s="169"/>
      <c r="G988" s="169"/>
      <c r="H988" s="169"/>
      <c r="I988" s="169"/>
      <c r="J988" s="169"/>
      <c r="K988" s="169"/>
      <c r="L988" s="169"/>
      <c r="M988" s="169"/>
      <c r="N988" s="177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78"/>
      <c r="AA988" s="167"/>
      <c r="AB988" s="169"/>
      <c r="AC988" s="169"/>
      <c r="AD988" s="169"/>
      <c r="AE988" s="169"/>
      <c r="AF988" s="169"/>
      <c r="AG988" s="179"/>
      <c r="AH988" s="169"/>
      <c r="AI988" s="168"/>
      <c r="AJ988" s="167"/>
      <c r="AK988" s="168"/>
      <c r="AL988" s="169"/>
      <c r="AM988" s="509"/>
      <c r="AN988" s="510"/>
      <c r="AO988" s="510"/>
    </row>
    <row r="989" spans="1:41">
      <c r="A989" s="177"/>
      <c r="B989" s="169"/>
      <c r="C989" s="169"/>
      <c r="D989" s="169"/>
      <c r="E989" s="169"/>
      <c r="F989" s="169"/>
      <c r="G989" s="169"/>
      <c r="H989" s="169"/>
      <c r="I989" s="169"/>
      <c r="J989" s="169"/>
      <c r="K989" s="169"/>
      <c r="L989" s="169"/>
      <c r="M989" s="169"/>
      <c r="N989" s="177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78"/>
      <c r="AA989" s="167"/>
      <c r="AB989" s="169"/>
      <c r="AC989" s="169"/>
      <c r="AD989" s="169"/>
      <c r="AE989" s="169"/>
      <c r="AF989" s="169"/>
      <c r="AG989" s="179"/>
      <c r="AH989" s="169"/>
      <c r="AI989" s="168"/>
      <c r="AJ989" s="167"/>
      <c r="AK989" s="168"/>
      <c r="AL989" s="169"/>
      <c r="AM989" s="509"/>
      <c r="AN989" s="510"/>
      <c r="AO989" s="510"/>
    </row>
    <row r="990" spans="1:41">
      <c r="A990" s="177"/>
      <c r="B990" s="169"/>
      <c r="C990" s="169"/>
      <c r="D990" s="169"/>
      <c r="E990" s="169"/>
      <c r="F990" s="169"/>
      <c r="G990" s="169"/>
      <c r="H990" s="169"/>
      <c r="I990" s="169"/>
      <c r="J990" s="169"/>
      <c r="K990" s="169"/>
      <c r="L990" s="169"/>
      <c r="M990" s="169"/>
      <c r="N990" s="177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78"/>
      <c r="AA990" s="167"/>
      <c r="AB990" s="169"/>
      <c r="AC990" s="169"/>
      <c r="AD990" s="169"/>
      <c r="AE990" s="169"/>
      <c r="AF990" s="169"/>
      <c r="AG990" s="179"/>
      <c r="AH990" s="169"/>
      <c r="AI990" s="168"/>
      <c r="AJ990" s="167"/>
      <c r="AK990" s="168"/>
      <c r="AL990" s="169"/>
      <c r="AM990" s="509"/>
      <c r="AN990" s="510"/>
      <c r="AO990" s="510"/>
    </row>
    <row r="991" spans="1:41">
      <c r="A991" s="177"/>
      <c r="B991" s="169"/>
      <c r="C991" s="169"/>
      <c r="D991" s="169"/>
      <c r="E991" s="169"/>
      <c r="F991" s="169"/>
      <c r="G991" s="169"/>
      <c r="H991" s="169"/>
      <c r="I991" s="169"/>
      <c r="J991" s="169"/>
      <c r="K991" s="169"/>
      <c r="L991" s="169"/>
      <c r="M991" s="169"/>
      <c r="N991" s="177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78"/>
      <c r="AA991" s="167"/>
      <c r="AB991" s="169"/>
      <c r="AC991" s="169"/>
      <c r="AD991" s="169"/>
      <c r="AE991" s="169"/>
      <c r="AF991" s="169"/>
      <c r="AG991" s="179"/>
      <c r="AH991" s="169"/>
      <c r="AI991" s="168"/>
      <c r="AJ991" s="167"/>
      <c r="AK991" s="168"/>
      <c r="AL991" s="169"/>
      <c r="AM991" s="509"/>
      <c r="AN991" s="510"/>
      <c r="AO991" s="510"/>
    </row>
    <row r="992" spans="1:41">
      <c r="A992" s="177"/>
      <c r="B992" s="169"/>
      <c r="C992" s="169"/>
      <c r="D992" s="169"/>
      <c r="E992" s="169"/>
      <c r="F992" s="169"/>
      <c r="G992" s="169"/>
      <c r="H992" s="169"/>
      <c r="I992" s="169"/>
      <c r="J992" s="169"/>
      <c r="K992" s="169"/>
      <c r="L992" s="169"/>
      <c r="M992" s="169"/>
      <c r="N992" s="177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78"/>
      <c r="AA992" s="167"/>
      <c r="AB992" s="169"/>
      <c r="AC992" s="169"/>
      <c r="AD992" s="169"/>
      <c r="AE992" s="169"/>
      <c r="AF992" s="169"/>
      <c r="AG992" s="179"/>
      <c r="AH992" s="169"/>
      <c r="AI992" s="168"/>
      <c r="AJ992" s="167"/>
      <c r="AK992" s="168"/>
      <c r="AL992" s="169"/>
      <c r="AM992" s="509"/>
      <c r="AN992" s="510"/>
      <c r="AO992" s="510"/>
    </row>
    <row r="993" spans="1:41">
      <c r="A993" s="177"/>
      <c r="B993" s="169"/>
      <c r="C993" s="169"/>
      <c r="D993" s="169"/>
      <c r="E993" s="169"/>
      <c r="F993" s="169"/>
      <c r="G993" s="169"/>
      <c r="H993" s="169"/>
      <c r="I993" s="169"/>
      <c r="J993" s="169"/>
      <c r="K993" s="169"/>
      <c r="L993" s="169"/>
      <c r="M993" s="169"/>
      <c r="N993" s="177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78"/>
      <c r="AA993" s="167"/>
      <c r="AB993" s="169"/>
      <c r="AC993" s="169"/>
      <c r="AD993" s="169"/>
      <c r="AE993" s="169"/>
      <c r="AF993" s="169"/>
      <c r="AG993" s="179"/>
      <c r="AH993" s="169"/>
      <c r="AI993" s="168"/>
      <c r="AJ993" s="167"/>
      <c r="AK993" s="168"/>
      <c r="AL993" s="169"/>
      <c r="AM993" s="509"/>
      <c r="AN993" s="510"/>
      <c r="AO993" s="510"/>
    </row>
    <row r="994" spans="1:41">
      <c r="A994" s="177"/>
      <c r="B994" s="169"/>
      <c r="C994" s="169"/>
      <c r="D994" s="169"/>
      <c r="E994" s="169"/>
      <c r="F994" s="169"/>
      <c r="G994" s="169"/>
      <c r="H994" s="169"/>
      <c r="I994" s="169"/>
      <c r="J994" s="169"/>
      <c r="K994" s="169"/>
      <c r="L994" s="169"/>
      <c r="M994" s="169"/>
      <c r="N994" s="177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78"/>
      <c r="AA994" s="167"/>
      <c r="AB994" s="169"/>
      <c r="AC994" s="169"/>
      <c r="AD994" s="169"/>
      <c r="AE994" s="169"/>
      <c r="AF994" s="169"/>
      <c r="AG994" s="179"/>
      <c r="AH994" s="169"/>
      <c r="AI994" s="168"/>
      <c r="AJ994" s="167"/>
      <c r="AK994" s="168"/>
      <c r="AL994" s="169"/>
      <c r="AM994" s="509"/>
      <c r="AN994" s="510"/>
      <c r="AO994" s="510"/>
    </row>
    <row r="995" spans="1:41">
      <c r="A995" s="177"/>
      <c r="B995" s="169"/>
      <c r="C995" s="169"/>
      <c r="D995" s="169"/>
      <c r="E995" s="169"/>
      <c r="F995" s="169"/>
      <c r="G995" s="169"/>
      <c r="H995" s="169"/>
      <c r="I995" s="169"/>
      <c r="J995" s="169"/>
      <c r="K995" s="169"/>
      <c r="L995" s="169"/>
      <c r="M995" s="169"/>
      <c r="N995" s="177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78"/>
      <c r="AA995" s="167"/>
      <c r="AB995" s="169"/>
      <c r="AC995" s="169"/>
      <c r="AD995" s="169"/>
      <c r="AE995" s="169"/>
      <c r="AF995" s="169"/>
      <c r="AG995" s="179"/>
      <c r="AH995" s="169"/>
      <c r="AI995" s="168"/>
      <c r="AJ995" s="167"/>
      <c r="AK995" s="168"/>
      <c r="AL995" s="169"/>
      <c r="AM995" s="509"/>
      <c r="AN995" s="510"/>
      <c r="AO995" s="510"/>
    </row>
    <row r="996" spans="1:41">
      <c r="A996" s="177"/>
      <c r="B996" s="169"/>
      <c r="C996" s="169"/>
      <c r="D996" s="169"/>
      <c r="E996" s="169"/>
      <c r="F996" s="169"/>
      <c r="G996" s="169"/>
      <c r="H996" s="169"/>
      <c r="I996" s="169"/>
      <c r="J996" s="169"/>
      <c r="K996" s="169"/>
      <c r="L996" s="169"/>
      <c r="M996" s="169"/>
      <c r="N996" s="177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78"/>
      <c r="AA996" s="167"/>
      <c r="AB996" s="169"/>
      <c r="AC996" s="169"/>
      <c r="AD996" s="169"/>
      <c r="AE996" s="169"/>
      <c r="AF996" s="169"/>
      <c r="AG996" s="179"/>
      <c r="AH996" s="169"/>
      <c r="AI996" s="168"/>
      <c r="AJ996" s="167"/>
      <c r="AK996" s="168"/>
      <c r="AL996" s="169"/>
      <c r="AM996" s="509"/>
      <c r="AN996" s="510"/>
      <c r="AO996" s="510"/>
    </row>
    <row r="997" spans="1:41">
      <c r="A997" s="177"/>
      <c r="B997" s="169"/>
      <c r="C997" s="169"/>
      <c r="D997" s="169"/>
      <c r="E997" s="169"/>
      <c r="F997" s="169"/>
      <c r="G997" s="169"/>
      <c r="H997" s="169"/>
      <c r="I997" s="169"/>
      <c r="J997" s="169"/>
      <c r="K997" s="169"/>
      <c r="L997" s="169"/>
      <c r="M997" s="169"/>
      <c r="N997" s="177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78"/>
      <c r="AA997" s="167"/>
      <c r="AB997" s="169"/>
      <c r="AC997" s="169"/>
      <c r="AD997" s="169"/>
      <c r="AE997" s="169"/>
      <c r="AF997" s="169"/>
      <c r="AG997" s="179"/>
      <c r="AH997" s="169"/>
      <c r="AI997" s="168"/>
      <c r="AJ997" s="167"/>
      <c r="AK997" s="168"/>
      <c r="AL997" s="169"/>
      <c r="AM997" s="509"/>
      <c r="AN997" s="510"/>
      <c r="AO997" s="510"/>
    </row>
    <row r="998" spans="1:41">
      <c r="A998" s="177"/>
      <c r="B998" s="169"/>
      <c r="C998" s="169"/>
      <c r="D998" s="169"/>
      <c r="E998" s="169"/>
      <c r="F998" s="169"/>
      <c r="G998" s="169"/>
      <c r="H998" s="169"/>
      <c r="I998" s="169"/>
      <c r="J998" s="169"/>
      <c r="K998" s="169"/>
      <c r="L998" s="169"/>
      <c r="M998" s="169"/>
      <c r="N998" s="177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78"/>
      <c r="AA998" s="167"/>
      <c r="AB998" s="169"/>
      <c r="AC998" s="169"/>
      <c r="AD998" s="169"/>
      <c r="AE998" s="169"/>
      <c r="AF998" s="169"/>
      <c r="AG998" s="179"/>
      <c r="AH998" s="169"/>
      <c r="AI998" s="168"/>
      <c r="AJ998" s="167"/>
      <c r="AK998" s="168"/>
      <c r="AL998" s="169"/>
      <c r="AM998" s="509"/>
      <c r="AN998" s="510"/>
      <c r="AO998" s="510"/>
    </row>
    <row r="999" spans="1:41">
      <c r="A999" s="177"/>
      <c r="B999" s="169"/>
      <c r="C999" s="169"/>
      <c r="D999" s="169"/>
      <c r="E999" s="169"/>
      <c r="F999" s="169"/>
      <c r="G999" s="169"/>
      <c r="H999" s="169"/>
      <c r="I999" s="169"/>
      <c r="J999" s="169"/>
      <c r="K999" s="169"/>
      <c r="L999" s="169"/>
      <c r="M999" s="169"/>
      <c r="N999" s="177"/>
      <c r="O999" s="169"/>
      <c r="P999" s="169"/>
      <c r="Q999" s="169"/>
      <c r="R999" s="169"/>
      <c r="S999" s="169"/>
      <c r="T999" s="169"/>
      <c r="U999" s="169"/>
      <c r="V999" s="169"/>
      <c r="W999" s="169"/>
      <c r="X999" s="169"/>
      <c r="Y999" s="169"/>
      <c r="Z999" s="178"/>
      <c r="AA999" s="167"/>
      <c r="AB999" s="169"/>
      <c r="AC999" s="169"/>
      <c r="AD999" s="169"/>
      <c r="AE999" s="169"/>
      <c r="AF999" s="169"/>
      <c r="AG999" s="179"/>
      <c r="AH999" s="169"/>
      <c r="AI999" s="168"/>
      <c r="AJ999" s="167"/>
      <c r="AK999" s="168"/>
      <c r="AL999" s="169"/>
      <c r="AM999" s="509"/>
      <c r="AN999" s="510"/>
      <c r="AO999" s="510"/>
    </row>
    <row r="1000" spans="1:41">
      <c r="A1000" s="177"/>
      <c r="B1000" s="169"/>
      <c r="C1000" s="169"/>
      <c r="D1000" s="169"/>
      <c r="E1000" s="169"/>
      <c r="F1000" s="169"/>
      <c r="G1000" s="169"/>
      <c r="H1000" s="169"/>
      <c r="I1000" s="169"/>
      <c r="J1000" s="169"/>
      <c r="K1000" s="169"/>
      <c r="L1000" s="169"/>
      <c r="M1000" s="169"/>
      <c r="N1000" s="177"/>
      <c r="O1000" s="169"/>
      <c r="P1000" s="169"/>
      <c r="Q1000" s="169"/>
      <c r="R1000" s="169"/>
      <c r="S1000" s="169"/>
      <c r="T1000" s="169"/>
      <c r="U1000" s="169"/>
      <c r="V1000" s="169"/>
      <c r="W1000" s="169"/>
      <c r="X1000" s="169"/>
      <c r="Y1000" s="169"/>
      <c r="Z1000" s="178"/>
      <c r="AA1000" s="167"/>
      <c r="AB1000" s="169"/>
      <c r="AC1000" s="169"/>
      <c r="AD1000" s="169"/>
      <c r="AE1000" s="169"/>
      <c r="AF1000" s="169"/>
      <c r="AG1000" s="179"/>
      <c r="AH1000" s="169"/>
      <c r="AI1000" s="168"/>
      <c r="AJ1000" s="167"/>
      <c r="AK1000" s="168"/>
      <c r="AL1000" s="169"/>
      <c r="AM1000" s="509"/>
      <c r="AN1000" s="510"/>
      <c r="AO1000" s="510"/>
    </row>
    <row r="1001" spans="1:41">
      <c r="A1001" s="177"/>
      <c r="B1001" s="169"/>
      <c r="C1001" s="169"/>
      <c r="D1001" s="169"/>
      <c r="E1001" s="169"/>
      <c r="F1001" s="169"/>
      <c r="G1001" s="169"/>
      <c r="H1001" s="169"/>
      <c r="I1001" s="169"/>
      <c r="J1001" s="169"/>
      <c r="K1001" s="169"/>
      <c r="L1001" s="169"/>
      <c r="M1001" s="169"/>
      <c r="N1001" s="177"/>
      <c r="O1001" s="169"/>
      <c r="P1001" s="169"/>
      <c r="Q1001" s="169"/>
      <c r="R1001" s="169"/>
      <c r="S1001" s="169"/>
      <c r="T1001" s="169"/>
      <c r="U1001" s="169"/>
      <c r="V1001" s="169"/>
      <c r="W1001" s="169"/>
      <c r="X1001" s="169"/>
      <c r="Y1001" s="169"/>
      <c r="Z1001" s="178"/>
      <c r="AA1001" s="167"/>
      <c r="AB1001" s="169"/>
      <c r="AC1001" s="169"/>
      <c r="AD1001" s="169"/>
      <c r="AE1001" s="169"/>
      <c r="AF1001" s="169"/>
      <c r="AG1001" s="179"/>
      <c r="AH1001" s="169"/>
      <c r="AI1001" s="168"/>
      <c r="AJ1001" s="167"/>
      <c r="AK1001" s="168"/>
      <c r="AL1001" s="169"/>
      <c r="AM1001" s="509"/>
      <c r="AN1001" s="510"/>
      <c r="AO1001" s="510"/>
    </row>
    <row r="1002" spans="1:41">
      <c r="A1002" s="177"/>
      <c r="B1002" s="169"/>
      <c r="C1002" s="169"/>
      <c r="D1002" s="169"/>
      <c r="E1002" s="169"/>
      <c r="F1002" s="169"/>
      <c r="G1002" s="169"/>
      <c r="H1002" s="169"/>
      <c r="I1002" s="169"/>
      <c r="J1002" s="169"/>
      <c r="K1002" s="169"/>
      <c r="L1002" s="169"/>
      <c r="M1002" s="169"/>
      <c r="N1002" s="177"/>
      <c r="O1002" s="169"/>
      <c r="P1002" s="169"/>
      <c r="Q1002" s="169"/>
      <c r="R1002" s="169"/>
      <c r="S1002" s="169"/>
      <c r="T1002" s="169"/>
      <c r="U1002" s="169"/>
      <c r="V1002" s="169"/>
      <c r="W1002" s="169"/>
      <c r="X1002" s="169"/>
      <c r="Y1002" s="169"/>
      <c r="Z1002" s="178"/>
      <c r="AA1002" s="167"/>
      <c r="AB1002" s="169"/>
      <c r="AC1002" s="169"/>
      <c r="AD1002" s="169"/>
      <c r="AE1002" s="169"/>
      <c r="AF1002" s="169"/>
      <c r="AG1002" s="179"/>
      <c r="AH1002" s="169"/>
      <c r="AI1002" s="168"/>
      <c r="AJ1002" s="167"/>
      <c r="AK1002" s="168"/>
      <c r="AL1002" s="169"/>
      <c r="AM1002" s="509"/>
      <c r="AN1002" s="510"/>
      <c r="AO1002" s="510"/>
    </row>
    <row r="1003" spans="1:41">
      <c r="A1003" s="177"/>
      <c r="B1003" s="169"/>
      <c r="C1003" s="169"/>
      <c r="D1003" s="169"/>
      <c r="E1003" s="169"/>
      <c r="F1003" s="169"/>
      <c r="G1003" s="169"/>
      <c r="H1003" s="169"/>
      <c r="I1003" s="169"/>
      <c r="J1003" s="169"/>
      <c r="K1003" s="169"/>
      <c r="L1003" s="169"/>
      <c r="M1003" s="169"/>
      <c r="N1003" s="177"/>
      <c r="O1003" s="169"/>
      <c r="P1003" s="169"/>
      <c r="Q1003" s="169"/>
      <c r="R1003" s="169"/>
      <c r="S1003" s="169"/>
      <c r="T1003" s="169"/>
      <c r="U1003" s="169"/>
      <c r="V1003" s="169"/>
      <c r="W1003" s="169"/>
      <c r="X1003" s="169"/>
      <c r="Y1003" s="169"/>
      <c r="Z1003" s="178"/>
      <c r="AA1003" s="167"/>
      <c r="AB1003" s="169"/>
      <c r="AC1003" s="169"/>
      <c r="AD1003" s="169"/>
      <c r="AE1003" s="169"/>
      <c r="AF1003" s="169"/>
      <c r="AG1003" s="179"/>
      <c r="AH1003" s="169"/>
      <c r="AI1003" s="168"/>
      <c r="AJ1003" s="167"/>
      <c r="AK1003" s="168"/>
      <c r="AL1003" s="169"/>
      <c r="AM1003" s="509"/>
      <c r="AN1003" s="510"/>
      <c r="AO1003" s="510"/>
    </row>
    <row r="1004" spans="1:41">
      <c r="A1004" s="177"/>
      <c r="B1004" s="169"/>
      <c r="C1004" s="169"/>
      <c r="D1004" s="169"/>
      <c r="E1004" s="169"/>
      <c r="F1004" s="169"/>
      <c r="G1004" s="169"/>
      <c r="H1004" s="169"/>
      <c r="I1004" s="169"/>
      <c r="J1004" s="169"/>
      <c r="K1004" s="169"/>
      <c r="L1004" s="169"/>
      <c r="M1004" s="169"/>
      <c r="N1004" s="177"/>
      <c r="O1004" s="169"/>
      <c r="P1004" s="169"/>
      <c r="Q1004" s="169"/>
      <c r="R1004" s="169"/>
      <c r="S1004" s="169"/>
      <c r="T1004" s="169"/>
      <c r="U1004" s="169"/>
      <c r="V1004" s="169"/>
      <c r="W1004" s="169"/>
      <c r="X1004" s="169"/>
      <c r="Y1004" s="169"/>
      <c r="Z1004" s="178"/>
      <c r="AA1004" s="167"/>
      <c r="AB1004" s="169"/>
      <c r="AC1004" s="169"/>
      <c r="AD1004" s="169"/>
      <c r="AE1004" s="169"/>
      <c r="AF1004" s="169"/>
      <c r="AG1004" s="179"/>
      <c r="AH1004" s="169"/>
      <c r="AI1004" s="168"/>
      <c r="AJ1004" s="167"/>
      <c r="AK1004" s="168"/>
      <c r="AL1004" s="169"/>
      <c r="AM1004" s="509"/>
      <c r="AN1004" s="510"/>
      <c r="AO1004" s="510"/>
    </row>
    <row r="1005" spans="1:41">
      <c r="A1005" s="177"/>
      <c r="B1005" s="169"/>
      <c r="C1005" s="169"/>
      <c r="D1005" s="169"/>
      <c r="E1005" s="169"/>
      <c r="F1005" s="169"/>
      <c r="G1005" s="169"/>
      <c r="H1005" s="169"/>
      <c r="I1005" s="169"/>
      <c r="J1005" s="169"/>
      <c r="K1005" s="169"/>
      <c r="L1005" s="169"/>
      <c r="M1005" s="169"/>
      <c r="N1005" s="177"/>
      <c r="O1005" s="169"/>
      <c r="P1005" s="169"/>
      <c r="Q1005" s="169"/>
      <c r="R1005" s="169"/>
      <c r="S1005" s="169"/>
      <c r="T1005" s="169"/>
      <c r="U1005" s="169"/>
      <c r="V1005" s="169"/>
      <c r="W1005" s="169"/>
      <c r="X1005" s="169"/>
      <c r="Y1005" s="169"/>
      <c r="Z1005" s="178"/>
      <c r="AA1005" s="167"/>
      <c r="AB1005" s="169"/>
      <c r="AC1005" s="169"/>
      <c r="AD1005" s="169"/>
      <c r="AE1005" s="169"/>
      <c r="AF1005" s="169"/>
      <c r="AG1005" s="179"/>
      <c r="AH1005" s="169"/>
      <c r="AI1005" s="168"/>
      <c r="AJ1005" s="167"/>
      <c r="AK1005" s="168"/>
      <c r="AL1005" s="169"/>
      <c r="AM1005" s="509"/>
      <c r="AN1005" s="510"/>
      <c r="AO1005" s="510"/>
    </row>
    <row r="1006" spans="1:41">
      <c r="A1006" s="177"/>
      <c r="B1006" s="169"/>
      <c r="C1006" s="169"/>
      <c r="D1006" s="169"/>
      <c r="E1006" s="169"/>
      <c r="F1006" s="169"/>
      <c r="G1006" s="169"/>
      <c r="H1006" s="169"/>
      <c r="I1006" s="169"/>
      <c r="J1006" s="169"/>
      <c r="K1006" s="169"/>
      <c r="L1006" s="169"/>
      <c r="M1006" s="169"/>
      <c r="N1006" s="177"/>
      <c r="O1006" s="169"/>
      <c r="P1006" s="169"/>
      <c r="Q1006" s="169"/>
      <c r="R1006" s="169"/>
      <c r="S1006" s="169"/>
      <c r="T1006" s="169"/>
      <c r="U1006" s="169"/>
      <c r="V1006" s="169"/>
      <c r="W1006" s="169"/>
      <c r="X1006" s="169"/>
      <c r="Y1006" s="169"/>
      <c r="Z1006" s="178"/>
      <c r="AA1006" s="167"/>
      <c r="AB1006" s="169"/>
      <c r="AC1006" s="169"/>
      <c r="AD1006" s="169"/>
      <c r="AE1006" s="169"/>
      <c r="AF1006" s="169"/>
      <c r="AG1006" s="179"/>
      <c r="AH1006" s="169"/>
      <c r="AI1006" s="168"/>
      <c r="AJ1006" s="167"/>
      <c r="AK1006" s="168"/>
      <c r="AL1006" s="169"/>
      <c r="AM1006" s="509"/>
      <c r="AN1006" s="510"/>
      <c r="AO1006" s="510"/>
    </row>
    <row r="1007" spans="1:41">
      <c r="A1007" s="177"/>
      <c r="B1007" s="169"/>
      <c r="C1007" s="169"/>
      <c r="D1007" s="169"/>
      <c r="E1007" s="169"/>
      <c r="F1007" s="169"/>
      <c r="G1007" s="169"/>
      <c r="H1007" s="169"/>
      <c r="I1007" s="169"/>
      <c r="J1007" s="169"/>
      <c r="K1007" s="169"/>
      <c r="L1007" s="169"/>
      <c r="M1007" s="169"/>
      <c r="N1007" s="177"/>
      <c r="O1007" s="169"/>
      <c r="P1007" s="169"/>
      <c r="Q1007" s="169"/>
      <c r="R1007" s="169"/>
      <c r="S1007" s="169"/>
      <c r="T1007" s="169"/>
      <c r="U1007" s="169"/>
      <c r="V1007" s="169"/>
      <c r="W1007" s="169"/>
      <c r="X1007" s="169"/>
      <c r="Y1007" s="169"/>
      <c r="Z1007" s="178"/>
      <c r="AA1007" s="167"/>
      <c r="AB1007" s="169"/>
      <c r="AC1007" s="169"/>
      <c r="AD1007" s="169"/>
      <c r="AE1007" s="169"/>
      <c r="AF1007" s="169"/>
      <c r="AG1007" s="179"/>
      <c r="AH1007" s="169"/>
      <c r="AI1007" s="168"/>
      <c r="AJ1007" s="167"/>
      <c r="AK1007" s="168"/>
      <c r="AL1007" s="169"/>
      <c r="AM1007" s="509"/>
      <c r="AN1007" s="510"/>
      <c r="AO1007" s="510"/>
    </row>
    <row r="1008" spans="1:41">
      <c r="A1008" s="177"/>
      <c r="B1008" s="169"/>
      <c r="C1008" s="169"/>
      <c r="D1008" s="169"/>
      <c r="E1008" s="169"/>
      <c r="F1008" s="169"/>
      <c r="G1008" s="169"/>
      <c r="H1008" s="169"/>
      <c r="I1008" s="169"/>
      <c r="J1008" s="169"/>
      <c r="K1008" s="169"/>
      <c r="L1008" s="169"/>
      <c r="M1008" s="169"/>
      <c r="N1008" s="177"/>
      <c r="O1008" s="169"/>
      <c r="P1008" s="169"/>
      <c r="Q1008" s="169"/>
      <c r="R1008" s="169"/>
      <c r="S1008" s="169"/>
      <c r="T1008" s="169"/>
      <c r="U1008" s="169"/>
      <c r="V1008" s="169"/>
      <c r="W1008" s="169"/>
      <c r="X1008" s="169"/>
      <c r="Y1008" s="169"/>
      <c r="Z1008" s="178"/>
      <c r="AA1008" s="167"/>
      <c r="AB1008" s="169"/>
      <c r="AC1008" s="169"/>
      <c r="AD1008" s="169"/>
      <c r="AE1008" s="169"/>
      <c r="AF1008" s="169"/>
      <c r="AG1008" s="179"/>
      <c r="AH1008" s="169"/>
      <c r="AI1008" s="168"/>
      <c r="AJ1008" s="167"/>
      <c r="AK1008" s="168"/>
      <c r="AL1008" s="169"/>
      <c r="AM1008" s="509"/>
      <c r="AN1008" s="510"/>
      <c r="AO1008" s="510"/>
    </row>
    <row r="1009" spans="1:41">
      <c r="A1009" s="177"/>
      <c r="B1009" s="169"/>
      <c r="C1009" s="169"/>
      <c r="D1009" s="169"/>
      <c r="E1009" s="169"/>
      <c r="F1009" s="169"/>
      <c r="G1009" s="169"/>
      <c r="H1009" s="169"/>
      <c r="I1009" s="169"/>
      <c r="J1009" s="169"/>
      <c r="K1009" s="169"/>
      <c r="L1009" s="169"/>
      <c r="M1009" s="169"/>
      <c r="N1009" s="177"/>
      <c r="O1009" s="169"/>
      <c r="P1009" s="169"/>
      <c r="Q1009" s="169"/>
      <c r="R1009" s="169"/>
      <c r="S1009" s="169"/>
      <c r="T1009" s="169"/>
      <c r="U1009" s="169"/>
      <c r="V1009" s="169"/>
      <c r="W1009" s="169"/>
      <c r="X1009" s="169"/>
      <c r="Y1009" s="169"/>
      <c r="Z1009" s="178"/>
      <c r="AA1009" s="167"/>
      <c r="AB1009" s="169"/>
      <c r="AC1009" s="169"/>
      <c r="AD1009" s="169"/>
      <c r="AE1009" s="169"/>
      <c r="AF1009" s="169"/>
      <c r="AG1009" s="179"/>
      <c r="AH1009" s="169"/>
      <c r="AI1009" s="168"/>
      <c r="AJ1009" s="167"/>
      <c r="AK1009" s="168"/>
      <c r="AL1009" s="169"/>
      <c r="AM1009" s="509"/>
      <c r="AN1009" s="510"/>
      <c r="AO1009" s="510"/>
    </row>
    <row r="1010" spans="1:41">
      <c r="A1010" s="177"/>
      <c r="B1010" s="169"/>
      <c r="C1010" s="169"/>
      <c r="D1010" s="169"/>
      <c r="E1010" s="169"/>
      <c r="F1010" s="169"/>
      <c r="G1010" s="169"/>
      <c r="H1010" s="169"/>
      <c r="I1010" s="169"/>
      <c r="J1010" s="169"/>
      <c r="K1010" s="169"/>
      <c r="L1010" s="169"/>
      <c r="M1010" s="169"/>
      <c r="N1010" s="177"/>
      <c r="O1010" s="169"/>
      <c r="P1010" s="169"/>
      <c r="Q1010" s="169"/>
      <c r="R1010" s="169"/>
      <c r="S1010" s="169"/>
      <c r="T1010" s="169"/>
      <c r="U1010" s="169"/>
      <c r="V1010" s="169"/>
      <c r="W1010" s="169"/>
      <c r="X1010" s="169"/>
      <c r="Y1010" s="169"/>
      <c r="Z1010" s="178"/>
      <c r="AA1010" s="167"/>
      <c r="AB1010" s="169"/>
      <c r="AC1010" s="169"/>
      <c r="AD1010" s="169"/>
      <c r="AE1010" s="169"/>
      <c r="AF1010" s="169"/>
      <c r="AG1010" s="179"/>
      <c r="AH1010" s="169"/>
      <c r="AI1010" s="168"/>
      <c r="AJ1010" s="167"/>
      <c r="AK1010" s="168"/>
      <c r="AL1010" s="169"/>
      <c r="AM1010" s="509"/>
      <c r="AN1010" s="510"/>
      <c r="AO1010" s="510"/>
    </row>
    <row r="1011" spans="1:41">
      <c r="A1011" s="177"/>
      <c r="B1011" s="169"/>
      <c r="C1011" s="169"/>
      <c r="D1011" s="169"/>
      <c r="E1011" s="169"/>
      <c r="F1011" s="169"/>
      <c r="G1011" s="169"/>
      <c r="H1011" s="169"/>
      <c r="I1011" s="169"/>
      <c r="J1011" s="169"/>
      <c r="K1011" s="169"/>
      <c r="L1011" s="169"/>
      <c r="M1011" s="169"/>
      <c r="N1011" s="177"/>
      <c r="O1011" s="169"/>
      <c r="P1011" s="169"/>
      <c r="Q1011" s="169"/>
      <c r="R1011" s="169"/>
      <c r="S1011" s="169"/>
      <c r="T1011" s="169"/>
      <c r="U1011" s="169"/>
      <c r="V1011" s="169"/>
      <c r="W1011" s="169"/>
      <c r="X1011" s="169"/>
      <c r="Y1011" s="169"/>
      <c r="Z1011" s="178"/>
      <c r="AA1011" s="167"/>
      <c r="AB1011" s="169"/>
      <c r="AC1011" s="169"/>
      <c r="AD1011" s="169"/>
      <c r="AE1011" s="169"/>
      <c r="AF1011" s="169"/>
      <c r="AG1011" s="179"/>
      <c r="AH1011" s="169"/>
      <c r="AI1011" s="168"/>
      <c r="AJ1011" s="167"/>
      <c r="AK1011" s="168"/>
      <c r="AL1011" s="169"/>
      <c r="AM1011" s="509"/>
      <c r="AN1011" s="510"/>
      <c r="AO1011" s="510"/>
    </row>
    <row r="1012" spans="1:41">
      <c r="A1012" s="177"/>
      <c r="B1012" s="169"/>
      <c r="C1012" s="169"/>
      <c r="D1012" s="169"/>
      <c r="E1012" s="169"/>
      <c r="F1012" s="169"/>
      <c r="G1012" s="169"/>
      <c r="H1012" s="169"/>
      <c r="I1012" s="169"/>
      <c r="J1012" s="169"/>
      <c r="K1012" s="169"/>
      <c r="L1012" s="169"/>
      <c r="M1012" s="169"/>
      <c r="N1012" s="177"/>
      <c r="O1012" s="169"/>
      <c r="P1012" s="169"/>
      <c r="Q1012" s="169"/>
      <c r="R1012" s="169"/>
      <c r="S1012" s="169"/>
      <c r="T1012" s="169"/>
      <c r="U1012" s="169"/>
      <c r="V1012" s="169"/>
      <c r="W1012" s="169"/>
      <c r="X1012" s="169"/>
      <c r="Y1012" s="169"/>
      <c r="Z1012" s="178"/>
      <c r="AA1012" s="167"/>
      <c r="AB1012" s="169"/>
      <c r="AC1012" s="169"/>
      <c r="AD1012" s="169"/>
      <c r="AE1012" s="169"/>
      <c r="AF1012" s="169"/>
      <c r="AG1012" s="179"/>
      <c r="AH1012" s="169"/>
      <c r="AI1012" s="168"/>
      <c r="AJ1012" s="167"/>
      <c r="AK1012" s="168"/>
      <c r="AL1012" s="169"/>
      <c r="AM1012" s="509"/>
      <c r="AN1012" s="510"/>
      <c r="AO1012" s="510"/>
    </row>
    <row r="1013" spans="1:41">
      <c r="A1013" s="177"/>
      <c r="B1013" s="169"/>
      <c r="C1013" s="169"/>
      <c r="D1013" s="169"/>
      <c r="E1013" s="169"/>
      <c r="F1013" s="169"/>
      <c r="G1013" s="169"/>
      <c r="H1013" s="169"/>
      <c r="I1013" s="169"/>
      <c r="J1013" s="169"/>
      <c r="K1013" s="169"/>
      <c r="L1013" s="169"/>
      <c r="M1013" s="169"/>
      <c r="N1013" s="177"/>
      <c r="O1013" s="169"/>
      <c r="P1013" s="169"/>
      <c r="Q1013" s="169"/>
      <c r="R1013" s="169"/>
      <c r="S1013" s="169"/>
      <c r="T1013" s="169"/>
      <c r="U1013" s="169"/>
      <c r="V1013" s="169"/>
      <c r="W1013" s="169"/>
      <c r="X1013" s="169"/>
      <c r="Y1013" s="169"/>
      <c r="Z1013" s="178"/>
      <c r="AA1013" s="167"/>
      <c r="AB1013" s="169"/>
      <c r="AC1013" s="169"/>
      <c r="AD1013" s="169"/>
      <c r="AE1013" s="169"/>
      <c r="AF1013" s="169"/>
      <c r="AG1013" s="179"/>
      <c r="AH1013" s="169"/>
      <c r="AI1013" s="168"/>
      <c r="AJ1013" s="167"/>
      <c r="AK1013" s="168"/>
      <c r="AL1013" s="169"/>
      <c r="AM1013" s="509"/>
      <c r="AN1013" s="510"/>
      <c r="AO1013" s="510"/>
    </row>
    <row r="1014" spans="1:41">
      <c r="A1014" s="177"/>
      <c r="B1014" s="169"/>
      <c r="C1014" s="169"/>
      <c r="D1014" s="169"/>
      <c r="E1014" s="169"/>
      <c r="F1014" s="169"/>
      <c r="G1014" s="169"/>
      <c r="H1014" s="169"/>
      <c r="I1014" s="169"/>
      <c r="J1014" s="169"/>
      <c r="K1014" s="169"/>
      <c r="L1014" s="169"/>
      <c r="M1014" s="169"/>
      <c r="N1014" s="177"/>
      <c r="O1014" s="169"/>
      <c r="P1014" s="169"/>
      <c r="Q1014" s="169"/>
      <c r="R1014" s="169"/>
      <c r="S1014" s="169"/>
      <c r="T1014" s="169"/>
      <c r="U1014" s="169"/>
      <c r="V1014" s="169"/>
      <c r="W1014" s="169"/>
      <c r="X1014" s="169"/>
      <c r="Y1014" s="169"/>
      <c r="Z1014" s="178"/>
      <c r="AA1014" s="167"/>
      <c r="AB1014" s="169"/>
      <c r="AC1014" s="169"/>
      <c r="AD1014" s="169"/>
      <c r="AE1014" s="169"/>
      <c r="AF1014" s="169"/>
      <c r="AG1014" s="179"/>
      <c r="AH1014" s="169"/>
      <c r="AI1014" s="168"/>
      <c r="AJ1014" s="167"/>
      <c r="AK1014" s="168"/>
      <c r="AL1014" s="169"/>
      <c r="AM1014" s="509"/>
      <c r="AN1014" s="510"/>
      <c r="AO1014" s="510"/>
    </row>
    <row r="1015" spans="1:41">
      <c r="A1015" s="177"/>
      <c r="B1015" s="169"/>
      <c r="C1015" s="169"/>
      <c r="D1015" s="169"/>
      <c r="E1015" s="169"/>
      <c r="F1015" s="169"/>
      <c r="G1015" s="169"/>
      <c r="H1015" s="169"/>
      <c r="I1015" s="169"/>
      <c r="J1015" s="169"/>
      <c r="K1015" s="169"/>
      <c r="L1015" s="169"/>
      <c r="M1015" s="169"/>
      <c r="N1015" s="177"/>
      <c r="O1015" s="169"/>
      <c r="P1015" s="169"/>
      <c r="Q1015" s="169"/>
      <c r="R1015" s="169"/>
      <c r="S1015" s="169"/>
      <c r="T1015" s="169"/>
      <c r="U1015" s="169"/>
      <c r="V1015" s="169"/>
      <c r="W1015" s="169"/>
      <c r="X1015" s="169"/>
      <c r="Y1015" s="169"/>
      <c r="Z1015" s="178"/>
      <c r="AA1015" s="167"/>
      <c r="AB1015" s="169"/>
      <c r="AC1015" s="169"/>
      <c r="AD1015" s="169"/>
      <c r="AE1015" s="169"/>
      <c r="AF1015" s="169"/>
      <c r="AG1015" s="179"/>
      <c r="AH1015" s="169"/>
      <c r="AI1015" s="168"/>
      <c r="AJ1015" s="167"/>
      <c r="AK1015" s="168"/>
      <c r="AL1015" s="169"/>
      <c r="AM1015" s="509"/>
      <c r="AN1015" s="510"/>
      <c r="AO1015" s="510"/>
    </row>
    <row r="1016" spans="1:41">
      <c r="A1016" s="177"/>
      <c r="B1016" s="169"/>
      <c r="C1016" s="169"/>
      <c r="D1016" s="169"/>
      <c r="E1016" s="169"/>
      <c r="F1016" s="169"/>
      <c r="G1016" s="169"/>
      <c r="H1016" s="169"/>
      <c r="I1016" s="169"/>
      <c r="J1016" s="169"/>
      <c r="K1016" s="169"/>
      <c r="L1016" s="169"/>
      <c r="M1016" s="169"/>
      <c r="N1016" s="177"/>
      <c r="O1016" s="169"/>
      <c r="P1016" s="169"/>
      <c r="Q1016" s="169"/>
      <c r="R1016" s="169"/>
      <c r="S1016" s="169"/>
      <c r="T1016" s="169"/>
      <c r="U1016" s="169"/>
      <c r="V1016" s="169"/>
      <c r="W1016" s="169"/>
      <c r="X1016" s="169"/>
      <c r="Y1016" s="169"/>
      <c r="Z1016" s="178"/>
      <c r="AA1016" s="167"/>
      <c r="AB1016" s="169"/>
      <c r="AC1016" s="169"/>
      <c r="AD1016" s="169"/>
      <c r="AE1016" s="169"/>
      <c r="AF1016" s="169"/>
      <c r="AG1016" s="179"/>
      <c r="AH1016" s="169"/>
      <c r="AI1016" s="168"/>
      <c r="AJ1016" s="167"/>
      <c r="AK1016" s="168"/>
      <c r="AL1016" s="169"/>
      <c r="AM1016" s="509"/>
      <c r="AN1016" s="510"/>
      <c r="AO1016" s="510"/>
    </row>
    <row r="1017" spans="1:41">
      <c r="A1017" s="177"/>
      <c r="B1017" s="169"/>
      <c r="C1017" s="169"/>
      <c r="D1017" s="169"/>
      <c r="E1017" s="169"/>
      <c r="F1017" s="169"/>
      <c r="G1017" s="169"/>
      <c r="H1017" s="169"/>
      <c r="I1017" s="169"/>
      <c r="J1017" s="169"/>
      <c r="K1017" s="169"/>
      <c r="L1017" s="169"/>
      <c r="M1017" s="169"/>
      <c r="N1017" s="177"/>
      <c r="O1017" s="169"/>
      <c r="P1017" s="169"/>
      <c r="Q1017" s="169"/>
      <c r="R1017" s="169"/>
      <c r="S1017" s="169"/>
      <c r="T1017" s="169"/>
      <c r="U1017" s="169"/>
      <c r="V1017" s="169"/>
      <c r="W1017" s="169"/>
      <c r="X1017" s="169"/>
      <c r="Y1017" s="169"/>
      <c r="Z1017" s="178"/>
      <c r="AA1017" s="167"/>
      <c r="AB1017" s="169"/>
      <c r="AC1017" s="169"/>
      <c r="AD1017" s="169"/>
      <c r="AE1017" s="169"/>
      <c r="AF1017" s="169"/>
      <c r="AG1017" s="179"/>
      <c r="AH1017" s="169"/>
      <c r="AI1017" s="168"/>
      <c r="AJ1017" s="167"/>
      <c r="AK1017" s="168"/>
      <c r="AL1017" s="169"/>
      <c r="AM1017" s="509"/>
      <c r="AN1017" s="510"/>
      <c r="AO1017" s="510"/>
    </row>
    <row r="1018" spans="1:41">
      <c r="A1018" s="177"/>
      <c r="B1018" s="169"/>
      <c r="C1018" s="169"/>
      <c r="D1018" s="169"/>
      <c r="E1018" s="169"/>
      <c r="F1018" s="169"/>
      <c r="G1018" s="169"/>
      <c r="H1018" s="169"/>
      <c r="I1018" s="169"/>
      <c r="J1018" s="169"/>
      <c r="K1018" s="169"/>
      <c r="L1018" s="169"/>
      <c r="M1018" s="169"/>
      <c r="N1018" s="177"/>
      <c r="O1018" s="169"/>
      <c r="P1018" s="169"/>
      <c r="Q1018" s="169"/>
      <c r="R1018" s="169"/>
      <c r="S1018" s="169"/>
      <c r="T1018" s="169"/>
      <c r="U1018" s="169"/>
      <c r="V1018" s="169"/>
      <c r="W1018" s="169"/>
      <c r="X1018" s="169"/>
      <c r="Y1018" s="169"/>
      <c r="Z1018" s="178"/>
      <c r="AA1018" s="167"/>
      <c r="AB1018" s="169"/>
      <c r="AC1018" s="169"/>
      <c r="AD1018" s="169"/>
      <c r="AE1018" s="169"/>
      <c r="AF1018" s="169"/>
      <c r="AG1018" s="179"/>
      <c r="AH1018" s="169"/>
      <c r="AI1018" s="168"/>
      <c r="AJ1018" s="167"/>
      <c r="AK1018" s="168"/>
      <c r="AL1018" s="169"/>
      <c r="AM1018" s="509"/>
      <c r="AN1018" s="510"/>
      <c r="AO1018" s="510"/>
    </row>
    <row r="1019" spans="1:41">
      <c r="A1019" s="177"/>
      <c r="B1019" s="169"/>
      <c r="C1019" s="169"/>
      <c r="D1019" s="169"/>
      <c r="E1019" s="169"/>
      <c r="F1019" s="169"/>
      <c r="G1019" s="169"/>
      <c r="H1019" s="169"/>
      <c r="I1019" s="169"/>
      <c r="J1019" s="169"/>
      <c r="K1019" s="169"/>
      <c r="L1019" s="169"/>
      <c r="M1019" s="169"/>
      <c r="N1019" s="177"/>
      <c r="O1019" s="169"/>
      <c r="P1019" s="169"/>
      <c r="Q1019" s="169"/>
      <c r="R1019" s="169"/>
      <c r="S1019" s="169"/>
      <c r="T1019" s="169"/>
      <c r="U1019" s="169"/>
      <c r="V1019" s="169"/>
      <c r="W1019" s="169"/>
      <c r="X1019" s="169"/>
      <c r="Y1019" s="169"/>
      <c r="Z1019" s="178"/>
      <c r="AA1019" s="167"/>
      <c r="AB1019" s="169"/>
      <c r="AC1019" s="169"/>
      <c r="AD1019" s="169"/>
      <c r="AE1019" s="169"/>
      <c r="AF1019" s="169"/>
      <c r="AG1019" s="179"/>
      <c r="AH1019" s="169"/>
      <c r="AI1019" s="168"/>
      <c r="AJ1019" s="167"/>
      <c r="AK1019" s="168"/>
      <c r="AL1019" s="169"/>
      <c r="AM1019" s="509"/>
      <c r="AN1019" s="510"/>
      <c r="AO1019" s="510"/>
    </row>
    <row r="1020" spans="1:41">
      <c r="A1020" s="177"/>
      <c r="B1020" s="169"/>
      <c r="C1020" s="169"/>
      <c r="D1020" s="169"/>
      <c r="E1020" s="169"/>
      <c r="F1020" s="169"/>
      <c r="G1020" s="169"/>
      <c r="H1020" s="169"/>
      <c r="I1020" s="169"/>
      <c r="J1020" s="169"/>
      <c r="K1020" s="169"/>
      <c r="L1020" s="169"/>
      <c r="M1020" s="169"/>
      <c r="N1020" s="177"/>
      <c r="O1020" s="169"/>
      <c r="P1020" s="169"/>
      <c r="Q1020" s="169"/>
      <c r="R1020" s="169"/>
      <c r="S1020" s="169"/>
      <c r="T1020" s="169"/>
      <c r="U1020" s="169"/>
      <c r="V1020" s="169"/>
      <c r="W1020" s="169"/>
      <c r="X1020" s="169"/>
      <c r="Y1020" s="169"/>
      <c r="Z1020" s="178"/>
      <c r="AA1020" s="167"/>
      <c r="AB1020" s="169"/>
      <c r="AC1020" s="169"/>
      <c r="AD1020" s="169"/>
      <c r="AE1020" s="169"/>
      <c r="AF1020" s="169"/>
      <c r="AG1020" s="179"/>
      <c r="AH1020" s="169"/>
      <c r="AI1020" s="168"/>
      <c r="AJ1020" s="167"/>
      <c r="AK1020" s="168"/>
      <c r="AL1020" s="169"/>
      <c r="AM1020" s="509"/>
      <c r="AN1020" s="510"/>
      <c r="AO1020" s="510"/>
    </row>
    <row r="1021" spans="1:41">
      <c r="A1021" s="177"/>
      <c r="B1021" s="169"/>
      <c r="C1021" s="169"/>
      <c r="D1021" s="169"/>
      <c r="E1021" s="169"/>
      <c r="F1021" s="169"/>
      <c r="G1021" s="169"/>
      <c r="H1021" s="169"/>
      <c r="I1021" s="169"/>
      <c r="J1021" s="169"/>
      <c r="K1021" s="169"/>
      <c r="L1021" s="169"/>
      <c r="M1021" s="169"/>
      <c r="N1021" s="177"/>
      <c r="O1021" s="169"/>
      <c r="P1021" s="169"/>
      <c r="Q1021" s="169"/>
      <c r="R1021" s="169"/>
      <c r="S1021" s="169"/>
      <c r="T1021" s="169"/>
      <c r="U1021" s="169"/>
      <c r="V1021" s="169"/>
      <c r="W1021" s="169"/>
      <c r="X1021" s="169"/>
      <c r="Y1021" s="169"/>
      <c r="Z1021" s="178"/>
      <c r="AA1021" s="167"/>
      <c r="AB1021" s="169"/>
      <c r="AC1021" s="169"/>
      <c r="AD1021" s="169"/>
      <c r="AE1021" s="169"/>
      <c r="AF1021" s="169"/>
      <c r="AG1021" s="179"/>
      <c r="AH1021" s="169"/>
      <c r="AI1021" s="168"/>
      <c r="AJ1021" s="167"/>
      <c r="AK1021" s="168"/>
      <c r="AL1021" s="169"/>
      <c r="AM1021" s="509"/>
      <c r="AN1021" s="510"/>
      <c r="AO1021" s="510"/>
    </row>
    <row r="1022" spans="1:41">
      <c r="A1022" s="177"/>
      <c r="B1022" s="169"/>
      <c r="C1022" s="169"/>
      <c r="D1022" s="169"/>
      <c r="E1022" s="169"/>
      <c r="F1022" s="169"/>
      <c r="G1022" s="169"/>
      <c r="H1022" s="169"/>
      <c r="I1022" s="169"/>
      <c r="J1022" s="169"/>
      <c r="K1022" s="169"/>
      <c r="L1022" s="169"/>
      <c r="M1022" s="169"/>
      <c r="N1022" s="177"/>
      <c r="O1022" s="169"/>
      <c r="P1022" s="169"/>
      <c r="Q1022" s="169"/>
      <c r="R1022" s="169"/>
      <c r="S1022" s="169"/>
      <c r="T1022" s="169"/>
      <c r="U1022" s="169"/>
      <c r="V1022" s="169"/>
      <c r="W1022" s="169"/>
      <c r="X1022" s="169"/>
      <c r="Y1022" s="169"/>
      <c r="Z1022" s="178"/>
      <c r="AA1022" s="167"/>
      <c r="AB1022" s="169"/>
      <c r="AC1022" s="169"/>
      <c r="AD1022" s="169"/>
      <c r="AE1022" s="169"/>
      <c r="AF1022" s="169"/>
      <c r="AG1022" s="179"/>
      <c r="AH1022" s="169"/>
      <c r="AI1022" s="168"/>
      <c r="AJ1022" s="167"/>
      <c r="AK1022" s="168"/>
      <c r="AL1022" s="169"/>
      <c r="AM1022" s="509"/>
      <c r="AN1022" s="510"/>
      <c r="AO1022" s="510"/>
    </row>
    <row r="1023" spans="1:41">
      <c r="A1023" s="177"/>
      <c r="B1023" s="169"/>
      <c r="C1023" s="169"/>
      <c r="D1023" s="169"/>
      <c r="E1023" s="169"/>
      <c r="F1023" s="169"/>
      <c r="G1023" s="169"/>
      <c r="H1023" s="169"/>
      <c r="I1023" s="169"/>
      <c r="J1023" s="169"/>
      <c r="K1023" s="169"/>
      <c r="L1023" s="169"/>
      <c r="M1023" s="169"/>
      <c r="N1023" s="177"/>
      <c r="O1023" s="169"/>
      <c r="P1023" s="169"/>
      <c r="Q1023" s="169"/>
      <c r="R1023" s="169"/>
      <c r="S1023" s="169"/>
      <c r="T1023" s="169"/>
      <c r="U1023" s="169"/>
      <c r="V1023" s="169"/>
      <c r="W1023" s="169"/>
      <c r="X1023" s="169"/>
      <c r="Y1023" s="169"/>
      <c r="Z1023" s="178"/>
      <c r="AA1023" s="167"/>
      <c r="AB1023" s="169"/>
      <c r="AC1023" s="169"/>
      <c r="AD1023" s="169"/>
      <c r="AE1023" s="169"/>
      <c r="AF1023" s="169"/>
      <c r="AG1023" s="179"/>
      <c r="AH1023" s="169"/>
      <c r="AI1023" s="168"/>
      <c r="AJ1023" s="167"/>
      <c r="AK1023" s="168"/>
      <c r="AL1023" s="169"/>
      <c r="AM1023" s="509"/>
      <c r="AN1023" s="510"/>
      <c r="AO1023" s="510"/>
    </row>
    <row r="1024" spans="1:41">
      <c r="A1024" s="177"/>
      <c r="B1024" s="169"/>
      <c r="C1024" s="169"/>
      <c r="D1024" s="169"/>
      <c r="E1024" s="169"/>
      <c r="F1024" s="169"/>
      <c r="G1024" s="169"/>
      <c r="H1024" s="169"/>
      <c r="I1024" s="169"/>
      <c r="J1024" s="169"/>
      <c r="K1024" s="169"/>
      <c r="L1024" s="169"/>
      <c r="M1024" s="169"/>
      <c r="N1024" s="177"/>
      <c r="O1024" s="169"/>
      <c r="P1024" s="169"/>
      <c r="Q1024" s="169"/>
      <c r="R1024" s="169"/>
      <c r="S1024" s="169"/>
      <c r="T1024" s="169"/>
      <c r="U1024" s="169"/>
      <c r="V1024" s="169"/>
      <c r="W1024" s="169"/>
      <c r="X1024" s="169"/>
      <c r="Y1024" s="169"/>
      <c r="Z1024" s="178"/>
      <c r="AA1024" s="167"/>
      <c r="AB1024" s="169"/>
      <c r="AC1024" s="169"/>
      <c r="AD1024" s="169"/>
      <c r="AE1024" s="169"/>
      <c r="AF1024" s="169"/>
      <c r="AG1024" s="179"/>
      <c r="AH1024" s="169"/>
      <c r="AI1024" s="168"/>
      <c r="AJ1024" s="167"/>
      <c r="AK1024" s="168"/>
      <c r="AL1024" s="169"/>
      <c r="AM1024" s="509"/>
      <c r="AN1024" s="510"/>
      <c r="AO1024" s="510"/>
    </row>
    <row r="1025" spans="1:41">
      <c r="A1025" s="177"/>
      <c r="B1025" s="169"/>
      <c r="C1025" s="169"/>
      <c r="D1025" s="169"/>
      <c r="E1025" s="169"/>
      <c r="F1025" s="169"/>
      <c r="G1025" s="169"/>
      <c r="H1025" s="169"/>
      <c r="I1025" s="169"/>
      <c r="J1025" s="169"/>
      <c r="K1025" s="169"/>
      <c r="L1025" s="169"/>
      <c r="M1025" s="169"/>
      <c r="N1025" s="177"/>
      <c r="O1025" s="169"/>
      <c r="P1025" s="169"/>
      <c r="Q1025" s="169"/>
      <c r="R1025" s="169"/>
      <c r="S1025" s="169"/>
      <c r="T1025" s="169"/>
      <c r="U1025" s="169"/>
      <c r="V1025" s="169"/>
      <c r="W1025" s="169"/>
      <c r="X1025" s="169"/>
      <c r="Y1025" s="169"/>
      <c r="Z1025" s="178"/>
      <c r="AA1025" s="167"/>
      <c r="AB1025" s="169"/>
      <c r="AC1025" s="169"/>
      <c r="AD1025" s="169"/>
      <c r="AE1025" s="169"/>
      <c r="AF1025" s="169"/>
      <c r="AG1025" s="179"/>
      <c r="AH1025" s="169"/>
      <c r="AI1025" s="168"/>
      <c r="AJ1025" s="167"/>
      <c r="AK1025" s="168"/>
      <c r="AL1025" s="169"/>
      <c r="AM1025" s="509"/>
      <c r="AN1025" s="510"/>
      <c r="AO1025" s="510"/>
    </row>
    <row r="1026" spans="1:41">
      <c r="A1026" s="177"/>
      <c r="B1026" s="169"/>
      <c r="C1026" s="169"/>
      <c r="D1026" s="169"/>
      <c r="E1026" s="169"/>
      <c r="F1026" s="169"/>
      <c r="G1026" s="169"/>
      <c r="H1026" s="169"/>
      <c r="I1026" s="169"/>
      <c r="J1026" s="169"/>
      <c r="K1026" s="169"/>
      <c r="L1026" s="169"/>
      <c r="M1026" s="169"/>
      <c r="N1026" s="177"/>
      <c r="O1026" s="169"/>
      <c r="P1026" s="169"/>
      <c r="Q1026" s="169"/>
      <c r="R1026" s="169"/>
      <c r="S1026" s="169"/>
      <c r="T1026" s="169"/>
      <c r="U1026" s="169"/>
      <c r="V1026" s="169"/>
      <c r="W1026" s="169"/>
      <c r="X1026" s="169"/>
      <c r="Y1026" s="169"/>
      <c r="Z1026" s="178"/>
      <c r="AA1026" s="167"/>
      <c r="AB1026" s="169"/>
      <c r="AC1026" s="169"/>
      <c r="AD1026" s="169"/>
      <c r="AE1026" s="169"/>
      <c r="AF1026" s="169"/>
      <c r="AG1026" s="179"/>
      <c r="AH1026" s="169"/>
      <c r="AI1026" s="168"/>
      <c r="AJ1026" s="167"/>
      <c r="AK1026" s="168"/>
      <c r="AL1026" s="169"/>
      <c r="AM1026" s="509"/>
      <c r="AN1026" s="510"/>
      <c r="AO1026" s="510"/>
    </row>
    <row r="1027" spans="1:41">
      <c r="A1027" s="177"/>
      <c r="B1027" s="169"/>
      <c r="C1027" s="169"/>
      <c r="D1027" s="169"/>
      <c r="E1027" s="169"/>
      <c r="F1027" s="169"/>
      <c r="G1027" s="169"/>
      <c r="H1027" s="169"/>
      <c r="I1027" s="169"/>
      <c r="J1027" s="169"/>
      <c r="K1027" s="169"/>
      <c r="L1027" s="169"/>
      <c r="M1027" s="169"/>
      <c r="N1027" s="177"/>
      <c r="O1027" s="169"/>
      <c r="P1027" s="169"/>
      <c r="Q1027" s="169"/>
      <c r="R1027" s="169"/>
      <c r="S1027" s="169"/>
      <c r="T1027" s="169"/>
      <c r="U1027" s="169"/>
      <c r="V1027" s="169"/>
      <c r="W1027" s="169"/>
      <c r="X1027" s="169"/>
      <c r="Y1027" s="169"/>
      <c r="Z1027" s="178"/>
      <c r="AA1027" s="167"/>
      <c r="AB1027" s="169"/>
      <c r="AC1027" s="169"/>
      <c r="AD1027" s="169"/>
      <c r="AE1027" s="169"/>
      <c r="AF1027" s="169"/>
      <c r="AG1027" s="179"/>
      <c r="AH1027" s="169"/>
      <c r="AI1027" s="168"/>
      <c r="AJ1027" s="167"/>
      <c r="AK1027" s="168"/>
      <c r="AL1027" s="169"/>
      <c r="AM1027" s="509"/>
      <c r="AN1027" s="510"/>
      <c r="AO1027" s="510"/>
    </row>
    <row r="1028" spans="1:41">
      <c r="A1028" s="177"/>
      <c r="B1028" s="169"/>
      <c r="C1028" s="169"/>
      <c r="D1028" s="169"/>
      <c r="E1028" s="169"/>
      <c r="F1028" s="169"/>
      <c r="G1028" s="169"/>
      <c r="H1028" s="169"/>
      <c r="I1028" s="169"/>
      <c r="J1028" s="169"/>
      <c r="K1028" s="169"/>
      <c r="L1028" s="169"/>
      <c r="M1028" s="169"/>
      <c r="N1028" s="177"/>
      <c r="O1028" s="169"/>
      <c r="P1028" s="169"/>
      <c r="Q1028" s="169"/>
      <c r="R1028" s="169"/>
      <c r="S1028" s="169"/>
      <c r="T1028" s="169"/>
      <c r="U1028" s="169"/>
      <c r="V1028" s="169"/>
      <c r="W1028" s="169"/>
      <c r="X1028" s="169"/>
      <c r="Y1028" s="169"/>
      <c r="Z1028" s="178"/>
      <c r="AA1028" s="167"/>
      <c r="AB1028" s="169"/>
      <c r="AC1028" s="169"/>
      <c r="AD1028" s="169"/>
      <c r="AE1028" s="169"/>
      <c r="AF1028" s="169"/>
      <c r="AG1028" s="179"/>
      <c r="AH1028" s="169"/>
      <c r="AI1028" s="168"/>
      <c r="AJ1028" s="167"/>
      <c r="AK1028" s="168"/>
      <c r="AL1028" s="169"/>
      <c r="AM1028" s="509"/>
      <c r="AN1028" s="510"/>
      <c r="AO1028" s="510"/>
    </row>
    <row r="1029" spans="1:41">
      <c r="A1029" s="177"/>
      <c r="B1029" s="169"/>
      <c r="C1029" s="169"/>
      <c r="D1029" s="169"/>
      <c r="E1029" s="169"/>
      <c r="F1029" s="169"/>
      <c r="G1029" s="169"/>
      <c r="H1029" s="169"/>
      <c r="I1029" s="169"/>
      <c r="J1029" s="169"/>
      <c r="K1029" s="169"/>
      <c r="L1029" s="169"/>
      <c r="M1029" s="169"/>
      <c r="N1029" s="177"/>
      <c r="O1029" s="169"/>
      <c r="P1029" s="169"/>
      <c r="Q1029" s="169"/>
      <c r="R1029" s="169"/>
      <c r="S1029" s="169"/>
      <c r="T1029" s="169"/>
      <c r="U1029" s="169"/>
      <c r="V1029" s="169"/>
      <c r="W1029" s="169"/>
      <c r="X1029" s="169"/>
      <c r="Y1029" s="169"/>
      <c r="Z1029" s="178"/>
      <c r="AA1029" s="167"/>
      <c r="AB1029" s="169"/>
      <c r="AC1029" s="169"/>
      <c r="AD1029" s="169"/>
      <c r="AE1029" s="169"/>
      <c r="AF1029" s="169"/>
      <c r="AG1029" s="179"/>
      <c r="AH1029" s="169"/>
      <c r="AI1029" s="168"/>
      <c r="AJ1029" s="167"/>
      <c r="AK1029" s="168"/>
      <c r="AL1029" s="169"/>
      <c r="AM1029" s="509"/>
      <c r="AN1029" s="510"/>
      <c r="AO1029" s="510"/>
    </row>
    <row r="1030" spans="1:41">
      <c r="A1030" s="177"/>
      <c r="B1030" s="169"/>
      <c r="C1030" s="169"/>
      <c r="D1030" s="169"/>
      <c r="E1030" s="169"/>
      <c r="F1030" s="169"/>
      <c r="G1030" s="169"/>
      <c r="H1030" s="169"/>
      <c r="I1030" s="169"/>
      <c r="J1030" s="169"/>
      <c r="K1030" s="169"/>
      <c r="L1030" s="169"/>
      <c r="M1030" s="169"/>
      <c r="N1030" s="177"/>
      <c r="O1030" s="169"/>
      <c r="P1030" s="169"/>
      <c r="Q1030" s="169"/>
      <c r="R1030" s="169"/>
      <c r="S1030" s="169"/>
      <c r="T1030" s="169"/>
      <c r="U1030" s="169"/>
      <c r="V1030" s="169"/>
      <c r="W1030" s="169"/>
      <c r="X1030" s="169"/>
      <c r="Y1030" s="169"/>
      <c r="Z1030" s="178"/>
      <c r="AA1030" s="167"/>
      <c r="AB1030" s="169"/>
      <c r="AC1030" s="169"/>
      <c r="AD1030" s="169"/>
      <c r="AE1030" s="169"/>
      <c r="AF1030" s="169"/>
      <c r="AG1030" s="179"/>
      <c r="AH1030" s="169"/>
      <c r="AI1030" s="168"/>
      <c r="AJ1030" s="167"/>
      <c r="AK1030" s="168"/>
      <c r="AL1030" s="169"/>
      <c r="AM1030" s="509"/>
      <c r="AN1030" s="510"/>
      <c r="AO1030" s="510"/>
    </row>
    <row r="1031" spans="1:41">
      <c r="A1031" s="177"/>
      <c r="B1031" s="169"/>
      <c r="C1031" s="169"/>
      <c r="D1031" s="169"/>
      <c r="E1031" s="169"/>
      <c r="F1031" s="169"/>
      <c r="G1031" s="169"/>
      <c r="H1031" s="169"/>
      <c r="I1031" s="169"/>
      <c r="J1031" s="169"/>
      <c r="K1031" s="169"/>
      <c r="L1031" s="169"/>
      <c r="M1031" s="169"/>
      <c r="N1031" s="177"/>
      <c r="O1031" s="169"/>
      <c r="P1031" s="169"/>
      <c r="Q1031" s="169"/>
      <c r="R1031" s="169"/>
      <c r="S1031" s="169"/>
      <c r="T1031" s="169"/>
      <c r="U1031" s="169"/>
      <c r="V1031" s="169"/>
      <c r="W1031" s="169"/>
      <c r="X1031" s="169"/>
      <c r="Y1031" s="169"/>
      <c r="Z1031" s="178"/>
      <c r="AA1031" s="167"/>
      <c r="AB1031" s="169"/>
      <c r="AC1031" s="169"/>
      <c r="AD1031" s="169"/>
      <c r="AE1031" s="169"/>
      <c r="AF1031" s="169"/>
      <c r="AG1031" s="179"/>
      <c r="AH1031" s="169"/>
      <c r="AI1031" s="168"/>
      <c r="AJ1031" s="167"/>
      <c r="AK1031" s="168"/>
      <c r="AL1031" s="169"/>
      <c r="AM1031" s="509"/>
      <c r="AN1031" s="510"/>
      <c r="AO1031" s="510"/>
    </row>
    <row r="1032" spans="1:41">
      <c r="A1032" s="177"/>
      <c r="B1032" s="169"/>
      <c r="C1032" s="169"/>
      <c r="D1032" s="169"/>
      <c r="E1032" s="169"/>
      <c r="F1032" s="169"/>
      <c r="G1032" s="169"/>
      <c r="H1032" s="169"/>
      <c r="I1032" s="169"/>
      <c r="J1032" s="169"/>
      <c r="K1032" s="169"/>
      <c r="L1032" s="169"/>
      <c r="M1032" s="169"/>
      <c r="N1032" s="177"/>
      <c r="O1032" s="169"/>
      <c r="P1032" s="169"/>
      <c r="Q1032" s="169"/>
      <c r="R1032" s="169"/>
      <c r="S1032" s="169"/>
      <c r="T1032" s="169"/>
      <c r="U1032" s="169"/>
      <c r="V1032" s="169"/>
      <c r="W1032" s="169"/>
      <c r="X1032" s="169"/>
      <c r="Y1032" s="169"/>
      <c r="Z1032" s="178"/>
      <c r="AA1032" s="167"/>
      <c r="AB1032" s="169"/>
      <c r="AC1032" s="169"/>
      <c r="AD1032" s="169"/>
      <c r="AE1032" s="169"/>
      <c r="AF1032" s="169"/>
      <c r="AG1032" s="179"/>
      <c r="AH1032" s="169"/>
      <c r="AI1032" s="168"/>
      <c r="AJ1032" s="167"/>
      <c r="AK1032" s="168"/>
      <c r="AL1032" s="169"/>
      <c r="AM1032" s="509"/>
      <c r="AN1032" s="510"/>
      <c r="AO1032" s="510"/>
    </row>
    <row r="1033" spans="1:41">
      <c r="A1033" s="177"/>
      <c r="B1033" s="169"/>
      <c r="C1033" s="169"/>
      <c r="D1033" s="169"/>
      <c r="E1033" s="169"/>
      <c r="F1033" s="169"/>
      <c r="G1033" s="169"/>
      <c r="H1033" s="169"/>
      <c r="I1033" s="169"/>
      <c r="J1033" s="169"/>
      <c r="K1033" s="169"/>
      <c r="L1033" s="169"/>
      <c r="M1033" s="169"/>
      <c r="N1033" s="177"/>
      <c r="O1033" s="169"/>
      <c r="P1033" s="169"/>
      <c r="Q1033" s="169"/>
      <c r="R1033" s="169"/>
      <c r="S1033" s="169"/>
      <c r="T1033" s="169"/>
      <c r="U1033" s="169"/>
      <c r="V1033" s="169"/>
      <c r="W1033" s="169"/>
      <c r="X1033" s="169"/>
      <c r="Y1033" s="169"/>
      <c r="Z1033" s="178"/>
      <c r="AA1033" s="167"/>
      <c r="AB1033" s="169"/>
      <c r="AC1033" s="169"/>
      <c r="AD1033" s="169"/>
      <c r="AE1033" s="169"/>
      <c r="AF1033" s="169"/>
      <c r="AG1033" s="179"/>
      <c r="AH1033" s="169"/>
      <c r="AI1033" s="168"/>
      <c r="AJ1033" s="167"/>
      <c r="AK1033" s="168"/>
      <c r="AL1033" s="169"/>
      <c r="AM1033" s="509"/>
      <c r="AN1033" s="510"/>
      <c r="AO1033" s="510"/>
    </row>
    <row r="1034" spans="1:41">
      <c r="A1034" s="177"/>
      <c r="B1034" s="169"/>
      <c r="C1034" s="169"/>
      <c r="D1034" s="169"/>
      <c r="E1034" s="169"/>
      <c r="F1034" s="169"/>
      <c r="G1034" s="169"/>
      <c r="H1034" s="169"/>
      <c r="I1034" s="169"/>
      <c r="J1034" s="169"/>
      <c r="K1034" s="169"/>
      <c r="L1034" s="169"/>
      <c r="M1034" s="169"/>
      <c r="N1034" s="177"/>
      <c r="O1034" s="169"/>
      <c r="P1034" s="169"/>
      <c r="Q1034" s="169"/>
      <c r="R1034" s="169"/>
      <c r="S1034" s="169"/>
      <c r="T1034" s="169"/>
      <c r="U1034" s="169"/>
      <c r="V1034" s="169"/>
      <c r="W1034" s="169"/>
      <c r="X1034" s="169"/>
      <c r="Y1034" s="169"/>
      <c r="Z1034" s="178"/>
      <c r="AA1034" s="167"/>
      <c r="AB1034" s="169"/>
      <c r="AC1034" s="169"/>
      <c r="AD1034" s="169"/>
      <c r="AE1034" s="169"/>
      <c r="AF1034" s="169"/>
      <c r="AG1034" s="179"/>
      <c r="AH1034" s="169"/>
      <c r="AI1034" s="168"/>
      <c r="AJ1034" s="167"/>
      <c r="AK1034" s="168"/>
      <c r="AL1034" s="169"/>
      <c r="AM1034" s="509"/>
      <c r="AN1034" s="510"/>
      <c r="AO1034" s="510"/>
    </row>
    <row r="1035" spans="1:41">
      <c r="A1035" s="177"/>
      <c r="B1035" s="169"/>
      <c r="C1035" s="169"/>
      <c r="D1035" s="169"/>
      <c r="E1035" s="169"/>
      <c r="F1035" s="169"/>
      <c r="G1035" s="169"/>
      <c r="H1035" s="169"/>
      <c r="I1035" s="169"/>
      <c r="J1035" s="169"/>
      <c r="K1035" s="169"/>
      <c r="L1035" s="169"/>
      <c r="M1035" s="169"/>
      <c r="N1035" s="177"/>
      <c r="O1035" s="169"/>
      <c r="P1035" s="169"/>
      <c r="Q1035" s="169"/>
      <c r="R1035" s="169"/>
      <c r="S1035" s="169"/>
      <c r="T1035" s="169"/>
      <c r="U1035" s="169"/>
      <c r="V1035" s="169"/>
      <c r="W1035" s="169"/>
      <c r="X1035" s="169"/>
      <c r="Y1035" s="169"/>
      <c r="Z1035" s="178"/>
      <c r="AA1035" s="167"/>
      <c r="AB1035" s="169"/>
      <c r="AC1035" s="169"/>
      <c r="AD1035" s="169"/>
      <c r="AE1035" s="169"/>
      <c r="AF1035" s="169"/>
      <c r="AG1035" s="179"/>
      <c r="AH1035" s="169"/>
      <c r="AI1035" s="168"/>
      <c r="AJ1035" s="167"/>
      <c r="AK1035" s="168"/>
      <c r="AL1035" s="169"/>
      <c r="AM1035" s="509"/>
      <c r="AN1035" s="510"/>
      <c r="AO1035" s="510"/>
    </row>
    <row r="1036" spans="1:41">
      <c r="A1036" s="177"/>
      <c r="B1036" s="169"/>
      <c r="C1036" s="169"/>
      <c r="D1036" s="169"/>
      <c r="E1036" s="169"/>
      <c r="F1036" s="169"/>
      <c r="G1036" s="169"/>
      <c r="H1036" s="169"/>
      <c r="I1036" s="169"/>
      <c r="J1036" s="169"/>
      <c r="K1036" s="169"/>
      <c r="L1036" s="169"/>
      <c r="M1036" s="169"/>
      <c r="N1036" s="177"/>
      <c r="O1036" s="169"/>
      <c r="P1036" s="169"/>
      <c r="Q1036" s="169"/>
      <c r="R1036" s="169"/>
      <c r="S1036" s="169"/>
      <c r="T1036" s="169"/>
      <c r="U1036" s="169"/>
      <c r="V1036" s="169"/>
      <c r="W1036" s="169"/>
      <c r="X1036" s="169"/>
      <c r="Y1036" s="169"/>
      <c r="Z1036" s="178"/>
      <c r="AA1036" s="167"/>
      <c r="AB1036" s="169"/>
      <c r="AC1036" s="169"/>
      <c r="AD1036" s="169"/>
      <c r="AE1036" s="169"/>
      <c r="AF1036" s="169"/>
      <c r="AG1036" s="179"/>
      <c r="AH1036" s="169"/>
      <c r="AI1036" s="168"/>
      <c r="AJ1036" s="167"/>
      <c r="AK1036" s="168"/>
      <c r="AL1036" s="169"/>
      <c r="AM1036" s="509"/>
      <c r="AN1036" s="510"/>
      <c r="AO1036" s="510"/>
    </row>
    <row r="1037" spans="1:41">
      <c r="A1037" s="177"/>
      <c r="B1037" s="169"/>
      <c r="C1037" s="169"/>
      <c r="D1037" s="169"/>
      <c r="E1037" s="169"/>
      <c r="F1037" s="169"/>
      <c r="G1037" s="169"/>
      <c r="H1037" s="169"/>
      <c r="I1037" s="169"/>
      <c r="J1037" s="169"/>
      <c r="K1037" s="169"/>
      <c r="L1037" s="169"/>
      <c r="M1037" s="169"/>
      <c r="N1037" s="177"/>
      <c r="O1037" s="169"/>
      <c r="P1037" s="169"/>
      <c r="Q1037" s="169"/>
      <c r="R1037" s="169"/>
      <c r="S1037" s="169"/>
      <c r="T1037" s="169"/>
      <c r="U1037" s="169"/>
      <c r="V1037" s="169"/>
      <c r="W1037" s="169"/>
      <c r="X1037" s="169"/>
      <c r="Y1037" s="169"/>
      <c r="Z1037" s="178"/>
      <c r="AA1037" s="167"/>
      <c r="AB1037" s="169"/>
      <c r="AC1037" s="169"/>
      <c r="AD1037" s="169"/>
      <c r="AE1037" s="169"/>
      <c r="AF1037" s="169"/>
      <c r="AG1037" s="179"/>
      <c r="AH1037" s="169"/>
      <c r="AI1037" s="168"/>
      <c r="AJ1037" s="167"/>
      <c r="AK1037" s="168"/>
      <c r="AL1037" s="169"/>
      <c r="AM1037" s="509"/>
      <c r="AN1037" s="510"/>
      <c r="AO1037" s="510"/>
    </row>
    <row r="1038" spans="1:41">
      <c r="A1038" s="177"/>
      <c r="B1038" s="169"/>
      <c r="C1038" s="169"/>
      <c r="D1038" s="169"/>
      <c r="E1038" s="169"/>
      <c r="F1038" s="169"/>
      <c r="G1038" s="169"/>
      <c r="H1038" s="169"/>
      <c r="I1038" s="169"/>
      <c r="J1038" s="169"/>
      <c r="K1038" s="169"/>
      <c r="L1038" s="169"/>
      <c r="M1038" s="169"/>
      <c r="N1038" s="177"/>
      <c r="O1038" s="169"/>
      <c r="P1038" s="169"/>
      <c r="Q1038" s="169"/>
      <c r="R1038" s="169"/>
      <c r="S1038" s="169"/>
      <c r="T1038" s="169"/>
      <c r="U1038" s="169"/>
      <c r="V1038" s="169"/>
      <c r="W1038" s="169"/>
      <c r="X1038" s="169"/>
      <c r="Y1038" s="169"/>
      <c r="Z1038" s="178"/>
      <c r="AA1038" s="167"/>
      <c r="AB1038" s="169"/>
      <c r="AC1038" s="169"/>
      <c r="AD1038" s="169"/>
      <c r="AE1038" s="169"/>
      <c r="AF1038" s="169"/>
      <c r="AG1038" s="179"/>
      <c r="AH1038" s="169"/>
      <c r="AI1038" s="168"/>
      <c r="AJ1038" s="167"/>
      <c r="AK1038" s="168"/>
      <c r="AL1038" s="169"/>
      <c r="AM1038" s="509"/>
      <c r="AN1038" s="510"/>
      <c r="AO1038" s="510"/>
    </row>
    <row r="1039" spans="1:41">
      <c r="A1039" s="177"/>
      <c r="B1039" s="169"/>
      <c r="C1039" s="169"/>
      <c r="D1039" s="169"/>
      <c r="E1039" s="169"/>
      <c r="F1039" s="169"/>
      <c r="G1039" s="169"/>
      <c r="H1039" s="169"/>
      <c r="I1039" s="169"/>
      <c r="J1039" s="169"/>
      <c r="K1039" s="169"/>
      <c r="L1039" s="169"/>
      <c r="M1039" s="169"/>
      <c r="N1039" s="177"/>
      <c r="O1039" s="169"/>
      <c r="P1039" s="169"/>
      <c r="Q1039" s="169"/>
      <c r="R1039" s="169"/>
      <c r="S1039" s="169"/>
      <c r="T1039" s="169"/>
      <c r="U1039" s="169"/>
      <c r="V1039" s="169"/>
      <c r="W1039" s="169"/>
      <c r="X1039" s="169"/>
      <c r="Y1039" s="169"/>
      <c r="Z1039" s="178"/>
      <c r="AA1039" s="167"/>
      <c r="AB1039" s="169"/>
      <c r="AC1039" s="169"/>
      <c r="AD1039" s="169"/>
      <c r="AE1039" s="169"/>
      <c r="AF1039" s="169"/>
      <c r="AG1039" s="179"/>
      <c r="AH1039" s="169"/>
      <c r="AI1039" s="168"/>
      <c r="AJ1039" s="167"/>
      <c r="AK1039" s="168"/>
      <c r="AL1039" s="169"/>
      <c r="AM1039" s="509"/>
      <c r="AN1039" s="510"/>
      <c r="AO1039" s="510"/>
    </row>
    <row r="1040" spans="1:41">
      <c r="A1040" s="177"/>
      <c r="B1040" s="169"/>
      <c r="C1040" s="169"/>
      <c r="D1040" s="169"/>
      <c r="E1040" s="169"/>
      <c r="F1040" s="169"/>
      <c r="G1040" s="169"/>
      <c r="H1040" s="169"/>
      <c r="I1040" s="169"/>
      <c r="J1040" s="169"/>
      <c r="K1040" s="169"/>
      <c r="L1040" s="169"/>
      <c r="M1040" s="169"/>
      <c r="N1040" s="177"/>
      <c r="O1040" s="169"/>
      <c r="P1040" s="169"/>
      <c r="Q1040" s="169"/>
      <c r="R1040" s="169"/>
      <c r="S1040" s="169"/>
      <c r="T1040" s="169"/>
      <c r="U1040" s="169"/>
      <c r="V1040" s="169"/>
      <c r="W1040" s="169"/>
      <c r="X1040" s="169"/>
      <c r="Y1040" s="169"/>
      <c r="Z1040" s="178"/>
      <c r="AA1040" s="167"/>
      <c r="AB1040" s="169"/>
      <c r="AC1040" s="169"/>
      <c r="AD1040" s="169"/>
      <c r="AE1040" s="169"/>
      <c r="AF1040" s="169"/>
      <c r="AG1040" s="179"/>
      <c r="AH1040" s="169"/>
      <c r="AI1040" s="168"/>
      <c r="AJ1040" s="167"/>
      <c r="AK1040" s="168"/>
      <c r="AL1040" s="169"/>
      <c r="AM1040" s="509"/>
      <c r="AN1040" s="510"/>
      <c r="AO1040" s="510"/>
    </row>
    <row r="1041" spans="1:41">
      <c r="A1041" s="177"/>
      <c r="B1041" s="169"/>
      <c r="C1041" s="169"/>
      <c r="D1041" s="169"/>
      <c r="E1041" s="169"/>
      <c r="F1041" s="169"/>
      <c r="G1041" s="169"/>
      <c r="H1041" s="169"/>
      <c r="I1041" s="169"/>
      <c r="J1041" s="169"/>
      <c r="K1041" s="169"/>
      <c r="L1041" s="169"/>
      <c r="M1041" s="169"/>
      <c r="N1041" s="177"/>
      <c r="O1041" s="169"/>
      <c r="P1041" s="169"/>
      <c r="Q1041" s="169"/>
      <c r="R1041" s="169"/>
      <c r="S1041" s="169"/>
      <c r="T1041" s="169"/>
      <c r="U1041" s="169"/>
      <c r="V1041" s="169"/>
      <c r="W1041" s="169"/>
      <c r="X1041" s="169"/>
      <c r="Y1041" s="169"/>
      <c r="Z1041" s="178"/>
      <c r="AA1041" s="167"/>
      <c r="AB1041" s="169"/>
      <c r="AC1041" s="169"/>
      <c r="AD1041" s="169"/>
      <c r="AE1041" s="169"/>
      <c r="AF1041" s="169"/>
      <c r="AG1041" s="179"/>
      <c r="AH1041" s="169"/>
      <c r="AI1041" s="168"/>
      <c r="AJ1041" s="167"/>
      <c r="AK1041" s="168"/>
      <c r="AL1041" s="169"/>
      <c r="AM1041" s="509"/>
      <c r="AN1041" s="510"/>
      <c r="AO1041" s="510"/>
    </row>
    <row r="1042" spans="1:41">
      <c r="A1042" s="177"/>
      <c r="B1042" s="169"/>
      <c r="C1042" s="169"/>
      <c r="D1042" s="169"/>
      <c r="E1042" s="169"/>
      <c r="F1042" s="169"/>
      <c r="G1042" s="169"/>
      <c r="H1042" s="169"/>
      <c r="I1042" s="169"/>
      <c r="J1042" s="169"/>
      <c r="K1042" s="169"/>
      <c r="L1042" s="169"/>
      <c r="M1042" s="169"/>
      <c r="N1042" s="177"/>
      <c r="O1042" s="169"/>
      <c r="P1042" s="169"/>
      <c r="Q1042" s="169"/>
      <c r="R1042" s="169"/>
      <c r="S1042" s="169"/>
      <c r="T1042" s="169"/>
      <c r="U1042" s="169"/>
      <c r="V1042" s="169"/>
      <c r="W1042" s="169"/>
      <c r="X1042" s="169"/>
      <c r="Y1042" s="169"/>
      <c r="Z1042" s="178"/>
      <c r="AA1042" s="167"/>
      <c r="AB1042" s="169"/>
      <c r="AC1042" s="169"/>
      <c r="AD1042" s="169"/>
      <c r="AE1042" s="169"/>
      <c r="AF1042" s="169"/>
      <c r="AG1042" s="179"/>
      <c r="AH1042" s="169"/>
      <c r="AI1042" s="168"/>
      <c r="AJ1042" s="167"/>
      <c r="AK1042" s="168"/>
      <c r="AL1042" s="169"/>
      <c r="AM1042" s="509"/>
      <c r="AN1042" s="510"/>
      <c r="AO1042" s="510"/>
    </row>
    <row r="1043" spans="1:41">
      <c r="A1043" s="177"/>
      <c r="B1043" s="169"/>
      <c r="C1043" s="169"/>
      <c r="D1043" s="169"/>
      <c r="E1043" s="169"/>
      <c r="F1043" s="169"/>
      <c r="G1043" s="169"/>
      <c r="H1043" s="169"/>
      <c r="I1043" s="169"/>
      <c r="J1043" s="169"/>
      <c r="K1043" s="169"/>
      <c r="L1043" s="169"/>
      <c r="M1043" s="169"/>
      <c r="N1043" s="177"/>
      <c r="O1043" s="169"/>
      <c r="P1043" s="169"/>
      <c r="Q1043" s="169"/>
      <c r="R1043" s="169"/>
      <c r="S1043" s="169"/>
      <c r="T1043" s="169"/>
      <c r="U1043" s="169"/>
      <c r="V1043" s="169"/>
      <c r="W1043" s="169"/>
      <c r="X1043" s="169"/>
      <c r="Y1043" s="169"/>
      <c r="Z1043" s="178"/>
      <c r="AA1043" s="167"/>
      <c r="AB1043" s="169"/>
      <c r="AC1043" s="169"/>
      <c r="AD1043" s="169"/>
      <c r="AE1043" s="169"/>
      <c r="AF1043" s="169"/>
      <c r="AG1043" s="179"/>
      <c r="AH1043" s="169"/>
      <c r="AI1043" s="168"/>
      <c r="AJ1043" s="167"/>
      <c r="AK1043" s="168"/>
      <c r="AL1043" s="169"/>
      <c r="AM1043" s="509"/>
      <c r="AN1043" s="510"/>
      <c r="AO1043" s="510"/>
    </row>
    <row r="1044" spans="1:41">
      <c r="A1044" s="177"/>
      <c r="B1044" s="169"/>
      <c r="C1044" s="169"/>
      <c r="D1044" s="169"/>
      <c r="E1044" s="169"/>
      <c r="F1044" s="169"/>
      <c r="G1044" s="169"/>
      <c r="H1044" s="169"/>
      <c r="I1044" s="169"/>
      <c r="J1044" s="169"/>
      <c r="K1044" s="169"/>
      <c r="L1044" s="169"/>
      <c r="M1044" s="169"/>
      <c r="N1044" s="177"/>
      <c r="O1044" s="169"/>
      <c r="P1044" s="169"/>
      <c r="Q1044" s="169"/>
      <c r="R1044" s="169"/>
      <c r="S1044" s="169"/>
      <c r="T1044" s="169"/>
      <c r="U1044" s="169"/>
      <c r="V1044" s="169"/>
      <c r="W1044" s="169"/>
      <c r="X1044" s="169"/>
      <c r="Y1044" s="169"/>
      <c r="Z1044" s="178"/>
      <c r="AA1044" s="167"/>
      <c r="AB1044" s="169"/>
      <c r="AC1044" s="169"/>
      <c r="AD1044" s="169"/>
      <c r="AE1044" s="169"/>
      <c r="AF1044" s="169"/>
      <c r="AG1044" s="179"/>
      <c r="AH1044" s="169"/>
      <c r="AI1044" s="168"/>
      <c r="AJ1044" s="167"/>
      <c r="AK1044" s="168"/>
      <c r="AL1044" s="169"/>
      <c r="AM1044" s="509"/>
      <c r="AN1044" s="510"/>
      <c r="AO1044" s="510"/>
    </row>
    <row r="1045" spans="1:41">
      <c r="A1045" s="177"/>
      <c r="B1045" s="169"/>
      <c r="C1045" s="169"/>
      <c r="D1045" s="169"/>
      <c r="E1045" s="169"/>
      <c r="F1045" s="169"/>
      <c r="G1045" s="169"/>
      <c r="H1045" s="169"/>
      <c r="I1045" s="169"/>
      <c r="J1045" s="169"/>
      <c r="K1045" s="169"/>
      <c r="L1045" s="169"/>
      <c r="M1045" s="169"/>
      <c r="N1045" s="177"/>
      <c r="O1045" s="169"/>
      <c r="P1045" s="169"/>
      <c r="Q1045" s="169"/>
      <c r="R1045" s="169"/>
      <c r="S1045" s="169"/>
      <c r="T1045" s="169"/>
      <c r="U1045" s="169"/>
      <c r="V1045" s="169"/>
      <c r="W1045" s="169"/>
      <c r="X1045" s="169"/>
      <c r="Y1045" s="169"/>
      <c r="Z1045" s="178"/>
      <c r="AA1045" s="167"/>
      <c r="AB1045" s="169"/>
      <c r="AC1045" s="169"/>
      <c r="AD1045" s="169"/>
      <c r="AE1045" s="169"/>
      <c r="AF1045" s="169"/>
      <c r="AG1045" s="179"/>
      <c r="AH1045" s="169"/>
      <c r="AI1045" s="168"/>
      <c r="AJ1045" s="167"/>
      <c r="AK1045" s="168"/>
      <c r="AL1045" s="169"/>
      <c r="AM1045" s="509"/>
      <c r="AN1045" s="510"/>
      <c r="AO1045" s="510"/>
    </row>
    <row r="1046" spans="1:41">
      <c r="A1046" s="177"/>
      <c r="B1046" s="169"/>
      <c r="C1046" s="169"/>
      <c r="D1046" s="169"/>
      <c r="E1046" s="169"/>
      <c r="F1046" s="169"/>
      <c r="G1046" s="169"/>
      <c r="H1046" s="169"/>
      <c r="I1046" s="169"/>
      <c r="J1046" s="169"/>
      <c r="K1046" s="169"/>
      <c r="L1046" s="169"/>
      <c r="M1046" s="169"/>
      <c r="N1046" s="177"/>
      <c r="O1046" s="169"/>
      <c r="P1046" s="169"/>
      <c r="Q1046" s="169"/>
      <c r="R1046" s="169"/>
      <c r="S1046" s="169"/>
      <c r="T1046" s="169"/>
      <c r="U1046" s="169"/>
      <c r="V1046" s="169"/>
      <c r="W1046" s="169"/>
      <c r="X1046" s="169"/>
      <c r="Y1046" s="169"/>
      <c r="Z1046" s="178"/>
      <c r="AA1046" s="167"/>
      <c r="AB1046" s="169"/>
      <c r="AC1046" s="169"/>
      <c r="AD1046" s="169"/>
      <c r="AE1046" s="169"/>
      <c r="AF1046" s="169"/>
      <c r="AG1046" s="179"/>
      <c r="AH1046" s="169"/>
      <c r="AI1046" s="168"/>
      <c r="AJ1046" s="167"/>
      <c r="AK1046" s="168"/>
      <c r="AL1046" s="169"/>
      <c r="AM1046" s="509"/>
      <c r="AN1046" s="510"/>
      <c r="AO1046" s="510"/>
    </row>
    <row r="1047" spans="1:41">
      <c r="A1047" s="177"/>
      <c r="B1047" s="169"/>
      <c r="C1047" s="169"/>
      <c r="D1047" s="169"/>
      <c r="E1047" s="169"/>
      <c r="F1047" s="169"/>
      <c r="G1047" s="169"/>
      <c r="H1047" s="169"/>
      <c r="I1047" s="169"/>
      <c r="J1047" s="169"/>
      <c r="K1047" s="169"/>
      <c r="L1047" s="169"/>
      <c r="M1047" s="169"/>
      <c r="N1047" s="177"/>
      <c r="O1047" s="169"/>
      <c r="P1047" s="169"/>
      <c r="Q1047" s="169"/>
      <c r="R1047" s="169"/>
      <c r="S1047" s="169"/>
      <c r="T1047" s="169"/>
      <c r="U1047" s="169"/>
      <c r="V1047" s="169"/>
      <c r="W1047" s="169"/>
      <c r="X1047" s="169"/>
      <c r="Y1047" s="169"/>
      <c r="Z1047" s="178"/>
      <c r="AA1047" s="167"/>
      <c r="AB1047" s="169"/>
      <c r="AC1047" s="169"/>
      <c r="AD1047" s="169"/>
      <c r="AE1047" s="169"/>
      <c r="AF1047" s="169"/>
      <c r="AG1047" s="179"/>
      <c r="AH1047" s="169"/>
      <c r="AI1047" s="168"/>
      <c r="AJ1047" s="167"/>
      <c r="AK1047" s="168"/>
      <c r="AL1047" s="169"/>
      <c r="AM1047" s="509"/>
      <c r="AN1047" s="510"/>
      <c r="AO1047" s="510"/>
    </row>
    <row r="1048" spans="1:41">
      <c r="A1048" s="177"/>
      <c r="B1048" s="169"/>
      <c r="C1048" s="169"/>
      <c r="D1048" s="169"/>
      <c r="E1048" s="169"/>
      <c r="F1048" s="169"/>
      <c r="G1048" s="169"/>
      <c r="H1048" s="169"/>
      <c r="I1048" s="169"/>
      <c r="J1048" s="169"/>
      <c r="K1048" s="169"/>
      <c r="L1048" s="169"/>
      <c r="M1048" s="169"/>
      <c r="N1048" s="177"/>
      <c r="O1048" s="169"/>
      <c r="P1048" s="169"/>
      <c r="Q1048" s="169"/>
      <c r="R1048" s="169"/>
      <c r="S1048" s="169"/>
      <c r="T1048" s="169"/>
      <c r="U1048" s="169"/>
      <c r="V1048" s="169"/>
      <c r="W1048" s="169"/>
      <c r="X1048" s="169"/>
      <c r="Y1048" s="169"/>
      <c r="Z1048" s="178"/>
      <c r="AA1048" s="167"/>
      <c r="AB1048" s="169"/>
      <c r="AC1048" s="169"/>
      <c r="AD1048" s="169"/>
      <c r="AE1048" s="169"/>
      <c r="AF1048" s="169"/>
      <c r="AG1048" s="179"/>
      <c r="AH1048" s="169"/>
      <c r="AI1048" s="168"/>
      <c r="AJ1048" s="167"/>
      <c r="AK1048" s="168"/>
      <c r="AL1048" s="169"/>
      <c r="AM1048" s="509"/>
      <c r="AN1048" s="510"/>
      <c r="AO1048" s="510"/>
    </row>
    <row r="1049" spans="1:41">
      <c r="A1049" s="177"/>
      <c r="B1049" s="169"/>
      <c r="C1049" s="169"/>
      <c r="D1049" s="169"/>
      <c r="E1049" s="169"/>
      <c r="F1049" s="169"/>
      <c r="G1049" s="169"/>
      <c r="H1049" s="169"/>
      <c r="I1049" s="169"/>
      <c r="J1049" s="169"/>
      <c r="K1049" s="169"/>
      <c r="L1049" s="169"/>
      <c r="M1049" s="169"/>
      <c r="N1049" s="177"/>
      <c r="O1049" s="169"/>
      <c r="P1049" s="169"/>
      <c r="Q1049" s="169"/>
      <c r="R1049" s="169"/>
      <c r="S1049" s="169"/>
      <c r="T1049" s="169"/>
      <c r="U1049" s="169"/>
      <c r="V1049" s="169"/>
      <c r="W1049" s="169"/>
      <c r="X1049" s="169"/>
      <c r="Y1049" s="169"/>
      <c r="Z1049" s="178"/>
      <c r="AA1049" s="167"/>
      <c r="AB1049" s="169"/>
      <c r="AC1049" s="169"/>
      <c r="AD1049" s="169"/>
      <c r="AE1049" s="169"/>
      <c r="AF1049" s="169"/>
      <c r="AG1049" s="179"/>
      <c r="AH1049" s="169"/>
      <c r="AI1049" s="168"/>
      <c r="AJ1049" s="167"/>
      <c r="AK1049" s="168"/>
      <c r="AL1049" s="169"/>
      <c r="AM1049" s="509"/>
      <c r="AN1049" s="510"/>
      <c r="AO1049" s="510"/>
    </row>
    <row r="1050" spans="1:41">
      <c r="A1050" s="177"/>
      <c r="B1050" s="169"/>
      <c r="C1050" s="169"/>
      <c r="D1050" s="169"/>
      <c r="E1050" s="169"/>
      <c r="F1050" s="169"/>
      <c r="G1050" s="169"/>
      <c r="H1050" s="169"/>
      <c r="I1050" s="169"/>
      <c r="J1050" s="169"/>
      <c r="K1050" s="169"/>
      <c r="L1050" s="169"/>
      <c r="M1050" s="169"/>
      <c r="N1050" s="177"/>
      <c r="O1050" s="169"/>
      <c r="P1050" s="169"/>
      <c r="Q1050" s="169"/>
      <c r="R1050" s="169"/>
      <c r="S1050" s="169"/>
      <c r="T1050" s="169"/>
      <c r="U1050" s="169"/>
      <c r="V1050" s="169"/>
      <c r="W1050" s="169"/>
      <c r="X1050" s="169"/>
      <c r="Y1050" s="169"/>
      <c r="Z1050" s="178"/>
      <c r="AA1050" s="167"/>
      <c r="AB1050" s="169"/>
      <c r="AC1050" s="169"/>
      <c r="AD1050" s="169"/>
      <c r="AE1050" s="169"/>
      <c r="AF1050" s="169"/>
      <c r="AG1050" s="179"/>
      <c r="AH1050" s="169"/>
      <c r="AI1050" s="168"/>
      <c r="AJ1050" s="167"/>
      <c r="AK1050" s="168"/>
      <c r="AL1050" s="169"/>
      <c r="AM1050" s="509"/>
      <c r="AN1050" s="510"/>
      <c r="AO1050" s="510"/>
    </row>
    <row r="1051" spans="1:41">
      <c r="A1051" s="177"/>
      <c r="B1051" s="169"/>
      <c r="C1051" s="169"/>
      <c r="D1051" s="169"/>
      <c r="E1051" s="169"/>
      <c r="F1051" s="169"/>
      <c r="G1051" s="169"/>
      <c r="H1051" s="169"/>
      <c r="I1051" s="169"/>
      <c r="J1051" s="169"/>
      <c r="K1051" s="169"/>
      <c r="L1051" s="169"/>
      <c r="M1051" s="169"/>
      <c r="N1051" s="177"/>
      <c r="O1051" s="169"/>
      <c r="P1051" s="169"/>
      <c r="Q1051" s="169"/>
      <c r="R1051" s="169"/>
      <c r="S1051" s="169"/>
      <c r="T1051" s="169"/>
      <c r="U1051" s="169"/>
      <c r="V1051" s="169"/>
      <c r="W1051" s="169"/>
      <c r="X1051" s="169"/>
      <c r="Y1051" s="169"/>
      <c r="Z1051" s="178"/>
      <c r="AA1051" s="167"/>
      <c r="AB1051" s="169"/>
      <c r="AC1051" s="169"/>
      <c r="AD1051" s="169"/>
      <c r="AE1051" s="169"/>
      <c r="AF1051" s="169"/>
      <c r="AG1051" s="179"/>
      <c r="AH1051" s="169"/>
      <c r="AI1051" s="168"/>
      <c r="AJ1051" s="167"/>
      <c r="AK1051" s="168"/>
      <c r="AL1051" s="169"/>
      <c r="AM1051" s="509"/>
      <c r="AN1051" s="510"/>
      <c r="AO1051" s="510"/>
    </row>
    <row r="1052" spans="1:41">
      <c r="A1052" s="177"/>
      <c r="B1052" s="169"/>
      <c r="C1052" s="169"/>
      <c r="D1052" s="169"/>
      <c r="E1052" s="169"/>
      <c r="F1052" s="169"/>
      <c r="G1052" s="169"/>
      <c r="H1052" s="169"/>
      <c r="I1052" s="169"/>
      <c r="J1052" s="169"/>
      <c r="K1052" s="169"/>
      <c r="L1052" s="169"/>
      <c r="M1052" s="169"/>
      <c r="N1052" s="177"/>
      <c r="O1052" s="169"/>
      <c r="P1052" s="169"/>
      <c r="Q1052" s="169"/>
      <c r="R1052" s="169"/>
      <c r="S1052" s="169"/>
      <c r="T1052" s="169"/>
      <c r="U1052" s="169"/>
      <c r="V1052" s="169"/>
      <c r="W1052" s="169"/>
      <c r="X1052" s="169"/>
      <c r="Y1052" s="169"/>
      <c r="Z1052" s="178"/>
      <c r="AA1052" s="167"/>
      <c r="AB1052" s="169"/>
      <c r="AC1052" s="169"/>
      <c r="AD1052" s="169"/>
      <c r="AE1052" s="169"/>
      <c r="AF1052" s="169"/>
      <c r="AG1052" s="179"/>
      <c r="AH1052" s="169"/>
      <c r="AI1052" s="168"/>
      <c r="AJ1052" s="167"/>
      <c r="AK1052" s="168"/>
      <c r="AL1052" s="169"/>
      <c r="AM1052" s="509"/>
      <c r="AN1052" s="510"/>
      <c r="AO1052" s="510"/>
    </row>
    <row r="1053" spans="1:41">
      <c r="A1053" s="177"/>
      <c r="B1053" s="169"/>
      <c r="C1053" s="169"/>
      <c r="D1053" s="169"/>
      <c r="E1053" s="169"/>
      <c r="F1053" s="169"/>
      <c r="G1053" s="169"/>
      <c r="H1053" s="169"/>
      <c r="I1053" s="169"/>
      <c r="J1053" s="169"/>
      <c r="K1053" s="169"/>
      <c r="L1053" s="169"/>
      <c r="M1053" s="169"/>
      <c r="N1053" s="177"/>
      <c r="O1053" s="169"/>
      <c r="P1053" s="169"/>
      <c r="Q1053" s="169"/>
      <c r="R1053" s="169"/>
      <c r="S1053" s="169"/>
      <c r="T1053" s="169"/>
      <c r="U1053" s="169"/>
      <c r="V1053" s="169"/>
      <c r="W1053" s="169"/>
      <c r="X1053" s="169"/>
      <c r="Y1053" s="169"/>
      <c r="Z1053" s="178"/>
      <c r="AA1053" s="167"/>
      <c r="AB1053" s="169"/>
      <c r="AC1053" s="169"/>
      <c r="AD1053" s="169"/>
      <c r="AE1053" s="169"/>
      <c r="AF1053" s="169"/>
      <c r="AG1053" s="179"/>
      <c r="AH1053" s="169"/>
      <c r="AI1053" s="168"/>
      <c r="AJ1053" s="167"/>
      <c r="AK1053" s="168"/>
      <c r="AL1053" s="169"/>
      <c r="AM1053" s="509"/>
      <c r="AN1053" s="510"/>
      <c r="AO1053" s="510"/>
    </row>
    <row r="1054" spans="1:41">
      <c r="A1054" s="177"/>
      <c r="B1054" s="169"/>
      <c r="C1054" s="169"/>
      <c r="D1054" s="169"/>
      <c r="E1054" s="169"/>
      <c r="F1054" s="169"/>
      <c r="G1054" s="169"/>
      <c r="H1054" s="169"/>
      <c r="I1054" s="169"/>
      <c r="J1054" s="169"/>
      <c r="K1054" s="169"/>
      <c r="L1054" s="169"/>
      <c r="M1054" s="169"/>
      <c r="N1054" s="177"/>
      <c r="O1054" s="169"/>
      <c r="P1054" s="169"/>
      <c r="Q1054" s="169"/>
      <c r="R1054" s="169"/>
      <c r="S1054" s="169"/>
      <c r="T1054" s="169"/>
      <c r="U1054" s="169"/>
      <c r="V1054" s="169"/>
      <c r="W1054" s="169"/>
      <c r="X1054" s="169"/>
      <c r="Y1054" s="169"/>
      <c r="Z1054" s="178"/>
      <c r="AA1054" s="167"/>
      <c r="AB1054" s="169"/>
      <c r="AC1054" s="169"/>
      <c r="AD1054" s="169"/>
      <c r="AE1054" s="169"/>
      <c r="AF1054" s="169"/>
      <c r="AG1054" s="179"/>
      <c r="AH1054" s="169"/>
      <c r="AI1054" s="168"/>
      <c r="AJ1054" s="167"/>
      <c r="AK1054" s="168"/>
      <c r="AL1054" s="169"/>
      <c r="AM1054" s="509"/>
      <c r="AN1054" s="510"/>
      <c r="AO1054" s="510"/>
    </row>
    <row r="1055" spans="1:41">
      <c r="A1055" s="177"/>
      <c r="B1055" s="169"/>
      <c r="C1055" s="169"/>
      <c r="D1055" s="169"/>
      <c r="E1055" s="169"/>
      <c r="F1055" s="169"/>
      <c r="G1055" s="169"/>
      <c r="H1055" s="169"/>
      <c r="I1055" s="169"/>
      <c r="J1055" s="169"/>
      <c r="K1055" s="169"/>
      <c r="L1055" s="169"/>
      <c r="M1055" s="169"/>
      <c r="N1055" s="177"/>
      <c r="O1055" s="169"/>
      <c r="P1055" s="169"/>
      <c r="Q1055" s="169"/>
      <c r="R1055" s="169"/>
      <c r="S1055" s="169"/>
      <c r="T1055" s="169"/>
      <c r="U1055" s="169"/>
      <c r="V1055" s="169"/>
      <c r="W1055" s="169"/>
      <c r="X1055" s="169"/>
      <c r="Y1055" s="169"/>
      <c r="Z1055" s="178"/>
      <c r="AA1055" s="167"/>
      <c r="AB1055" s="169"/>
      <c r="AC1055" s="169"/>
      <c r="AD1055" s="169"/>
      <c r="AE1055" s="169"/>
      <c r="AF1055" s="169"/>
      <c r="AG1055" s="179"/>
      <c r="AH1055" s="169"/>
      <c r="AI1055" s="168"/>
      <c r="AJ1055" s="167"/>
      <c r="AK1055" s="168"/>
      <c r="AL1055" s="169"/>
      <c r="AM1055" s="509"/>
      <c r="AN1055" s="510"/>
      <c r="AO1055" s="510"/>
    </row>
    <row r="1056" spans="1:41">
      <c r="A1056" s="177"/>
      <c r="B1056" s="169"/>
      <c r="C1056" s="169"/>
      <c r="D1056" s="169"/>
      <c r="E1056" s="169"/>
      <c r="F1056" s="169"/>
      <c r="G1056" s="169"/>
      <c r="H1056" s="169"/>
      <c r="I1056" s="169"/>
      <c r="J1056" s="169"/>
      <c r="K1056" s="169"/>
      <c r="L1056" s="169"/>
      <c r="M1056" s="169"/>
      <c r="N1056" s="177"/>
      <c r="O1056" s="169"/>
      <c r="P1056" s="169"/>
      <c r="Q1056" s="169"/>
      <c r="R1056" s="169"/>
      <c r="S1056" s="169"/>
      <c r="T1056" s="169"/>
      <c r="U1056" s="169"/>
      <c r="V1056" s="169"/>
      <c r="W1056" s="169"/>
      <c r="X1056" s="169"/>
      <c r="Y1056" s="169"/>
      <c r="Z1056" s="178"/>
      <c r="AA1056" s="167"/>
      <c r="AB1056" s="169"/>
      <c r="AC1056" s="169"/>
      <c r="AD1056" s="169"/>
      <c r="AE1056" s="169"/>
      <c r="AF1056" s="169"/>
      <c r="AG1056" s="179"/>
      <c r="AH1056" s="169"/>
      <c r="AI1056" s="168"/>
      <c r="AJ1056" s="167"/>
      <c r="AK1056" s="168"/>
      <c r="AL1056" s="169"/>
      <c r="AM1056" s="509"/>
      <c r="AN1056" s="510"/>
      <c r="AO1056" s="510"/>
    </row>
    <row r="1057" spans="1:41">
      <c r="A1057" s="177"/>
      <c r="B1057" s="169"/>
      <c r="C1057" s="169"/>
      <c r="D1057" s="169"/>
      <c r="E1057" s="169"/>
      <c r="F1057" s="169"/>
      <c r="G1057" s="169"/>
      <c r="H1057" s="169"/>
      <c r="I1057" s="169"/>
      <c r="J1057" s="169"/>
      <c r="K1057" s="169"/>
      <c r="L1057" s="169"/>
      <c r="M1057" s="169"/>
      <c r="N1057" s="177"/>
      <c r="O1057" s="169"/>
      <c r="P1057" s="169"/>
      <c r="Q1057" s="169"/>
      <c r="R1057" s="169"/>
      <c r="S1057" s="169"/>
      <c r="T1057" s="169"/>
      <c r="U1057" s="169"/>
      <c r="V1057" s="169"/>
      <c r="W1057" s="169"/>
      <c r="X1057" s="169"/>
      <c r="Y1057" s="169"/>
      <c r="Z1057" s="178"/>
      <c r="AA1057" s="167"/>
      <c r="AB1057" s="169"/>
      <c r="AC1057" s="169"/>
      <c r="AD1057" s="169"/>
      <c r="AE1057" s="169"/>
      <c r="AF1057" s="169"/>
      <c r="AG1057" s="179"/>
      <c r="AH1057" s="169"/>
      <c r="AI1057" s="168"/>
      <c r="AJ1057" s="167"/>
      <c r="AK1057" s="168"/>
      <c r="AL1057" s="169"/>
      <c r="AM1057" s="509"/>
      <c r="AN1057" s="510"/>
      <c r="AO1057" s="510"/>
    </row>
    <row r="1058" spans="1:41">
      <c r="A1058" s="177"/>
      <c r="B1058" s="169"/>
      <c r="C1058" s="169"/>
      <c r="D1058" s="169"/>
      <c r="E1058" s="169"/>
      <c r="F1058" s="169"/>
      <c r="G1058" s="169"/>
      <c r="H1058" s="169"/>
      <c r="I1058" s="169"/>
      <c r="J1058" s="169"/>
      <c r="K1058" s="169"/>
      <c r="L1058" s="169"/>
      <c r="M1058" s="169"/>
      <c r="N1058" s="177"/>
      <c r="O1058" s="169"/>
      <c r="P1058" s="169"/>
      <c r="Q1058" s="169"/>
      <c r="R1058" s="169"/>
      <c r="S1058" s="169"/>
      <c r="T1058" s="169"/>
      <c r="U1058" s="169"/>
      <c r="V1058" s="169"/>
      <c r="W1058" s="169"/>
      <c r="X1058" s="169"/>
      <c r="Y1058" s="169"/>
      <c r="Z1058" s="178"/>
      <c r="AA1058" s="167"/>
      <c r="AB1058" s="169"/>
      <c r="AC1058" s="169"/>
      <c r="AD1058" s="169"/>
      <c r="AE1058" s="169"/>
      <c r="AF1058" s="169"/>
      <c r="AG1058" s="179"/>
      <c r="AH1058" s="169"/>
      <c r="AI1058" s="168"/>
      <c r="AJ1058" s="167"/>
      <c r="AK1058" s="168"/>
      <c r="AL1058" s="169"/>
      <c r="AM1058" s="509"/>
      <c r="AN1058" s="510"/>
      <c r="AO1058" s="510"/>
    </row>
    <row r="1059" spans="1:41">
      <c r="A1059" s="177"/>
      <c r="B1059" s="169"/>
      <c r="C1059" s="169"/>
      <c r="D1059" s="169"/>
      <c r="E1059" s="169"/>
      <c r="F1059" s="169"/>
      <c r="G1059" s="169"/>
      <c r="H1059" s="169"/>
      <c r="I1059" s="169"/>
      <c r="J1059" s="169"/>
      <c r="K1059" s="169"/>
      <c r="L1059" s="169"/>
      <c r="M1059" s="169"/>
      <c r="N1059" s="177"/>
      <c r="O1059" s="169"/>
      <c r="P1059" s="169"/>
      <c r="Q1059" s="169"/>
      <c r="R1059" s="169"/>
      <c r="S1059" s="169"/>
      <c r="T1059" s="169"/>
      <c r="U1059" s="169"/>
      <c r="V1059" s="169"/>
      <c r="W1059" s="169"/>
      <c r="X1059" s="169"/>
      <c r="Y1059" s="169"/>
      <c r="Z1059" s="178"/>
      <c r="AA1059" s="167"/>
      <c r="AB1059" s="169"/>
      <c r="AC1059" s="169"/>
      <c r="AD1059" s="169"/>
      <c r="AE1059" s="169"/>
      <c r="AF1059" s="169"/>
      <c r="AG1059" s="179"/>
      <c r="AH1059" s="169"/>
      <c r="AI1059" s="168"/>
      <c r="AJ1059" s="167"/>
      <c r="AK1059" s="168"/>
      <c r="AL1059" s="169"/>
      <c r="AM1059" s="509"/>
      <c r="AN1059" s="510"/>
      <c r="AO1059" s="510"/>
    </row>
    <row r="1060" spans="1:41">
      <c r="A1060" s="177"/>
      <c r="B1060" s="169"/>
      <c r="C1060" s="169"/>
      <c r="D1060" s="169"/>
      <c r="E1060" s="169"/>
      <c r="F1060" s="169"/>
      <c r="G1060" s="169"/>
      <c r="H1060" s="169"/>
      <c r="I1060" s="169"/>
      <c r="J1060" s="169"/>
      <c r="K1060" s="169"/>
      <c r="L1060" s="169"/>
      <c r="M1060" s="169"/>
      <c r="N1060" s="177"/>
      <c r="O1060" s="169"/>
      <c r="P1060" s="169"/>
      <c r="Q1060" s="169"/>
      <c r="R1060" s="169"/>
      <c r="S1060" s="169"/>
      <c r="T1060" s="169"/>
      <c r="U1060" s="169"/>
      <c r="V1060" s="169"/>
      <c r="W1060" s="169"/>
      <c r="X1060" s="169"/>
      <c r="Y1060" s="169"/>
      <c r="Z1060" s="178"/>
      <c r="AA1060" s="167"/>
      <c r="AB1060" s="169"/>
      <c r="AC1060" s="169"/>
      <c r="AD1060" s="169"/>
      <c r="AE1060" s="169"/>
      <c r="AF1060" s="169"/>
      <c r="AG1060" s="179"/>
      <c r="AH1060" s="169"/>
      <c r="AI1060" s="168"/>
      <c r="AJ1060" s="167"/>
      <c r="AK1060" s="168"/>
      <c r="AL1060" s="169"/>
      <c r="AM1060" s="509"/>
      <c r="AN1060" s="510"/>
      <c r="AO1060" s="510"/>
    </row>
    <row r="1061" spans="1:41">
      <c r="A1061" s="177"/>
      <c r="B1061" s="169"/>
      <c r="C1061" s="169"/>
      <c r="D1061" s="169"/>
      <c r="E1061" s="169"/>
      <c r="F1061" s="169"/>
      <c r="G1061" s="169"/>
      <c r="H1061" s="169"/>
      <c r="I1061" s="169"/>
      <c r="J1061" s="169"/>
      <c r="K1061" s="169"/>
      <c r="L1061" s="169"/>
      <c r="M1061" s="169"/>
      <c r="N1061" s="177"/>
      <c r="O1061" s="169"/>
      <c r="P1061" s="169"/>
      <c r="Q1061" s="169"/>
      <c r="R1061" s="169"/>
      <c r="S1061" s="169"/>
      <c r="T1061" s="169"/>
      <c r="U1061" s="169"/>
      <c r="V1061" s="169"/>
      <c r="W1061" s="169"/>
      <c r="X1061" s="169"/>
      <c r="Y1061" s="169"/>
      <c r="Z1061" s="178"/>
      <c r="AA1061" s="167"/>
      <c r="AB1061" s="169"/>
      <c r="AC1061" s="169"/>
      <c r="AD1061" s="169"/>
      <c r="AE1061" s="169"/>
      <c r="AF1061" s="169"/>
      <c r="AG1061" s="179"/>
      <c r="AH1061" s="169"/>
      <c r="AI1061" s="168"/>
      <c r="AJ1061" s="167"/>
      <c r="AK1061" s="168"/>
      <c r="AL1061" s="169"/>
      <c r="AM1061" s="509"/>
      <c r="AN1061" s="510"/>
      <c r="AO1061" s="510"/>
    </row>
    <row r="1062" spans="1:41">
      <c r="A1062" s="177"/>
      <c r="B1062" s="169"/>
      <c r="C1062" s="169"/>
      <c r="D1062" s="169"/>
      <c r="E1062" s="169"/>
      <c r="F1062" s="169"/>
      <c r="G1062" s="169"/>
      <c r="H1062" s="169"/>
      <c r="I1062" s="169"/>
      <c r="J1062" s="169"/>
      <c r="K1062" s="169"/>
      <c r="L1062" s="169"/>
      <c r="M1062" s="169"/>
      <c r="N1062" s="177"/>
      <c r="O1062" s="169"/>
      <c r="P1062" s="169"/>
      <c r="Q1062" s="169"/>
      <c r="R1062" s="169"/>
      <c r="S1062" s="169"/>
      <c r="T1062" s="169"/>
      <c r="U1062" s="169"/>
      <c r="V1062" s="169"/>
      <c r="W1062" s="169"/>
      <c r="X1062" s="169"/>
      <c r="Y1062" s="169"/>
      <c r="Z1062" s="178"/>
      <c r="AA1062" s="167"/>
      <c r="AB1062" s="169"/>
      <c r="AC1062" s="169"/>
      <c r="AD1062" s="169"/>
      <c r="AE1062" s="169"/>
      <c r="AF1062" s="169"/>
      <c r="AG1062" s="179"/>
      <c r="AH1062" s="169"/>
      <c r="AI1062" s="168"/>
      <c r="AJ1062" s="167"/>
      <c r="AK1062" s="168"/>
      <c r="AL1062" s="169"/>
      <c r="AM1062" s="509"/>
      <c r="AN1062" s="510"/>
      <c r="AO1062" s="510"/>
    </row>
    <row r="1063" spans="1:41">
      <c r="A1063" s="177"/>
      <c r="B1063" s="169"/>
      <c r="C1063" s="169"/>
      <c r="D1063" s="169"/>
      <c r="E1063" s="169"/>
      <c r="F1063" s="169"/>
      <c r="G1063" s="169"/>
      <c r="H1063" s="169"/>
      <c r="I1063" s="169"/>
      <c r="J1063" s="169"/>
      <c r="K1063" s="169"/>
      <c r="L1063" s="169"/>
      <c r="M1063" s="169"/>
      <c r="N1063" s="177"/>
      <c r="O1063" s="169"/>
      <c r="P1063" s="169"/>
      <c r="Q1063" s="169"/>
      <c r="R1063" s="169"/>
      <c r="S1063" s="169"/>
      <c r="T1063" s="169"/>
      <c r="U1063" s="169"/>
      <c r="V1063" s="169"/>
      <c r="W1063" s="169"/>
      <c r="X1063" s="169"/>
      <c r="Y1063" s="169"/>
      <c r="Z1063" s="178"/>
      <c r="AA1063" s="167"/>
      <c r="AB1063" s="169"/>
      <c r="AC1063" s="169"/>
      <c r="AD1063" s="169"/>
      <c r="AE1063" s="169"/>
      <c r="AF1063" s="169"/>
      <c r="AG1063" s="179"/>
      <c r="AH1063" s="169"/>
      <c r="AI1063" s="168"/>
      <c r="AJ1063" s="167"/>
      <c r="AK1063" s="168"/>
      <c r="AL1063" s="169"/>
      <c r="AM1063" s="509"/>
      <c r="AN1063" s="510"/>
      <c r="AO1063" s="510"/>
    </row>
    <row r="1064" spans="1:41">
      <c r="A1064" s="177"/>
      <c r="B1064" s="169"/>
      <c r="C1064" s="169"/>
      <c r="D1064" s="169"/>
      <c r="E1064" s="169"/>
      <c r="F1064" s="169"/>
      <c r="G1064" s="169"/>
      <c r="H1064" s="169"/>
      <c r="I1064" s="169"/>
      <c r="J1064" s="169"/>
      <c r="K1064" s="169"/>
      <c r="L1064" s="169"/>
      <c r="M1064" s="169"/>
      <c r="N1064" s="177"/>
      <c r="O1064" s="169"/>
      <c r="P1064" s="169"/>
      <c r="Q1064" s="169"/>
      <c r="R1064" s="169"/>
      <c r="S1064" s="169"/>
      <c r="T1064" s="169"/>
      <c r="U1064" s="169"/>
      <c r="V1064" s="169"/>
      <c r="W1064" s="169"/>
      <c r="X1064" s="169"/>
      <c r="Y1064" s="169"/>
      <c r="Z1064" s="178"/>
      <c r="AA1064" s="167"/>
      <c r="AB1064" s="169"/>
      <c r="AC1064" s="169"/>
      <c r="AD1064" s="169"/>
      <c r="AE1064" s="169"/>
      <c r="AF1064" s="169"/>
      <c r="AG1064" s="179"/>
      <c r="AH1064" s="169"/>
      <c r="AI1064" s="168"/>
      <c r="AJ1064" s="167"/>
      <c r="AK1064" s="168"/>
      <c r="AL1064" s="169"/>
      <c r="AM1064" s="509"/>
      <c r="AN1064" s="510"/>
      <c r="AO1064" s="510"/>
    </row>
    <row r="1065" spans="1:41">
      <c r="A1065" s="177"/>
      <c r="B1065" s="169"/>
      <c r="C1065" s="169"/>
      <c r="D1065" s="169"/>
      <c r="E1065" s="169"/>
      <c r="F1065" s="169"/>
      <c r="G1065" s="169"/>
      <c r="H1065" s="169"/>
      <c r="I1065" s="169"/>
      <c r="J1065" s="169"/>
      <c r="K1065" s="169"/>
      <c r="L1065" s="169"/>
      <c r="M1065" s="169"/>
      <c r="N1065" s="177"/>
      <c r="O1065" s="169"/>
      <c r="P1065" s="169"/>
      <c r="Q1065" s="169"/>
      <c r="R1065" s="169"/>
      <c r="S1065" s="169"/>
      <c r="T1065" s="169"/>
      <c r="U1065" s="169"/>
      <c r="V1065" s="169"/>
      <c r="W1065" s="169"/>
      <c r="X1065" s="169"/>
      <c r="Y1065" s="169"/>
      <c r="Z1065" s="178"/>
      <c r="AA1065" s="167"/>
      <c r="AB1065" s="169"/>
      <c r="AC1065" s="169"/>
      <c r="AD1065" s="169"/>
      <c r="AE1065" s="169"/>
      <c r="AF1065" s="169"/>
      <c r="AG1065" s="179"/>
      <c r="AH1065" s="169"/>
      <c r="AI1065" s="168"/>
      <c r="AJ1065" s="167"/>
      <c r="AK1065" s="168"/>
      <c r="AL1065" s="169"/>
      <c r="AM1065" s="509"/>
      <c r="AN1065" s="510"/>
      <c r="AO1065" s="510"/>
    </row>
    <row r="1066" spans="1:41">
      <c r="A1066" s="177"/>
      <c r="B1066" s="169"/>
      <c r="C1066" s="169"/>
      <c r="D1066" s="169"/>
      <c r="E1066" s="169"/>
      <c r="F1066" s="169"/>
      <c r="G1066" s="169"/>
      <c r="H1066" s="169"/>
      <c r="I1066" s="169"/>
      <c r="J1066" s="169"/>
      <c r="K1066" s="169"/>
      <c r="L1066" s="169"/>
      <c r="M1066" s="169"/>
      <c r="N1066" s="177"/>
      <c r="O1066" s="169"/>
      <c r="P1066" s="169"/>
      <c r="Q1066" s="169"/>
      <c r="R1066" s="169"/>
      <c r="S1066" s="169"/>
      <c r="T1066" s="169"/>
      <c r="U1066" s="169"/>
      <c r="V1066" s="169"/>
      <c r="W1066" s="169"/>
      <c r="X1066" s="169"/>
      <c r="Y1066" s="169"/>
      <c r="Z1066" s="178"/>
      <c r="AA1066" s="167"/>
      <c r="AB1066" s="169"/>
      <c r="AC1066" s="169"/>
      <c r="AD1066" s="169"/>
      <c r="AE1066" s="169"/>
      <c r="AF1066" s="169"/>
      <c r="AG1066" s="179"/>
      <c r="AH1066" s="169"/>
      <c r="AI1066" s="168"/>
      <c r="AJ1066" s="167"/>
      <c r="AK1066" s="168"/>
      <c r="AL1066" s="169"/>
      <c r="AM1066" s="509"/>
      <c r="AN1066" s="510"/>
      <c r="AO1066" s="510"/>
    </row>
    <row r="1067" spans="1:41">
      <c r="A1067" s="177"/>
      <c r="B1067" s="169"/>
      <c r="C1067" s="169"/>
      <c r="D1067" s="169"/>
      <c r="E1067" s="169"/>
      <c r="F1067" s="169"/>
      <c r="G1067" s="169"/>
      <c r="H1067" s="169"/>
      <c r="I1067" s="169"/>
      <c r="J1067" s="169"/>
      <c r="K1067" s="169"/>
      <c r="L1067" s="169"/>
      <c r="M1067" s="169"/>
      <c r="N1067" s="177"/>
      <c r="O1067" s="169"/>
      <c r="P1067" s="169"/>
      <c r="Q1067" s="169"/>
      <c r="R1067" s="169"/>
      <c r="S1067" s="169"/>
      <c r="T1067" s="169"/>
      <c r="U1067" s="169"/>
      <c r="V1067" s="169"/>
      <c r="W1067" s="169"/>
      <c r="X1067" s="169"/>
      <c r="Y1067" s="169"/>
      <c r="Z1067" s="178"/>
      <c r="AA1067" s="167"/>
      <c r="AB1067" s="169"/>
      <c r="AC1067" s="169"/>
      <c r="AD1067" s="169"/>
      <c r="AE1067" s="169"/>
      <c r="AF1067" s="169"/>
      <c r="AG1067" s="179"/>
      <c r="AH1067" s="169"/>
      <c r="AI1067" s="168"/>
      <c r="AJ1067" s="167"/>
      <c r="AK1067" s="168"/>
      <c r="AL1067" s="169"/>
      <c r="AM1067" s="509"/>
      <c r="AN1067" s="510"/>
      <c r="AO1067" s="510"/>
    </row>
    <row r="1068" spans="1:41">
      <c r="A1068" s="177"/>
      <c r="B1068" s="169"/>
      <c r="C1068" s="169"/>
      <c r="D1068" s="169"/>
      <c r="E1068" s="169"/>
      <c r="F1068" s="169"/>
      <c r="G1068" s="169"/>
      <c r="H1068" s="169"/>
      <c r="I1068" s="169"/>
      <c r="J1068" s="169"/>
      <c r="K1068" s="169"/>
      <c r="L1068" s="169"/>
      <c r="M1068" s="169"/>
      <c r="N1068" s="177"/>
      <c r="O1068" s="169"/>
      <c r="P1068" s="169"/>
      <c r="Q1068" s="169"/>
      <c r="R1068" s="169"/>
      <c r="S1068" s="169"/>
      <c r="T1068" s="169"/>
      <c r="U1068" s="169"/>
      <c r="V1068" s="169"/>
      <c r="W1068" s="169"/>
      <c r="X1068" s="169"/>
      <c r="Y1068" s="169"/>
      <c r="Z1068" s="178"/>
      <c r="AA1068" s="167"/>
      <c r="AB1068" s="169"/>
      <c r="AC1068" s="169"/>
      <c r="AD1068" s="169"/>
      <c r="AE1068" s="169"/>
      <c r="AF1068" s="169"/>
      <c r="AG1068" s="179"/>
      <c r="AH1068" s="169"/>
      <c r="AI1068" s="168"/>
      <c r="AJ1068" s="167"/>
      <c r="AK1068" s="168"/>
      <c r="AL1068" s="169"/>
      <c r="AM1068" s="509"/>
      <c r="AN1068" s="510"/>
      <c r="AO1068" s="510"/>
    </row>
    <row r="1069" spans="1:41">
      <c r="A1069" s="177"/>
      <c r="B1069" s="169"/>
      <c r="C1069" s="169"/>
      <c r="D1069" s="169"/>
      <c r="E1069" s="169"/>
      <c r="F1069" s="169"/>
      <c r="G1069" s="169"/>
      <c r="H1069" s="169"/>
      <c r="I1069" s="169"/>
      <c r="J1069" s="169"/>
      <c r="K1069" s="169"/>
      <c r="L1069" s="169"/>
      <c r="M1069" s="169"/>
      <c r="N1069" s="177"/>
      <c r="O1069" s="169"/>
      <c r="P1069" s="169"/>
      <c r="Q1069" s="169"/>
      <c r="R1069" s="169"/>
      <c r="S1069" s="169"/>
      <c r="T1069" s="169"/>
      <c r="U1069" s="169"/>
      <c r="V1069" s="169"/>
      <c r="W1069" s="169"/>
      <c r="X1069" s="169"/>
      <c r="Y1069" s="169"/>
      <c r="Z1069" s="178"/>
      <c r="AA1069" s="167"/>
      <c r="AB1069" s="169"/>
      <c r="AC1069" s="169"/>
      <c r="AD1069" s="169"/>
      <c r="AE1069" s="169"/>
      <c r="AF1069" s="169"/>
      <c r="AG1069" s="179"/>
      <c r="AH1069" s="169"/>
      <c r="AI1069" s="168"/>
      <c r="AJ1069" s="167"/>
      <c r="AK1069" s="168"/>
      <c r="AL1069" s="169"/>
      <c r="AM1069" s="509"/>
      <c r="AN1069" s="510"/>
      <c r="AO1069" s="510"/>
    </row>
    <row r="1070" spans="1:41">
      <c r="A1070" s="177"/>
      <c r="B1070" s="169"/>
      <c r="C1070" s="169"/>
      <c r="D1070" s="169"/>
      <c r="E1070" s="169"/>
      <c r="F1070" s="169"/>
      <c r="G1070" s="169"/>
      <c r="H1070" s="169"/>
      <c r="I1070" s="169"/>
      <c r="J1070" s="169"/>
      <c r="K1070" s="169"/>
      <c r="L1070" s="169"/>
      <c r="M1070" s="169"/>
      <c r="N1070" s="177"/>
      <c r="O1070" s="169"/>
      <c r="P1070" s="169"/>
      <c r="Q1070" s="169"/>
      <c r="R1070" s="169"/>
      <c r="S1070" s="169"/>
      <c r="T1070" s="169"/>
      <c r="U1070" s="169"/>
      <c r="V1070" s="169"/>
      <c r="W1070" s="169"/>
      <c r="X1070" s="169"/>
      <c r="Y1070" s="169"/>
      <c r="Z1070" s="178"/>
      <c r="AA1070" s="167"/>
      <c r="AB1070" s="169"/>
      <c r="AC1070" s="169"/>
      <c r="AD1070" s="169"/>
      <c r="AE1070" s="169"/>
      <c r="AF1070" s="169"/>
      <c r="AG1070" s="179"/>
      <c r="AH1070" s="169"/>
      <c r="AI1070" s="168"/>
      <c r="AJ1070" s="167"/>
      <c r="AK1070" s="168"/>
      <c r="AL1070" s="169"/>
      <c r="AM1070" s="509"/>
      <c r="AN1070" s="510"/>
      <c r="AO1070" s="510"/>
    </row>
    <row r="1071" spans="1:41">
      <c r="A1071" s="177"/>
      <c r="B1071" s="169"/>
      <c r="C1071" s="169"/>
      <c r="D1071" s="169"/>
      <c r="E1071" s="169"/>
      <c r="F1071" s="169"/>
      <c r="G1071" s="169"/>
      <c r="H1071" s="169"/>
      <c r="I1071" s="169"/>
      <c r="J1071" s="169"/>
      <c r="K1071" s="169"/>
      <c r="L1071" s="169"/>
      <c r="M1071" s="169"/>
      <c r="N1071" s="177"/>
      <c r="O1071" s="169"/>
      <c r="P1071" s="169"/>
      <c r="Q1071" s="169"/>
      <c r="R1071" s="169"/>
      <c r="S1071" s="169"/>
      <c r="T1071" s="169"/>
      <c r="U1071" s="169"/>
      <c r="V1071" s="169"/>
      <c r="W1071" s="169"/>
      <c r="X1071" s="169"/>
      <c r="Y1071" s="169"/>
      <c r="Z1071" s="178"/>
      <c r="AA1071" s="167"/>
      <c r="AB1071" s="169"/>
      <c r="AC1071" s="169"/>
      <c r="AD1071" s="169"/>
      <c r="AE1071" s="169"/>
      <c r="AF1071" s="169"/>
      <c r="AG1071" s="179"/>
      <c r="AH1071" s="169"/>
      <c r="AI1071" s="168"/>
      <c r="AJ1071" s="167"/>
      <c r="AK1071" s="168"/>
      <c r="AL1071" s="169"/>
      <c r="AM1071" s="509"/>
      <c r="AN1071" s="510"/>
      <c r="AO1071" s="510"/>
    </row>
    <row r="1072" spans="1:41">
      <c r="A1072" s="177"/>
      <c r="B1072" s="169"/>
      <c r="C1072" s="169"/>
      <c r="D1072" s="169"/>
      <c r="E1072" s="169"/>
      <c r="F1072" s="169"/>
      <c r="G1072" s="169"/>
      <c r="H1072" s="169"/>
      <c r="I1072" s="169"/>
      <c r="J1072" s="169"/>
      <c r="K1072" s="169"/>
      <c r="L1072" s="169"/>
      <c r="M1072" s="169"/>
      <c r="N1072" s="177"/>
      <c r="O1072" s="169"/>
      <c r="P1072" s="169"/>
      <c r="Q1072" s="169"/>
      <c r="R1072" s="169"/>
      <c r="S1072" s="169"/>
      <c r="T1072" s="169"/>
      <c r="U1072" s="169"/>
      <c r="V1072" s="169"/>
      <c r="W1072" s="169"/>
      <c r="X1072" s="169"/>
      <c r="Y1072" s="169"/>
      <c r="Z1072" s="178"/>
      <c r="AA1072" s="167"/>
      <c r="AB1072" s="169"/>
      <c r="AC1072" s="169"/>
      <c r="AD1072" s="169"/>
      <c r="AE1072" s="169"/>
      <c r="AF1072" s="169"/>
      <c r="AG1072" s="179"/>
      <c r="AH1072" s="169"/>
      <c r="AI1072" s="168"/>
      <c r="AJ1072" s="167"/>
      <c r="AK1072" s="168"/>
      <c r="AL1072" s="169"/>
      <c r="AM1072" s="509"/>
      <c r="AN1072" s="510"/>
      <c r="AO1072" s="510"/>
    </row>
    <row r="1073" spans="1:41">
      <c r="A1073" s="177"/>
      <c r="B1073" s="169"/>
      <c r="C1073" s="169"/>
      <c r="D1073" s="169"/>
      <c r="E1073" s="169"/>
      <c r="F1073" s="169"/>
      <c r="G1073" s="169"/>
      <c r="H1073" s="169"/>
      <c r="I1073" s="169"/>
      <c r="J1073" s="169"/>
      <c r="K1073" s="169"/>
      <c r="L1073" s="169"/>
      <c r="M1073" s="169"/>
      <c r="N1073" s="177"/>
      <c r="O1073" s="169"/>
      <c r="P1073" s="169"/>
      <c r="Q1073" s="169"/>
      <c r="R1073" s="169"/>
      <c r="S1073" s="169"/>
      <c r="T1073" s="169"/>
      <c r="U1073" s="169"/>
      <c r="V1073" s="169"/>
      <c r="W1073" s="169"/>
      <c r="X1073" s="169"/>
      <c r="Y1073" s="169"/>
      <c r="Z1073" s="178"/>
      <c r="AA1073" s="167"/>
      <c r="AB1073" s="169"/>
      <c r="AC1073" s="169"/>
      <c r="AD1073" s="169"/>
      <c r="AE1073" s="169"/>
      <c r="AF1073" s="169"/>
      <c r="AG1073" s="179"/>
      <c r="AH1073" s="169"/>
      <c r="AI1073" s="168"/>
      <c r="AJ1073" s="167"/>
      <c r="AK1073" s="168"/>
      <c r="AL1073" s="169"/>
      <c r="AM1073" s="509"/>
      <c r="AN1073" s="510"/>
      <c r="AO1073" s="510"/>
    </row>
    <row r="1074" spans="1:41">
      <c r="A1074" s="177"/>
      <c r="B1074" s="169"/>
      <c r="C1074" s="169"/>
      <c r="D1074" s="169"/>
      <c r="E1074" s="169"/>
      <c r="F1074" s="169"/>
      <c r="G1074" s="169"/>
      <c r="H1074" s="169"/>
      <c r="I1074" s="169"/>
      <c r="J1074" s="169"/>
      <c r="K1074" s="169"/>
      <c r="L1074" s="169"/>
      <c r="M1074" s="169"/>
      <c r="N1074" s="177"/>
      <c r="O1074" s="169"/>
      <c r="P1074" s="169"/>
      <c r="Q1074" s="169"/>
      <c r="R1074" s="169"/>
      <c r="S1074" s="169"/>
      <c r="T1074" s="169"/>
      <c r="U1074" s="169"/>
      <c r="V1074" s="169"/>
      <c r="W1074" s="169"/>
      <c r="X1074" s="169"/>
      <c r="Y1074" s="169"/>
      <c r="Z1074" s="178"/>
      <c r="AA1074" s="167"/>
      <c r="AB1074" s="169"/>
      <c r="AC1074" s="169"/>
      <c r="AD1074" s="169"/>
      <c r="AE1074" s="169"/>
      <c r="AF1074" s="169"/>
      <c r="AG1074" s="179"/>
      <c r="AH1074" s="169"/>
      <c r="AI1074" s="168"/>
      <c r="AJ1074" s="167"/>
      <c r="AK1074" s="168"/>
      <c r="AL1074" s="169"/>
      <c r="AM1074" s="509"/>
      <c r="AN1074" s="510"/>
      <c r="AO1074" s="510"/>
    </row>
    <row r="1075" spans="1:41">
      <c r="A1075" s="177"/>
      <c r="B1075" s="169"/>
      <c r="C1075" s="169"/>
      <c r="D1075" s="169"/>
      <c r="E1075" s="169"/>
      <c r="F1075" s="169"/>
      <c r="G1075" s="169"/>
      <c r="H1075" s="169"/>
      <c r="I1075" s="169"/>
      <c r="J1075" s="169"/>
      <c r="K1075" s="169"/>
      <c r="L1075" s="169"/>
      <c r="M1075" s="169"/>
      <c r="N1075" s="177"/>
      <c r="O1075" s="169"/>
      <c r="P1075" s="169"/>
      <c r="Q1075" s="169"/>
      <c r="R1075" s="169"/>
      <c r="S1075" s="169"/>
      <c r="T1075" s="169"/>
      <c r="U1075" s="169"/>
      <c r="V1075" s="169"/>
      <c r="W1075" s="169"/>
      <c r="X1075" s="169"/>
      <c r="Y1075" s="169"/>
      <c r="Z1075" s="178"/>
      <c r="AA1075" s="167"/>
      <c r="AB1075" s="169"/>
      <c r="AC1075" s="169"/>
      <c r="AD1075" s="169"/>
      <c r="AE1075" s="169"/>
      <c r="AF1075" s="169"/>
      <c r="AG1075" s="179"/>
      <c r="AH1075" s="169"/>
      <c r="AI1075" s="168"/>
      <c r="AJ1075" s="167"/>
      <c r="AK1075" s="168"/>
      <c r="AL1075" s="169"/>
      <c r="AM1075" s="509"/>
      <c r="AN1075" s="510"/>
      <c r="AO1075" s="510"/>
    </row>
    <row r="1076" spans="1:41">
      <c r="A1076" s="177"/>
      <c r="B1076" s="169"/>
      <c r="C1076" s="169"/>
      <c r="D1076" s="169"/>
      <c r="E1076" s="169"/>
      <c r="F1076" s="169"/>
      <c r="G1076" s="169"/>
      <c r="H1076" s="169"/>
      <c r="I1076" s="169"/>
      <c r="J1076" s="169"/>
      <c r="K1076" s="169"/>
      <c r="L1076" s="169"/>
      <c r="M1076" s="169"/>
      <c r="N1076" s="177"/>
      <c r="O1076" s="169"/>
      <c r="P1076" s="169"/>
      <c r="Q1076" s="169"/>
      <c r="R1076" s="169"/>
      <c r="S1076" s="169"/>
      <c r="T1076" s="169"/>
      <c r="U1076" s="169"/>
      <c r="V1076" s="169"/>
      <c r="W1076" s="169"/>
      <c r="X1076" s="169"/>
      <c r="Y1076" s="169"/>
      <c r="Z1076" s="178"/>
      <c r="AA1076" s="167"/>
      <c r="AB1076" s="169"/>
      <c r="AC1076" s="169"/>
      <c r="AD1076" s="169"/>
      <c r="AE1076" s="169"/>
      <c r="AF1076" s="169"/>
      <c r="AG1076" s="179"/>
      <c r="AH1076" s="169"/>
      <c r="AI1076" s="168"/>
      <c r="AJ1076" s="167"/>
      <c r="AK1076" s="168"/>
      <c r="AL1076" s="169"/>
      <c r="AM1076" s="509"/>
      <c r="AN1076" s="510"/>
      <c r="AO1076" s="510"/>
    </row>
    <row r="1077" spans="1:41">
      <c r="A1077" s="177"/>
      <c r="B1077" s="169"/>
      <c r="C1077" s="169"/>
      <c r="D1077" s="169"/>
      <c r="E1077" s="169"/>
      <c r="F1077" s="169"/>
      <c r="G1077" s="169"/>
      <c r="H1077" s="169"/>
      <c r="I1077" s="169"/>
      <c r="J1077" s="169"/>
      <c r="K1077" s="169"/>
      <c r="L1077" s="169"/>
      <c r="M1077" s="169"/>
      <c r="N1077" s="177"/>
      <c r="O1077" s="169"/>
      <c r="P1077" s="169"/>
      <c r="Q1077" s="169"/>
      <c r="R1077" s="169"/>
      <c r="S1077" s="169"/>
      <c r="T1077" s="169"/>
      <c r="U1077" s="169"/>
      <c r="V1077" s="169"/>
      <c r="W1077" s="169"/>
      <c r="X1077" s="169"/>
      <c r="Y1077" s="169"/>
      <c r="Z1077" s="178"/>
      <c r="AA1077" s="167"/>
      <c r="AB1077" s="169"/>
      <c r="AC1077" s="169"/>
      <c r="AD1077" s="169"/>
      <c r="AE1077" s="169"/>
      <c r="AF1077" s="169"/>
      <c r="AG1077" s="179"/>
      <c r="AH1077" s="169"/>
      <c r="AI1077" s="168"/>
      <c r="AJ1077" s="167"/>
      <c r="AK1077" s="168"/>
      <c r="AL1077" s="169"/>
      <c r="AM1077" s="509"/>
      <c r="AN1077" s="510"/>
      <c r="AO1077" s="510"/>
    </row>
    <row r="1078" spans="1:41">
      <c r="A1078" s="177"/>
      <c r="B1078" s="169"/>
      <c r="C1078" s="169"/>
      <c r="D1078" s="169"/>
      <c r="E1078" s="169"/>
      <c r="F1078" s="169"/>
      <c r="G1078" s="169"/>
      <c r="H1078" s="169"/>
      <c r="I1078" s="169"/>
      <c r="J1078" s="169"/>
      <c r="K1078" s="169"/>
      <c r="L1078" s="169"/>
      <c r="M1078" s="169"/>
      <c r="N1078" s="177"/>
      <c r="O1078" s="169"/>
      <c r="P1078" s="169"/>
      <c r="Q1078" s="169"/>
      <c r="R1078" s="169"/>
      <c r="S1078" s="169"/>
      <c r="T1078" s="169"/>
      <c r="U1078" s="169"/>
      <c r="V1078" s="169"/>
      <c r="W1078" s="169"/>
      <c r="X1078" s="169"/>
      <c r="Y1078" s="169"/>
      <c r="Z1078" s="178"/>
      <c r="AA1078" s="167"/>
      <c r="AB1078" s="169"/>
      <c r="AC1078" s="169"/>
      <c r="AD1078" s="169"/>
      <c r="AE1078" s="169"/>
      <c r="AF1078" s="169"/>
      <c r="AG1078" s="179"/>
      <c r="AH1078" s="169"/>
      <c r="AI1078" s="168"/>
      <c r="AJ1078" s="167"/>
      <c r="AK1078" s="168"/>
      <c r="AL1078" s="169"/>
      <c r="AM1078" s="509"/>
      <c r="AN1078" s="510"/>
      <c r="AO1078" s="510"/>
    </row>
    <row r="1079" spans="1:41">
      <c r="A1079" s="177"/>
      <c r="B1079" s="169"/>
      <c r="C1079" s="169"/>
      <c r="D1079" s="169"/>
      <c r="E1079" s="169"/>
      <c r="F1079" s="169"/>
      <c r="G1079" s="169"/>
      <c r="H1079" s="169"/>
      <c r="I1079" s="169"/>
      <c r="J1079" s="169"/>
      <c r="K1079" s="169"/>
      <c r="L1079" s="169"/>
      <c r="M1079" s="169"/>
      <c r="N1079" s="177"/>
      <c r="O1079" s="169"/>
      <c r="P1079" s="169"/>
      <c r="Q1079" s="169"/>
      <c r="R1079" s="169"/>
      <c r="S1079" s="169"/>
      <c r="T1079" s="169"/>
      <c r="U1079" s="169"/>
      <c r="V1079" s="169"/>
      <c r="W1079" s="169"/>
      <c r="X1079" s="169"/>
      <c r="Y1079" s="169"/>
      <c r="Z1079" s="178"/>
      <c r="AA1079" s="167"/>
      <c r="AB1079" s="169"/>
      <c r="AC1079" s="169"/>
      <c r="AD1079" s="169"/>
      <c r="AE1079" s="169"/>
      <c r="AF1079" s="169"/>
      <c r="AG1079" s="179"/>
      <c r="AH1079" s="169"/>
      <c r="AI1079" s="168"/>
      <c r="AJ1079" s="167"/>
      <c r="AK1079" s="168"/>
      <c r="AL1079" s="169"/>
      <c r="AM1079" s="509"/>
      <c r="AN1079" s="510"/>
      <c r="AO1079" s="510"/>
    </row>
    <row r="1080" spans="1:41">
      <c r="A1080" s="177"/>
      <c r="B1080" s="169"/>
      <c r="C1080" s="169"/>
      <c r="D1080" s="169"/>
      <c r="E1080" s="169"/>
      <c r="F1080" s="169"/>
      <c r="G1080" s="169"/>
      <c r="H1080" s="169"/>
      <c r="I1080" s="169"/>
      <c r="J1080" s="169"/>
      <c r="K1080" s="169"/>
      <c r="L1080" s="169"/>
      <c r="M1080" s="169"/>
      <c r="N1080" s="177"/>
      <c r="O1080" s="169"/>
      <c r="P1080" s="169"/>
      <c r="Q1080" s="169"/>
      <c r="R1080" s="169"/>
      <c r="S1080" s="169"/>
      <c r="T1080" s="169"/>
      <c r="U1080" s="169"/>
      <c r="V1080" s="169"/>
      <c r="W1080" s="169"/>
      <c r="X1080" s="169"/>
      <c r="Y1080" s="169"/>
      <c r="Z1080" s="178"/>
      <c r="AA1080" s="167"/>
      <c r="AB1080" s="169"/>
      <c r="AC1080" s="169"/>
      <c r="AD1080" s="169"/>
      <c r="AE1080" s="169"/>
      <c r="AF1080" s="169"/>
      <c r="AG1080" s="179"/>
      <c r="AH1080" s="169"/>
      <c r="AI1080" s="168"/>
      <c r="AJ1080" s="167"/>
      <c r="AK1080" s="168"/>
      <c r="AL1080" s="169"/>
      <c r="AM1080" s="509"/>
      <c r="AN1080" s="510"/>
      <c r="AO1080" s="510"/>
    </row>
    <row r="1081" spans="1:41">
      <c r="A1081" s="177"/>
      <c r="B1081" s="169"/>
      <c r="C1081" s="169"/>
      <c r="D1081" s="169"/>
      <c r="E1081" s="169"/>
      <c r="F1081" s="169"/>
      <c r="G1081" s="169"/>
      <c r="H1081" s="169"/>
      <c r="I1081" s="169"/>
      <c r="J1081" s="169"/>
      <c r="K1081" s="169"/>
      <c r="L1081" s="169"/>
      <c r="M1081" s="169"/>
      <c r="N1081" s="177"/>
      <c r="O1081" s="169"/>
      <c r="P1081" s="169"/>
      <c r="Q1081" s="169"/>
      <c r="R1081" s="169"/>
      <c r="S1081" s="169"/>
      <c r="T1081" s="169"/>
      <c r="U1081" s="169"/>
      <c r="V1081" s="169"/>
      <c r="W1081" s="169"/>
      <c r="X1081" s="169"/>
      <c r="Y1081" s="169"/>
      <c r="Z1081" s="178"/>
      <c r="AA1081" s="167"/>
      <c r="AB1081" s="169"/>
      <c r="AC1081" s="169"/>
      <c r="AD1081" s="169"/>
      <c r="AE1081" s="169"/>
      <c r="AF1081" s="169"/>
      <c r="AG1081" s="179"/>
      <c r="AH1081" s="169"/>
      <c r="AI1081" s="168"/>
      <c r="AJ1081" s="167"/>
      <c r="AK1081" s="168"/>
      <c r="AL1081" s="169"/>
      <c r="AM1081" s="509"/>
      <c r="AN1081" s="510"/>
      <c r="AO1081" s="510"/>
    </row>
    <row r="1082" spans="1:41">
      <c r="A1082" s="177"/>
      <c r="B1082" s="169"/>
      <c r="C1082" s="169"/>
      <c r="D1082" s="169"/>
      <c r="E1082" s="169"/>
      <c r="F1082" s="169"/>
      <c r="G1082" s="169"/>
      <c r="H1082" s="169"/>
      <c r="I1082" s="169"/>
      <c r="J1082" s="169"/>
      <c r="K1082" s="169"/>
      <c r="L1082" s="169"/>
      <c r="M1082" s="169"/>
      <c r="N1082" s="177"/>
      <c r="O1082" s="169"/>
      <c r="P1082" s="169"/>
      <c r="Q1082" s="169"/>
      <c r="R1082" s="169"/>
      <c r="S1082" s="169"/>
      <c r="T1082" s="169"/>
      <c r="U1082" s="169"/>
      <c r="V1082" s="169"/>
      <c r="W1082" s="169"/>
      <c r="X1082" s="169"/>
      <c r="Y1082" s="169"/>
      <c r="Z1082" s="178"/>
      <c r="AA1082" s="167"/>
      <c r="AB1082" s="169"/>
      <c r="AC1082" s="169"/>
      <c r="AD1082" s="169"/>
      <c r="AE1082" s="169"/>
      <c r="AF1082" s="169"/>
      <c r="AG1082" s="179"/>
      <c r="AH1082" s="169"/>
      <c r="AI1082" s="168"/>
      <c r="AJ1082" s="167"/>
      <c r="AK1082" s="168"/>
      <c r="AL1082" s="169"/>
      <c r="AM1082" s="509"/>
      <c r="AN1082" s="510"/>
      <c r="AO1082" s="510"/>
    </row>
    <row r="1083" spans="1:41">
      <c r="A1083" s="177"/>
      <c r="B1083" s="169"/>
      <c r="C1083" s="169"/>
      <c r="D1083" s="169"/>
      <c r="E1083" s="169"/>
      <c r="F1083" s="169"/>
      <c r="G1083" s="169"/>
      <c r="H1083" s="169"/>
      <c r="I1083" s="169"/>
      <c r="J1083" s="169"/>
      <c r="K1083" s="169"/>
      <c r="L1083" s="169"/>
      <c r="M1083" s="169"/>
      <c r="N1083" s="177"/>
      <c r="O1083" s="169"/>
      <c r="P1083" s="169"/>
      <c r="Q1083" s="169"/>
      <c r="R1083" s="169"/>
      <c r="S1083" s="169"/>
      <c r="T1083" s="169"/>
      <c r="U1083" s="169"/>
      <c r="V1083" s="169"/>
      <c r="W1083" s="169"/>
      <c r="X1083" s="169"/>
      <c r="Y1083" s="169"/>
      <c r="Z1083" s="178"/>
      <c r="AA1083" s="167"/>
      <c r="AB1083" s="169"/>
      <c r="AC1083" s="169"/>
      <c r="AD1083" s="169"/>
      <c r="AE1083" s="169"/>
      <c r="AF1083" s="169"/>
      <c r="AG1083" s="179"/>
      <c r="AH1083" s="169"/>
      <c r="AI1083" s="168"/>
      <c r="AJ1083" s="167"/>
      <c r="AK1083" s="168"/>
      <c r="AL1083" s="169"/>
      <c r="AM1083" s="509"/>
      <c r="AN1083" s="510"/>
      <c r="AO1083" s="510"/>
    </row>
    <row r="1084" spans="1:41">
      <c r="A1084" s="177"/>
      <c r="B1084" s="169"/>
      <c r="C1084" s="169"/>
      <c r="D1084" s="169"/>
      <c r="E1084" s="169"/>
      <c r="F1084" s="169"/>
      <c r="G1084" s="169"/>
      <c r="H1084" s="169"/>
      <c r="I1084" s="169"/>
      <c r="J1084" s="169"/>
      <c r="K1084" s="169"/>
      <c r="L1084" s="169"/>
      <c r="M1084" s="169"/>
      <c r="N1084" s="177"/>
      <c r="O1084" s="169"/>
      <c r="P1084" s="169"/>
      <c r="Q1084" s="169"/>
      <c r="R1084" s="169"/>
      <c r="S1084" s="169"/>
      <c r="T1084" s="169"/>
      <c r="U1084" s="169"/>
      <c r="V1084" s="169"/>
      <c r="W1084" s="169"/>
      <c r="X1084" s="169"/>
      <c r="Y1084" s="169"/>
      <c r="Z1084" s="178"/>
      <c r="AA1084" s="167"/>
      <c r="AB1084" s="169"/>
      <c r="AC1084" s="169"/>
      <c r="AD1084" s="169"/>
      <c r="AE1084" s="169"/>
      <c r="AF1084" s="169"/>
      <c r="AG1084" s="179"/>
      <c r="AH1084" s="169"/>
      <c r="AI1084" s="168"/>
      <c r="AJ1084" s="167"/>
      <c r="AK1084" s="168"/>
      <c r="AL1084" s="169"/>
      <c r="AM1084" s="509"/>
      <c r="AN1084" s="510"/>
      <c r="AO1084" s="510"/>
    </row>
    <row r="1085" spans="1:41">
      <c r="A1085" s="177"/>
      <c r="B1085" s="169"/>
      <c r="C1085" s="169"/>
      <c r="D1085" s="169"/>
      <c r="E1085" s="169"/>
      <c r="F1085" s="169"/>
      <c r="G1085" s="169"/>
      <c r="H1085" s="169"/>
      <c r="I1085" s="169"/>
      <c r="J1085" s="169"/>
      <c r="K1085" s="169"/>
      <c r="L1085" s="169"/>
      <c r="M1085" s="169"/>
      <c r="N1085" s="177"/>
      <c r="O1085" s="169"/>
      <c r="P1085" s="169"/>
      <c r="Q1085" s="169"/>
      <c r="R1085" s="169"/>
      <c r="S1085" s="169"/>
      <c r="T1085" s="169"/>
      <c r="U1085" s="169"/>
      <c r="V1085" s="169"/>
      <c r="W1085" s="169"/>
      <c r="X1085" s="169"/>
      <c r="Y1085" s="169"/>
      <c r="Z1085" s="178"/>
      <c r="AA1085" s="167"/>
      <c r="AB1085" s="169"/>
      <c r="AC1085" s="169"/>
      <c r="AD1085" s="169"/>
      <c r="AE1085" s="169"/>
      <c r="AF1085" s="169"/>
      <c r="AG1085" s="179"/>
      <c r="AH1085" s="169"/>
      <c r="AI1085" s="168"/>
      <c r="AJ1085" s="167"/>
      <c r="AK1085" s="168"/>
      <c r="AL1085" s="169"/>
      <c r="AM1085" s="509"/>
      <c r="AN1085" s="510"/>
      <c r="AO1085" s="510"/>
    </row>
    <row r="1086" spans="1:41">
      <c r="A1086" s="177"/>
      <c r="B1086" s="169"/>
      <c r="C1086" s="169"/>
      <c r="D1086" s="169"/>
      <c r="E1086" s="169"/>
      <c r="F1086" s="169"/>
      <c r="G1086" s="169"/>
      <c r="H1086" s="169"/>
      <c r="I1086" s="169"/>
      <c r="J1086" s="169"/>
      <c r="K1086" s="169"/>
      <c r="L1086" s="169"/>
      <c r="M1086" s="169"/>
      <c r="N1086" s="177"/>
      <c r="O1086" s="169"/>
      <c r="P1086" s="169"/>
      <c r="Q1086" s="169"/>
      <c r="R1086" s="169"/>
      <c r="S1086" s="169"/>
      <c r="T1086" s="169"/>
      <c r="U1086" s="169"/>
      <c r="V1086" s="169"/>
      <c r="W1086" s="169"/>
      <c r="X1086" s="169"/>
      <c r="Y1086" s="169"/>
      <c r="Z1086" s="178"/>
      <c r="AA1086" s="167"/>
      <c r="AB1086" s="169"/>
      <c r="AC1086" s="169"/>
      <c r="AD1086" s="169"/>
      <c r="AE1086" s="169"/>
      <c r="AF1086" s="169"/>
      <c r="AG1086" s="179"/>
      <c r="AH1086" s="169"/>
      <c r="AI1086" s="168"/>
      <c r="AJ1086" s="167"/>
      <c r="AK1086" s="168"/>
      <c r="AL1086" s="169"/>
      <c r="AM1086" s="509"/>
      <c r="AN1086" s="510"/>
      <c r="AO1086" s="510"/>
    </row>
    <row r="1087" spans="1:41">
      <c r="A1087" s="177"/>
      <c r="B1087" s="169"/>
      <c r="C1087" s="169"/>
      <c r="D1087" s="169"/>
      <c r="E1087" s="169"/>
      <c r="F1087" s="169"/>
      <c r="G1087" s="169"/>
      <c r="H1087" s="169"/>
      <c r="I1087" s="169"/>
      <c r="J1087" s="169"/>
      <c r="K1087" s="169"/>
      <c r="L1087" s="169"/>
      <c r="M1087" s="169"/>
      <c r="N1087" s="177"/>
      <c r="O1087" s="169"/>
      <c r="P1087" s="169"/>
      <c r="Q1087" s="169"/>
      <c r="R1087" s="169"/>
      <c r="S1087" s="169"/>
      <c r="T1087" s="169"/>
      <c r="U1087" s="169"/>
      <c r="V1087" s="169"/>
      <c r="W1087" s="169"/>
      <c r="X1087" s="169"/>
      <c r="Y1087" s="169"/>
      <c r="Z1087" s="178"/>
      <c r="AA1087" s="167"/>
      <c r="AB1087" s="169"/>
      <c r="AC1087" s="169"/>
      <c r="AD1087" s="169"/>
      <c r="AE1087" s="169"/>
      <c r="AF1087" s="169"/>
      <c r="AG1087" s="179"/>
      <c r="AH1087" s="169"/>
      <c r="AI1087" s="168"/>
      <c r="AJ1087" s="167"/>
      <c r="AK1087" s="168"/>
      <c r="AL1087" s="169"/>
      <c r="AM1087" s="509"/>
      <c r="AN1087" s="510"/>
      <c r="AO1087" s="510"/>
    </row>
    <row r="1088" spans="1:41">
      <c r="A1088" s="177"/>
      <c r="B1088" s="169"/>
      <c r="C1088" s="169"/>
      <c r="D1088" s="169"/>
      <c r="E1088" s="169"/>
      <c r="F1088" s="169"/>
      <c r="G1088" s="169"/>
      <c r="H1088" s="169"/>
      <c r="I1088" s="169"/>
      <c r="J1088" s="169"/>
      <c r="K1088" s="169"/>
      <c r="L1088" s="169"/>
      <c r="M1088" s="169"/>
      <c r="N1088" s="177"/>
      <c r="O1088" s="169"/>
      <c r="P1088" s="169"/>
      <c r="Q1088" s="169"/>
      <c r="R1088" s="169"/>
      <c r="S1088" s="169"/>
      <c r="T1088" s="169"/>
      <c r="U1088" s="169"/>
      <c r="V1088" s="169"/>
      <c r="W1088" s="169"/>
      <c r="X1088" s="169"/>
      <c r="Y1088" s="169"/>
      <c r="Z1088" s="178"/>
      <c r="AA1088" s="167"/>
      <c r="AB1088" s="169"/>
      <c r="AC1088" s="169"/>
      <c r="AD1088" s="169"/>
      <c r="AE1088" s="169"/>
      <c r="AF1088" s="169"/>
      <c r="AG1088" s="179"/>
      <c r="AH1088" s="169"/>
      <c r="AI1088" s="168"/>
      <c r="AJ1088" s="167"/>
      <c r="AK1088" s="168"/>
      <c r="AL1088" s="169"/>
      <c r="AM1088" s="509"/>
      <c r="AN1088" s="510"/>
      <c r="AO1088" s="510"/>
    </row>
    <row r="1089" spans="1:41">
      <c r="A1089" s="177"/>
      <c r="B1089" s="169"/>
      <c r="C1089" s="169"/>
      <c r="D1089" s="169"/>
      <c r="E1089" s="169"/>
      <c r="F1089" s="169"/>
      <c r="G1089" s="169"/>
      <c r="H1089" s="169"/>
      <c r="I1089" s="169"/>
      <c r="J1089" s="169"/>
      <c r="K1089" s="169"/>
      <c r="L1089" s="169"/>
      <c r="M1089" s="169"/>
      <c r="N1089" s="177"/>
      <c r="O1089" s="169"/>
      <c r="P1089" s="169"/>
      <c r="Q1089" s="169"/>
      <c r="R1089" s="169"/>
      <c r="S1089" s="169"/>
      <c r="T1089" s="169"/>
      <c r="U1089" s="169"/>
      <c r="V1089" s="169"/>
      <c r="W1089" s="169"/>
      <c r="X1089" s="169"/>
      <c r="Y1089" s="169"/>
      <c r="Z1089" s="178"/>
      <c r="AA1089" s="167"/>
      <c r="AB1089" s="169"/>
      <c r="AC1089" s="169"/>
      <c r="AD1089" s="169"/>
      <c r="AE1089" s="169"/>
      <c r="AF1089" s="169"/>
      <c r="AG1089" s="179"/>
      <c r="AH1089" s="169"/>
      <c r="AI1089" s="168"/>
      <c r="AJ1089" s="167"/>
      <c r="AK1089" s="168"/>
      <c r="AL1089" s="169"/>
      <c r="AM1089" s="509"/>
      <c r="AN1089" s="510"/>
      <c r="AO1089" s="510"/>
    </row>
    <row r="1090" spans="1:41">
      <c r="A1090" s="177"/>
      <c r="B1090" s="169"/>
      <c r="C1090" s="169"/>
      <c r="D1090" s="169"/>
      <c r="E1090" s="169"/>
      <c r="F1090" s="169"/>
      <c r="G1090" s="169"/>
      <c r="H1090" s="169"/>
      <c r="I1090" s="169"/>
      <c r="J1090" s="169"/>
      <c r="K1090" s="169"/>
      <c r="L1090" s="169"/>
      <c r="M1090" s="169"/>
      <c r="N1090" s="177"/>
      <c r="O1090" s="169"/>
      <c r="P1090" s="169"/>
      <c r="Q1090" s="169"/>
      <c r="R1090" s="169"/>
      <c r="S1090" s="169"/>
      <c r="T1090" s="169"/>
      <c r="U1090" s="169"/>
      <c r="V1090" s="169"/>
      <c r="W1090" s="169"/>
      <c r="X1090" s="169"/>
      <c r="Y1090" s="169"/>
      <c r="Z1090" s="178"/>
      <c r="AA1090" s="167"/>
      <c r="AB1090" s="169"/>
      <c r="AC1090" s="169"/>
      <c r="AD1090" s="169"/>
      <c r="AE1090" s="169"/>
      <c r="AF1090" s="169"/>
      <c r="AG1090" s="179"/>
      <c r="AH1090" s="169"/>
      <c r="AI1090" s="168"/>
      <c r="AJ1090" s="167"/>
      <c r="AK1090" s="168"/>
      <c r="AL1090" s="169"/>
      <c r="AM1090" s="509"/>
      <c r="AN1090" s="510"/>
      <c r="AO1090" s="510"/>
    </row>
    <row r="1091" spans="1:41">
      <c r="A1091" s="177"/>
      <c r="B1091" s="169"/>
      <c r="C1091" s="169"/>
      <c r="D1091" s="169"/>
      <c r="E1091" s="169"/>
      <c r="F1091" s="169"/>
      <c r="G1091" s="169"/>
      <c r="H1091" s="169"/>
      <c r="I1091" s="169"/>
      <c r="J1091" s="169"/>
      <c r="K1091" s="169"/>
      <c r="L1091" s="169"/>
      <c r="M1091" s="169"/>
      <c r="N1091" s="177"/>
      <c r="O1091" s="169"/>
      <c r="P1091" s="169"/>
      <c r="Q1091" s="169"/>
      <c r="R1091" s="169"/>
      <c r="S1091" s="169"/>
      <c r="T1091" s="169"/>
      <c r="U1091" s="169"/>
      <c r="V1091" s="169"/>
      <c r="W1091" s="169"/>
      <c r="X1091" s="169"/>
      <c r="Y1091" s="169"/>
      <c r="Z1091" s="178"/>
      <c r="AA1091" s="167"/>
      <c r="AB1091" s="169"/>
      <c r="AC1091" s="169"/>
      <c r="AD1091" s="169"/>
      <c r="AE1091" s="169"/>
      <c r="AF1091" s="169"/>
      <c r="AG1091" s="179"/>
      <c r="AH1091" s="169"/>
      <c r="AI1091" s="168"/>
      <c r="AJ1091" s="167"/>
      <c r="AK1091" s="168"/>
      <c r="AL1091" s="169"/>
      <c r="AM1091" s="509"/>
      <c r="AN1091" s="510"/>
      <c r="AO1091" s="510"/>
    </row>
    <row r="1092" spans="1:41">
      <c r="A1092" s="177"/>
      <c r="B1092" s="169"/>
      <c r="C1092" s="169"/>
      <c r="D1092" s="169"/>
      <c r="E1092" s="169"/>
      <c r="F1092" s="169"/>
      <c r="G1092" s="169"/>
      <c r="H1092" s="169"/>
      <c r="I1092" s="169"/>
      <c r="J1092" s="169"/>
      <c r="K1092" s="169"/>
      <c r="L1092" s="169"/>
      <c r="M1092" s="169"/>
      <c r="N1092" s="177"/>
      <c r="O1092" s="169"/>
      <c r="P1092" s="169"/>
      <c r="Q1092" s="169"/>
      <c r="R1092" s="169"/>
      <c r="S1092" s="169"/>
      <c r="T1092" s="169"/>
      <c r="U1092" s="169"/>
      <c r="V1092" s="169"/>
      <c r="W1092" s="169"/>
      <c r="X1092" s="169"/>
      <c r="Y1092" s="169"/>
      <c r="Z1092" s="178"/>
      <c r="AA1092" s="167"/>
      <c r="AB1092" s="169"/>
      <c r="AC1092" s="169"/>
      <c r="AD1092" s="169"/>
      <c r="AE1092" s="169"/>
      <c r="AF1092" s="169"/>
      <c r="AG1092" s="179"/>
      <c r="AH1092" s="169"/>
      <c r="AI1092" s="168"/>
      <c r="AJ1092" s="167"/>
      <c r="AK1092" s="168"/>
      <c r="AL1092" s="169"/>
      <c r="AM1092" s="509"/>
      <c r="AN1092" s="510"/>
      <c r="AO1092" s="510"/>
    </row>
    <row r="1093" spans="1:41">
      <c r="A1093" s="177"/>
      <c r="B1093" s="169"/>
      <c r="C1093" s="169"/>
      <c r="D1093" s="169"/>
      <c r="E1093" s="169"/>
      <c r="F1093" s="169"/>
      <c r="G1093" s="169"/>
      <c r="H1093" s="169"/>
      <c r="I1093" s="169"/>
      <c r="J1093" s="169"/>
      <c r="K1093" s="169"/>
      <c r="L1093" s="169"/>
      <c r="M1093" s="169"/>
      <c r="N1093" s="177"/>
      <c r="O1093" s="169"/>
      <c r="P1093" s="169"/>
      <c r="Q1093" s="169"/>
      <c r="R1093" s="169"/>
      <c r="S1093" s="169"/>
      <c r="T1093" s="169"/>
      <c r="U1093" s="169"/>
      <c r="V1093" s="169"/>
      <c r="W1093" s="169"/>
      <c r="X1093" s="169"/>
      <c r="Y1093" s="169"/>
      <c r="Z1093" s="178"/>
      <c r="AA1093" s="167"/>
      <c r="AB1093" s="169"/>
      <c r="AC1093" s="169"/>
      <c r="AD1093" s="169"/>
      <c r="AE1093" s="169"/>
      <c r="AF1093" s="169"/>
      <c r="AG1093" s="179"/>
      <c r="AH1093" s="169"/>
      <c r="AI1093" s="168"/>
      <c r="AJ1093" s="167"/>
      <c r="AK1093" s="168"/>
      <c r="AL1093" s="169"/>
      <c r="AM1093" s="509"/>
      <c r="AN1093" s="510"/>
      <c r="AO1093" s="510"/>
    </row>
    <row r="1094" spans="1:41">
      <c r="A1094" s="177"/>
      <c r="B1094" s="169"/>
      <c r="C1094" s="169"/>
      <c r="D1094" s="169"/>
      <c r="E1094" s="169"/>
      <c r="F1094" s="169"/>
      <c r="G1094" s="169"/>
      <c r="H1094" s="169"/>
      <c r="I1094" s="169"/>
      <c r="J1094" s="169"/>
      <c r="K1094" s="169"/>
      <c r="L1094" s="169"/>
      <c r="M1094" s="169"/>
      <c r="N1094" s="177"/>
      <c r="O1094" s="169"/>
      <c r="P1094" s="169"/>
      <c r="Q1094" s="169"/>
      <c r="R1094" s="169"/>
      <c r="S1094" s="169"/>
      <c r="T1094" s="169"/>
      <c r="U1094" s="169"/>
      <c r="V1094" s="169"/>
      <c r="W1094" s="169"/>
      <c r="X1094" s="169"/>
      <c r="Y1094" s="169"/>
      <c r="Z1094" s="178"/>
      <c r="AA1094" s="167"/>
      <c r="AB1094" s="169"/>
      <c r="AC1094" s="169"/>
      <c r="AD1094" s="169"/>
      <c r="AE1094" s="169"/>
      <c r="AF1094" s="169"/>
      <c r="AG1094" s="179"/>
      <c r="AH1094" s="169"/>
      <c r="AI1094" s="168"/>
      <c r="AJ1094" s="167"/>
      <c r="AK1094" s="168"/>
      <c r="AL1094" s="169"/>
      <c r="AM1094" s="509"/>
      <c r="AN1094" s="510"/>
      <c r="AO1094" s="510"/>
    </row>
    <row r="1095" spans="1:41">
      <c r="A1095" s="177"/>
      <c r="B1095" s="169"/>
      <c r="C1095" s="169"/>
      <c r="D1095" s="169"/>
      <c r="E1095" s="169"/>
      <c r="F1095" s="169"/>
      <c r="G1095" s="169"/>
      <c r="H1095" s="169"/>
      <c r="I1095" s="169"/>
      <c r="J1095" s="169"/>
      <c r="K1095" s="169"/>
      <c r="L1095" s="169"/>
      <c r="M1095" s="169"/>
      <c r="N1095" s="177"/>
      <c r="O1095" s="169"/>
      <c r="P1095" s="169"/>
      <c r="Q1095" s="169"/>
      <c r="R1095" s="169"/>
      <c r="S1095" s="169"/>
      <c r="T1095" s="169"/>
      <c r="U1095" s="169"/>
      <c r="V1095" s="169"/>
      <c r="W1095" s="169"/>
      <c r="X1095" s="169"/>
      <c r="Y1095" s="169"/>
      <c r="Z1095" s="178"/>
      <c r="AA1095" s="167"/>
      <c r="AB1095" s="169"/>
      <c r="AC1095" s="169"/>
      <c r="AD1095" s="169"/>
      <c r="AE1095" s="169"/>
      <c r="AF1095" s="169"/>
      <c r="AG1095" s="179"/>
      <c r="AH1095" s="169"/>
      <c r="AI1095" s="168"/>
      <c r="AJ1095" s="167"/>
      <c r="AK1095" s="168"/>
      <c r="AL1095" s="169"/>
      <c r="AM1095" s="509"/>
      <c r="AN1095" s="510"/>
      <c r="AO1095" s="510"/>
    </row>
    <row r="1096" spans="1:41">
      <c r="A1096" s="177"/>
      <c r="B1096" s="169"/>
      <c r="C1096" s="169"/>
      <c r="D1096" s="169"/>
      <c r="E1096" s="169"/>
      <c r="F1096" s="169"/>
      <c r="G1096" s="169"/>
      <c r="H1096" s="169"/>
      <c r="I1096" s="169"/>
      <c r="J1096" s="169"/>
      <c r="K1096" s="169"/>
      <c r="L1096" s="169"/>
      <c r="M1096" s="169"/>
      <c r="N1096" s="177"/>
      <c r="O1096" s="169"/>
      <c r="P1096" s="169"/>
      <c r="Q1096" s="169"/>
      <c r="R1096" s="169"/>
      <c r="S1096" s="169"/>
      <c r="T1096" s="169"/>
      <c r="U1096" s="169"/>
      <c r="V1096" s="169"/>
      <c r="W1096" s="169"/>
      <c r="X1096" s="169"/>
      <c r="Y1096" s="169"/>
      <c r="Z1096" s="178"/>
      <c r="AA1096" s="167"/>
      <c r="AB1096" s="169"/>
      <c r="AC1096" s="169"/>
      <c r="AD1096" s="169"/>
      <c r="AE1096" s="169"/>
      <c r="AF1096" s="169"/>
      <c r="AG1096" s="179"/>
      <c r="AH1096" s="169"/>
      <c r="AI1096" s="168"/>
      <c r="AJ1096" s="167"/>
      <c r="AK1096" s="168"/>
      <c r="AL1096" s="169"/>
      <c r="AM1096" s="509"/>
      <c r="AN1096" s="510"/>
      <c r="AO1096" s="510"/>
    </row>
    <row r="1097" spans="1:41">
      <c r="A1097" s="177"/>
      <c r="B1097" s="169"/>
      <c r="C1097" s="169"/>
      <c r="D1097" s="169"/>
      <c r="E1097" s="169"/>
      <c r="F1097" s="169"/>
      <c r="G1097" s="169"/>
      <c r="H1097" s="169"/>
      <c r="I1097" s="169"/>
      <c r="J1097" s="169"/>
      <c r="K1097" s="169"/>
      <c r="L1097" s="169"/>
      <c r="M1097" s="169"/>
      <c r="N1097" s="177"/>
      <c r="O1097" s="169"/>
      <c r="P1097" s="169"/>
      <c r="Q1097" s="169"/>
      <c r="R1097" s="169"/>
      <c r="S1097" s="169"/>
      <c r="T1097" s="169"/>
      <c r="U1097" s="169"/>
      <c r="V1097" s="169"/>
      <c r="W1097" s="169"/>
      <c r="X1097" s="169"/>
      <c r="Y1097" s="169"/>
      <c r="Z1097" s="178"/>
      <c r="AA1097" s="167"/>
      <c r="AB1097" s="169"/>
      <c r="AC1097" s="169"/>
      <c r="AD1097" s="169"/>
      <c r="AE1097" s="169"/>
      <c r="AF1097" s="169"/>
      <c r="AG1097" s="179"/>
      <c r="AH1097" s="169"/>
      <c r="AI1097" s="168"/>
      <c r="AJ1097" s="167"/>
      <c r="AK1097" s="168"/>
      <c r="AL1097" s="169"/>
      <c r="AM1097" s="509"/>
      <c r="AN1097" s="510"/>
      <c r="AO1097" s="510"/>
    </row>
    <row r="1098" spans="1:41">
      <c r="A1098" s="177"/>
      <c r="B1098" s="169"/>
      <c r="C1098" s="169"/>
      <c r="D1098" s="169"/>
      <c r="E1098" s="169"/>
      <c r="F1098" s="169"/>
      <c r="G1098" s="169"/>
      <c r="H1098" s="169"/>
      <c r="I1098" s="169"/>
      <c r="J1098" s="169"/>
      <c r="K1098" s="169"/>
      <c r="L1098" s="169"/>
      <c r="M1098" s="169"/>
      <c r="N1098" s="177"/>
      <c r="O1098" s="169"/>
      <c r="P1098" s="169"/>
      <c r="Q1098" s="169"/>
      <c r="R1098" s="169"/>
      <c r="S1098" s="169"/>
      <c r="T1098" s="169"/>
      <c r="U1098" s="169"/>
      <c r="V1098" s="169"/>
      <c r="W1098" s="169"/>
      <c r="X1098" s="169"/>
      <c r="Y1098" s="169"/>
      <c r="Z1098" s="178"/>
      <c r="AA1098" s="167"/>
      <c r="AB1098" s="169"/>
      <c r="AC1098" s="169"/>
      <c r="AD1098" s="169"/>
      <c r="AE1098" s="169"/>
      <c r="AF1098" s="169"/>
      <c r="AG1098" s="179"/>
      <c r="AH1098" s="169"/>
      <c r="AI1098" s="168"/>
      <c r="AJ1098" s="167"/>
      <c r="AK1098" s="168"/>
      <c r="AL1098" s="169"/>
      <c r="AM1098" s="509"/>
      <c r="AN1098" s="510"/>
      <c r="AO1098" s="510"/>
    </row>
    <row r="1099" spans="1:41">
      <c r="A1099" s="177"/>
      <c r="B1099" s="169"/>
      <c r="C1099" s="169"/>
      <c r="D1099" s="169"/>
      <c r="E1099" s="169"/>
      <c r="F1099" s="169"/>
      <c r="G1099" s="169"/>
      <c r="H1099" s="169"/>
      <c r="I1099" s="169"/>
      <c r="J1099" s="169"/>
      <c r="K1099" s="169"/>
      <c r="L1099" s="169"/>
      <c r="M1099" s="169"/>
      <c r="N1099" s="177"/>
      <c r="O1099" s="169"/>
      <c r="P1099" s="169"/>
      <c r="Q1099" s="169"/>
      <c r="R1099" s="169"/>
      <c r="S1099" s="169"/>
      <c r="T1099" s="169"/>
      <c r="U1099" s="169"/>
      <c r="V1099" s="169"/>
      <c r="W1099" s="169"/>
      <c r="X1099" s="169"/>
      <c r="Y1099" s="169"/>
      <c r="Z1099" s="178"/>
      <c r="AA1099" s="167"/>
      <c r="AB1099" s="169"/>
      <c r="AC1099" s="169"/>
      <c r="AD1099" s="169"/>
      <c r="AE1099" s="169"/>
      <c r="AF1099" s="169"/>
      <c r="AG1099" s="179"/>
      <c r="AH1099" s="169"/>
      <c r="AI1099" s="168"/>
      <c r="AJ1099" s="167"/>
      <c r="AK1099" s="168"/>
      <c r="AL1099" s="169"/>
      <c r="AM1099" s="509"/>
      <c r="AN1099" s="510"/>
      <c r="AO1099" s="510"/>
    </row>
    <row r="1100" spans="1:41">
      <c r="A1100" s="177"/>
      <c r="B1100" s="169"/>
      <c r="C1100" s="169"/>
      <c r="D1100" s="169"/>
      <c r="E1100" s="169"/>
      <c r="F1100" s="169"/>
      <c r="G1100" s="169"/>
      <c r="H1100" s="169"/>
      <c r="I1100" s="169"/>
      <c r="J1100" s="169"/>
      <c r="K1100" s="169"/>
      <c r="L1100" s="169"/>
      <c r="M1100" s="169"/>
      <c r="N1100" s="177"/>
      <c r="O1100" s="169"/>
      <c r="P1100" s="169"/>
      <c r="Q1100" s="169"/>
      <c r="R1100" s="169"/>
      <c r="S1100" s="169"/>
      <c r="T1100" s="169"/>
      <c r="U1100" s="169"/>
      <c r="V1100" s="169"/>
      <c r="W1100" s="169"/>
      <c r="X1100" s="169"/>
      <c r="Y1100" s="169"/>
      <c r="Z1100" s="178"/>
      <c r="AA1100" s="167"/>
      <c r="AB1100" s="169"/>
      <c r="AC1100" s="169"/>
      <c r="AD1100" s="169"/>
      <c r="AE1100" s="169"/>
      <c r="AF1100" s="169"/>
      <c r="AG1100" s="179"/>
      <c r="AH1100" s="169"/>
      <c r="AI1100" s="168"/>
      <c r="AJ1100" s="167"/>
      <c r="AK1100" s="168"/>
      <c r="AL1100" s="169"/>
      <c r="AM1100" s="509"/>
      <c r="AN1100" s="510"/>
      <c r="AO1100" s="510"/>
    </row>
    <row r="1101" spans="1:41">
      <c r="A1101" s="177"/>
      <c r="B1101" s="169"/>
      <c r="C1101" s="169"/>
      <c r="D1101" s="169"/>
      <c r="E1101" s="169"/>
      <c r="F1101" s="169"/>
      <c r="G1101" s="169"/>
      <c r="H1101" s="169"/>
      <c r="I1101" s="169"/>
      <c r="J1101" s="169"/>
      <c r="K1101" s="169"/>
      <c r="L1101" s="169"/>
      <c r="M1101" s="169"/>
      <c r="N1101" s="177"/>
      <c r="O1101" s="169"/>
      <c r="P1101" s="169"/>
      <c r="Q1101" s="169"/>
      <c r="R1101" s="169"/>
      <c r="S1101" s="169"/>
      <c r="T1101" s="169"/>
      <c r="U1101" s="169"/>
      <c r="V1101" s="169"/>
      <c r="W1101" s="169"/>
      <c r="X1101" s="169"/>
      <c r="Y1101" s="169"/>
      <c r="Z1101" s="178"/>
      <c r="AA1101" s="167"/>
      <c r="AB1101" s="169"/>
      <c r="AC1101" s="169"/>
      <c r="AD1101" s="169"/>
      <c r="AE1101" s="169"/>
      <c r="AF1101" s="169"/>
      <c r="AG1101" s="179"/>
      <c r="AH1101" s="169"/>
      <c r="AI1101" s="168"/>
      <c r="AJ1101" s="167"/>
      <c r="AK1101" s="168"/>
      <c r="AL1101" s="169"/>
      <c r="AM1101" s="509"/>
      <c r="AN1101" s="510"/>
      <c r="AO1101" s="510"/>
    </row>
    <row r="1102" spans="1:41">
      <c r="A1102" s="177"/>
      <c r="B1102" s="169"/>
      <c r="C1102" s="169"/>
      <c r="D1102" s="169"/>
      <c r="E1102" s="169"/>
      <c r="F1102" s="169"/>
      <c r="G1102" s="169"/>
      <c r="H1102" s="169"/>
      <c r="I1102" s="169"/>
      <c r="J1102" s="169"/>
      <c r="K1102" s="169"/>
      <c r="L1102" s="169"/>
      <c r="M1102" s="169"/>
      <c r="N1102" s="177"/>
      <c r="O1102" s="169"/>
      <c r="P1102" s="169"/>
      <c r="Q1102" s="169"/>
      <c r="R1102" s="169"/>
      <c r="S1102" s="169"/>
      <c r="T1102" s="169"/>
      <c r="U1102" s="169"/>
      <c r="V1102" s="169"/>
      <c r="W1102" s="169"/>
      <c r="X1102" s="169"/>
      <c r="Y1102" s="169"/>
      <c r="Z1102" s="178"/>
      <c r="AA1102" s="167"/>
      <c r="AB1102" s="169"/>
      <c r="AC1102" s="169"/>
      <c r="AD1102" s="169"/>
      <c r="AE1102" s="169"/>
      <c r="AF1102" s="169"/>
      <c r="AG1102" s="179"/>
      <c r="AH1102" s="169"/>
      <c r="AI1102" s="168"/>
      <c r="AJ1102" s="167"/>
      <c r="AK1102" s="168"/>
      <c r="AL1102" s="169"/>
      <c r="AM1102" s="509"/>
      <c r="AN1102" s="510"/>
      <c r="AO1102" s="510"/>
    </row>
    <row r="1103" spans="1:41">
      <c r="A1103" s="177"/>
      <c r="B1103" s="169"/>
      <c r="C1103" s="169"/>
      <c r="D1103" s="169"/>
      <c r="E1103" s="169"/>
      <c r="F1103" s="169"/>
      <c r="G1103" s="169"/>
      <c r="H1103" s="169"/>
      <c r="I1103" s="169"/>
      <c r="J1103" s="169"/>
      <c r="K1103" s="169"/>
      <c r="L1103" s="169"/>
      <c r="M1103" s="169"/>
      <c r="N1103" s="177"/>
      <c r="O1103" s="169"/>
      <c r="P1103" s="169"/>
      <c r="Q1103" s="169"/>
      <c r="R1103" s="169"/>
      <c r="S1103" s="169"/>
      <c r="T1103" s="169"/>
      <c r="U1103" s="169"/>
      <c r="V1103" s="169"/>
      <c r="W1103" s="169"/>
      <c r="X1103" s="169"/>
      <c r="Y1103" s="169"/>
      <c r="Z1103" s="178"/>
      <c r="AA1103" s="167"/>
      <c r="AB1103" s="169"/>
      <c r="AC1103" s="169"/>
      <c r="AD1103" s="169"/>
      <c r="AE1103" s="169"/>
      <c r="AF1103" s="169"/>
      <c r="AG1103" s="179"/>
      <c r="AH1103" s="169"/>
      <c r="AI1103" s="168"/>
      <c r="AJ1103" s="167"/>
      <c r="AK1103" s="168"/>
      <c r="AL1103" s="169"/>
      <c r="AM1103" s="509"/>
      <c r="AN1103" s="510"/>
      <c r="AO1103" s="510"/>
    </row>
    <row r="1104" spans="1:41">
      <c r="A1104" s="177"/>
      <c r="B1104" s="169"/>
      <c r="C1104" s="169"/>
      <c r="D1104" s="169"/>
      <c r="E1104" s="169"/>
      <c r="F1104" s="169"/>
      <c r="G1104" s="169"/>
      <c r="H1104" s="169"/>
      <c r="I1104" s="169"/>
      <c r="J1104" s="169"/>
      <c r="K1104" s="169"/>
      <c r="L1104" s="169"/>
      <c r="M1104" s="169"/>
      <c r="N1104" s="177"/>
      <c r="O1104" s="169"/>
      <c r="P1104" s="169"/>
      <c r="Q1104" s="169"/>
      <c r="R1104" s="169"/>
      <c r="S1104" s="169"/>
      <c r="T1104" s="169"/>
      <c r="U1104" s="169"/>
      <c r="V1104" s="169"/>
      <c r="W1104" s="169"/>
      <c r="X1104" s="169"/>
      <c r="Y1104" s="169"/>
      <c r="Z1104" s="178"/>
      <c r="AA1104" s="167"/>
      <c r="AB1104" s="169"/>
      <c r="AC1104" s="169"/>
      <c r="AD1104" s="169"/>
      <c r="AE1104" s="169"/>
      <c r="AF1104" s="169"/>
      <c r="AG1104" s="179"/>
      <c r="AH1104" s="169"/>
      <c r="AI1104" s="168"/>
      <c r="AJ1104" s="167"/>
      <c r="AK1104" s="168"/>
      <c r="AL1104" s="169"/>
      <c r="AM1104" s="509"/>
      <c r="AN1104" s="510"/>
      <c r="AO1104" s="510"/>
    </row>
    <row r="1105" spans="1:41">
      <c r="A1105" s="177"/>
      <c r="B1105" s="169"/>
      <c r="C1105" s="169"/>
      <c r="D1105" s="169"/>
      <c r="E1105" s="169"/>
      <c r="F1105" s="169"/>
      <c r="G1105" s="169"/>
      <c r="H1105" s="169"/>
      <c r="I1105" s="169"/>
      <c r="J1105" s="169"/>
      <c r="K1105" s="169"/>
      <c r="L1105" s="169"/>
      <c r="M1105" s="169"/>
      <c r="N1105" s="177"/>
      <c r="O1105" s="169"/>
      <c r="P1105" s="169"/>
      <c r="Q1105" s="169"/>
      <c r="R1105" s="169"/>
      <c r="S1105" s="169"/>
      <c r="T1105" s="169"/>
      <c r="U1105" s="169"/>
      <c r="V1105" s="169"/>
      <c r="W1105" s="169"/>
      <c r="X1105" s="169"/>
      <c r="Y1105" s="169"/>
      <c r="Z1105" s="178"/>
      <c r="AA1105" s="167"/>
      <c r="AB1105" s="169"/>
      <c r="AC1105" s="169"/>
      <c r="AD1105" s="169"/>
      <c r="AE1105" s="169"/>
      <c r="AF1105" s="169"/>
      <c r="AG1105" s="179"/>
      <c r="AH1105" s="169"/>
      <c r="AI1105" s="168"/>
      <c r="AJ1105" s="167"/>
      <c r="AK1105" s="168"/>
      <c r="AL1105" s="169"/>
      <c r="AM1105" s="509"/>
      <c r="AN1105" s="510"/>
      <c r="AO1105" s="510"/>
    </row>
    <row r="1106" spans="1:41">
      <c r="A1106" s="177"/>
      <c r="B1106" s="169"/>
      <c r="C1106" s="169"/>
      <c r="D1106" s="169"/>
      <c r="E1106" s="169"/>
      <c r="F1106" s="169"/>
      <c r="G1106" s="169"/>
      <c r="H1106" s="169"/>
      <c r="I1106" s="169"/>
      <c r="J1106" s="169"/>
      <c r="K1106" s="169"/>
      <c r="L1106" s="169"/>
      <c r="M1106" s="169"/>
      <c r="N1106" s="177"/>
      <c r="O1106" s="169"/>
      <c r="P1106" s="169"/>
      <c r="Q1106" s="169"/>
      <c r="R1106" s="169"/>
      <c r="S1106" s="169"/>
      <c r="T1106" s="169"/>
      <c r="U1106" s="169"/>
      <c r="V1106" s="169"/>
      <c r="W1106" s="169"/>
      <c r="X1106" s="169"/>
      <c r="Y1106" s="169"/>
      <c r="Z1106" s="178"/>
      <c r="AA1106" s="167"/>
      <c r="AB1106" s="169"/>
      <c r="AC1106" s="169"/>
      <c r="AD1106" s="169"/>
      <c r="AE1106" s="169"/>
      <c r="AF1106" s="169"/>
      <c r="AG1106" s="179"/>
      <c r="AH1106" s="169"/>
      <c r="AI1106" s="168"/>
      <c r="AJ1106" s="167"/>
      <c r="AK1106" s="168"/>
      <c r="AL1106" s="169"/>
      <c r="AM1106" s="509"/>
      <c r="AN1106" s="510"/>
      <c r="AO1106" s="510"/>
    </row>
    <row r="1107" spans="1:41">
      <c r="A1107" s="177"/>
      <c r="B1107" s="169"/>
      <c r="C1107" s="169"/>
      <c r="D1107" s="169"/>
      <c r="E1107" s="169"/>
      <c r="F1107" s="169"/>
      <c r="G1107" s="169"/>
      <c r="H1107" s="169"/>
      <c r="I1107" s="169"/>
      <c r="J1107" s="169"/>
      <c r="K1107" s="169"/>
      <c r="L1107" s="169"/>
      <c r="M1107" s="169"/>
      <c r="N1107" s="177"/>
      <c r="O1107" s="169"/>
      <c r="P1107" s="169"/>
      <c r="Q1107" s="169"/>
      <c r="R1107" s="169"/>
      <c r="S1107" s="169"/>
      <c r="T1107" s="169"/>
      <c r="U1107" s="169"/>
      <c r="V1107" s="169"/>
      <c r="W1107" s="169"/>
      <c r="X1107" s="169"/>
      <c r="Y1107" s="169"/>
      <c r="Z1107" s="178"/>
      <c r="AA1107" s="167"/>
      <c r="AB1107" s="169"/>
      <c r="AC1107" s="169"/>
      <c r="AD1107" s="169"/>
      <c r="AE1107" s="169"/>
      <c r="AF1107" s="169"/>
      <c r="AG1107" s="179"/>
      <c r="AH1107" s="169"/>
      <c r="AI1107" s="168"/>
      <c r="AJ1107" s="167"/>
      <c r="AK1107" s="168"/>
      <c r="AL1107" s="169"/>
      <c r="AM1107" s="509"/>
      <c r="AN1107" s="510"/>
      <c r="AO1107" s="510"/>
    </row>
    <row r="1108" spans="1:41">
      <c r="A1108" s="177"/>
      <c r="B1108" s="169"/>
      <c r="C1108" s="169"/>
      <c r="D1108" s="169"/>
      <c r="E1108" s="169"/>
      <c r="F1108" s="169"/>
      <c r="G1108" s="169"/>
      <c r="H1108" s="169"/>
      <c r="I1108" s="169"/>
      <c r="J1108" s="169"/>
      <c r="K1108" s="169"/>
      <c r="L1108" s="169"/>
      <c r="M1108" s="169"/>
      <c r="N1108" s="177"/>
      <c r="O1108" s="169"/>
      <c r="P1108" s="169"/>
      <c r="Q1108" s="169"/>
      <c r="R1108" s="169"/>
      <c r="S1108" s="169"/>
      <c r="T1108" s="169"/>
      <c r="U1108" s="169"/>
      <c r="V1108" s="169"/>
      <c r="W1108" s="169"/>
      <c r="X1108" s="169"/>
      <c r="Y1108" s="169"/>
      <c r="Z1108" s="178"/>
      <c r="AA1108" s="167"/>
      <c r="AB1108" s="169"/>
      <c r="AC1108" s="169"/>
      <c r="AD1108" s="169"/>
      <c r="AE1108" s="169"/>
      <c r="AF1108" s="169"/>
      <c r="AG1108" s="179"/>
      <c r="AH1108" s="169"/>
      <c r="AI1108" s="168"/>
      <c r="AJ1108" s="167"/>
      <c r="AK1108" s="168"/>
      <c r="AL1108" s="169"/>
      <c r="AM1108" s="509"/>
      <c r="AN1108" s="510"/>
      <c r="AO1108" s="510"/>
    </row>
    <row r="1109" spans="1:41">
      <c r="A1109" s="177"/>
      <c r="B1109" s="169"/>
      <c r="C1109" s="169"/>
      <c r="D1109" s="169"/>
      <c r="E1109" s="169"/>
      <c r="F1109" s="169"/>
      <c r="G1109" s="169"/>
      <c r="H1109" s="169"/>
      <c r="I1109" s="169"/>
      <c r="J1109" s="169"/>
      <c r="K1109" s="169"/>
      <c r="L1109" s="169"/>
      <c r="M1109" s="169"/>
      <c r="N1109" s="177"/>
      <c r="O1109" s="169"/>
      <c r="P1109" s="169"/>
      <c r="Q1109" s="169"/>
      <c r="R1109" s="169"/>
      <c r="S1109" s="169"/>
      <c r="T1109" s="169"/>
      <c r="U1109" s="169"/>
      <c r="V1109" s="169"/>
      <c r="W1109" s="169"/>
      <c r="X1109" s="169"/>
      <c r="Y1109" s="169"/>
      <c r="Z1109" s="178"/>
      <c r="AA1109" s="167"/>
      <c r="AB1109" s="169"/>
      <c r="AC1109" s="169"/>
      <c r="AD1109" s="169"/>
      <c r="AE1109" s="169"/>
      <c r="AF1109" s="169"/>
      <c r="AG1109" s="179"/>
      <c r="AH1109" s="169"/>
      <c r="AI1109" s="168"/>
      <c r="AJ1109" s="167"/>
      <c r="AK1109" s="168"/>
      <c r="AL1109" s="169"/>
      <c r="AM1109" s="509"/>
      <c r="AN1109" s="510"/>
      <c r="AO1109" s="510"/>
    </row>
    <row r="1110" spans="1:41">
      <c r="A1110" s="177"/>
      <c r="B1110" s="169"/>
      <c r="C1110" s="169"/>
      <c r="D1110" s="169"/>
      <c r="E1110" s="169"/>
      <c r="F1110" s="169"/>
      <c r="G1110" s="169"/>
      <c r="H1110" s="169"/>
      <c r="I1110" s="169"/>
      <c r="J1110" s="169"/>
      <c r="K1110" s="169"/>
      <c r="L1110" s="169"/>
      <c r="M1110" s="169"/>
      <c r="N1110" s="177"/>
      <c r="O1110" s="169"/>
      <c r="P1110" s="169"/>
      <c r="Q1110" s="169"/>
      <c r="R1110" s="169"/>
      <c r="S1110" s="169"/>
      <c r="T1110" s="169"/>
      <c r="U1110" s="169"/>
      <c r="V1110" s="169"/>
      <c r="W1110" s="169"/>
      <c r="X1110" s="169"/>
      <c r="Y1110" s="169"/>
      <c r="Z1110" s="178"/>
      <c r="AA1110" s="167"/>
      <c r="AB1110" s="169"/>
      <c r="AC1110" s="169"/>
      <c r="AD1110" s="169"/>
      <c r="AE1110" s="169"/>
      <c r="AF1110" s="169"/>
      <c r="AG1110" s="179"/>
      <c r="AH1110" s="169"/>
      <c r="AI1110" s="168"/>
      <c r="AJ1110" s="167"/>
      <c r="AK1110" s="168"/>
      <c r="AL1110" s="169"/>
      <c r="AM1110" s="509"/>
      <c r="AN1110" s="510"/>
      <c r="AO1110" s="510"/>
    </row>
    <row r="1111" spans="1:41">
      <c r="A1111" s="177"/>
      <c r="B1111" s="169"/>
      <c r="C1111" s="169"/>
      <c r="D1111" s="169"/>
      <c r="E1111" s="169"/>
      <c r="F1111" s="169"/>
      <c r="G1111" s="169"/>
      <c r="H1111" s="169"/>
      <c r="I1111" s="169"/>
      <c r="J1111" s="169"/>
      <c r="K1111" s="169"/>
      <c r="L1111" s="169"/>
      <c r="M1111" s="169"/>
      <c r="N1111" s="177"/>
      <c r="O1111" s="169"/>
      <c r="P1111" s="169"/>
      <c r="Q1111" s="169"/>
      <c r="R1111" s="169"/>
      <c r="S1111" s="169"/>
      <c r="T1111" s="169"/>
      <c r="U1111" s="169"/>
      <c r="V1111" s="169"/>
      <c r="W1111" s="169"/>
      <c r="X1111" s="169"/>
      <c r="Y1111" s="169"/>
      <c r="Z1111" s="178"/>
      <c r="AA1111" s="167"/>
      <c r="AB1111" s="169"/>
      <c r="AC1111" s="169"/>
      <c r="AD1111" s="169"/>
      <c r="AE1111" s="169"/>
      <c r="AF1111" s="169"/>
      <c r="AG1111" s="179"/>
      <c r="AH1111" s="169"/>
      <c r="AI1111" s="168"/>
      <c r="AJ1111" s="167"/>
      <c r="AK1111" s="168"/>
      <c r="AL1111" s="169"/>
      <c r="AM1111" s="509"/>
      <c r="AN1111" s="510"/>
      <c r="AO1111" s="510"/>
    </row>
    <row r="1112" spans="1:41">
      <c r="A1112" s="177"/>
      <c r="B1112" s="169"/>
      <c r="C1112" s="169"/>
      <c r="D1112" s="169"/>
      <c r="E1112" s="169"/>
      <c r="F1112" s="169"/>
      <c r="G1112" s="169"/>
      <c r="H1112" s="169"/>
      <c r="I1112" s="169"/>
      <c r="J1112" s="169"/>
      <c r="K1112" s="169"/>
      <c r="L1112" s="169"/>
      <c r="M1112" s="169"/>
      <c r="N1112" s="177"/>
      <c r="O1112" s="169"/>
      <c r="P1112" s="169"/>
      <c r="Q1112" s="169"/>
      <c r="R1112" s="169"/>
      <c r="S1112" s="169"/>
      <c r="T1112" s="169"/>
      <c r="U1112" s="169"/>
      <c r="V1112" s="169"/>
      <c r="W1112" s="169"/>
      <c r="X1112" s="169"/>
      <c r="Y1112" s="169"/>
      <c r="Z1112" s="178"/>
      <c r="AA1112" s="167"/>
      <c r="AB1112" s="169"/>
      <c r="AC1112" s="169"/>
      <c r="AD1112" s="169"/>
      <c r="AE1112" s="169"/>
      <c r="AF1112" s="169"/>
      <c r="AG1112" s="179"/>
      <c r="AH1112" s="169"/>
      <c r="AI1112" s="168"/>
      <c r="AJ1112" s="167"/>
      <c r="AK1112" s="168"/>
      <c r="AL1112" s="169"/>
      <c r="AM1112" s="509"/>
      <c r="AN1112" s="510"/>
      <c r="AO1112" s="510"/>
    </row>
    <row r="1113" spans="1:41">
      <c r="A1113" s="177"/>
      <c r="B1113" s="169"/>
      <c r="C1113" s="169"/>
      <c r="D1113" s="169"/>
      <c r="E1113" s="169"/>
      <c r="F1113" s="169"/>
      <c r="G1113" s="169"/>
      <c r="H1113" s="169"/>
      <c r="I1113" s="169"/>
      <c r="J1113" s="169"/>
      <c r="K1113" s="169"/>
      <c r="L1113" s="169"/>
      <c r="M1113" s="169"/>
      <c r="N1113" s="177"/>
      <c r="O1113" s="169"/>
      <c r="P1113" s="169"/>
      <c r="Q1113" s="169"/>
      <c r="R1113" s="169"/>
      <c r="S1113" s="169"/>
      <c r="T1113" s="169"/>
      <c r="U1113" s="169"/>
      <c r="V1113" s="169"/>
      <c r="W1113" s="169"/>
      <c r="X1113" s="169"/>
      <c r="Y1113" s="169"/>
      <c r="Z1113" s="178"/>
      <c r="AA1113" s="167"/>
      <c r="AB1113" s="169"/>
      <c r="AC1113" s="169"/>
      <c r="AD1113" s="169"/>
      <c r="AE1113" s="169"/>
      <c r="AF1113" s="169"/>
      <c r="AG1113" s="179"/>
      <c r="AH1113" s="169"/>
      <c r="AI1113" s="168"/>
      <c r="AJ1113" s="167"/>
      <c r="AK1113" s="168"/>
      <c r="AL1113" s="169"/>
      <c r="AM1113" s="509"/>
      <c r="AN1113" s="510"/>
      <c r="AO1113" s="510"/>
    </row>
    <row r="1114" spans="1:41">
      <c r="A1114" s="177"/>
      <c r="B1114" s="169"/>
      <c r="C1114" s="169"/>
      <c r="D1114" s="169"/>
      <c r="E1114" s="169"/>
      <c r="F1114" s="169"/>
      <c r="G1114" s="169"/>
      <c r="H1114" s="169"/>
      <c r="I1114" s="169"/>
      <c r="J1114" s="169"/>
      <c r="K1114" s="169"/>
      <c r="L1114" s="169"/>
      <c r="M1114" s="169"/>
      <c r="N1114" s="177"/>
      <c r="O1114" s="169"/>
      <c r="P1114" s="169"/>
      <c r="Q1114" s="169"/>
      <c r="R1114" s="169"/>
      <c r="S1114" s="169"/>
      <c r="T1114" s="169"/>
      <c r="U1114" s="169"/>
      <c r="V1114" s="169"/>
      <c r="W1114" s="169"/>
      <c r="X1114" s="169"/>
      <c r="Y1114" s="169"/>
      <c r="Z1114" s="178"/>
      <c r="AA1114" s="167"/>
      <c r="AB1114" s="169"/>
      <c r="AC1114" s="169"/>
      <c r="AD1114" s="169"/>
      <c r="AE1114" s="169"/>
      <c r="AF1114" s="169"/>
      <c r="AG1114" s="179"/>
      <c r="AH1114" s="169"/>
      <c r="AI1114" s="168"/>
      <c r="AJ1114" s="167"/>
      <c r="AK1114" s="168"/>
      <c r="AL1114" s="169"/>
      <c r="AM1114" s="509"/>
      <c r="AN1114" s="510"/>
      <c r="AO1114" s="510"/>
    </row>
    <row r="1115" spans="1:41">
      <c r="A1115" s="177"/>
      <c r="B1115" s="169"/>
      <c r="C1115" s="169"/>
      <c r="D1115" s="169"/>
      <c r="E1115" s="169"/>
      <c r="F1115" s="169"/>
      <c r="G1115" s="169"/>
      <c r="H1115" s="169"/>
      <c r="I1115" s="169"/>
      <c r="J1115" s="169"/>
      <c r="K1115" s="169"/>
      <c r="L1115" s="169"/>
      <c r="M1115" s="169"/>
      <c r="N1115" s="177"/>
      <c r="O1115" s="169"/>
      <c r="P1115" s="169"/>
      <c r="Q1115" s="169"/>
      <c r="R1115" s="169"/>
      <c r="S1115" s="169"/>
      <c r="T1115" s="169"/>
      <c r="U1115" s="169"/>
      <c r="V1115" s="169"/>
      <c r="W1115" s="169"/>
      <c r="X1115" s="169"/>
      <c r="Y1115" s="169"/>
      <c r="Z1115" s="178"/>
      <c r="AA1115" s="167"/>
      <c r="AB1115" s="169"/>
      <c r="AC1115" s="169"/>
      <c r="AD1115" s="169"/>
      <c r="AE1115" s="169"/>
      <c r="AF1115" s="169"/>
      <c r="AG1115" s="179"/>
      <c r="AH1115" s="169"/>
      <c r="AI1115" s="168"/>
      <c r="AJ1115" s="167"/>
      <c r="AK1115" s="168"/>
      <c r="AL1115" s="169"/>
      <c r="AM1115" s="509"/>
      <c r="AN1115" s="510"/>
      <c r="AO1115" s="510"/>
    </row>
    <row r="1116" spans="1:41">
      <c r="A1116" s="177"/>
      <c r="B1116" s="169"/>
      <c r="C1116" s="169"/>
      <c r="D1116" s="169"/>
      <c r="E1116" s="169"/>
      <c r="F1116" s="169"/>
      <c r="G1116" s="169"/>
      <c r="H1116" s="169"/>
      <c r="I1116" s="169"/>
      <c r="J1116" s="169"/>
      <c r="K1116" s="169"/>
      <c r="L1116" s="169"/>
      <c r="M1116" s="169"/>
      <c r="N1116" s="177"/>
      <c r="O1116" s="169"/>
      <c r="P1116" s="169"/>
      <c r="Q1116" s="169"/>
      <c r="R1116" s="169"/>
      <c r="S1116" s="169"/>
      <c r="T1116" s="169"/>
      <c r="U1116" s="169"/>
      <c r="V1116" s="169"/>
      <c r="W1116" s="169"/>
      <c r="X1116" s="169"/>
      <c r="Y1116" s="169"/>
      <c r="Z1116" s="178"/>
      <c r="AA1116" s="167"/>
      <c r="AB1116" s="169"/>
      <c r="AC1116" s="169"/>
      <c r="AD1116" s="169"/>
      <c r="AE1116" s="169"/>
      <c r="AF1116" s="169"/>
      <c r="AG1116" s="179"/>
      <c r="AH1116" s="169"/>
      <c r="AI1116" s="168"/>
      <c r="AJ1116" s="167"/>
      <c r="AK1116" s="168"/>
      <c r="AL1116" s="169"/>
      <c r="AM1116" s="509"/>
      <c r="AN1116" s="510"/>
      <c r="AO1116" s="510"/>
    </row>
    <row r="1117" spans="1:41">
      <c r="A1117" s="177"/>
      <c r="B1117" s="169"/>
      <c r="C1117" s="169"/>
      <c r="D1117" s="169"/>
      <c r="E1117" s="169"/>
      <c r="F1117" s="169"/>
      <c r="G1117" s="169"/>
      <c r="H1117" s="169"/>
      <c r="I1117" s="169"/>
      <c r="J1117" s="169"/>
      <c r="K1117" s="169"/>
      <c r="L1117" s="169"/>
      <c r="M1117" s="169"/>
      <c r="N1117" s="177"/>
      <c r="O1117" s="169"/>
      <c r="P1117" s="169"/>
      <c r="Q1117" s="169"/>
      <c r="R1117" s="169"/>
      <c r="S1117" s="169"/>
      <c r="T1117" s="169"/>
      <c r="U1117" s="169"/>
      <c r="V1117" s="169"/>
      <c r="W1117" s="169"/>
      <c r="X1117" s="169"/>
      <c r="Y1117" s="169"/>
      <c r="Z1117" s="178"/>
      <c r="AA1117" s="167"/>
      <c r="AB1117" s="169"/>
      <c r="AC1117" s="169"/>
      <c r="AD1117" s="169"/>
      <c r="AE1117" s="169"/>
      <c r="AF1117" s="169"/>
      <c r="AG1117" s="179"/>
      <c r="AH1117" s="169"/>
      <c r="AI1117" s="168"/>
      <c r="AJ1117" s="167"/>
      <c r="AK1117" s="168"/>
      <c r="AL1117" s="169"/>
      <c r="AM1117" s="509"/>
      <c r="AN1117" s="510"/>
      <c r="AO1117" s="510"/>
    </row>
    <row r="1118" spans="1:41">
      <c r="A1118" s="177"/>
      <c r="B1118" s="169"/>
      <c r="C1118" s="169"/>
      <c r="D1118" s="169"/>
      <c r="E1118" s="169"/>
      <c r="F1118" s="169"/>
      <c r="G1118" s="169"/>
      <c r="H1118" s="169"/>
      <c r="I1118" s="169"/>
      <c r="J1118" s="169"/>
      <c r="K1118" s="169"/>
      <c r="L1118" s="169"/>
      <c r="M1118" s="169"/>
      <c r="N1118" s="177"/>
      <c r="O1118" s="169"/>
      <c r="P1118" s="169"/>
      <c r="Q1118" s="169"/>
      <c r="R1118" s="169"/>
      <c r="S1118" s="169"/>
      <c r="T1118" s="169"/>
      <c r="U1118" s="169"/>
      <c r="V1118" s="169"/>
      <c r="W1118" s="169"/>
      <c r="X1118" s="169"/>
      <c r="Y1118" s="169"/>
      <c r="Z1118" s="178"/>
      <c r="AA1118" s="167"/>
      <c r="AB1118" s="169"/>
      <c r="AC1118" s="169"/>
      <c r="AD1118" s="169"/>
      <c r="AE1118" s="169"/>
      <c r="AF1118" s="169"/>
      <c r="AG1118" s="179"/>
      <c r="AH1118" s="169"/>
      <c r="AI1118" s="168"/>
      <c r="AJ1118" s="167"/>
      <c r="AK1118" s="168"/>
      <c r="AL1118" s="169"/>
      <c r="AM1118" s="509"/>
      <c r="AN1118" s="510"/>
      <c r="AO1118" s="510"/>
    </row>
    <row r="1119" spans="1:41">
      <c r="A1119" s="177"/>
      <c r="B1119" s="169"/>
      <c r="C1119" s="169"/>
      <c r="D1119" s="169"/>
      <c r="E1119" s="169"/>
      <c r="F1119" s="169"/>
      <c r="G1119" s="169"/>
      <c r="H1119" s="169"/>
      <c r="I1119" s="169"/>
      <c r="J1119" s="169"/>
      <c r="K1119" s="169"/>
      <c r="L1119" s="169"/>
      <c r="M1119" s="169"/>
      <c r="N1119" s="177"/>
      <c r="O1119" s="169"/>
      <c r="P1119" s="169"/>
      <c r="Q1119" s="169"/>
      <c r="R1119" s="169"/>
      <c r="S1119" s="169"/>
      <c r="T1119" s="169"/>
      <c r="U1119" s="169"/>
      <c r="V1119" s="169"/>
      <c r="W1119" s="169"/>
      <c r="X1119" s="169"/>
      <c r="Y1119" s="169"/>
      <c r="Z1119" s="178"/>
      <c r="AA1119" s="167"/>
      <c r="AB1119" s="169"/>
      <c r="AC1119" s="169"/>
      <c r="AD1119" s="169"/>
      <c r="AE1119" s="169"/>
      <c r="AF1119" s="169"/>
      <c r="AG1119" s="179"/>
      <c r="AH1119" s="169"/>
      <c r="AI1119" s="168"/>
      <c r="AJ1119" s="167"/>
      <c r="AK1119" s="168"/>
      <c r="AL1119" s="169"/>
      <c r="AM1119" s="509"/>
      <c r="AN1119" s="510"/>
      <c r="AO1119" s="510"/>
    </row>
    <row r="1120" spans="1:41">
      <c r="A1120" s="177"/>
      <c r="B1120" s="169"/>
      <c r="C1120" s="169"/>
      <c r="D1120" s="169"/>
      <c r="E1120" s="169"/>
      <c r="F1120" s="169"/>
      <c r="G1120" s="169"/>
      <c r="H1120" s="169"/>
      <c r="I1120" s="169"/>
      <c r="J1120" s="169"/>
      <c r="K1120" s="169"/>
      <c r="L1120" s="169"/>
      <c r="M1120" s="169"/>
      <c r="N1120" s="177"/>
      <c r="O1120" s="169"/>
      <c r="P1120" s="169"/>
      <c r="Q1120" s="169"/>
      <c r="R1120" s="169"/>
      <c r="S1120" s="169"/>
      <c r="T1120" s="169"/>
      <c r="U1120" s="169"/>
      <c r="V1120" s="169"/>
      <c r="W1120" s="169"/>
      <c r="X1120" s="169"/>
      <c r="Y1120" s="169"/>
      <c r="Z1120" s="178"/>
      <c r="AA1120" s="167"/>
      <c r="AB1120" s="169"/>
      <c r="AC1120" s="169"/>
      <c r="AD1120" s="169"/>
      <c r="AE1120" s="169"/>
      <c r="AF1120" s="169"/>
      <c r="AG1120" s="179"/>
      <c r="AH1120" s="169"/>
      <c r="AI1120" s="168"/>
      <c r="AJ1120" s="167"/>
      <c r="AK1120" s="168"/>
      <c r="AL1120" s="169"/>
      <c r="AM1120" s="509"/>
      <c r="AN1120" s="510"/>
      <c r="AO1120" s="510"/>
    </row>
    <row r="1121" spans="1:41">
      <c r="A1121" s="177"/>
      <c r="B1121" s="169"/>
      <c r="C1121" s="169"/>
      <c r="D1121" s="169"/>
      <c r="E1121" s="169"/>
      <c r="F1121" s="169"/>
      <c r="G1121" s="169"/>
      <c r="H1121" s="169"/>
      <c r="I1121" s="169"/>
      <c r="J1121" s="169"/>
      <c r="K1121" s="169"/>
      <c r="L1121" s="169"/>
      <c r="M1121" s="169"/>
      <c r="N1121" s="177"/>
      <c r="O1121" s="169"/>
      <c r="P1121" s="169"/>
      <c r="Q1121" s="169"/>
      <c r="R1121" s="169"/>
      <c r="S1121" s="169"/>
      <c r="T1121" s="169"/>
      <c r="U1121" s="169"/>
      <c r="V1121" s="169"/>
      <c r="W1121" s="169"/>
      <c r="X1121" s="169"/>
      <c r="Y1121" s="169"/>
      <c r="Z1121" s="178"/>
      <c r="AA1121" s="167"/>
      <c r="AB1121" s="169"/>
      <c r="AC1121" s="169"/>
      <c r="AD1121" s="169"/>
      <c r="AE1121" s="169"/>
      <c r="AF1121" s="169"/>
      <c r="AG1121" s="179"/>
      <c r="AH1121" s="169"/>
      <c r="AI1121" s="168"/>
      <c r="AJ1121" s="167"/>
      <c r="AK1121" s="168"/>
      <c r="AL1121" s="169"/>
      <c r="AM1121" s="509"/>
      <c r="AN1121" s="510"/>
      <c r="AO1121" s="510"/>
    </row>
    <row r="1122" spans="1:41">
      <c r="A1122" s="177"/>
      <c r="B1122" s="169"/>
      <c r="C1122" s="169"/>
      <c r="D1122" s="169"/>
      <c r="E1122" s="169"/>
      <c r="F1122" s="169"/>
      <c r="G1122" s="169"/>
      <c r="H1122" s="169"/>
      <c r="I1122" s="169"/>
      <c r="J1122" s="169"/>
      <c r="K1122" s="169"/>
      <c r="L1122" s="169"/>
      <c r="M1122" s="169"/>
      <c r="N1122" s="177"/>
      <c r="O1122" s="169"/>
      <c r="P1122" s="169"/>
      <c r="Q1122" s="169"/>
      <c r="R1122" s="169"/>
      <c r="S1122" s="169"/>
      <c r="T1122" s="169"/>
      <c r="U1122" s="169"/>
      <c r="V1122" s="169"/>
      <c r="W1122" s="169"/>
      <c r="X1122" s="169"/>
      <c r="Y1122" s="169"/>
      <c r="Z1122" s="178"/>
      <c r="AA1122" s="167"/>
      <c r="AB1122" s="169"/>
      <c r="AC1122" s="169"/>
      <c r="AD1122" s="169"/>
      <c r="AE1122" s="169"/>
      <c r="AF1122" s="169"/>
      <c r="AG1122" s="179"/>
      <c r="AH1122" s="169"/>
      <c r="AI1122" s="168"/>
      <c r="AJ1122" s="167"/>
      <c r="AK1122" s="168"/>
      <c r="AL1122" s="169"/>
      <c r="AM1122" s="509"/>
      <c r="AN1122" s="510"/>
      <c r="AO1122" s="510"/>
    </row>
    <row r="1123" spans="1:41">
      <c r="A1123" s="177"/>
      <c r="B1123" s="169"/>
      <c r="C1123" s="169"/>
      <c r="D1123" s="169"/>
      <c r="E1123" s="169"/>
      <c r="F1123" s="169"/>
      <c r="G1123" s="169"/>
      <c r="H1123" s="169"/>
      <c r="I1123" s="169"/>
      <c r="J1123" s="169"/>
      <c r="K1123" s="169"/>
      <c r="L1123" s="169"/>
      <c r="M1123" s="169"/>
      <c r="N1123" s="177"/>
      <c r="O1123" s="169"/>
      <c r="P1123" s="169"/>
      <c r="Q1123" s="169"/>
      <c r="R1123" s="169"/>
      <c r="S1123" s="169"/>
      <c r="T1123" s="169"/>
      <c r="U1123" s="169"/>
      <c r="V1123" s="169"/>
      <c r="W1123" s="169"/>
      <c r="X1123" s="169"/>
      <c r="Y1123" s="169"/>
      <c r="Z1123" s="178"/>
      <c r="AA1123" s="167"/>
      <c r="AB1123" s="169"/>
      <c r="AC1123" s="169"/>
      <c r="AD1123" s="169"/>
      <c r="AE1123" s="169"/>
      <c r="AF1123" s="169"/>
      <c r="AG1123" s="179"/>
      <c r="AH1123" s="169"/>
      <c r="AI1123" s="168"/>
      <c r="AJ1123" s="167"/>
      <c r="AK1123" s="168"/>
      <c r="AL1123" s="169"/>
      <c r="AM1123" s="509"/>
      <c r="AN1123" s="510"/>
      <c r="AO1123" s="510"/>
    </row>
    <row r="1124" spans="1:41">
      <c r="A1124" s="177"/>
      <c r="B1124" s="169"/>
      <c r="C1124" s="169"/>
      <c r="D1124" s="169"/>
      <c r="E1124" s="169"/>
      <c r="F1124" s="169"/>
      <c r="G1124" s="169"/>
      <c r="H1124" s="169"/>
      <c r="I1124" s="169"/>
      <c r="J1124" s="169"/>
      <c r="K1124" s="169"/>
      <c r="L1124" s="169"/>
      <c r="M1124" s="169"/>
      <c r="N1124" s="177"/>
      <c r="O1124" s="169"/>
      <c r="P1124" s="169"/>
      <c r="Q1124" s="169"/>
      <c r="R1124" s="169"/>
      <c r="S1124" s="169"/>
      <c r="T1124" s="169"/>
      <c r="U1124" s="169"/>
      <c r="V1124" s="169"/>
      <c r="W1124" s="169"/>
      <c r="X1124" s="169"/>
      <c r="Y1124" s="169"/>
      <c r="Z1124" s="178"/>
      <c r="AA1124" s="167"/>
      <c r="AB1124" s="169"/>
      <c r="AC1124" s="169"/>
      <c r="AD1124" s="169"/>
      <c r="AE1124" s="169"/>
      <c r="AF1124" s="169"/>
      <c r="AG1124" s="179"/>
      <c r="AH1124" s="169"/>
      <c r="AI1124" s="168"/>
      <c r="AJ1124" s="167"/>
      <c r="AK1124" s="168"/>
      <c r="AL1124" s="169"/>
      <c r="AM1124" s="509"/>
      <c r="AN1124" s="510"/>
      <c r="AO1124" s="510"/>
    </row>
    <row r="1125" spans="1:41">
      <c r="A1125" s="177"/>
      <c r="B1125" s="169"/>
      <c r="C1125" s="169"/>
      <c r="D1125" s="169"/>
      <c r="E1125" s="169"/>
      <c r="F1125" s="169"/>
      <c r="G1125" s="169"/>
      <c r="H1125" s="169"/>
      <c r="I1125" s="169"/>
      <c r="J1125" s="169"/>
      <c r="K1125" s="169"/>
      <c r="L1125" s="169"/>
      <c r="M1125" s="169"/>
      <c r="N1125" s="177"/>
      <c r="O1125" s="169"/>
      <c r="P1125" s="169"/>
      <c r="Q1125" s="169"/>
      <c r="R1125" s="169"/>
      <c r="S1125" s="169"/>
      <c r="T1125" s="169"/>
      <c r="U1125" s="169"/>
      <c r="V1125" s="169"/>
      <c r="W1125" s="169"/>
      <c r="X1125" s="169"/>
      <c r="Y1125" s="169"/>
      <c r="Z1125" s="178"/>
      <c r="AA1125" s="167"/>
      <c r="AB1125" s="169"/>
      <c r="AC1125" s="169"/>
      <c r="AD1125" s="169"/>
      <c r="AE1125" s="169"/>
      <c r="AF1125" s="169"/>
      <c r="AG1125" s="179"/>
      <c r="AH1125" s="169"/>
      <c r="AI1125" s="168"/>
      <c r="AJ1125" s="167"/>
      <c r="AK1125" s="168"/>
      <c r="AL1125" s="169"/>
      <c r="AM1125" s="509"/>
      <c r="AN1125" s="510"/>
      <c r="AO1125" s="510"/>
    </row>
    <row r="1126" spans="1:41">
      <c r="A1126" s="177"/>
      <c r="B1126" s="169"/>
      <c r="C1126" s="169"/>
      <c r="D1126" s="169"/>
      <c r="E1126" s="169"/>
      <c r="F1126" s="169"/>
      <c r="G1126" s="169"/>
      <c r="H1126" s="169"/>
      <c r="I1126" s="169"/>
      <c r="J1126" s="169"/>
      <c r="K1126" s="169"/>
      <c r="L1126" s="169"/>
      <c r="M1126" s="169"/>
      <c r="N1126" s="177"/>
      <c r="O1126" s="169"/>
      <c r="P1126" s="169"/>
      <c r="Q1126" s="169"/>
      <c r="R1126" s="169"/>
      <c r="S1126" s="169"/>
      <c r="T1126" s="169"/>
      <c r="U1126" s="169"/>
      <c r="V1126" s="169"/>
      <c r="W1126" s="169"/>
      <c r="X1126" s="169"/>
      <c r="Y1126" s="169"/>
      <c r="Z1126" s="178"/>
      <c r="AA1126" s="167"/>
      <c r="AB1126" s="169"/>
      <c r="AC1126" s="169"/>
      <c r="AD1126" s="169"/>
      <c r="AE1126" s="169"/>
      <c r="AF1126" s="169"/>
      <c r="AG1126" s="179"/>
      <c r="AH1126" s="169"/>
      <c r="AI1126" s="168"/>
      <c r="AJ1126" s="167"/>
      <c r="AK1126" s="168"/>
      <c r="AL1126" s="169"/>
      <c r="AM1126" s="509"/>
      <c r="AN1126" s="510"/>
      <c r="AO1126" s="510"/>
    </row>
    <row r="1127" spans="1:41">
      <c r="A1127" s="177"/>
      <c r="B1127" s="169"/>
      <c r="C1127" s="169"/>
      <c r="D1127" s="169"/>
      <c r="E1127" s="169"/>
      <c r="F1127" s="169"/>
      <c r="G1127" s="169"/>
      <c r="H1127" s="169"/>
      <c r="I1127" s="169"/>
      <c r="J1127" s="169"/>
      <c r="K1127" s="169"/>
      <c r="L1127" s="169"/>
      <c r="M1127" s="169"/>
      <c r="N1127" s="177"/>
      <c r="O1127" s="169"/>
      <c r="P1127" s="169"/>
      <c r="Q1127" s="169"/>
      <c r="R1127" s="169"/>
      <c r="S1127" s="169"/>
      <c r="T1127" s="169"/>
      <c r="U1127" s="169"/>
      <c r="V1127" s="169"/>
      <c r="W1127" s="169"/>
      <c r="X1127" s="169"/>
      <c r="Y1127" s="169"/>
      <c r="Z1127" s="178"/>
      <c r="AA1127" s="167"/>
      <c r="AB1127" s="169"/>
      <c r="AC1127" s="169"/>
      <c r="AD1127" s="169"/>
      <c r="AE1127" s="169"/>
      <c r="AF1127" s="169"/>
      <c r="AG1127" s="179"/>
      <c r="AH1127" s="169"/>
      <c r="AI1127" s="168"/>
      <c r="AJ1127" s="167"/>
      <c r="AK1127" s="168"/>
      <c r="AL1127" s="169"/>
      <c r="AM1127" s="509"/>
      <c r="AN1127" s="510"/>
      <c r="AO1127" s="510"/>
    </row>
    <row r="1128" spans="1:41">
      <c r="A1128" s="177"/>
      <c r="B1128" s="169"/>
      <c r="C1128" s="169"/>
      <c r="D1128" s="169"/>
      <c r="E1128" s="169"/>
      <c r="F1128" s="169"/>
      <c r="G1128" s="169"/>
      <c r="H1128" s="169"/>
      <c r="I1128" s="169"/>
      <c r="J1128" s="169"/>
      <c r="K1128" s="169"/>
      <c r="L1128" s="169"/>
      <c r="M1128" s="169"/>
      <c r="N1128" s="177"/>
      <c r="O1128" s="169"/>
      <c r="P1128" s="169"/>
      <c r="Q1128" s="169"/>
      <c r="R1128" s="169"/>
      <c r="S1128" s="169"/>
      <c r="T1128" s="169"/>
      <c r="U1128" s="169"/>
      <c r="V1128" s="169"/>
      <c r="W1128" s="169"/>
      <c r="X1128" s="169"/>
      <c r="Y1128" s="169"/>
      <c r="Z1128" s="178"/>
      <c r="AA1128" s="167"/>
      <c r="AB1128" s="169"/>
      <c r="AC1128" s="169"/>
      <c r="AD1128" s="169"/>
      <c r="AE1128" s="169"/>
      <c r="AF1128" s="169"/>
      <c r="AG1128" s="179"/>
      <c r="AH1128" s="169"/>
      <c r="AI1128" s="168"/>
      <c r="AJ1128" s="167"/>
      <c r="AK1128" s="168"/>
      <c r="AL1128" s="169"/>
      <c r="AM1128" s="509"/>
      <c r="AN1128" s="510"/>
      <c r="AO1128" s="510"/>
    </row>
    <row r="1129" spans="1:41">
      <c r="A1129" s="177"/>
      <c r="B1129" s="169"/>
      <c r="C1129" s="169"/>
      <c r="D1129" s="169"/>
      <c r="E1129" s="169"/>
      <c r="F1129" s="169"/>
      <c r="G1129" s="169"/>
      <c r="H1129" s="169"/>
      <c r="I1129" s="169"/>
      <c r="J1129" s="169"/>
      <c r="K1129" s="169"/>
      <c r="L1129" s="169"/>
      <c r="M1129" s="169"/>
      <c r="N1129" s="177"/>
      <c r="O1129" s="169"/>
      <c r="P1129" s="169"/>
      <c r="Q1129" s="169"/>
      <c r="R1129" s="169"/>
      <c r="S1129" s="169"/>
      <c r="T1129" s="169"/>
      <c r="U1129" s="169"/>
      <c r="V1129" s="169"/>
      <c r="W1129" s="169"/>
      <c r="X1129" s="169"/>
      <c r="Y1129" s="169"/>
      <c r="Z1129" s="178"/>
      <c r="AA1129" s="167"/>
      <c r="AB1129" s="169"/>
      <c r="AC1129" s="169"/>
      <c r="AD1129" s="169"/>
      <c r="AE1129" s="169"/>
      <c r="AF1129" s="169"/>
      <c r="AG1129" s="179"/>
      <c r="AH1129" s="169"/>
      <c r="AI1129" s="168"/>
      <c r="AJ1129" s="167"/>
      <c r="AK1129" s="168"/>
      <c r="AL1129" s="169"/>
      <c r="AM1129" s="509"/>
      <c r="AN1129" s="510"/>
      <c r="AO1129" s="510"/>
    </row>
    <row r="1130" spans="1:41">
      <c r="A1130" s="177"/>
      <c r="B1130" s="169"/>
      <c r="C1130" s="169"/>
      <c r="D1130" s="169"/>
      <c r="E1130" s="169"/>
      <c r="F1130" s="169"/>
      <c r="G1130" s="169"/>
      <c r="H1130" s="169"/>
      <c r="I1130" s="169"/>
      <c r="J1130" s="169"/>
      <c r="K1130" s="169"/>
      <c r="L1130" s="169"/>
      <c r="M1130" s="169"/>
      <c r="N1130" s="177"/>
      <c r="O1130" s="169"/>
      <c r="P1130" s="169"/>
      <c r="Q1130" s="169"/>
      <c r="R1130" s="169"/>
      <c r="S1130" s="169"/>
      <c r="T1130" s="169"/>
      <c r="U1130" s="169"/>
      <c r="V1130" s="169"/>
      <c r="W1130" s="169"/>
      <c r="X1130" s="169"/>
      <c r="Y1130" s="169"/>
      <c r="Z1130" s="178"/>
      <c r="AA1130" s="167"/>
      <c r="AB1130" s="169"/>
      <c r="AC1130" s="169"/>
      <c r="AD1130" s="169"/>
      <c r="AE1130" s="169"/>
      <c r="AF1130" s="169"/>
      <c r="AG1130" s="179"/>
      <c r="AH1130" s="169"/>
      <c r="AI1130" s="168"/>
      <c r="AJ1130" s="167"/>
      <c r="AK1130" s="168"/>
      <c r="AL1130" s="169"/>
      <c r="AM1130" s="509"/>
      <c r="AN1130" s="510"/>
      <c r="AO1130" s="510"/>
    </row>
    <row r="1131" spans="1:41">
      <c r="A1131" s="177"/>
      <c r="B1131" s="169"/>
      <c r="C1131" s="169"/>
      <c r="D1131" s="169"/>
      <c r="E1131" s="169"/>
      <c r="F1131" s="169"/>
      <c r="G1131" s="169"/>
      <c r="H1131" s="169"/>
      <c r="I1131" s="169"/>
      <c r="J1131" s="169"/>
      <c r="K1131" s="169"/>
      <c r="L1131" s="169"/>
      <c r="M1131" s="169"/>
      <c r="N1131" s="177"/>
      <c r="O1131" s="169"/>
      <c r="P1131" s="169"/>
      <c r="Q1131" s="169"/>
      <c r="R1131" s="169"/>
      <c r="S1131" s="169"/>
      <c r="T1131" s="169"/>
      <c r="U1131" s="169"/>
      <c r="V1131" s="169"/>
      <c r="W1131" s="169"/>
      <c r="X1131" s="169"/>
      <c r="Y1131" s="169"/>
      <c r="Z1131" s="178"/>
      <c r="AA1131" s="167"/>
      <c r="AB1131" s="169"/>
      <c r="AC1131" s="169"/>
      <c r="AD1131" s="169"/>
      <c r="AE1131" s="169"/>
      <c r="AF1131" s="169"/>
      <c r="AG1131" s="179"/>
      <c r="AH1131" s="169"/>
      <c r="AI1131" s="168"/>
      <c r="AJ1131" s="167"/>
      <c r="AK1131" s="168"/>
      <c r="AL1131" s="169"/>
      <c r="AM1131" s="509"/>
      <c r="AN1131" s="510"/>
      <c r="AO1131" s="510"/>
    </row>
    <row r="1132" spans="1:41">
      <c r="A1132" s="177"/>
      <c r="B1132" s="169"/>
      <c r="C1132" s="169"/>
      <c r="D1132" s="169"/>
      <c r="E1132" s="169"/>
      <c r="F1132" s="169"/>
      <c r="G1132" s="169"/>
      <c r="H1132" s="169"/>
      <c r="I1132" s="169"/>
      <c r="J1132" s="169"/>
      <c r="K1132" s="169"/>
      <c r="L1132" s="169"/>
      <c r="M1132" s="169"/>
      <c r="N1132" s="177"/>
      <c r="O1132" s="169"/>
      <c r="P1132" s="169"/>
      <c r="Q1132" s="169"/>
      <c r="R1132" s="169"/>
      <c r="S1132" s="169"/>
      <c r="T1132" s="169"/>
      <c r="U1132" s="169"/>
      <c r="V1132" s="169"/>
      <c r="W1132" s="169"/>
      <c r="X1132" s="169"/>
      <c r="Y1132" s="169"/>
      <c r="Z1132" s="178"/>
      <c r="AA1132" s="167"/>
      <c r="AB1132" s="169"/>
      <c r="AC1132" s="169"/>
      <c r="AD1132" s="169"/>
      <c r="AE1132" s="169"/>
      <c r="AF1132" s="169"/>
      <c r="AG1132" s="179"/>
      <c r="AH1132" s="169"/>
      <c r="AI1132" s="168"/>
      <c r="AJ1132" s="167"/>
      <c r="AK1132" s="168"/>
      <c r="AL1132" s="169"/>
      <c r="AM1132" s="509"/>
      <c r="AN1132" s="510"/>
      <c r="AO1132" s="510"/>
    </row>
    <row r="1133" spans="1:41">
      <c r="A1133" s="177"/>
      <c r="B1133" s="169"/>
      <c r="C1133" s="169"/>
      <c r="D1133" s="169"/>
      <c r="E1133" s="169"/>
      <c r="F1133" s="169"/>
      <c r="G1133" s="169"/>
      <c r="H1133" s="169"/>
      <c r="I1133" s="169"/>
      <c r="J1133" s="169"/>
      <c r="K1133" s="169"/>
      <c r="L1133" s="169"/>
      <c r="M1133" s="169"/>
      <c r="N1133" s="177"/>
      <c r="O1133" s="169"/>
      <c r="P1133" s="169"/>
      <c r="Q1133" s="169"/>
      <c r="R1133" s="169"/>
      <c r="S1133" s="169"/>
      <c r="T1133" s="169"/>
      <c r="U1133" s="169"/>
      <c r="V1133" s="169"/>
      <c r="W1133" s="169"/>
      <c r="X1133" s="169"/>
      <c r="Y1133" s="169"/>
      <c r="Z1133" s="178"/>
      <c r="AA1133" s="167"/>
      <c r="AB1133" s="169"/>
      <c r="AC1133" s="169"/>
      <c r="AD1133" s="169"/>
      <c r="AE1133" s="169"/>
      <c r="AF1133" s="169"/>
      <c r="AG1133" s="179"/>
      <c r="AH1133" s="169"/>
      <c r="AI1133" s="168"/>
      <c r="AJ1133" s="167"/>
      <c r="AK1133" s="168"/>
      <c r="AL1133" s="169"/>
      <c r="AM1133" s="509"/>
      <c r="AN1133" s="510"/>
      <c r="AO1133" s="510"/>
    </row>
    <row r="1134" spans="1:41">
      <c r="A1134" s="177"/>
      <c r="B1134" s="169"/>
      <c r="C1134" s="169"/>
      <c r="D1134" s="169"/>
      <c r="E1134" s="169"/>
      <c r="F1134" s="169"/>
      <c r="G1134" s="169"/>
      <c r="H1134" s="169"/>
      <c r="I1134" s="169"/>
      <c r="J1134" s="169"/>
      <c r="K1134" s="169"/>
      <c r="L1134" s="169"/>
      <c r="M1134" s="169"/>
      <c r="N1134" s="177"/>
      <c r="O1134" s="169"/>
      <c r="P1134" s="169"/>
      <c r="Q1134" s="169"/>
      <c r="R1134" s="169"/>
      <c r="S1134" s="169"/>
      <c r="T1134" s="169"/>
      <c r="U1134" s="169"/>
      <c r="V1134" s="169"/>
      <c r="W1134" s="169"/>
      <c r="X1134" s="169"/>
      <c r="Y1134" s="169"/>
      <c r="Z1134" s="178"/>
      <c r="AA1134" s="167"/>
      <c r="AB1134" s="169"/>
      <c r="AC1134" s="169"/>
      <c r="AD1134" s="169"/>
      <c r="AE1134" s="169"/>
      <c r="AF1134" s="169"/>
      <c r="AG1134" s="179"/>
      <c r="AH1134" s="169"/>
      <c r="AI1134" s="168"/>
      <c r="AJ1134" s="167"/>
      <c r="AK1134" s="168"/>
      <c r="AL1134" s="169"/>
      <c r="AM1134" s="509"/>
      <c r="AN1134" s="510"/>
      <c r="AO1134" s="510"/>
    </row>
    <row r="1135" spans="1:41">
      <c r="A1135" s="177"/>
      <c r="B1135" s="169"/>
      <c r="C1135" s="169"/>
      <c r="D1135" s="169"/>
      <c r="E1135" s="169"/>
      <c r="F1135" s="169"/>
      <c r="G1135" s="169"/>
      <c r="H1135" s="169"/>
      <c r="I1135" s="169"/>
      <c r="J1135" s="169"/>
      <c r="K1135" s="169"/>
      <c r="L1135" s="169"/>
      <c r="M1135" s="169"/>
      <c r="N1135" s="177"/>
      <c r="O1135" s="169"/>
      <c r="P1135" s="169"/>
      <c r="Q1135" s="169"/>
      <c r="R1135" s="169"/>
      <c r="S1135" s="169"/>
      <c r="T1135" s="169"/>
      <c r="U1135" s="169"/>
      <c r="V1135" s="169"/>
      <c r="W1135" s="169"/>
      <c r="X1135" s="169"/>
      <c r="Y1135" s="169"/>
      <c r="Z1135" s="178"/>
      <c r="AA1135" s="167"/>
      <c r="AB1135" s="169"/>
      <c r="AC1135" s="169"/>
      <c r="AD1135" s="169"/>
      <c r="AE1135" s="169"/>
      <c r="AF1135" s="169"/>
      <c r="AG1135" s="179"/>
      <c r="AH1135" s="169"/>
      <c r="AI1135" s="168"/>
      <c r="AJ1135" s="167"/>
      <c r="AK1135" s="168"/>
      <c r="AL1135" s="169"/>
      <c r="AM1135" s="509"/>
      <c r="AN1135" s="510"/>
      <c r="AO1135" s="510"/>
    </row>
    <row r="1136" spans="1:41">
      <c r="A1136" s="177"/>
      <c r="B1136" s="169"/>
      <c r="C1136" s="169"/>
      <c r="D1136" s="169"/>
      <c r="E1136" s="169"/>
      <c r="F1136" s="169"/>
      <c r="G1136" s="169"/>
      <c r="H1136" s="169"/>
      <c r="I1136" s="169"/>
      <c r="J1136" s="169"/>
      <c r="K1136" s="169"/>
      <c r="L1136" s="169"/>
      <c r="M1136" s="169"/>
      <c r="N1136" s="177"/>
      <c r="O1136" s="169"/>
      <c r="P1136" s="169"/>
      <c r="Q1136" s="169"/>
      <c r="R1136" s="169"/>
      <c r="S1136" s="169"/>
      <c r="T1136" s="169"/>
      <c r="U1136" s="169"/>
      <c r="V1136" s="169"/>
      <c r="W1136" s="169"/>
      <c r="X1136" s="169"/>
      <c r="Y1136" s="169"/>
      <c r="Z1136" s="178"/>
      <c r="AA1136" s="167"/>
      <c r="AB1136" s="169"/>
      <c r="AC1136" s="169"/>
      <c r="AD1136" s="169"/>
      <c r="AE1136" s="169"/>
      <c r="AF1136" s="169"/>
      <c r="AG1136" s="179"/>
      <c r="AH1136" s="169"/>
      <c r="AI1136" s="168"/>
      <c r="AJ1136" s="167"/>
      <c r="AK1136" s="168"/>
      <c r="AL1136" s="169"/>
      <c r="AM1136" s="509"/>
      <c r="AN1136" s="510"/>
      <c r="AO1136" s="510"/>
    </row>
    <row r="1137" spans="1:41">
      <c r="A1137" s="177"/>
      <c r="B1137" s="169"/>
      <c r="C1137" s="169"/>
      <c r="D1137" s="169"/>
      <c r="E1137" s="169"/>
      <c r="F1137" s="169"/>
      <c r="G1137" s="169"/>
      <c r="H1137" s="169"/>
      <c r="I1137" s="169"/>
      <c r="J1137" s="169"/>
      <c r="K1137" s="169"/>
      <c r="L1137" s="169"/>
      <c r="M1137" s="169"/>
      <c r="N1137" s="177"/>
      <c r="O1137" s="169"/>
      <c r="P1137" s="169"/>
      <c r="Q1137" s="169"/>
      <c r="R1137" s="169"/>
      <c r="S1137" s="169"/>
      <c r="T1137" s="169"/>
      <c r="U1137" s="169"/>
      <c r="V1137" s="169"/>
      <c r="W1137" s="169"/>
      <c r="X1137" s="169"/>
      <c r="Y1137" s="169"/>
      <c r="Z1137" s="178"/>
      <c r="AA1137" s="167"/>
      <c r="AB1137" s="169"/>
      <c r="AC1137" s="169"/>
      <c r="AD1137" s="169"/>
      <c r="AE1137" s="169"/>
      <c r="AF1137" s="169"/>
      <c r="AG1137" s="179"/>
      <c r="AH1137" s="169"/>
      <c r="AI1137" s="168"/>
      <c r="AJ1137" s="167"/>
      <c r="AK1137" s="168"/>
      <c r="AL1137" s="169"/>
      <c r="AM1137" s="509"/>
      <c r="AN1137" s="510"/>
      <c r="AO1137" s="510"/>
    </row>
    <row r="1138" spans="1:41">
      <c r="A1138" s="177"/>
      <c r="B1138" s="169"/>
      <c r="C1138" s="169"/>
      <c r="D1138" s="169"/>
      <c r="E1138" s="169"/>
      <c r="F1138" s="169"/>
      <c r="G1138" s="169"/>
      <c r="H1138" s="169"/>
      <c r="I1138" s="169"/>
      <c r="J1138" s="169"/>
      <c r="K1138" s="169"/>
      <c r="L1138" s="169"/>
      <c r="M1138" s="169"/>
      <c r="N1138" s="177"/>
      <c r="O1138" s="169"/>
      <c r="P1138" s="169"/>
      <c r="Q1138" s="169"/>
      <c r="R1138" s="169"/>
      <c r="S1138" s="169"/>
      <c r="T1138" s="169"/>
      <c r="U1138" s="169"/>
      <c r="V1138" s="169"/>
      <c r="W1138" s="169"/>
      <c r="X1138" s="169"/>
      <c r="Y1138" s="169"/>
      <c r="Z1138" s="178"/>
      <c r="AA1138" s="167"/>
      <c r="AB1138" s="169"/>
      <c r="AC1138" s="169"/>
      <c r="AD1138" s="169"/>
      <c r="AE1138" s="169"/>
      <c r="AF1138" s="169"/>
      <c r="AG1138" s="179"/>
      <c r="AH1138" s="169"/>
      <c r="AI1138" s="168"/>
      <c r="AJ1138" s="167"/>
      <c r="AK1138" s="168"/>
      <c r="AL1138" s="169"/>
      <c r="AM1138" s="509"/>
      <c r="AN1138" s="510"/>
      <c r="AO1138" s="510"/>
    </row>
    <row r="1139" spans="1:41">
      <c r="A1139" s="177"/>
      <c r="B1139" s="169"/>
      <c r="C1139" s="169"/>
      <c r="D1139" s="169"/>
      <c r="E1139" s="169"/>
      <c r="F1139" s="169"/>
      <c r="G1139" s="169"/>
      <c r="H1139" s="169"/>
      <c r="I1139" s="169"/>
      <c r="J1139" s="169"/>
      <c r="K1139" s="169"/>
      <c r="L1139" s="169"/>
      <c r="M1139" s="169"/>
      <c r="N1139" s="177"/>
      <c r="O1139" s="169"/>
      <c r="P1139" s="169"/>
      <c r="Q1139" s="169"/>
      <c r="R1139" s="169"/>
      <c r="S1139" s="169"/>
      <c r="T1139" s="169"/>
      <c r="U1139" s="169"/>
      <c r="V1139" s="169"/>
      <c r="W1139" s="169"/>
      <c r="X1139" s="169"/>
      <c r="Y1139" s="169"/>
      <c r="Z1139" s="178"/>
      <c r="AA1139" s="167"/>
      <c r="AB1139" s="169"/>
      <c r="AC1139" s="169"/>
      <c r="AD1139" s="169"/>
      <c r="AE1139" s="169"/>
      <c r="AF1139" s="169"/>
      <c r="AG1139" s="179"/>
      <c r="AH1139" s="169"/>
      <c r="AI1139" s="168"/>
      <c r="AJ1139" s="167"/>
      <c r="AK1139" s="168"/>
      <c r="AL1139" s="169"/>
      <c r="AM1139" s="509"/>
      <c r="AN1139" s="510"/>
      <c r="AO1139" s="510"/>
    </row>
    <row r="1140" spans="1:41">
      <c r="A1140" s="177"/>
      <c r="B1140" s="169"/>
      <c r="C1140" s="169"/>
      <c r="D1140" s="169"/>
      <c r="E1140" s="169"/>
      <c r="F1140" s="169"/>
      <c r="G1140" s="169"/>
      <c r="H1140" s="169"/>
      <c r="I1140" s="169"/>
      <c r="J1140" s="169"/>
      <c r="K1140" s="169"/>
      <c r="L1140" s="169"/>
      <c r="M1140" s="169"/>
      <c r="N1140" s="177"/>
      <c r="O1140" s="169"/>
      <c r="P1140" s="169"/>
      <c r="Q1140" s="169"/>
      <c r="R1140" s="169"/>
      <c r="S1140" s="169"/>
      <c r="T1140" s="169"/>
      <c r="U1140" s="169"/>
      <c r="V1140" s="169"/>
      <c r="W1140" s="169"/>
      <c r="X1140" s="169"/>
      <c r="Y1140" s="169"/>
      <c r="Z1140" s="178"/>
      <c r="AA1140" s="167"/>
      <c r="AB1140" s="169"/>
      <c r="AC1140" s="169"/>
      <c r="AD1140" s="169"/>
      <c r="AE1140" s="169"/>
      <c r="AF1140" s="169"/>
      <c r="AG1140" s="179"/>
      <c r="AH1140" s="169"/>
      <c r="AI1140" s="168"/>
      <c r="AJ1140" s="167"/>
      <c r="AK1140" s="168"/>
      <c r="AL1140" s="169"/>
      <c r="AM1140" s="509"/>
      <c r="AN1140" s="510"/>
      <c r="AO1140" s="510"/>
    </row>
    <row r="1141" spans="1:41">
      <c r="A1141" s="177"/>
      <c r="B1141" s="169"/>
      <c r="C1141" s="169"/>
      <c r="D1141" s="169"/>
      <c r="E1141" s="169"/>
      <c r="F1141" s="169"/>
      <c r="G1141" s="169"/>
      <c r="H1141" s="169"/>
      <c r="I1141" s="169"/>
      <c r="J1141" s="169"/>
      <c r="K1141" s="169"/>
      <c r="L1141" s="169"/>
      <c r="M1141" s="169"/>
      <c r="N1141" s="177"/>
      <c r="O1141" s="169"/>
      <c r="P1141" s="169"/>
      <c r="Q1141" s="169"/>
      <c r="R1141" s="169"/>
      <c r="S1141" s="169"/>
      <c r="T1141" s="169"/>
      <c r="U1141" s="169"/>
      <c r="V1141" s="169"/>
      <c r="W1141" s="169"/>
      <c r="X1141" s="169"/>
      <c r="Y1141" s="169"/>
      <c r="Z1141" s="178"/>
      <c r="AA1141" s="167"/>
      <c r="AB1141" s="169"/>
      <c r="AC1141" s="169"/>
      <c r="AD1141" s="169"/>
      <c r="AE1141" s="169"/>
      <c r="AF1141" s="169"/>
      <c r="AG1141" s="179"/>
      <c r="AH1141" s="169"/>
      <c r="AI1141" s="168"/>
      <c r="AJ1141" s="167"/>
      <c r="AK1141" s="168"/>
      <c r="AL1141" s="169"/>
      <c r="AM1141" s="509"/>
      <c r="AN1141" s="510"/>
      <c r="AO1141" s="510"/>
    </row>
    <row r="1142" spans="1:41">
      <c r="A1142" s="177"/>
      <c r="B1142" s="169"/>
      <c r="C1142" s="169"/>
      <c r="D1142" s="169"/>
      <c r="E1142" s="169"/>
      <c r="F1142" s="169"/>
      <c r="G1142" s="169"/>
      <c r="H1142" s="169"/>
      <c r="I1142" s="169"/>
      <c r="J1142" s="169"/>
      <c r="K1142" s="169"/>
      <c r="L1142" s="169"/>
      <c r="M1142" s="169"/>
      <c r="N1142" s="177"/>
      <c r="O1142" s="169"/>
      <c r="P1142" s="169"/>
      <c r="Q1142" s="169"/>
      <c r="R1142" s="169"/>
      <c r="S1142" s="169"/>
      <c r="T1142" s="169"/>
      <c r="U1142" s="169"/>
      <c r="V1142" s="169"/>
      <c r="W1142" s="169"/>
      <c r="X1142" s="169"/>
      <c r="Y1142" s="169"/>
      <c r="Z1142" s="178"/>
      <c r="AA1142" s="167"/>
      <c r="AB1142" s="169"/>
      <c r="AC1142" s="169"/>
      <c r="AD1142" s="169"/>
      <c r="AE1142" s="169"/>
      <c r="AF1142" s="169"/>
      <c r="AG1142" s="179"/>
      <c r="AH1142" s="169"/>
      <c r="AI1142" s="168"/>
      <c r="AJ1142" s="167"/>
      <c r="AK1142" s="168"/>
      <c r="AL1142" s="169"/>
      <c r="AM1142" s="509"/>
      <c r="AN1142" s="510"/>
      <c r="AO1142" s="510"/>
    </row>
    <row r="1143" spans="1:41">
      <c r="A1143" s="177"/>
      <c r="B1143" s="169"/>
      <c r="C1143" s="169"/>
      <c r="D1143" s="169"/>
      <c r="E1143" s="169"/>
      <c r="F1143" s="169"/>
      <c r="G1143" s="169"/>
      <c r="H1143" s="169"/>
      <c r="I1143" s="169"/>
      <c r="J1143" s="169"/>
      <c r="K1143" s="169"/>
      <c r="L1143" s="169"/>
      <c r="M1143" s="169"/>
      <c r="N1143" s="177"/>
      <c r="O1143" s="169"/>
      <c r="P1143" s="169"/>
      <c r="Q1143" s="169"/>
      <c r="R1143" s="169"/>
      <c r="S1143" s="169"/>
      <c r="T1143" s="169"/>
      <c r="U1143" s="169"/>
      <c r="V1143" s="169"/>
      <c r="W1143" s="169"/>
      <c r="X1143" s="169"/>
      <c r="Y1143" s="169"/>
      <c r="Z1143" s="178"/>
      <c r="AA1143" s="167"/>
      <c r="AB1143" s="169"/>
      <c r="AC1143" s="169"/>
      <c r="AD1143" s="169"/>
      <c r="AE1143" s="169"/>
      <c r="AF1143" s="169"/>
      <c r="AG1143" s="179"/>
      <c r="AH1143" s="169"/>
      <c r="AI1143" s="168"/>
      <c r="AJ1143" s="167"/>
      <c r="AK1143" s="168"/>
      <c r="AL1143" s="169"/>
      <c r="AM1143" s="509"/>
      <c r="AN1143" s="510"/>
      <c r="AO1143" s="510"/>
    </row>
    <row r="1144" spans="1:41">
      <c r="A1144" s="177"/>
      <c r="B1144" s="169"/>
      <c r="C1144" s="169"/>
      <c r="D1144" s="169"/>
      <c r="E1144" s="169"/>
      <c r="F1144" s="169"/>
      <c r="G1144" s="169"/>
      <c r="H1144" s="169"/>
      <c r="I1144" s="169"/>
      <c r="J1144" s="169"/>
      <c r="K1144" s="169"/>
      <c r="L1144" s="169"/>
      <c r="M1144" s="169"/>
      <c r="N1144" s="177"/>
      <c r="O1144" s="169"/>
      <c r="P1144" s="169"/>
      <c r="Q1144" s="169"/>
      <c r="R1144" s="169"/>
      <c r="S1144" s="169"/>
      <c r="T1144" s="169"/>
      <c r="U1144" s="169"/>
      <c r="V1144" s="169"/>
      <c r="W1144" s="169"/>
      <c r="X1144" s="169"/>
      <c r="Y1144" s="169"/>
      <c r="Z1144" s="178"/>
      <c r="AA1144" s="167"/>
      <c r="AB1144" s="169"/>
      <c r="AC1144" s="169"/>
      <c r="AD1144" s="169"/>
      <c r="AE1144" s="169"/>
      <c r="AF1144" s="169"/>
      <c r="AG1144" s="179"/>
      <c r="AH1144" s="169"/>
      <c r="AI1144" s="168"/>
      <c r="AJ1144" s="167"/>
      <c r="AK1144" s="168"/>
      <c r="AL1144" s="169"/>
      <c r="AM1144" s="509"/>
      <c r="AN1144" s="510"/>
      <c r="AO1144" s="510"/>
    </row>
    <row r="1145" spans="1:41">
      <c r="A1145" s="177"/>
      <c r="B1145" s="169"/>
      <c r="C1145" s="169"/>
      <c r="D1145" s="169"/>
      <c r="E1145" s="169"/>
      <c r="F1145" s="169"/>
      <c r="G1145" s="169"/>
      <c r="H1145" s="169"/>
      <c r="I1145" s="169"/>
      <c r="J1145" s="169"/>
      <c r="K1145" s="169"/>
      <c r="L1145" s="169"/>
      <c r="M1145" s="169"/>
      <c r="N1145" s="177"/>
      <c r="O1145" s="169"/>
      <c r="P1145" s="169"/>
      <c r="Q1145" s="169"/>
      <c r="R1145" s="169"/>
      <c r="S1145" s="169"/>
      <c r="T1145" s="169"/>
      <c r="U1145" s="169"/>
      <c r="V1145" s="169"/>
      <c r="W1145" s="169"/>
      <c r="X1145" s="169"/>
      <c r="Y1145" s="169"/>
      <c r="Z1145" s="178"/>
      <c r="AA1145" s="167"/>
      <c r="AB1145" s="169"/>
      <c r="AC1145" s="169"/>
      <c r="AD1145" s="169"/>
      <c r="AE1145" s="169"/>
      <c r="AF1145" s="169"/>
      <c r="AG1145" s="179"/>
      <c r="AH1145" s="169"/>
      <c r="AI1145" s="168"/>
      <c r="AJ1145" s="167"/>
      <c r="AK1145" s="168"/>
      <c r="AL1145" s="169"/>
      <c r="AM1145" s="509"/>
      <c r="AN1145" s="510"/>
      <c r="AO1145" s="510"/>
    </row>
    <row r="1146" spans="1:41">
      <c r="A1146" s="177"/>
      <c r="B1146" s="169"/>
      <c r="C1146" s="169"/>
      <c r="D1146" s="169"/>
      <c r="E1146" s="169"/>
      <c r="F1146" s="169"/>
      <c r="G1146" s="169"/>
      <c r="H1146" s="169"/>
      <c r="I1146" s="169"/>
      <c r="J1146" s="169"/>
      <c r="K1146" s="169"/>
      <c r="L1146" s="169"/>
      <c r="M1146" s="169"/>
      <c r="N1146" s="177"/>
      <c r="O1146" s="169"/>
      <c r="P1146" s="169"/>
      <c r="Q1146" s="169"/>
      <c r="R1146" s="169"/>
      <c r="S1146" s="169"/>
      <c r="T1146" s="169"/>
      <c r="U1146" s="169"/>
      <c r="V1146" s="169"/>
      <c r="W1146" s="169"/>
      <c r="X1146" s="169"/>
      <c r="Y1146" s="169"/>
      <c r="Z1146" s="178"/>
      <c r="AA1146" s="167"/>
      <c r="AB1146" s="169"/>
      <c r="AC1146" s="169"/>
      <c r="AD1146" s="169"/>
      <c r="AE1146" s="169"/>
      <c r="AF1146" s="169"/>
      <c r="AG1146" s="179"/>
      <c r="AH1146" s="169"/>
      <c r="AI1146" s="168"/>
      <c r="AJ1146" s="167"/>
      <c r="AK1146" s="168"/>
      <c r="AL1146" s="169"/>
      <c r="AM1146" s="509"/>
      <c r="AN1146" s="510"/>
      <c r="AO1146" s="510"/>
    </row>
    <row r="1147" spans="1:41">
      <c r="A1147" s="177"/>
      <c r="B1147" s="169"/>
      <c r="C1147" s="169"/>
      <c r="D1147" s="169"/>
      <c r="E1147" s="169"/>
      <c r="F1147" s="169"/>
      <c r="G1147" s="169"/>
      <c r="H1147" s="169"/>
      <c r="I1147" s="169"/>
      <c r="J1147" s="169"/>
      <c r="K1147" s="169"/>
      <c r="L1147" s="169"/>
      <c r="M1147" s="169"/>
      <c r="N1147" s="177"/>
      <c r="O1147" s="169"/>
      <c r="P1147" s="169"/>
      <c r="Q1147" s="169"/>
      <c r="R1147" s="169"/>
      <c r="S1147" s="169"/>
      <c r="T1147" s="169"/>
      <c r="U1147" s="169"/>
      <c r="V1147" s="169"/>
      <c r="W1147" s="169"/>
      <c r="X1147" s="169"/>
      <c r="Y1147" s="169"/>
      <c r="Z1147" s="178"/>
      <c r="AA1147" s="167"/>
      <c r="AB1147" s="169"/>
      <c r="AC1147" s="169"/>
      <c r="AD1147" s="169"/>
      <c r="AE1147" s="169"/>
      <c r="AF1147" s="169"/>
      <c r="AG1147" s="179"/>
      <c r="AH1147" s="169"/>
      <c r="AI1147" s="168"/>
      <c r="AJ1147" s="167"/>
      <c r="AK1147" s="168"/>
      <c r="AL1147" s="169"/>
      <c r="AM1147" s="509"/>
      <c r="AN1147" s="510"/>
      <c r="AO1147" s="510"/>
    </row>
    <row r="1148" spans="1:41">
      <c r="A1148" s="177"/>
      <c r="B1148" s="169"/>
      <c r="C1148" s="169"/>
      <c r="D1148" s="169"/>
      <c r="E1148" s="169"/>
      <c r="F1148" s="169"/>
      <c r="G1148" s="169"/>
      <c r="H1148" s="169"/>
      <c r="I1148" s="169"/>
      <c r="J1148" s="169"/>
      <c r="K1148" s="169"/>
      <c r="L1148" s="169"/>
      <c r="M1148" s="169"/>
      <c r="N1148" s="177"/>
      <c r="O1148" s="169"/>
      <c r="P1148" s="169"/>
      <c r="Q1148" s="169"/>
      <c r="R1148" s="169"/>
      <c r="S1148" s="169"/>
      <c r="T1148" s="169"/>
      <c r="U1148" s="169"/>
      <c r="V1148" s="169"/>
      <c r="W1148" s="169"/>
      <c r="X1148" s="169"/>
      <c r="Y1148" s="169"/>
      <c r="Z1148" s="178"/>
      <c r="AA1148" s="167"/>
      <c r="AB1148" s="169"/>
      <c r="AC1148" s="169"/>
      <c r="AD1148" s="169"/>
      <c r="AE1148" s="169"/>
      <c r="AF1148" s="169"/>
      <c r="AG1148" s="179"/>
      <c r="AH1148" s="169"/>
      <c r="AI1148" s="168"/>
      <c r="AJ1148" s="167"/>
      <c r="AK1148" s="168"/>
      <c r="AL1148" s="169"/>
      <c r="AM1148" s="509"/>
      <c r="AN1148" s="510"/>
      <c r="AO1148" s="510"/>
    </row>
    <row r="1149" spans="1:41">
      <c r="A1149" s="177"/>
      <c r="B1149" s="169"/>
      <c r="C1149" s="169"/>
      <c r="D1149" s="169"/>
      <c r="E1149" s="169"/>
      <c r="F1149" s="169"/>
      <c r="G1149" s="169"/>
      <c r="H1149" s="169"/>
      <c r="I1149" s="169"/>
      <c r="J1149" s="169"/>
      <c r="K1149" s="169"/>
      <c r="L1149" s="169"/>
      <c r="M1149" s="169"/>
      <c r="N1149" s="177"/>
      <c r="O1149" s="169"/>
      <c r="P1149" s="169"/>
      <c r="Q1149" s="169"/>
      <c r="R1149" s="169"/>
      <c r="S1149" s="169"/>
      <c r="T1149" s="169"/>
      <c r="U1149" s="169"/>
      <c r="V1149" s="169"/>
      <c r="W1149" s="169"/>
      <c r="X1149" s="169"/>
      <c r="Y1149" s="169"/>
      <c r="Z1149" s="178"/>
      <c r="AA1149" s="167"/>
      <c r="AB1149" s="169"/>
      <c r="AC1149" s="169"/>
      <c r="AD1149" s="169"/>
      <c r="AE1149" s="169"/>
      <c r="AF1149" s="169"/>
      <c r="AG1149" s="179"/>
      <c r="AH1149" s="169"/>
      <c r="AI1149" s="168"/>
      <c r="AJ1149" s="167"/>
      <c r="AK1149" s="168"/>
      <c r="AL1149" s="169"/>
      <c r="AM1149" s="509"/>
      <c r="AN1149" s="510"/>
      <c r="AO1149" s="510"/>
    </row>
    <row r="1150" spans="1:41">
      <c r="A1150" s="177"/>
      <c r="B1150" s="169"/>
      <c r="C1150" s="169"/>
      <c r="D1150" s="169"/>
      <c r="E1150" s="169"/>
      <c r="F1150" s="169"/>
      <c r="G1150" s="169"/>
      <c r="H1150" s="169"/>
      <c r="I1150" s="169"/>
      <c r="J1150" s="169"/>
      <c r="K1150" s="169"/>
      <c r="L1150" s="169"/>
      <c r="M1150" s="169"/>
      <c r="N1150" s="177"/>
      <c r="O1150" s="169"/>
      <c r="P1150" s="169"/>
      <c r="Q1150" s="169"/>
      <c r="R1150" s="169"/>
      <c r="S1150" s="169"/>
      <c r="T1150" s="169"/>
      <c r="U1150" s="169"/>
      <c r="V1150" s="169"/>
      <c r="W1150" s="169"/>
      <c r="X1150" s="169"/>
      <c r="Y1150" s="169"/>
      <c r="Z1150" s="178"/>
      <c r="AA1150" s="167"/>
      <c r="AB1150" s="169"/>
      <c r="AC1150" s="169"/>
      <c r="AD1150" s="169"/>
      <c r="AE1150" s="169"/>
      <c r="AF1150" s="169"/>
      <c r="AG1150" s="179"/>
      <c r="AH1150" s="169"/>
      <c r="AI1150" s="168"/>
      <c r="AJ1150" s="167"/>
      <c r="AK1150" s="168"/>
      <c r="AL1150" s="169"/>
      <c r="AM1150" s="509"/>
      <c r="AN1150" s="510"/>
      <c r="AO1150" s="510"/>
    </row>
    <row r="1151" spans="1:41">
      <c r="A1151" s="177"/>
      <c r="B1151" s="169"/>
      <c r="C1151" s="169"/>
      <c r="D1151" s="169"/>
      <c r="E1151" s="169"/>
      <c r="F1151" s="169"/>
      <c r="G1151" s="169"/>
      <c r="H1151" s="169"/>
      <c r="I1151" s="169"/>
      <c r="J1151" s="169"/>
      <c r="K1151" s="169"/>
      <c r="L1151" s="169"/>
      <c r="M1151" s="169"/>
      <c r="N1151" s="177"/>
      <c r="O1151" s="169"/>
      <c r="P1151" s="169"/>
      <c r="Q1151" s="169"/>
      <c r="R1151" s="169"/>
      <c r="S1151" s="169"/>
      <c r="T1151" s="169"/>
      <c r="U1151" s="169"/>
      <c r="V1151" s="169"/>
      <c r="W1151" s="169"/>
      <c r="X1151" s="169"/>
      <c r="Y1151" s="169"/>
      <c r="Z1151" s="178"/>
      <c r="AA1151" s="167"/>
      <c r="AB1151" s="169"/>
      <c r="AC1151" s="169"/>
      <c r="AD1151" s="169"/>
      <c r="AE1151" s="169"/>
      <c r="AF1151" s="169"/>
      <c r="AG1151" s="179"/>
      <c r="AH1151" s="169"/>
      <c r="AI1151" s="168"/>
      <c r="AJ1151" s="167"/>
      <c r="AK1151" s="168"/>
      <c r="AL1151" s="169"/>
      <c r="AM1151" s="509"/>
      <c r="AN1151" s="510"/>
      <c r="AO1151" s="510"/>
    </row>
    <row r="1152" spans="1:41">
      <c r="A1152" s="177"/>
      <c r="B1152" s="169"/>
      <c r="C1152" s="169"/>
      <c r="D1152" s="169"/>
      <c r="E1152" s="169"/>
      <c r="F1152" s="169"/>
      <c r="G1152" s="169"/>
      <c r="H1152" s="169"/>
      <c r="I1152" s="169"/>
      <c r="J1152" s="169"/>
      <c r="K1152" s="169"/>
      <c r="L1152" s="169"/>
      <c r="M1152" s="169"/>
      <c r="N1152" s="177"/>
      <c r="O1152" s="169"/>
      <c r="P1152" s="169"/>
      <c r="Q1152" s="169"/>
      <c r="R1152" s="169"/>
      <c r="S1152" s="169"/>
      <c r="T1152" s="169"/>
      <c r="U1152" s="169"/>
      <c r="V1152" s="169"/>
      <c r="W1152" s="169"/>
      <c r="X1152" s="169"/>
      <c r="Y1152" s="169"/>
      <c r="Z1152" s="178"/>
      <c r="AA1152" s="167"/>
      <c r="AB1152" s="169"/>
      <c r="AC1152" s="169"/>
      <c r="AD1152" s="169"/>
      <c r="AE1152" s="169"/>
      <c r="AF1152" s="169"/>
      <c r="AG1152" s="179"/>
      <c r="AH1152" s="169"/>
      <c r="AI1152" s="168"/>
      <c r="AJ1152" s="167"/>
      <c r="AK1152" s="168"/>
      <c r="AL1152" s="169"/>
      <c r="AM1152" s="509"/>
      <c r="AN1152" s="510"/>
      <c r="AO1152" s="510"/>
    </row>
    <row r="1153" spans="1:41">
      <c r="A1153" s="177"/>
      <c r="B1153" s="169"/>
      <c r="C1153" s="169"/>
      <c r="D1153" s="169"/>
      <c r="E1153" s="169"/>
      <c r="F1153" s="169"/>
      <c r="G1153" s="169"/>
      <c r="H1153" s="169"/>
      <c r="I1153" s="169"/>
      <c r="J1153" s="169"/>
      <c r="K1153" s="169"/>
      <c r="L1153" s="169"/>
      <c r="M1153" s="169"/>
      <c r="N1153" s="177"/>
      <c r="O1153" s="169"/>
      <c r="P1153" s="169"/>
      <c r="Q1153" s="169"/>
      <c r="R1153" s="169"/>
      <c r="S1153" s="169"/>
      <c r="T1153" s="169"/>
      <c r="U1153" s="169"/>
      <c r="V1153" s="169"/>
      <c r="W1153" s="169"/>
      <c r="X1153" s="169"/>
      <c r="Y1153" s="169"/>
      <c r="Z1153" s="178"/>
      <c r="AA1153" s="167"/>
      <c r="AB1153" s="169"/>
      <c r="AC1153" s="169"/>
      <c r="AD1153" s="169"/>
      <c r="AE1153" s="169"/>
      <c r="AF1153" s="169"/>
      <c r="AG1153" s="179"/>
      <c r="AH1153" s="169"/>
      <c r="AI1153" s="168"/>
      <c r="AJ1153" s="167"/>
      <c r="AK1153" s="168"/>
      <c r="AL1153" s="169"/>
      <c r="AM1153" s="509"/>
      <c r="AN1153" s="510"/>
      <c r="AO1153" s="510"/>
    </row>
    <row r="1154" spans="1:41">
      <c r="A1154" s="177"/>
      <c r="B1154" s="169"/>
      <c r="C1154" s="169"/>
      <c r="D1154" s="169"/>
      <c r="E1154" s="169"/>
      <c r="F1154" s="169"/>
      <c r="G1154" s="169"/>
      <c r="H1154" s="169"/>
      <c r="I1154" s="169"/>
      <c r="J1154" s="169"/>
      <c r="K1154" s="169"/>
      <c r="L1154" s="169"/>
      <c r="M1154" s="169"/>
      <c r="N1154" s="177"/>
      <c r="O1154" s="169"/>
      <c r="P1154" s="169"/>
      <c r="Q1154" s="169"/>
      <c r="R1154" s="169"/>
      <c r="S1154" s="169"/>
      <c r="T1154" s="169"/>
      <c r="U1154" s="169"/>
      <c r="V1154" s="169"/>
      <c r="W1154" s="169"/>
      <c r="X1154" s="169"/>
      <c r="Y1154" s="169"/>
      <c r="Z1154" s="178"/>
      <c r="AA1154" s="167"/>
      <c r="AB1154" s="169"/>
      <c r="AC1154" s="169"/>
      <c r="AD1154" s="169"/>
      <c r="AE1154" s="169"/>
      <c r="AF1154" s="169"/>
      <c r="AG1154" s="179"/>
      <c r="AH1154" s="169"/>
      <c r="AI1154" s="168"/>
      <c r="AJ1154" s="167"/>
      <c r="AK1154" s="168"/>
      <c r="AL1154" s="169"/>
      <c r="AM1154" s="509"/>
      <c r="AN1154" s="510"/>
      <c r="AO1154" s="510"/>
    </row>
    <row r="1155" spans="1:41">
      <c r="A1155" s="177"/>
      <c r="B1155" s="169"/>
      <c r="C1155" s="169"/>
      <c r="D1155" s="169"/>
      <c r="E1155" s="169"/>
      <c r="F1155" s="169"/>
      <c r="G1155" s="169"/>
      <c r="H1155" s="169"/>
      <c r="I1155" s="169"/>
      <c r="J1155" s="169"/>
      <c r="K1155" s="169"/>
      <c r="L1155" s="169"/>
      <c r="M1155" s="169"/>
      <c r="N1155" s="177"/>
      <c r="O1155" s="169"/>
      <c r="P1155" s="169"/>
      <c r="Q1155" s="169"/>
      <c r="R1155" s="169"/>
      <c r="S1155" s="169"/>
      <c r="T1155" s="169"/>
      <c r="U1155" s="169"/>
      <c r="V1155" s="169"/>
      <c r="W1155" s="169"/>
      <c r="X1155" s="169"/>
      <c r="Y1155" s="169"/>
      <c r="Z1155" s="178"/>
      <c r="AA1155" s="167"/>
      <c r="AB1155" s="169"/>
      <c r="AC1155" s="169"/>
      <c r="AD1155" s="169"/>
      <c r="AE1155" s="169"/>
      <c r="AF1155" s="169"/>
      <c r="AG1155" s="179"/>
      <c r="AH1155" s="169"/>
      <c r="AI1155" s="168"/>
      <c r="AJ1155" s="167"/>
      <c r="AK1155" s="168"/>
      <c r="AL1155" s="169"/>
      <c r="AM1155" s="509"/>
      <c r="AN1155" s="510"/>
      <c r="AO1155" s="510"/>
    </row>
    <row r="1156" spans="1:41">
      <c r="A1156" s="177"/>
      <c r="B1156" s="169"/>
      <c r="C1156" s="169"/>
      <c r="D1156" s="169"/>
      <c r="E1156" s="169"/>
      <c r="F1156" s="169"/>
      <c r="G1156" s="169"/>
      <c r="H1156" s="169"/>
      <c r="I1156" s="169"/>
      <c r="J1156" s="169"/>
      <c r="K1156" s="169"/>
      <c r="L1156" s="169"/>
      <c r="M1156" s="169"/>
      <c r="N1156" s="177"/>
      <c r="O1156" s="169"/>
      <c r="P1156" s="169"/>
      <c r="Q1156" s="169"/>
      <c r="R1156" s="169"/>
      <c r="S1156" s="169"/>
      <c r="T1156" s="169"/>
      <c r="U1156" s="169"/>
      <c r="V1156" s="169"/>
      <c r="W1156" s="169"/>
      <c r="X1156" s="169"/>
      <c r="Y1156" s="169"/>
      <c r="Z1156" s="178"/>
      <c r="AA1156" s="167"/>
      <c r="AB1156" s="169"/>
      <c r="AC1156" s="169"/>
      <c r="AD1156" s="169"/>
      <c r="AE1156" s="169"/>
      <c r="AF1156" s="169"/>
      <c r="AG1156" s="179"/>
      <c r="AH1156" s="169"/>
      <c r="AI1156" s="168"/>
      <c r="AJ1156" s="167"/>
      <c r="AK1156" s="168"/>
      <c r="AL1156" s="169"/>
      <c r="AM1156" s="509"/>
      <c r="AN1156" s="510"/>
      <c r="AO1156" s="510"/>
    </row>
    <row r="1157" spans="1:41">
      <c r="A1157" s="177"/>
      <c r="B1157" s="169"/>
      <c r="C1157" s="169"/>
      <c r="D1157" s="169"/>
      <c r="E1157" s="169"/>
      <c r="F1157" s="169"/>
      <c r="G1157" s="169"/>
      <c r="H1157" s="169"/>
      <c r="I1157" s="169"/>
      <c r="J1157" s="169"/>
      <c r="K1157" s="169"/>
      <c r="L1157" s="169"/>
      <c r="M1157" s="169"/>
      <c r="N1157" s="177"/>
      <c r="O1157" s="169"/>
      <c r="P1157" s="169"/>
      <c r="Q1157" s="169"/>
      <c r="R1157" s="169"/>
      <c r="S1157" s="169"/>
      <c r="T1157" s="169"/>
      <c r="U1157" s="169"/>
      <c r="V1157" s="169"/>
      <c r="W1157" s="169"/>
      <c r="X1157" s="169"/>
      <c r="Y1157" s="169"/>
      <c r="Z1157" s="178"/>
      <c r="AA1157" s="167"/>
      <c r="AB1157" s="169"/>
      <c r="AC1157" s="169"/>
      <c r="AD1157" s="169"/>
      <c r="AE1157" s="169"/>
      <c r="AF1157" s="169"/>
      <c r="AG1157" s="179"/>
      <c r="AH1157" s="169"/>
      <c r="AI1157" s="168"/>
      <c r="AJ1157" s="167"/>
      <c r="AK1157" s="168"/>
      <c r="AL1157" s="169"/>
      <c r="AM1157" s="509"/>
      <c r="AN1157" s="510"/>
      <c r="AO1157" s="510"/>
    </row>
    <row r="1158" spans="1:41">
      <c r="A1158" s="177"/>
      <c r="B1158" s="169"/>
      <c r="C1158" s="169"/>
      <c r="D1158" s="169"/>
      <c r="E1158" s="169"/>
      <c r="F1158" s="169"/>
      <c r="G1158" s="169"/>
      <c r="H1158" s="169"/>
      <c r="I1158" s="169"/>
      <c r="J1158" s="169"/>
      <c r="K1158" s="169"/>
      <c r="L1158" s="169"/>
      <c r="M1158" s="169"/>
      <c r="N1158" s="177"/>
      <c r="O1158" s="169"/>
      <c r="P1158" s="169"/>
      <c r="Q1158" s="169"/>
      <c r="R1158" s="169"/>
      <c r="S1158" s="169"/>
      <c r="T1158" s="169"/>
      <c r="U1158" s="169"/>
      <c r="V1158" s="169"/>
      <c r="W1158" s="169"/>
      <c r="X1158" s="169"/>
      <c r="Y1158" s="169"/>
      <c r="Z1158" s="178"/>
      <c r="AA1158" s="167"/>
      <c r="AB1158" s="169"/>
      <c r="AC1158" s="169"/>
      <c r="AD1158" s="169"/>
      <c r="AE1158" s="169"/>
      <c r="AF1158" s="169"/>
      <c r="AG1158" s="179"/>
      <c r="AH1158" s="169"/>
      <c r="AI1158" s="168"/>
      <c r="AJ1158" s="167"/>
      <c r="AK1158" s="168"/>
      <c r="AL1158" s="169"/>
      <c r="AM1158" s="509"/>
      <c r="AN1158" s="510"/>
      <c r="AO1158" s="510"/>
    </row>
    <row r="1159" spans="1:41">
      <c r="A1159" s="177"/>
      <c r="B1159" s="169"/>
      <c r="C1159" s="169"/>
      <c r="D1159" s="169"/>
      <c r="E1159" s="169"/>
      <c r="F1159" s="169"/>
      <c r="G1159" s="169"/>
      <c r="H1159" s="169"/>
      <c r="I1159" s="169"/>
      <c r="J1159" s="169"/>
      <c r="K1159" s="169"/>
      <c r="L1159" s="169"/>
      <c r="M1159" s="169"/>
      <c r="N1159" s="177"/>
      <c r="O1159" s="169"/>
      <c r="P1159" s="169"/>
      <c r="Q1159" s="169"/>
      <c r="R1159" s="169"/>
      <c r="S1159" s="169"/>
      <c r="T1159" s="169"/>
      <c r="U1159" s="169"/>
      <c r="V1159" s="169"/>
      <c r="W1159" s="169"/>
      <c r="X1159" s="169"/>
      <c r="Y1159" s="169"/>
      <c r="Z1159" s="178"/>
      <c r="AA1159" s="167"/>
      <c r="AB1159" s="169"/>
      <c r="AC1159" s="169"/>
      <c r="AD1159" s="169"/>
      <c r="AE1159" s="169"/>
      <c r="AF1159" s="169"/>
      <c r="AG1159" s="179"/>
      <c r="AH1159" s="169"/>
      <c r="AI1159" s="168"/>
      <c r="AJ1159" s="167"/>
      <c r="AK1159" s="168"/>
      <c r="AL1159" s="169"/>
      <c r="AM1159" s="509"/>
      <c r="AN1159" s="510"/>
      <c r="AO1159" s="510"/>
    </row>
    <row r="1160" spans="1:41">
      <c r="A1160" s="177"/>
      <c r="B1160" s="169"/>
      <c r="C1160" s="169"/>
      <c r="D1160" s="169"/>
      <c r="E1160" s="169"/>
      <c r="F1160" s="169"/>
      <c r="G1160" s="169"/>
      <c r="H1160" s="169"/>
      <c r="I1160" s="169"/>
      <c r="J1160" s="169"/>
      <c r="K1160" s="169"/>
      <c r="L1160" s="169"/>
      <c r="M1160" s="169"/>
      <c r="N1160" s="177"/>
      <c r="O1160" s="169"/>
      <c r="P1160" s="169"/>
      <c r="Q1160" s="169"/>
      <c r="R1160" s="169"/>
      <c r="S1160" s="169"/>
      <c r="T1160" s="169"/>
      <c r="U1160" s="169"/>
      <c r="V1160" s="169"/>
      <c r="W1160" s="169"/>
      <c r="X1160" s="169"/>
      <c r="Y1160" s="169"/>
      <c r="Z1160" s="178"/>
      <c r="AA1160" s="167"/>
      <c r="AB1160" s="169"/>
      <c r="AC1160" s="169"/>
      <c r="AD1160" s="169"/>
      <c r="AE1160" s="169"/>
      <c r="AF1160" s="169"/>
      <c r="AG1160" s="179"/>
      <c r="AH1160" s="169"/>
      <c r="AI1160" s="168"/>
      <c r="AJ1160" s="167"/>
      <c r="AK1160" s="168"/>
      <c r="AL1160" s="169"/>
      <c r="AM1160" s="509"/>
      <c r="AN1160" s="510"/>
      <c r="AO1160" s="510"/>
    </row>
    <row r="1161" spans="1:41">
      <c r="A1161" s="177"/>
      <c r="B1161" s="169"/>
      <c r="C1161" s="169"/>
      <c r="D1161" s="169"/>
      <c r="E1161" s="169"/>
      <c r="F1161" s="169"/>
      <c r="G1161" s="169"/>
      <c r="H1161" s="169"/>
      <c r="I1161" s="169"/>
      <c r="J1161" s="169"/>
      <c r="K1161" s="169"/>
      <c r="L1161" s="169"/>
      <c r="M1161" s="169"/>
      <c r="N1161" s="177"/>
      <c r="O1161" s="169"/>
      <c r="P1161" s="169"/>
      <c r="Q1161" s="169"/>
      <c r="R1161" s="169"/>
      <c r="S1161" s="169"/>
      <c r="T1161" s="169"/>
      <c r="U1161" s="169"/>
      <c r="V1161" s="169"/>
      <c r="W1161" s="169"/>
      <c r="X1161" s="169"/>
      <c r="Y1161" s="169"/>
      <c r="Z1161" s="178"/>
      <c r="AA1161" s="167"/>
      <c r="AB1161" s="169"/>
      <c r="AC1161" s="169"/>
      <c r="AD1161" s="169"/>
      <c r="AE1161" s="169"/>
      <c r="AF1161" s="169"/>
      <c r="AG1161" s="179"/>
      <c r="AH1161" s="169"/>
      <c r="AI1161" s="168"/>
      <c r="AJ1161" s="167"/>
      <c r="AK1161" s="168"/>
      <c r="AL1161" s="169"/>
      <c r="AM1161" s="509"/>
      <c r="AN1161" s="510"/>
      <c r="AO1161" s="510"/>
    </row>
    <row r="1162" spans="1:41">
      <c r="A1162" s="177"/>
      <c r="B1162" s="169"/>
      <c r="C1162" s="169"/>
      <c r="D1162" s="169"/>
      <c r="E1162" s="169"/>
      <c r="F1162" s="169"/>
      <c r="G1162" s="169"/>
      <c r="H1162" s="169"/>
      <c r="I1162" s="169"/>
      <c r="J1162" s="169"/>
      <c r="K1162" s="169"/>
      <c r="L1162" s="169"/>
      <c r="M1162" s="169"/>
      <c r="N1162" s="177"/>
      <c r="O1162" s="169"/>
      <c r="P1162" s="169"/>
      <c r="Q1162" s="169"/>
      <c r="R1162" s="169"/>
      <c r="S1162" s="169"/>
      <c r="T1162" s="169"/>
      <c r="U1162" s="169"/>
      <c r="V1162" s="169"/>
      <c r="W1162" s="169"/>
      <c r="X1162" s="169"/>
      <c r="Y1162" s="169"/>
      <c r="Z1162" s="178"/>
      <c r="AA1162" s="167"/>
      <c r="AB1162" s="169"/>
      <c r="AC1162" s="169"/>
      <c r="AD1162" s="169"/>
      <c r="AE1162" s="169"/>
      <c r="AF1162" s="169"/>
      <c r="AG1162" s="179"/>
      <c r="AH1162" s="169"/>
      <c r="AI1162" s="168"/>
      <c r="AJ1162" s="167"/>
      <c r="AK1162" s="168"/>
      <c r="AL1162" s="169"/>
      <c r="AM1162" s="509"/>
      <c r="AN1162" s="510"/>
      <c r="AO1162" s="510"/>
    </row>
    <row r="1163" spans="1:41">
      <c r="A1163" s="177"/>
      <c r="B1163" s="169"/>
      <c r="C1163" s="169"/>
      <c r="D1163" s="169"/>
      <c r="E1163" s="169"/>
      <c r="F1163" s="169"/>
      <c r="G1163" s="169"/>
      <c r="H1163" s="169"/>
      <c r="I1163" s="169"/>
      <c r="J1163" s="169"/>
      <c r="K1163" s="169"/>
      <c r="L1163" s="169"/>
      <c r="M1163" s="169"/>
      <c r="N1163" s="177"/>
      <c r="O1163" s="169"/>
      <c r="P1163" s="169"/>
      <c r="Q1163" s="169"/>
      <c r="R1163" s="169"/>
      <c r="S1163" s="169"/>
      <c r="T1163" s="169"/>
      <c r="U1163" s="169"/>
      <c r="V1163" s="169"/>
      <c r="W1163" s="169"/>
      <c r="X1163" s="169"/>
      <c r="Y1163" s="169"/>
      <c r="Z1163" s="178"/>
      <c r="AA1163" s="167"/>
      <c r="AB1163" s="169"/>
      <c r="AC1163" s="169"/>
      <c r="AD1163" s="169"/>
      <c r="AE1163" s="169"/>
      <c r="AF1163" s="169"/>
      <c r="AG1163" s="179"/>
      <c r="AH1163" s="169"/>
      <c r="AI1163" s="168"/>
      <c r="AJ1163" s="167"/>
      <c r="AK1163" s="168"/>
      <c r="AL1163" s="169"/>
      <c r="AM1163" s="509"/>
      <c r="AN1163" s="510"/>
      <c r="AO1163" s="510"/>
    </row>
    <row r="1164" spans="1:41">
      <c r="A1164" s="177"/>
      <c r="B1164" s="169"/>
      <c r="C1164" s="169"/>
      <c r="D1164" s="169"/>
      <c r="E1164" s="169"/>
      <c r="F1164" s="169"/>
      <c r="G1164" s="169"/>
      <c r="H1164" s="169"/>
      <c r="I1164" s="169"/>
      <c r="J1164" s="169"/>
      <c r="K1164" s="169"/>
      <c r="L1164" s="169"/>
      <c r="M1164" s="169"/>
      <c r="N1164" s="177"/>
      <c r="O1164" s="169"/>
      <c r="P1164" s="169"/>
      <c r="Q1164" s="169"/>
      <c r="R1164" s="169"/>
      <c r="S1164" s="169"/>
      <c r="T1164" s="169"/>
      <c r="U1164" s="169"/>
      <c r="V1164" s="169"/>
      <c r="W1164" s="169"/>
      <c r="X1164" s="169"/>
      <c r="Y1164" s="169"/>
      <c r="Z1164" s="178"/>
      <c r="AA1164" s="167"/>
      <c r="AB1164" s="169"/>
      <c r="AC1164" s="169"/>
      <c r="AD1164" s="169"/>
      <c r="AE1164" s="169"/>
      <c r="AF1164" s="169"/>
      <c r="AG1164" s="179"/>
      <c r="AH1164" s="169"/>
      <c r="AI1164" s="168"/>
      <c r="AJ1164" s="167"/>
      <c r="AK1164" s="168"/>
      <c r="AL1164" s="169"/>
      <c r="AM1164" s="509"/>
      <c r="AN1164" s="510"/>
      <c r="AO1164" s="510"/>
    </row>
    <row r="1165" spans="1:41">
      <c r="A1165" s="177"/>
      <c r="B1165" s="169"/>
      <c r="C1165" s="169"/>
      <c r="D1165" s="169"/>
      <c r="E1165" s="169"/>
      <c r="F1165" s="169"/>
      <c r="G1165" s="169"/>
      <c r="H1165" s="169"/>
      <c r="I1165" s="169"/>
      <c r="J1165" s="169"/>
      <c r="K1165" s="169"/>
      <c r="L1165" s="169"/>
      <c r="M1165" s="169"/>
      <c r="N1165" s="177"/>
      <c r="O1165" s="169"/>
      <c r="P1165" s="169"/>
      <c r="Q1165" s="169"/>
      <c r="R1165" s="169"/>
      <c r="S1165" s="169"/>
      <c r="T1165" s="169"/>
      <c r="U1165" s="169"/>
      <c r="V1165" s="169"/>
      <c r="W1165" s="169"/>
      <c r="X1165" s="169"/>
      <c r="Y1165" s="169"/>
      <c r="Z1165" s="178"/>
      <c r="AA1165" s="167"/>
      <c r="AB1165" s="169"/>
      <c r="AC1165" s="169"/>
      <c r="AD1165" s="169"/>
      <c r="AE1165" s="169"/>
      <c r="AF1165" s="169"/>
      <c r="AG1165" s="179"/>
      <c r="AH1165" s="169"/>
      <c r="AI1165" s="168"/>
      <c r="AJ1165" s="167"/>
      <c r="AK1165" s="168"/>
      <c r="AL1165" s="169"/>
      <c r="AM1165" s="509"/>
      <c r="AN1165" s="510"/>
      <c r="AO1165" s="510"/>
    </row>
    <row r="1166" spans="1:41">
      <c r="A1166" s="177"/>
      <c r="B1166" s="169"/>
      <c r="C1166" s="169"/>
      <c r="D1166" s="169"/>
      <c r="E1166" s="169"/>
      <c r="F1166" s="169"/>
      <c r="G1166" s="169"/>
      <c r="H1166" s="169"/>
      <c r="I1166" s="169"/>
      <c r="J1166" s="169"/>
      <c r="K1166" s="169"/>
      <c r="L1166" s="169"/>
      <c r="M1166" s="169"/>
      <c r="N1166" s="177"/>
      <c r="O1166" s="169"/>
      <c r="P1166" s="169"/>
      <c r="Q1166" s="169"/>
      <c r="R1166" s="169"/>
      <c r="S1166" s="169"/>
      <c r="T1166" s="169"/>
      <c r="U1166" s="169"/>
      <c r="V1166" s="169"/>
      <c r="W1166" s="169"/>
      <c r="X1166" s="169"/>
      <c r="Y1166" s="169"/>
      <c r="Z1166" s="178"/>
      <c r="AA1166" s="167"/>
      <c r="AB1166" s="169"/>
      <c r="AC1166" s="169"/>
      <c r="AD1166" s="169"/>
      <c r="AE1166" s="169"/>
      <c r="AF1166" s="169"/>
      <c r="AG1166" s="179"/>
      <c r="AH1166" s="169"/>
      <c r="AI1166" s="168"/>
      <c r="AJ1166" s="167"/>
      <c r="AK1166" s="168"/>
      <c r="AL1166" s="169"/>
      <c r="AM1166" s="509"/>
      <c r="AN1166" s="510"/>
      <c r="AO1166" s="510"/>
    </row>
    <row r="1167" spans="1:41">
      <c r="A1167" s="177"/>
      <c r="B1167" s="169"/>
      <c r="C1167" s="169"/>
      <c r="D1167" s="169"/>
      <c r="E1167" s="169"/>
      <c r="F1167" s="169"/>
      <c r="G1167" s="169"/>
      <c r="H1167" s="169"/>
      <c r="I1167" s="169"/>
      <c r="J1167" s="169"/>
      <c r="K1167" s="169"/>
      <c r="L1167" s="169"/>
      <c r="M1167" s="169"/>
      <c r="N1167" s="177"/>
      <c r="O1167" s="169"/>
      <c r="P1167" s="169"/>
      <c r="Q1167" s="169"/>
      <c r="R1167" s="169"/>
      <c r="S1167" s="169"/>
      <c r="T1167" s="169"/>
      <c r="U1167" s="169"/>
      <c r="V1167" s="169"/>
      <c r="W1167" s="169"/>
      <c r="X1167" s="169"/>
      <c r="Y1167" s="169"/>
      <c r="Z1167" s="178"/>
      <c r="AA1167" s="167"/>
      <c r="AB1167" s="169"/>
      <c r="AC1167" s="169"/>
      <c r="AD1167" s="169"/>
      <c r="AE1167" s="169"/>
      <c r="AF1167" s="169"/>
      <c r="AG1167" s="179"/>
      <c r="AH1167" s="169"/>
      <c r="AI1167" s="168"/>
      <c r="AJ1167" s="167"/>
      <c r="AK1167" s="168"/>
      <c r="AL1167" s="169"/>
      <c r="AM1167" s="509"/>
      <c r="AN1167" s="510"/>
      <c r="AO1167" s="510"/>
    </row>
    <row r="1168" spans="1:41">
      <c r="A1168" s="177"/>
      <c r="B1168" s="169"/>
      <c r="C1168" s="169"/>
      <c r="D1168" s="169"/>
      <c r="E1168" s="169"/>
      <c r="F1168" s="169"/>
      <c r="G1168" s="169"/>
      <c r="H1168" s="169"/>
      <c r="I1168" s="169"/>
      <c r="J1168" s="169"/>
      <c r="K1168" s="169"/>
      <c r="L1168" s="169"/>
      <c r="M1168" s="169"/>
      <c r="N1168" s="177"/>
      <c r="O1168" s="169"/>
      <c r="P1168" s="169"/>
      <c r="Q1168" s="169"/>
      <c r="R1168" s="169"/>
      <c r="S1168" s="169"/>
      <c r="T1168" s="169"/>
      <c r="U1168" s="169"/>
      <c r="V1168" s="169"/>
      <c r="W1168" s="169"/>
      <c r="X1168" s="169"/>
      <c r="Y1168" s="169"/>
      <c r="Z1168" s="178"/>
      <c r="AA1168" s="167"/>
      <c r="AB1168" s="169"/>
      <c r="AC1168" s="169"/>
      <c r="AD1168" s="169"/>
      <c r="AE1168" s="169"/>
      <c r="AF1168" s="169"/>
      <c r="AG1168" s="179"/>
      <c r="AH1168" s="169"/>
      <c r="AI1168" s="168"/>
      <c r="AJ1168" s="167"/>
      <c r="AK1168" s="168"/>
      <c r="AL1168" s="169"/>
      <c r="AM1168" s="509"/>
      <c r="AN1168" s="510"/>
      <c r="AO1168" s="510"/>
    </row>
    <row r="1169" spans="1:41">
      <c r="A1169" s="177"/>
      <c r="B1169" s="169"/>
      <c r="C1169" s="169"/>
      <c r="D1169" s="169"/>
      <c r="E1169" s="169"/>
      <c r="F1169" s="169"/>
      <c r="G1169" s="169"/>
      <c r="H1169" s="169"/>
      <c r="I1169" s="169"/>
      <c r="J1169" s="169"/>
      <c r="K1169" s="169"/>
      <c r="L1169" s="169"/>
      <c r="M1169" s="169"/>
      <c r="N1169" s="177"/>
      <c r="O1169" s="169"/>
      <c r="P1169" s="169"/>
      <c r="Q1169" s="169"/>
      <c r="R1169" s="169"/>
      <c r="S1169" s="169"/>
      <c r="T1169" s="169"/>
      <c r="U1169" s="169"/>
      <c r="V1169" s="169"/>
      <c r="W1169" s="169"/>
      <c r="X1169" s="169"/>
      <c r="Y1169" s="169"/>
      <c r="Z1169" s="178"/>
      <c r="AA1169" s="167"/>
      <c r="AB1169" s="169"/>
      <c r="AC1169" s="169"/>
      <c r="AD1169" s="169"/>
      <c r="AE1169" s="169"/>
      <c r="AF1169" s="169"/>
      <c r="AG1169" s="179"/>
      <c r="AH1169" s="169"/>
      <c r="AI1169" s="168"/>
      <c r="AJ1169" s="167"/>
      <c r="AK1169" s="168"/>
      <c r="AL1169" s="169"/>
      <c r="AM1169" s="509"/>
      <c r="AN1169" s="510"/>
      <c r="AO1169" s="510"/>
    </row>
    <row r="1170" spans="1:41">
      <c r="A1170" s="177"/>
      <c r="B1170" s="169"/>
      <c r="C1170" s="169"/>
      <c r="D1170" s="169"/>
      <c r="E1170" s="169"/>
      <c r="F1170" s="169"/>
      <c r="G1170" s="169"/>
      <c r="H1170" s="169"/>
      <c r="I1170" s="169"/>
      <c r="J1170" s="169"/>
      <c r="K1170" s="169"/>
      <c r="L1170" s="169"/>
      <c r="M1170" s="169"/>
      <c r="N1170" s="177"/>
      <c r="O1170" s="169"/>
      <c r="P1170" s="169"/>
      <c r="Q1170" s="169"/>
      <c r="R1170" s="169"/>
      <c r="S1170" s="169"/>
      <c r="T1170" s="169"/>
      <c r="U1170" s="169"/>
      <c r="V1170" s="169"/>
      <c r="W1170" s="169"/>
      <c r="X1170" s="169"/>
      <c r="Y1170" s="169"/>
      <c r="Z1170" s="178"/>
      <c r="AA1170" s="167"/>
      <c r="AB1170" s="169"/>
      <c r="AC1170" s="169"/>
      <c r="AD1170" s="169"/>
      <c r="AE1170" s="169"/>
      <c r="AF1170" s="169"/>
      <c r="AG1170" s="179"/>
      <c r="AH1170" s="169"/>
      <c r="AI1170" s="168"/>
      <c r="AJ1170" s="167"/>
      <c r="AK1170" s="168"/>
      <c r="AL1170" s="169"/>
      <c r="AM1170" s="509"/>
      <c r="AN1170" s="510"/>
      <c r="AO1170" s="510"/>
    </row>
    <row r="1171" spans="1:41">
      <c r="A1171" s="177"/>
      <c r="B1171" s="169"/>
      <c r="C1171" s="169"/>
      <c r="D1171" s="169"/>
      <c r="E1171" s="169"/>
      <c r="F1171" s="169"/>
      <c r="G1171" s="169"/>
      <c r="H1171" s="169"/>
      <c r="I1171" s="169"/>
      <c r="J1171" s="169"/>
      <c r="K1171" s="169"/>
      <c r="L1171" s="169"/>
      <c r="M1171" s="169"/>
      <c r="N1171" s="177"/>
      <c r="O1171" s="169"/>
      <c r="P1171" s="169"/>
      <c r="Q1171" s="169"/>
      <c r="R1171" s="169"/>
      <c r="S1171" s="169"/>
      <c r="T1171" s="169"/>
      <c r="U1171" s="169"/>
      <c r="V1171" s="169"/>
      <c r="W1171" s="169"/>
      <c r="X1171" s="169"/>
      <c r="Y1171" s="169"/>
      <c r="Z1171" s="178"/>
      <c r="AA1171" s="167"/>
      <c r="AB1171" s="169"/>
      <c r="AC1171" s="169"/>
      <c r="AD1171" s="169"/>
      <c r="AE1171" s="169"/>
      <c r="AF1171" s="169"/>
      <c r="AG1171" s="179"/>
      <c r="AH1171" s="169"/>
      <c r="AI1171" s="168"/>
      <c r="AJ1171" s="167"/>
      <c r="AK1171" s="168"/>
      <c r="AL1171" s="169"/>
      <c r="AM1171" s="509"/>
      <c r="AN1171" s="510"/>
      <c r="AO1171" s="510"/>
    </row>
    <row r="1172" spans="1:41">
      <c r="A1172" s="177"/>
      <c r="B1172" s="169"/>
      <c r="C1172" s="169"/>
      <c r="D1172" s="169"/>
      <c r="E1172" s="169"/>
      <c r="F1172" s="169"/>
      <c r="G1172" s="169"/>
      <c r="H1172" s="169"/>
      <c r="I1172" s="169"/>
      <c r="J1172" s="169"/>
      <c r="K1172" s="169"/>
      <c r="L1172" s="169"/>
      <c r="M1172" s="169"/>
      <c r="N1172" s="177"/>
      <c r="O1172" s="169"/>
      <c r="P1172" s="169"/>
      <c r="Q1172" s="169"/>
      <c r="R1172" s="169"/>
      <c r="S1172" s="169"/>
      <c r="T1172" s="169"/>
      <c r="U1172" s="169"/>
      <c r="V1172" s="169"/>
      <c r="W1172" s="169"/>
      <c r="X1172" s="169"/>
      <c r="Y1172" s="169"/>
      <c r="Z1172" s="178"/>
      <c r="AA1172" s="167"/>
      <c r="AB1172" s="169"/>
      <c r="AC1172" s="169"/>
      <c r="AD1172" s="169"/>
      <c r="AE1172" s="169"/>
      <c r="AF1172" s="169"/>
      <c r="AG1172" s="179"/>
      <c r="AH1172" s="169"/>
      <c r="AI1172" s="168"/>
      <c r="AJ1172" s="167"/>
      <c r="AK1172" s="168"/>
      <c r="AL1172" s="169"/>
      <c r="AM1172" s="509"/>
      <c r="AN1172" s="510"/>
      <c r="AO1172" s="510"/>
    </row>
    <row r="1173" spans="1:41">
      <c r="A1173" s="177"/>
      <c r="B1173" s="169"/>
      <c r="C1173" s="169"/>
      <c r="D1173" s="169"/>
      <c r="E1173" s="169"/>
      <c r="F1173" s="169"/>
      <c r="G1173" s="169"/>
      <c r="H1173" s="169"/>
      <c r="I1173" s="169"/>
      <c r="J1173" s="169"/>
      <c r="K1173" s="169"/>
      <c r="L1173" s="169"/>
      <c r="M1173" s="169"/>
      <c r="N1173" s="177"/>
      <c r="O1173" s="169"/>
      <c r="P1173" s="169"/>
      <c r="Q1173" s="169"/>
      <c r="R1173" s="169"/>
      <c r="S1173" s="169"/>
      <c r="T1173" s="169"/>
      <c r="U1173" s="169"/>
      <c r="V1173" s="169"/>
      <c r="W1173" s="169"/>
      <c r="X1173" s="169"/>
      <c r="Y1173" s="169"/>
      <c r="Z1173" s="178"/>
      <c r="AA1173" s="167"/>
      <c r="AB1173" s="169"/>
      <c r="AC1173" s="169"/>
      <c r="AD1173" s="169"/>
      <c r="AE1173" s="169"/>
      <c r="AF1173" s="169"/>
      <c r="AG1173" s="179"/>
      <c r="AH1173" s="169"/>
      <c r="AI1173" s="168"/>
      <c r="AJ1173" s="167"/>
      <c r="AK1173" s="168"/>
      <c r="AL1173" s="169"/>
      <c r="AM1173" s="509"/>
      <c r="AN1173" s="510"/>
      <c r="AO1173" s="510"/>
    </row>
    <row r="1174" spans="1:41">
      <c r="A1174" s="177"/>
      <c r="B1174" s="169"/>
      <c r="C1174" s="169"/>
      <c r="D1174" s="169"/>
      <c r="E1174" s="169"/>
      <c r="F1174" s="169"/>
      <c r="G1174" s="169"/>
      <c r="H1174" s="169"/>
      <c r="I1174" s="169"/>
      <c r="J1174" s="169"/>
      <c r="K1174" s="169"/>
      <c r="L1174" s="169"/>
      <c r="M1174" s="169"/>
      <c r="N1174" s="177"/>
      <c r="O1174" s="169"/>
      <c r="P1174" s="169"/>
      <c r="Q1174" s="169"/>
      <c r="R1174" s="169"/>
      <c r="S1174" s="169"/>
      <c r="T1174" s="169"/>
      <c r="U1174" s="169"/>
      <c r="V1174" s="169"/>
      <c r="W1174" s="169"/>
      <c r="X1174" s="169"/>
      <c r="Y1174" s="169"/>
      <c r="Z1174" s="178"/>
      <c r="AA1174" s="167"/>
      <c r="AB1174" s="169"/>
      <c r="AC1174" s="169"/>
      <c r="AD1174" s="169"/>
      <c r="AE1174" s="169"/>
      <c r="AF1174" s="169"/>
      <c r="AG1174" s="179"/>
      <c r="AH1174" s="169"/>
      <c r="AI1174" s="168"/>
      <c r="AJ1174" s="167"/>
      <c r="AK1174" s="168"/>
      <c r="AL1174" s="169"/>
      <c r="AM1174" s="509"/>
      <c r="AN1174" s="510"/>
      <c r="AO1174" s="510"/>
    </row>
    <row r="1175" spans="1:41">
      <c r="A1175" s="177"/>
      <c r="B1175" s="169"/>
      <c r="C1175" s="169"/>
      <c r="D1175" s="169"/>
      <c r="E1175" s="169"/>
      <c r="F1175" s="169"/>
      <c r="G1175" s="169"/>
      <c r="H1175" s="169"/>
      <c r="I1175" s="169"/>
      <c r="J1175" s="169"/>
      <c r="K1175" s="169"/>
      <c r="L1175" s="169"/>
      <c r="M1175" s="169"/>
      <c r="N1175" s="177"/>
      <c r="O1175" s="169"/>
      <c r="P1175" s="169"/>
      <c r="Q1175" s="169"/>
      <c r="R1175" s="169"/>
      <c r="S1175" s="169"/>
      <c r="T1175" s="169"/>
      <c r="U1175" s="169"/>
      <c r="V1175" s="169"/>
      <c r="W1175" s="169"/>
      <c r="X1175" s="169"/>
      <c r="Y1175" s="169"/>
      <c r="Z1175" s="178"/>
      <c r="AA1175" s="167"/>
      <c r="AB1175" s="169"/>
      <c r="AC1175" s="169"/>
      <c r="AD1175" s="169"/>
      <c r="AE1175" s="169"/>
      <c r="AF1175" s="169"/>
      <c r="AG1175" s="179"/>
      <c r="AH1175" s="169"/>
      <c r="AI1175" s="168"/>
      <c r="AJ1175" s="167"/>
      <c r="AK1175" s="168"/>
      <c r="AL1175" s="169"/>
      <c r="AM1175" s="509"/>
      <c r="AN1175" s="510"/>
      <c r="AO1175" s="510"/>
    </row>
    <row r="1176" spans="1:41">
      <c r="A1176" s="177"/>
      <c r="B1176" s="169"/>
      <c r="C1176" s="169"/>
      <c r="D1176" s="169"/>
      <c r="E1176" s="169"/>
      <c r="F1176" s="169"/>
      <c r="G1176" s="169"/>
      <c r="H1176" s="169"/>
      <c r="I1176" s="169"/>
      <c r="J1176" s="169"/>
      <c r="K1176" s="169"/>
      <c r="L1176" s="169"/>
      <c r="M1176" s="169"/>
      <c r="N1176" s="177"/>
      <c r="O1176" s="169"/>
      <c r="P1176" s="169"/>
      <c r="Q1176" s="169"/>
      <c r="R1176" s="169"/>
      <c r="S1176" s="169"/>
      <c r="T1176" s="169"/>
      <c r="U1176" s="169"/>
      <c r="V1176" s="169"/>
      <c r="W1176" s="169"/>
      <c r="X1176" s="169"/>
      <c r="Y1176" s="169"/>
      <c r="Z1176" s="178"/>
      <c r="AA1176" s="167"/>
      <c r="AB1176" s="169"/>
      <c r="AC1176" s="169"/>
      <c r="AD1176" s="169"/>
      <c r="AE1176" s="169"/>
      <c r="AF1176" s="169"/>
      <c r="AG1176" s="179"/>
      <c r="AH1176" s="169"/>
      <c r="AI1176" s="168"/>
      <c r="AJ1176" s="167"/>
      <c r="AK1176" s="168"/>
      <c r="AL1176" s="169"/>
      <c r="AM1176" s="509"/>
      <c r="AN1176" s="510"/>
      <c r="AO1176" s="510"/>
    </row>
    <row r="1177" spans="1:41">
      <c r="A1177" s="177"/>
      <c r="B1177" s="169"/>
      <c r="C1177" s="169"/>
      <c r="D1177" s="169"/>
      <c r="E1177" s="169"/>
      <c r="F1177" s="169"/>
      <c r="G1177" s="169"/>
      <c r="H1177" s="169"/>
      <c r="I1177" s="169"/>
      <c r="J1177" s="169"/>
      <c r="K1177" s="169"/>
      <c r="L1177" s="169"/>
      <c r="M1177" s="169"/>
      <c r="N1177" s="177"/>
      <c r="O1177" s="169"/>
      <c r="P1177" s="169"/>
      <c r="Q1177" s="169"/>
      <c r="R1177" s="169"/>
      <c r="S1177" s="169"/>
      <c r="T1177" s="169"/>
      <c r="U1177" s="169"/>
      <c r="V1177" s="169"/>
      <c r="W1177" s="169"/>
      <c r="X1177" s="169"/>
      <c r="Y1177" s="169"/>
      <c r="Z1177" s="178"/>
      <c r="AA1177" s="167"/>
      <c r="AB1177" s="169"/>
      <c r="AC1177" s="169"/>
      <c r="AD1177" s="169"/>
      <c r="AE1177" s="169"/>
      <c r="AF1177" s="169"/>
      <c r="AG1177" s="179"/>
      <c r="AH1177" s="169"/>
      <c r="AI1177" s="168"/>
      <c r="AJ1177" s="167"/>
      <c r="AK1177" s="168"/>
      <c r="AL1177" s="169"/>
      <c r="AM1177" s="509"/>
      <c r="AN1177" s="510"/>
      <c r="AO1177" s="510"/>
    </row>
    <row r="1178" spans="1:41">
      <c r="A1178" s="177"/>
      <c r="B1178" s="169"/>
      <c r="C1178" s="169"/>
      <c r="D1178" s="169"/>
      <c r="E1178" s="169"/>
      <c r="F1178" s="169"/>
      <c r="G1178" s="169"/>
      <c r="H1178" s="169"/>
      <c r="I1178" s="169"/>
      <c r="J1178" s="169"/>
      <c r="K1178" s="169"/>
      <c r="L1178" s="169"/>
      <c r="M1178" s="169"/>
      <c r="N1178" s="177"/>
      <c r="O1178" s="169"/>
      <c r="P1178" s="169"/>
      <c r="Q1178" s="169"/>
      <c r="R1178" s="169"/>
      <c r="S1178" s="169"/>
      <c r="T1178" s="169"/>
      <c r="U1178" s="169"/>
      <c r="V1178" s="169"/>
      <c r="W1178" s="169"/>
      <c r="X1178" s="169"/>
      <c r="Y1178" s="169"/>
      <c r="Z1178" s="178"/>
      <c r="AA1178" s="167"/>
      <c r="AB1178" s="169"/>
      <c r="AC1178" s="169"/>
      <c r="AD1178" s="169"/>
      <c r="AE1178" s="169"/>
      <c r="AF1178" s="169"/>
      <c r="AG1178" s="179"/>
      <c r="AH1178" s="169"/>
      <c r="AI1178" s="168"/>
      <c r="AJ1178" s="167"/>
      <c r="AK1178" s="168"/>
      <c r="AL1178" s="169"/>
      <c r="AM1178" s="509"/>
      <c r="AN1178" s="510"/>
      <c r="AO1178" s="510"/>
    </row>
    <row r="1179" spans="1:41">
      <c r="A1179" s="177"/>
      <c r="B1179" s="169"/>
      <c r="C1179" s="169"/>
      <c r="D1179" s="169"/>
      <c r="E1179" s="169"/>
      <c r="F1179" s="169"/>
      <c r="G1179" s="169"/>
      <c r="H1179" s="169"/>
      <c r="I1179" s="169"/>
      <c r="J1179" s="169"/>
      <c r="K1179" s="169"/>
      <c r="L1179" s="169"/>
      <c r="M1179" s="169"/>
      <c r="N1179" s="177"/>
      <c r="O1179" s="169"/>
      <c r="P1179" s="169"/>
      <c r="Q1179" s="169"/>
      <c r="R1179" s="169"/>
      <c r="S1179" s="169"/>
      <c r="T1179" s="169"/>
      <c r="U1179" s="169"/>
      <c r="V1179" s="169"/>
      <c r="W1179" s="169"/>
      <c r="X1179" s="169"/>
      <c r="Y1179" s="169"/>
      <c r="Z1179" s="178"/>
      <c r="AA1179" s="167"/>
      <c r="AB1179" s="169"/>
      <c r="AC1179" s="169"/>
      <c r="AD1179" s="169"/>
      <c r="AE1179" s="169"/>
      <c r="AF1179" s="169"/>
      <c r="AG1179" s="179"/>
      <c r="AH1179" s="169"/>
      <c r="AI1179" s="168"/>
      <c r="AJ1179" s="167"/>
      <c r="AK1179" s="168"/>
      <c r="AL1179" s="169"/>
      <c r="AM1179" s="509"/>
      <c r="AN1179" s="510"/>
      <c r="AO1179" s="510"/>
    </row>
    <row r="1180" spans="1:41">
      <c r="A1180" s="177"/>
      <c r="B1180" s="169"/>
      <c r="C1180" s="169"/>
      <c r="D1180" s="169"/>
      <c r="E1180" s="169"/>
      <c r="F1180" s="169"/>
      <c r="G1180" s="169"/>
      <c r="H1180" s="169"/>
      <c r="I1180" s="169"/>
      <c r="J1180" s="169"/>
      <c r="K1180" s="169"/>
      <c r="L1180" s="169"/>
      <c r="M1180" s="169"/>
      <c r="N1180" s="177"/>
      <c r="O1180" s="169"/>
      <c r="P1180" s="169"/>
      <c r="Q1180" s="169"/>
      <c r="R1180" s="169"/>
      <c r="S1180" s="169"/>
      <c r="T1180" s="169"/>
      <c r="U1180" s="169"/>
      <c r="V1180" s="169"/>
      <c r="W1180" s="169"/>
      <c r="X1180" s="169"/>
      <c r="Y1180" s="169"/>
      <c r="Z1180" s="178"/>
      <c r="AA1180" s="167"/>
      <c r="AB1180" s="169"/>
      <c r="AC1180" s="169"/>
      <c r="AD1180" s="169"/>
      <c r="AE1180" s="169"/>
      <c r="AF1180" s="169"/>
      <c r="AG1180" s="179"/>
      <c r="AH1180" s="169"/>
      <c r="AI1180" s="168"/>
      <c r="AJ1180" s="167"/>
      <c r="AK1180" s="168"/>
      <c r="AL1180" s="169"/>
      <c r="AM1180" s="509"/>
      <c r="AN1180" s="510"/>
      <c r="AO1180" s="510"/>
    </row>
    <row r="1181" spans="1:41">
      <c r="A1181" s="177"/>
      <c r="B1181" s="169"/>
      <c r="C1181" s="169"/>
      <c r="D1181" s="169"/>
      <c r="E1181" s="169"/>
      <c r="F1181" s="169"/>
      <c r="G1181" s="169"/>
      <c r="H1181" s="169"/>
      <c r="I1181" s="169"/>
      <c r="J1181" s="169"/>
      <c r="K1181" s="169"/>
      <c r="L1181" s="169"/>
      <c r="M1181" s="169"/>
      <c r="N1181" s="177"/>
      <c r="O1181" s="169"/>
      <c r="P1181" s="169"/>
      <c r="Q1181" s="169"/>
      <c r="R1181" s="169"/>
      <c r="S1181" s="169"/>
      <c r="T1181" s="169"/>
      <c r="U1181" s="169"/>
      <c r="V1181" s="169"/>
      <c r="W1181" s="169"/>
      <c r="X1181" s="169"/>
      <c r="Y1181" s="169"/>
      <c r="Z1181" s="178"/>
      <c r="AA1181" s="167"/>
      <c r="AB1181" s="169"/>
      <c r="AC1181" s="169"/>
      <c r="AD1181" s="169"/>
      <c r="AE1181" s="169"/>
      <c r="AF1181" s="169"/>
      <c r="AG1181" s="179"/>
      <c r="AH1181" s="169"/>
      <c r="AI1181" s="168"/>
      <c r="AJ1181" s="167"/>
      <c r="AK1181" s="168"/>
      <c r="AL1181" s="169"/>
      <c r="AM1181" s="509"/>
      <c r="AN1181" s="510"/>
      <c r="AO1181" s="510"/>
    </row>
    <row r="1182" spans="1:41">
      <c r="A1182" s="177"/>
      <c r="B1182" s="169"/>
      <c r="C1182" s="169"/>
      <c r="D1182" s="169"/>
      <c r="E1182" s="169"/>
      <c r="F1182" s="169"/>
      <c r="G1182" s="169"/>
      <c r="H1182" s="169"/>
      <c r="I1182" s="169"/>
      <c r="J1182" s="169"/>
      <c r="K1182" s="169"/>
      <c r="L1182" s="169"/>
      <c r="M1182" s="169"/>
      <c r="N1182" s="177"/>
      <c r="O1182" s="169"/>
      <c r="P1182" s="169"/>
      <c r="Q1182" s="169"/>
      <c r="R1182" s="169"/>
      <c r="S1182" s="169"/>
      <c r="T1182" s="169"/>
      <c r="U1182" s="169"/>
      <c r="V1182" s="169"/>
      <c r="W1182" s="169"/>
      <c r="X1182" s="169"/>
      <c r="Y1182" s="169"/>
      <c r="Z1182" s="178"/>
      <c r="AA1182" s="167"/>
      <c r="AB1182" s="169"/>
      <c r="AC1182" s="169"/>
      <c r="AD1182" s="169"/>
      <c r="AE1182" s="169"/>
      <c r="AF1182" s="169"/>
      <c r="AG1182" s="179"/>
      <c r="AH1182" s="169"/>
      <c r="AI1182" s="168"/>
      <c r="AJ1182" s="167"/>
      <c r="AK1182" s="168"/>
      <c r="AL1182" s="169"/>
      <c r="AM1182" s="509"/>
      <c r="AN1182" s="510"/>
      <c r="AO1182" s="510"/>
    </row>
    <row r="1183" spans="1:41">
      <c r="A1183" s="177"/>
      <c r="B1183" s="169"/>
      <c r="C1183" s="169"/>
      <c r="D1183" s="169"/>
      <c r="E1183" s="169"/>
      <c r="F1183" s="169"/>
      <c r="G1183" s="169"/>
      <c r="H1183" s="169"/>
      <c r="I1183" s="169"/>
      <c r="J1183" s="169"/>
      <c r="K1183" s="169"/>
      <c r="L1183" s="169"/>
      <c r="M1183" s="169"/>
      <c r="N1183" s="177"/>
      <c r="O1183" s="169"/>
      <c r="P1183" s="169"/>
      <c r="Q1183" s="169"/>
      <c r="R1183" s="169"/>
      <c r="S1183" s="169"/>
      <c r="T1183" s="169"/>
      <c r="U1183" s="169"/>
      <c r="V1183" s="169"/>
      <c r="W1183" s="169"/>
      <c r="X1183" s="169"/>
      <c r="Y1183" s="169"/>
      <c r="Z1183" s="178"/>
      <c r="AA1183" s="167"/>
      <c r="AB1183" s="169"/>
      <c r="AC1183" s="169"/>
      <c r="AD1183" s="169"/>
      <c r="AE1183" s="169"/>
      <c r="AF1183" s="169"/>
      <c r="AG1183" s="179"/>
      <c r="AH1183" s="169"/>
      <c r="AI1183" s="168"/>
      <c r="AJ1183" s="167"/>
      <c r="AK1183" s="168"/>
      <c r="AL1183" s="169"/>
      <c r="AM1183" s="509"/>
      <c r="AN1183" s="510"/>
      <c r="AO1183" s="510"/>
    </row>
    <row r="1184" spans="1:41">
      <c r="A1184" s="177"/>
      <c r="B1184" s="169"/>
      <c r="C1184" s="169"/>
      <c r="D1184" s="169"/>
      <c r="E1184" s="169"/>
      <c r="F1184" s="169"/>
      <c r="G1184" s="169"/>
      <c r="H1184" s="169"/>
      <c r="I1184" s="169"/>
      <c r="J1184" s="169"/>
      <c r="K1184" s="169"/>
      <c r="L1184" s="169"/>
      <c r="M1184" s="169"/>
      <c r="N1184" s="177"/>
      <c r="O1184" s="169"/>
      <c r="P1184" s="169"/>
      <c r="Q1184" s="169"/>
      <c r="R1184" s="169"/>
      <c r="S1184" s="169"/>
      <c r="T1184" s="169"/>
      <c r="U1184" s="169"/>
      <c r="V1184" s="169"/>
      <c r="W1184" s="169"/>
      <c r="X1184" s="169"/>
      <c r="Y1184" s="169"/>
      <c r="Z1184" s="178"/>
      <c r="AA1184" s="167"/>
      <c r="AB1184" s="169"/>
      <c r="AC1184" s="169"/>
      <c r="AD1184" s="169"/>
      <c r="AE1184" s="169"/>
      <c r="AF1184" s="169"/>
      <c r="AG1184" s="179"/>
      <c r="AH1184" s="169"/>
      <c r="AI1184" s="168"/>
      <c r="AJ1184" s="167"/>
      <c r="AK1184" s="168"/>
      <c r="AL1184" s="169"/>
      <c r="AM1184" s="509"/>
      <c r="AN1184" s="510"/>
      <c r="AO1184" s="510"/>
    </row>
    <row r="1185" spans="1:41">
      <c r="A1185" s="177"/>
      <c r="B1185" s="169"/>
      <c r="C1185" s="169"/>
      <c r="D1185" s="169"/>
      <c r="E1185" s="169"/>
      <c r="F1185" s="169"/>
      <c r="G1185" s="169"/>
      <c r="H1185" s="169"/>
      <c r="I1185" s="169"/>
      <c r="J1185" s="169"/>
      <c r="K1185" s="169"/>
      <c r="L1185" s="169"/>
      <c r="M1185" s="169"/>
      <c r="N1185" s="177"/>
      <c r="O1185" s="169"/>
      <c r="P1185" s="169"/>
      <c r="Q1185" s="169"/>
      <c r="R1185" s="169"/>
      <c r="S1185" s="169"/>
      <c r="T1185" s="169"/>
      <c r="U1185" s="169"/>
      <c r="V1185" s="169"/>
      <c r="W1185" s="169"/>
      <c r="X1185" s="169"/>
      <c r="Y1185" s="169"/>
      <c r="Z1185" s="178"/>
      <c r="AA1185" s="167"/>
      <c r="AB1185" s="169"/>
      <c r="AC1185" s="169"/>
      <c r="AD1185" s="169"/>
      <c r="AE1185" s="169"/>
      <c r="AF1185" s="169"/>
      <c r="AG1185" s="179"/>
      <c r="AH1185" s="169"/>
      <c r="AI1185" s="168"/>
      <c r="AJ1185" s="167"/>
      <c r="AK1185" s="168"/>
      <c r="AL1185" s="169"/>
      <c r="AM1185" s="509"/>
      <c r="AN1185" s="510"/>
      <c r="AO1185" s="510"/>
    </row>
    <row r="1186" spans="1:41">
      <c r="A1186" s="177"/>
      <c r="B1186" s="169"/>
      <c r="C1186" s="169"/>
      <c r="D1186" s="169"/>
      <c r="E1186" s="169"/>
      <c r="F1186" s="169"/>
      <c r="G1186" s="169"/>
      <c r="H1186" s="169"/>
      <c r="I1186" s="169"/>
      <c r="J1186" s="169"/>
      <c r="K1186" s="169"/>
      <c r="L1186" s="169"/>
      <c r="M1186" s="169"/>
      <c r="N1186" s="177"/>
      <c r="O1186" s="169"/>
      <c r="P1186" s="169"/>
      <c r="Q1186" s="169"/>
      <c r="R1186" s="169"/>
      <c r="S1186" s="169"/>
      <c r="T1186" s="169"/>
      <c r="U1186" s="169"/>
      <c r="V1186" s="169"/>
      <c r="W1186" s="169"/>
      <c r="X1186" s="169"/>
      <c r="Y1186" s="169"/>
      <c r="Z1186" s="178"/>
      <c r="AA1186" s="167"/>
      <c r="AB1186" s="169"/>
      <c r="AC1186" s="169"/>
      <c r="AD1186" s="169"/>
      <c r="AE1186" s="169"/>
      <c r="AF1186" s="169"/>
      <c r="AG1186" s="179"/>
      <c r="AH1186" s="169"/>
      <c r="AI1186" s="168"/>
      <c r="AJ1186" s="167"/>
      <c r="AK1186" s="168"/>
      <c r="AL1186" s="169"/>
      <c r="AM1186" s="509"/>
      <c r="AN1186" s="510"/>
      <c r="AO1186" s="510"/>
    </row>
    <row r="1187" spans="1:41">
      <c r="A1187" s="177"/>
      <c r="B1187" s="169"/>
      <c r="C1187" s="169"/>
      <c r="D1187" s="169"/>
      <c r="E1187" s="169"/>
      <c r="F1187" s="169"/>
      <c r="G1187" s="169"/>
      <c r="H1187" s="169"/>
      <c r="I1187" s="169"/>
      <c r="J1187" s="169"/>
      <c r="K1187" s="169"/>
      <c r="L1187" s="169"/>
      <c r="M1187" s="169"/>
      <c r="N1187" s="177"/>
      <c r="O1187" s="169"/>
      <c r="P1187" s="169"/>
      <c r="Q1187" s="169"/>
      <c r="R1187" s="169"/>
      <c r="S1187" s="169"/>
      <c r="T1187" s="169"/>
      <c r="U1187" s="169"/>
      <c r="V1187" s="169"/>
      <c r="W1187" s="169"/>
      <c r="X1187" s="169"/>
      <c r="Y1187" s="169"/>
      <c r="Z1187" s="178"/>
      <c r="AA1187" s="167"/>
      <c r="AB1187" s="169"/>
      <c r="AC1187" s="169"/>
      <c r="AD1187" s="169"/>
      <c r="AE1187" s="169"/>
      <c r="AF1187" s="169"/>
      <c r="AG1187" s="179"/>
      <c r="AH1187" s="169"/>
      <c r="AI1187" s="168"/>
      <c r="AJ1187" s="167"/>
      <c r="AK1187" s="168"/>
      <c r="AL1187" s="169"/>
      <c r="AM1187" s="509"/>
      <c r="AN1187" s="510"/>
      <c r="AO1187" s="510"/>
    </row>
    <row r="1188" spans="1:41">
      <c r="A1188" s="177"/>
      <c r="B1188" s="169"/>
      <c r="C1188" s="169"/>
      <c r="D1188" s="169"/>
      <c r="E1188" s="169"/>
      <c r="F1188" s="169"/>
      <c r="G1188" s="169"/>
      <c r="H1188" s="169"/>
      <c r="I1188" s="169"/>
      <c r="J1188" s="169"/>
      <c r="K1188" s="169"/>
      <c r="L1188" s="169"/>
      <c r="M1188" s="169"/>
      <c r="N1188" s="177"/>
      <c r="O1188" s="169"/>
      <c r="P1188" s="169"/>
      <c r="Q1188" s="169"/>
      <c r="R1188" s="169"/>
      <c r="S1188" s="169"/>
      <c r="T1188" s="169"/>
      <c r="U1188" s="169"/>
      <c r="V1188" s="169"/>
      <c r="W1188" s="169"/>
      <c r="X1188" s="169"/>
      <c r="Y1188" s="169"/>
      <c r="Z1188" s="178"/>
      <c r="AA1188" s="167"/>
      <c r="AB1188" s="169"/>
      <c r="AC1188" s="169"/>
      <c r="AD1188" s="169"/>
      <c r="AE1188" s="169"/>
      <c r="AF1188" s="169"/>
      <c r="AG1188" s="179"/>
      <c r="AH1188" s="169"/>
      <c r="AI1188" s="168"/>
      <c r="AJ1188" s="167"/>
      <c r="AK1188" s="168"/>
      <c r="AL1188" s="169"/>
      <c r="AM1188" s="509"/>
      <c r="AN1188" s="510"/>
      <c r="AO1188" s="510"/>
    </row>
    <row r="1189" spans="1:41">
      <c r="A1189" s="177"/>
      <c r="B1189" s="169"/>
      <c r="C1189" s="169"/>
      <c r="D1189" s="169"/>
      <c r="E1189" s="169"/>
      <c r="F1189" s="169"/>
      <c r="G1189" s="169"/>
      <c r="H1189" s="169"/>
      <c r="I1189" s="169"/>
      <c r="J1189" s="169"/>
      <c r="K1189" s="169"/>
      <c r="L1189" s="169"/>
      <c r="M1189" s="169"/>
      <c r="N1189" s="177"/>
      <c r="O1189" s="169"/>
      <c r="P1189" s="169"/>
      <c r="Q1189" s="169"/>
      <c r="R1189" s="169"/>
      <c r="S1189" s="169"/>
      <c r="T1189" s="169"/>
      <c r="U1189" s="169"/>
      <c r="V1189" s="169"/>
      <c r="W1189" s="169"/>
      <c r="X1189" s="169"/>
      <c r="Y1189" s="169"/>
      <c r="Z1189" s="178"/>
      <c r="AA1189" s="167"/>
      <c r="AB1189" s="169"/>
      <c r="AC1189" s="169"/>
      <c r="AD1189" s="169"/>
      <c r="AE1189" s="169"/>
      <c r="AF1189" s="169"/>
      <c r="AG1189" s="179"/>
      <c r="AH1189" s="169"/>
      <c r="AI1189" s="168"/>
      <c r="AJ1189" s="167"/>
      <c r="AK1189" s="168"/>
      <c r="AL1189" s="169"/>
      <c r="AM1189" s="509"/>
      <c r="AN1189" s="510"/>
      <c r="AO1189" s="510"/>
    </row>
    <row r="1190" spans="1:41">
      <c r="A1190" s="177"/>
      <c r="B1190" s="169"/>
      <c r="C1190" s="169"/>
      <c r="D1190" s="169"/>
      <c r="E1190" s="169"/>
      <c r="F1190" s="169"/>
      <c r="G1190" s="169"/>
      <c r="H1190" s="169"/>
      <c r="I1190" s="169"/>
      <c r="J1190" s="169"/>
      <c r="K1190" s="169"/>
      <c r="L1190" s="169"/>
      <c r="M1190" s="169"/>
      <c r="N1190" s="177"/>
      <c r="O1190" s="169"/>
      <c r="P1190" s="169"/>
      <c r="Q1190" s="169"/>
      <c r="R1190" s="169"/>
      <c r="S1190" s="169"/>
      <c r="T1190" s="169"/>
      <c r="U1190" s="169"/>
      <c r="V1190" s="169"/>
      <c r="W1190" s="169"/>
      <c r="X1190" s="169"/>
      <c r="Y1190" s="169"/>
      <c r="Z1190" s="178"/>
      <c r="AA1190" s="167"/>
      <c r="AB1190" s="169"/>
      <c r="AC1190" s="169"/>
      <c r="AD1190" s="169"/>
      <c r="AE1190" s="169"/>
      <c r="AF1190" s="169"/>
      <c r="AG1190" s="179"/>
      <c r="AH1190" s="169"/>
      <c r="AI1190" s="168"/>
      <c r="AJ1190" s="167"/>
      <c r="AK1190" s="168"/>
      <c r="AL1190" s="169"/>
      <c r="AM1190" s="509"/>
      <c r="AN1190" s="510"/>
      <c r="AO1190" s="510"/>
    </row>
    <row r="1191" spans="1:41">
      <c r="A1191" s="177"/>
      <c r="B1191" s="169"/>
      <c r="C1191" s="169"/>
      <c r="D1191" s="169"/>
      <c r="E1191" s="169"/>
      <c r="F1191" s="169"/>
      <c r="G1191" s="169"/>
      <c r="H1191" s="169"/>
      <c r="I1191" s="169"/>
      <c r="J1191" s="169"/>
      <c r="K1191" s="169"/>
      <c r="L1191" s="169"/>
      <c r="M1191" s="169"/>
      <c r="N1191" s="177"/>
      <c r="O1191" s="169"/>
      <c r="P1191" s="169"/>
      <c r="Q1191" s="169"/>
      <c r="R1191" s="169"/>
      <c r="S1191" s="169"/>
      <c r="T1191" s="169"/>
      <c r="U1191" s="169"/>
      <c r="V1191" s="169"/>
      <c r="W1191" s="169"/>
      <c r="X1191" s="169"/>
      <c r="Y1191" s="169"/>
      <c r="Z1191" s="178"/>
      <c r="AA1191" s="167"/>
      <c r="AB1191" s="169"/>
      <c r="AC1191" s="169"/>
      <c r="AD1191" s="169"/>
      <c r="AE1191" s="169"/>
      <c r="AF1191" s="169"/>
      <c r="AG1191" s="179"/>
      <c r="AH1191" s="169"/>
      <c r="AI1191" s="168"/>
      <c r="AJ1191" s="167"/>
      <c r="AK1191" s="168"/>
      <c r="AL1191" s="169"/>
      <c r="AM1191" s="509"/>
      <c r="AN1191" s="510"/>
      <c r="AO1191" s="510"/>
    </row>
    <row r="1192" spans="1:41">
      <c r="A1192" s="177"/>
      <c r="B1192" s="169"/>
      <c r="C1192" s="169"/>
      <c r="D1192" s="169"/>
      <c r="E1192" s="169"/>
      <c r="F1192" s="169"/>
      <c r="G1192" s="169"/>
      <c r="H1192" s="169"/>
      <c r="I1192" s="169"/>
      <c r="J1192" s="169"/>
      <c r="K1192" s="169"/>
      <c r="L1192" s="169"/>
      <c r="M1192" s="169"/>
      <c r="N1192" s="177"/>
      <c r="O1192" s="169"/>
      <c r="P1192" s="169"/>
      <c r="Q1192" s="169"/>
      <c r="R1192" s="169"/>
      <c r="S1192" s="169"/>
      <c r="T1192" s="169"/>
      <c r="U1192" s="169"/>
      <c r="V1192" s="169"/>
      <c r="W1192" s="169"/>
      <c r="X1192" s="169"/>
      <c r="Y1192" s="169"/>
      <c r="Z1192" s="178"/>
      <c r="AA1192" s="167"/>
      <c r="AB1192" s="169"/>
      <c r="AC1192" s="169"/>
      <c r="AD1192" s="169"/>
      <c r="AE1192" s="169"/>
      <c r="AF1192" s="169"/>
      <c r="AG1192" s="179"/>
      <c r="AH1192" s="169"/>
      <c r="AI1192" s="168"/>
      <c r="AJ1192" s="167"/>
      <c r="AK1192" s="168"/>
      <c r="AL1192" s="169"/>
      <c r="AM1192" s="509"/>
      <c r="AN1192" s="510"/>
      <c r="AO1192" s="510"/>
    </row>
    <row r="1193" spans="1:41">
      <c r="A1193" s="177"/>
      <c r="B1193" s="169"/>
      <c r="C1193" s="169"/>
      <c r="D1193" s="169"/>
      <c r="E1193" s="169"/>
      <c r="F1193" s="169"/>
      <c r="G1193" s="169"/>
      <c r="H1193" s="169"/>
      <c r="I1193" s="169"/>
      <c r="J1193" s="169"/>
      <c r="K1193" s="169"/>
      <c r="L1193" s="169"/>
      <c r="M1193" s="169"/>
      <c r="N1193" s="177"/>
      <c r="O1193" s="169"/>
      <c r="P1193" s="169"/>
      <c r="Q1193" s="169"/>
      <c r="R1193" s="169"/>
      <c r="S1193" s="169"/>
      <c r="T1193" s="169"/>
      <c r="U1193" s="169"/>
      <c r="V1193" s="169"/>
      <c r="W1193" s="169"/>
      <c r="X1193" s="169"/>
      <c r="Y1193" s="169"/>
      <c r="Z1193" s="178"/>
      <c r="AA1193" s="167"/>
      <c r="AB1193" s="169"/>
      <c r="AC1193" s="169"/>
      <c r="AD1193" s="169"/>
      <c r="AE1193" s="169"/>
      <c r="AF1193" s="169"/>
      <c r="AG1193" s="179"/>
      <c r="AH1193" s="169"/>
      <c r="AI1193" s="168"/>
      <c r="AJ1193" s="167"/>
      <c r="AK1193" s="168"/>
      <c r="AL1193" s="169"/>
      <c r="AM1193" s="509"/>
      <c r="AN1193" s="510"/>
      <c r="AO1193" s="510"/>
    </row>
    <row r="1194" spans="1:41">
      <c r="A1194" s="177"/>
      <c r="B1194" s="169"/>
      <c r="C1194" s="169"/>
      <c r="D1194" s="169"/>
      <c r="E1194" s="169"/>
      <c r="F1194" s="169"/>
      <c r="G1194" s="169"/>
      <c r="H1194" s="169"/>
      <c r="I1194" s="169"/>
      <c r="J1194" s="169"/>
      <c r="K1194" s="169"/>
      <c r="L1194" s="169"/>
      <c r="M1194" s="169"/>
      <c r="N1194" s="177"/>
      <c r="O1194" s="169"/>
      <c r="P1194" s="169"/>
      <c r="Q1194" s="169"/>
      <c r="R1194" s="169"/>
      <c r="S1194" s="169"/>
      <c r="T1194" s="169"/>
      <c r="U1194" s="169"/>
      <c r="V1194" s="169"/>
      <c r="W1194" s="169"/>
      <c r="X1194" s="169"/>
      <c r="Y1194" s="169"/>
      <c r="Z1194" s="178"/>
      <c r="AA1194" s="167"/>
      <c r="AB1194" s="169"/>
      <c r="AC1194" s="169"/>
      <c r="AD1194" s="169"/>
      <c r="AE1194" s="169"/>
      <c r="AF1194" s="169"/>
      <c r="AG1194" s="179"/>
      <c r="AH1194" s="169"/>
      <c r="AI1194" s="168"/>
      <c r="AJ1194" s="167"/>
      <c r="AK1194" s="168"/>
      <c r="AL1194" s="169"/>
      <c r="AM1194" s="509"/>
      <c r="AN1194" s="510"/>
      <c r="AO1194" s="510"/>
    </row>
    <row r="1195" spans="1:41">
      <c r="A1195" s="177"/>
      <c r="B1195" s="169"/>
      <c r="C1195" s="169"/>
      <c r="D1195" s="169"/>
      <c r="E1195" s="169"/>
      <c r="F1195" s="169"/>
      <c r="G1195" s="169"/>
      <c r="H1195" s="169"/>
      <c r="I1195" s="169"/>
      <c r="J1195" s="169"/>
      <c r="K1195" s="169"/>
      <c r="L1195" s="169"/>
      <c r="M1195" s="169"/>
      <c r="N1195" s="177"/>
      <c r="O1195" s="169"/>
      <c r="P1195" s="169"/>
      <c r="Q1195" s="169"/>
      <c r="R1195" s="169"/>
      <c r="S1195" s="169"/>
      <c r="T1195" s="169"/>
      <c r="U1195" s="169"/>
      <c r="V1195" s="169"/>
      <c r="W1195" s="169"/>
      <c r="X1195" s="169"/>
      <c r="Y1195" s="169"/>
      <c r="Z1195" s="178"/>
      <c r="AA1195" s="167"/>
      <c r="AB1195" s="169"/>
      <c r="AC1195" s="169"/>
      <c r="AD1195" s="169"/>
      <c r="AE1195" s="169"/>
      <c r="AF1195" s="169"/>
      <c r="AG1195" s="179"/>
      <c r="AH1195" s="169"/>
      <c r="AI1195" s="168"/>
      <c r="AJ1195" s="167"/>
      <c r="AK1195" s="168"/>
      <c r="AL1195" s="169"/>
      <c r="AM1195" s="509"/>
      <c r="AN1195" s="510"/>
      <c r="AO1195" s="510"/>
    </row>
    <row r="1196" spans="1:41">
      <c r="A1196" s="177"/>
      <c r="B1196" s="169"/>
      <c r="C1196" s="169"/>
      <c r="D1196" s="169"/>
      <c r="E1196" s="169"/>
      <c r="F1196" s="169"/>
      <c r="G1196" s="169"/>
      <c r="H1196" s="169"/>
      <c r="I1196" s="169"/>
      <c r="J1196" s="169"/>
      <c r="K1196" s="169"/>
      <c r="L1196" s="169"/>
      <c r="M1196" s="169"/>
      <c r="N1196" s="177"/>
      <c r="O1196" s="169"/>
      <c r="P1196" s="169"/>
      <c r="Q1196" s="169"/>
      <c r="R1196" s="169"/>
      <c r="S1196" s="169"/>
      <c r="T1196" s="169"/>
      <c r="U1196" s="169"/>
      <c r="V1196" s="169"/>
      <c r="W1196" s="169"/>
      <c r="X1196" s="169"/>
      <c r="Y1196" s="169"/>
      <c r="Z1196" s="178"/>
      <c r="AA1196" s="167"/>
      <c r="AB1196" s="169"/>
      <c r="AC1196" s="169"/>
      <c r="AD1196" s="169"/>
      <c r="AE1196" s="169"/>
      <c r="AF1196" s="169"/>
      <c r="AG1196" s="179"/>
      <c r="AH1196" s="169"/>
      <c r="AI1196" s="168"/>
      <c r="AJ1196" s="167"/>
      <c r="AK1196" s="168"/>
      <c r="AL1196" s="169"/>
      <c r="AM1196" s="509"/>
      <c r="AN1196" s="510"/>
      <c r="AO1196" s="510"/>
    </row>
    <row r="1197" spans="1:41">
      <c r="A1197" s="177"/>
      <c r="B1197" s="169"/>
      <c r="C1197" s="169"/>
      <c r="D1197" s="169"/>
      <c r="E1197" s="169"/>
      <c r="F1197" s="169"/>
      <c r="G1197" s="169"/>
      <c r="H1197" s="169"/>
      <c r="I1197" s="169"/>
      <c r="J1197" s="169"/>
      <c r="K1197" s="169"/>
      <c r="L1197" s="169"/>
      <c r="M1197" s="169"/>
      <c r="N1197" s="177"/>
      <c r="O1197" s="169"/>
      <c r="P1197" s="169"/>
      <c r="Q1197" s="169"/>
      <c r="R1197" s="169"/>
      <c r="S1197" s="169"/>
      <c r="T1197" s="169"/>
      <c r="U1197" s="169"/>
      <c r="V1197" s="169"/>
      <c r="W1197" s="169"/>
      <c r="X1197" s="169"/>
      <c r="Y1197" s="169"/>
      <c r="Z1197" s="178"/>
      <c r="AA1197" s="167"/>
      <c r="AB1197" s="169"/>
      <c r="AC1197" s="169"/>
      <c r="AD1197" s="169"/>
      <c r="AE1197" s="169"/>
      <c r="AF1197" s="169"/>
      <c r="AG1197" s="179"/>
      <c r="AH1197" s="169"/>
      <c r="AI1197" s="168"/>
      <c r="AJ1197" s="167"/>
      <c r="AK1197" s="168"/>
      <c r="AL1197" s="169"/>
      <c r="AM1197" s="509"/>
      <c r="AN1197" s="510"/>
      <c r="AO1197" s="510"/>
    </row>
    <row r="1198" spans="1:41">
      <c r="A1198" s="177"/>
      <c r="B1198" s="169"/>
      <c r="C1198" s="169"/>
      <c r="D1198" s="169"/>
      <c r="E1198" s="169"/>
      <c r="F1198" s="169"/>
      <c r="G1198" s="169"/>
      <c r="H1198" s="169"/>
      <c r="I1198" s="169"/>
      <c r="J1198" s="169"/>
      <c r="K1198" s="169"/>
      <c r="L1198" s="169"/>
      <c r="M1198" s="169"/>
      <c r="N1198" s="177"/>
      <c r="O1198" s="169"/>
      <c r="P1198" s="169"/>
      <c r="Q1198" s="169"/>
      <c r="R1198" s="169"/>
      <c r="S1198" s="169"/>
      <c r="T1198" s="169"/>
      <c r="U1198" s="169"/>
      <c r="V1198" s="169"/>
      <c r="W1198" s="169"/>
      <c r="X1198" s="169"/>
      <c r="Y1198" s="169"/>
      <c r="Z1198" s="178"/>
      <c r="AA1198" s="167"/>
      <c r="AB1198" s="169"/>
      <c r="AC1198" s="169"/>
      <c r="AD1198" s="169"/>
      <c r="AE1198" s="169"/>
      <c r="AF1198" s="169"/>
      <c r="AG1198" s="179"/>
      <c r="AH1198" s="169"/>
      <c r="AI1198" s="168"/>
      <c r="AJ1198" s="167"/>
      <c r="AK1198" s="168"/>
      <c r="AL1198" s="169"/>
      <c r="AM1198" s="509"/>
      <c r="AN1198" s="510"/>
      <c r="AO1198" s="510"/>
    </row>
    <row r="1199" spans="1:41">
      <c r="A1199" s="177"/>
      <c r="B1199" s="169"/>
      <c r="C1199" s="169"/>
      <c r="D1199" s="169"/>
      <c r="E1199" s="169"/>
      <c r="F1199" s="169"/>
      <c r="G1199" s="169"/>
      <c r="H1199" s="169"/>
      <c r="I1199" s="169"/>
      <c r="J1199" s="169"/>
      <c r="K1199" s="169"/>
      <c r="L1199" s="169"/>
      <c r="M1199" s="169"/>
      <c r="N1199" s="177"/>
      <c r="O1199" s="169"/>
      <c r="P1199" s="169"/>
      <c r="Q1199" s="169"/>
      <c r="R1199" s="169"/>
      <c r="S1199" s="169"/>
      <c r="T1199" s="169"/>
      <c r="U1199" s="169"/>
      <c r="V1199" s="169"/>
      <c r="W1199" s="169"/>
      <c r="X1199" s="169"/>
      <c r="Y1199" s="169"/>
      <c r="Z1199" s="178"/>
      <c r="AA1199" s="167"/>
      <c r="AB1199" s="169"/>
      <c r="AC1199" s="169"/>
      <c r="AD1199" s="169"/>
      <c r="AE1199" s="169"/>
      <c r="AF1199" s="169"/>
      <c r="AG1199" s="179"/>
      <c r="AH1199" s="169"/>
      <c r="AI1199" s="168"/>
      <c r="AJ1199" s="167"/>
      <c r="AK1199" s="168"/>
      <c r="AL1199" s="169"/>
      <c r="AM1199" s="509"/>
      <c r="AN1199" s="510"/>
      <c r="AO1199" s="510"/>
    </row>
    <row r="1200" spans="1:41">
      <c r="A1200" s="177"/>
      <c r="B1200" s="169"/>
      <c r="C1200" s="169"/>
      <c r="D1200" s="169"/>
      <c r="E1200" s="169"/>
      <c r="F1200" s="169"/>
      <c r="G1200" s="169"/>
      <c r="H1200" s="169"/>
      <c r="I1200" s="169"/>
      <c r="J1200" s="169"/>
      <c r="K1200" s="169"/>
      <c r="L1200" s="169"/>
      <c r="M1200" s="169"/>
      <c r="N1200" s="177"/>
      <c r="O1200" s="169"/>
      <c r="P1200" s="169"/>
      <c r="Q1200" s="169"/>
      <c r="R1200" s="169"/>
      <c r="S1200" s="169"/>
      <c r="T1200" s="169"/>
      <c r="U1200" s="169"/>
      <c r="V1200" s="169"/>
      <c r="W1200" s="169"/>
      <c r="X1200" s="169"/>
      <c r="Y1200" s="169"/>
      <c r="Z1200" s="178"/>
      <c r="AA1200" s="167"/>
      <c r="AB1200" s="169"/>
      <c r="AC1200" s="169"/>
      <c r="AD1200" s="169"/>
      <c r="AE1200" s="169"/>
      <c r="AF1200" s="169"/>
      <c r="AG1200" s="179"/>
      <c r="AH1200" s="169"/>
      <c r="AI1200" s="168"/>
      <c r="AJ1200" s="167"/>
      <c r="AK1200" s="168"/>
      <c r="AL1200" s="169"/>
      <c r="AM1200" s="509"/>
      <c r="AN1200" s="510"/>
      <c r="AO1200" s="510"/>
    </row>
    <row r="1201" spans="1:41">
      <c r="A1201" s="177"/>
      <c r="B1201" s="169"/>
      <c r="C1201" s="169"/>
      <c r="D1201" s="169"/>
      <c r="E1201" s="169"/>
      <c r="F1201" s="169"/>
      <c r="G1201" s="169"/>
      <c r="H1201" s="169"/>
      <c r="I1201" s="169"/>
      <c r="J1201" s="169"/>
      <c r="K1201" s="169"/>
      <c r="L1201" s="169"/>
      <c r="M1201" s="169"/>
      <c r="N1201" s="177"/>
      <c r="O1201" s="169"/>
      <c r="P1201" s="169"/>
      <c r="Q1201" s="169"/>
      <c r="R1201" s="169"/>
      <c r="S1201" s="169"/>
      <c r="T1201" s="169"/>
      <c r="U1201" s="169"/>
      <c r="V1201" s="169"/>
      <c r="W1201" s="169"/>
      <c r="X1201" s="169"/>
      <c r="Y1201" s="169"/>
      <c r="Z1201" s="178"/>
      <c r="AA1201" s="167"/>
      <c r="AB1201" s="169"/>
      <c r="AC1201" s="169"/>
      <c r="AD1201" s="169"/>
      <c r="AE1201" s="169"/>
      <c r="AF1201" s="169"/>
      <c r="AG1201" s="179"/>
      <c r="AH1201" s="169"/>
      <c r="AI1201" s="168"/>
      <c r="AJ1201" s="167"/>
      <c r="AK1201" s="168"/>
      <c r="AL1201" s="169"/>
      <c r="AM1201" s="509"/>
      <c r="AN1201" s="510"/>
      <c r="AO1201" s="510"/>
    </row>
    <row r="1202" spans="1:41">
      <c r="A1202" s="177"/>
      <c r="B1202" s="169"/>
      <c r="C1202" s="169"/>
      <c r="D1202" s="169"/>
      <c r="E1202" s="169"/>
      <c r="F1202" s="169"/>
      <c r="G1202" s="169"/>
      <c r="H1202" s="169"/>
      <c r="I1202" s="169"/>
      <c r="J1202" s="169"/>
      <c r="K1202" s="169"/>
      <c r="L1202" s="169"/>
      <c r="M1202" s="169"/>
      <c r="N1202" s="177"/>
      <c r="O1202" s="169"/>
      <c r="P1202" s="169"/>
      <c r="Q1202" s="169"/>
      <c r="R1202" s="169"/>
      <c r="S1202" s="169"/>
      <c r="T1202" s="169"/>
      <c r="U1202" s="169"/>
      <c r="V1202" s="169"/>
      <c r="W1202" s="169"/>
      <c r="X1202" s="169"/>
      <c r="Y1202" s="169"/>
      <c r="Z1202" s="178"/>
      <c r="AA1202" s="167"/>
      <c r="AB1202" s="169"/>
      <c r="AC1202" s="169"/>
      <c r="AD1202" s="169"/>
      <c r="AE1202" s="169"/>
      <c r="AF1202" s="169"/>
      <c r="AG1202" s="179"/>
      <c r="AH1202" s="169"/>
      <c r="AI1202" s="168"/>
      <c r="AJ1202" s="167"/>
      <c r="AK1202" s="168"/>
      <c r="AL1202" s="169"/>
      <c r="AM1202" s="509"/>
      <c r="AN1202" s="510"/>
      <c r="AO1202" s="510"/>
    </row>
    <row r="1203" spans="1:41">
      <c r="A1203" s="177"/>
      <c r="B1203" s="169"/>
      <c r="C1203" s="169"/>
      <c r="D1203" s="169"/>
      <c r="E1203" s="169"/>
      <c r="F1203" s="169"/>
      <c r="G1203" s="169"/>
      <c r="H1203" s="169"/>
      <c r="I1203" s="169"/>
      <c r="J1203" s="169"/>
      <c r="K1203" s="169"/>
      <c r="L1203" s="169"/>
      <c r="M1203" s="169"/>
      <c r="N1203" s="177"/>
      <c r="O1203" s="169"/>
      <c r="P1203" s="169"/>
      <c r="Q1203" s="169"/>
      <c r="R1203" s="169"/>
      <c r="S1203" s="169"/>
      <c r="T1203" s="169"/>
      <c r="U1203" s="169"/>
      <c r="V1203" s="169"/>
      <c r="W1203" s="169"/>
      <c r="X1203" s="169"/>
      <c r="Y1203" s="169"/>
      <c r="Z1203" s="178"/>
      <c r="AA1203" s="167"/>
      <c r="AB1203" s="169"/>
      <c r="AC1203" s="169"/>
      <c r="AD1203" s="169"/>
      <c r="AE1203" s="169"/>
      <c r="AF1203" s="169"/>
      <c r="AG1203" s="179"/>
      <c r="AH1203" s="169"/>
      <c r="AI1203" s="168"/>
      <c r="AJ1203" s="167"/>
      <c r="AK1203" s="168"/>
      <c r="AL1203" s="169"/>
      <c r="AM1203" s="509"/>
      <c r="AN1203" s="510"/>
      <c r="AO1203" s="510"/>
    </row>
    <row r="1204" spans="1:41">
      <c r="A1204" s="177"/>
      <c r="B1204" s="169"/>
      <c r="C1204" s="169"/>
      <c r="D1204" s="169"/>
      <c r="E1204" s="169"/>
      <c r="F1204" s="169"/>
      <c r="G1204" s="169"/>
      <c r="H1204" s="169"/>
      <c r="I1204" s="169"/>
      <c r="J1204" s="169"/>
      <c r="K1204" s="169"/>
      <c r="L1204" s="169"/>
      <c r="M1204" s="169"/>
      <c r="N1204" s="177"/>
      <c r="O1204" s="169"/>
      <c r="P1204" s="169"/>
      <c r="Q1204" s="169"/>
      <c r="R1204" s="169"/>
      <c r="S1204" s="169"/>
      <c r="T1204" s="169"/>
      <c r="U1204" s="169"/>
      <c r="V1204" s="169"/>
      <c r="W1204" s="169"/>
      <c r="X1204" s="169"/>
      <c r="Y1204" s="169"/>
      <c r="Z1204" s="178"/>
      <c r="AA1204" s="167"/>
      <c r="AB1204" s="169"/>
      <c r="AC1204" s="169"/>
      <c r="AD1204" s="169"/>
      <c r="AE1204" s="169"/>
      <c r="AF1204" s="169"/>
      <c r="AG1204" s="179"/>
      <c r="AH1204" s="169"/>
      <c r="AI1204" s="168"/>
      <c r="AJ1204" s="167"/>
      <c r="AK1204" s="168"/>
      <c r="AL1204" s="169"/>
      <c r="AM1204" s="509"/>
      <c r="AN1204" s="510"/>
      <c r="AO1204" s="510"/>
    </row>
    <row r="1205" spans="1:41">
      <c r="A1205" s="177"/>
      <c r="B1205" s="169"/>
      <c r="C1205" s="169"/>
      <c r="D1205" s="169"/>
      <c r="E1205" s="169"/>
      <c r="F1205" s="169"/>
      <c r="G1205" s="169"/>
      <c r="H1205" s="169"/>
      <c r="I1205" s="169"/>
      <c r="J1205" s="169"/>
      <c r="K1205" s="169"/>
      <c r="L1205" s="169"/>
      <c r="M1205" s="169"/>
      <c r="N1205" s="177"/>
      <c r="O1205" s="169"/>
      <c r="P1205" s="169"/>
      <c r="Q1205" s="169"/>
      <c r="R1205" s="169"/>
      <c r="S1205" s="169"/>
      <c r="T1205" s="169"/>
      <c r="U1205" s="169"/>
      <c r="V1205" s="169"/>
      <c r="W1205" s="169"/>
      <c r="X1205" s="169"/>
      <c r="Y1205" s="169"/>
      <c r="Z1205" s="178"/>
      <c r="AA1205" s="167"/>
      <c r="AB1205" s="169"/>
      <c r="AC1205" s="169"/>
      <c r="AD1205" s="169"/>
      <c r="AE1205" s="169"/>
      <c r="AF1205" s="169"/>
      <c r="AG1205" s="179"/>
      <c r="AH1205" s="169"/>
      <c r="AI1205" s="168"/>
      <c r="AJ1205" s="167"/>
      <c r="AK1205" s="168"/>
      <c r="AL1205" s="169"/>
      <c r="AM1205" s="509"/>
      <c r="AN1205" s="510"/>
      <c r="AO1205" s="510"/>
    </row>
    <row r="1206" spans="1:41">
      <c r="A1206" s="177"/>
      <c r="B1206" s="169"/>
      <c r="C1206" s="169"/>
      <c r="D1206" s="169"/>
      <c r="E1206" s="169"/>
      <c r="F1206" s="169"/>
      <c r="G1206" s="169"/>
      <c r="H1206" s="169"/>
      <c r="I1206" s="169"/>
      <c r="J1206" s="169"/>
      <c r="K1206" s="169"/>
      <c r="L1206" s="169"/>
      <c r="M1206" s="169"/>
      <c r="N1206" s="177"/>
      <c r="O1206" s="169"/>
      <c r="P1206" s="169"/>
      <c r="Q1206" s="169"/>
      <c r="R1206" s="169"/>
      <c r="S1206" s="169"/>
      <c r="T1206" s="169"/>
      <c r="U1206" s="169"/>
      <c r="V1206" s="169"/>
      <c r="W1206" s="169"/>
      <c r="X1206" s="169"/>
      <c r="Y1206" s="169"/>
      <c r="Z1206" s="178"/>
      <c r="AA1206" s="167"/>
      <c r="AB1206" s="169"/>
      <c r="AC1206" s="169"/>
      <c r="AD1206" s="169"/>
      <c r="AE1206" s="169"/>
      <c r="AF1206" s="169"/>
      <c r="AG1206" s="179"/>
      <c r="AH1206" s="169"/>
      <c r="AI1206" s="168"/>
      <c r="AJ1206" s="167"/>
      <c r="AK1206" s="168"/>
      <c r="AL1206" s="169"/>
      <c r="AM1206" s="509"/>
      <c r="AN1206" s="510"/>
      <c r="AO1206" s="510"/>
    </row>
    <row r="1207" spans="1:41">
      <c r="A1207" s="177"/>
      <c r="B1207" s="169"/>
      <c r="C1207" s="169"/>
      <c r="D1207" s="169"/>
      <c r="E1207" s="169"/>
      <c r="F1207" s="169"/>
      <c r="G1207" s="169"/>
      <c r="H1207" s="169"/>
      <c r="I1207" s="169"/>
      <c r="J1207" s="169"/>
      <c r="K1207" s="169"/>
      <c r="L1207" s="169"/>
      <c r="M1207" s="169"/>
      <c r="N1207" s="177"/>
      <c r="O1207" s="169"/>
      <c r="P1207" s="169"/>
      <c r="Q1207" s="169"/>
      <c r="R1207" s="169"/>
      <c r="S1207" s="169"/>
      <c r="T1207" s="169"/>
      <c r="U1207" s="169"/>
      <c r="V1207" s="169"/>
      <c r="W1207" s="169"/>
      <c r="X1207" s="169"/>
      <c r="Y1207" s="169"/>
      <c r="Z1207" s="178"/>
      <c r="AA1207" s="167"/>
      <c r="AB1207" s="169"/>
      <c r="AC1207" s="169"/>
      <c r="AD1207" s="169"/>
      <c r="AE1207" s="169"/>
      <c r="AF1207" s="169"/>
      <c r="AG1207" s="179"/>
      <c r="AH1207" s="169"/>
      <c r="AI1207" s="168"/>
      <c r="AJ1207" s="167"/>
      <c r="AK1207" s="168"/>
      <c r="AL1207" s="169"/>
      <c r="AM1207" s="509"/>
      <c r="AN1207" s="510"/>
      <c r="AO1207" s="510"/>
    </row>
    <row r="1208" spans="1:41">
      <c r="A1208" s="177"/>
      <c r="B1208" s="169"/>
      <c r="C1208" s="169"/>
      <c r="D1208" s="169"/>
      <c r="E1208" s="169"/>
      <c r="F1208" s="169"/>
      <c r="G1208" s="169"/>
      <c r="H1208" s="169"/>
      <c r="I1208" s="169"/>
      <c r="J1208" s="169"/>
      <c r="K1208" s="169"/>
      <c r="L1208" s="169"/>
      <c r="M1208" s="169"/>
      <c r="N1208" s="177"/>
      <c r="O1208" s="169"/>
      <c r="P1208" s="169"/>
      <c r="Q1208" s="169"/>
      <c r="R1208" s="169"/>
      <c r="S1208" s="169"/>
      <c r="T1208" s="169"/>
      <c r="U1208" s="169"/>
      <c r="V1208" s="169"/>
      <c r="W1208" s="169"/>
      <c r="X1208" s="169"/>
      <c r="Y1208" s="169"/>
      <c r="Z1208" s="178"/>
      <c r="AA1208" s="167"/>
      <c r="AB1208" s="169"/>
      <c r="AC1208" s="169"/>
      <c r="AD1208" s="169"/>
      <c r="AE1208" s="169"/>
      <c r="AF1208" s="169"/>
      <c r="AG1208" s="179"/>
      <c r="AH1208" s="169"/>
      <c r="AI1208" s="168"/>
      <c r="AJ1208" s="167"/>
      <c r="AK1208" s="168"/>
      <c r="AL1208" s="169"/>
      <c r="AM1208" s="509"/>
      <c r="AN1208" s="510"/>
      <c r="AO1208" s="510"/>
    </row>
    <row r="1209" spans="1:41">
      <c r="A1209" s="177"/>
      <c r="B1209" s="169"/>
      <c r="C1209" s="169"/>
      <c r="D1209" s="169"/>
      <c r="E1209" s="169"/>
      <c r="F1209" s="169"/>
      <c r="G1209" s="169"/>
      <c r="H1209" s="169"/>
      <c r="I1209" s="169"/>
      <c r="J1209" s="169"/>
      <c r="K1209" s="169"/>
      <c r="L1209" s="169"/>
      <c r="M1209" s="169"/>
      <c r="N1209" s="177"/>
      <c r="O1209" s="169"/>
      <c r="P1209" s="169"/>
      <c r="Q1209" s="169"/>
      <c r="R1209" s="169"/>
      <c r="S1209" s="169"/>
      <c r="T1209" s="169"/>
      <c r="U1209" s="169"/>
      <c r="V1209" s="169"/>
      <c r="W1209" s="169"/>
      <c r="X1209" s="169"/>
      <c r="Y1209" s="169"/>
      <c r="Z1209" s="178"/>
      <c r="AA1209" s="167"/>
      <c r="AB1209" s="169"/>
      <c r="AC1209" s="169"/>
      <c r="AD1209" s="169"/>
      <c r="AE1209" s="169"/>
      <c r="AF1209" s="169"/>
      <c r="AG1209" s="179"/>
      <c r="AH1209" s="169"/>
      <c r="AI1209" s="168"/>
      <c r="AJ1209" s="167"/>
      <c r="AK1209" s="168"/>
      <c r="AL1209" s="169"/>
      <c r="AM1209" s="509"/>
      <c r="AN1209" s="510"/>
      <c r="AO1209" s="510"/>
    </row>
    <row r="1210" spans="1:41">
      <c r="A1210" s="177"/>
      <c r="B1210" s="169"/>
      <c r="C1210" s="169"/>
      <c r="D1210" s="169"/>
      <c r="E1210" s="169"/>
      <c r="F1210" s="169"/>
      <c r="G1210" s="169"/>
      <c r="H1210" s="169"/>
      <c r="I1210" s="169"/>
      <c r="J1210" s="169"/>
      <c r="K1210" s="169"/>
      <c r="L1210" s="169"/>
      <c r="M1210" s="169"/>
      <c r="N1210" s="177"/>
      <c r="O1210" s="169"/>
      <c r="P1210" s="169"/>
      <c r="Q1210" s="169"/>
      <c r="R1210" s="169"/>
      <c r="S1210" s="169"/>
      <c r="T1210" s="169"/>
      <c r="U1210" s="169"/>
      <c r="V1210" s="169"/>
      <c r="W1210" s="169"/>
      <c r="X1210" s="169"/>
      <c r="Y1210" s="169"/>
      <c r="Z1210" s="178"/>
      <c r="AA1210" s="167"/>
      <c r="AB1210" s="169"/>
      <c r="AC1210" s="169"/>
      <c r="AD1210" s="169"/>
      <c r="AE1210" s="169"/>
      <c r="AF1210" s="169"/>
      <c r="AG1210" s="179"/>
      <c r="AH1210" s="169"/>
      <c r="AI1210" s="168"/>
      <c r="AJ1210" s="167"/>
      <c r="AK1210" s="168"/>
      <c r="AL1210" s="169"/>
      <c r="AM1210" s="509"/>
      <c r="AN1210" s="510"/>
      <c r="AO1210" s="510"/>
    </row>
    <row r="1211" spans="1:41">
      <c r="A1211" s="177"/>
      <c r="B1211" s="169"/>
      <c r="C1211" s="169"/>
      <c r="D1211" s="169"/>
      <c r="E1211" s="169"/>
      <c r="F1211" s="169"/>
      <c r="G1211" s="169"/>
      <c r="H1211" s="169"/>
      <c r="I1211" s="169"/>
      <c r="J1211" s="169"/>
      <c r="K1211" s="169"/>
      <c r="L1211" s="169"/>
      <c r="M1211" s="169"/>
      <c r="N1211" s="177"/>
      <c r="O1211" s="169"/>
      <c r="P1211" s="169"/>
      <c r="Q1211" s="169"/>
      <c r="R1211" s="169"/>
      <c r="S1211" s="169"/>
      <c r="T1211" s="169"/>
      <c r="U1211" s="169"/>
      <c r="V1211" s="169"/>
      <c r="W1211" s="169"/>
      <c r="X1211" s="169"/>
      <c r="Y1211" s="169"/>
      <c r="Z1211" s="178"/>
      <c r="AA1211" s="167"/>
      <c r="AB1211" s="169"/>
      <c r="AC1211" s="169"/>
      <c r="AD1211" s="169"/>
      <c r="AE1211" s="169"/>
      <c r="AF1211" s="169"/>
      <c r="AG1211" s="179"/>
      <c r="AH1211" s="169"/>
      <c r="AI1211" s="168"/>
      <c r="AJ1211" s="167"/>
      <c r="AK1211" s="168"/>
      <c r="AL1211" s="169"/>
      <c r="AM1211" s="509"/>
      <c r="AN1211" s="510"/>
      <c r="AO1211" s="510"/>
    </row>
    <row r="1212" spans="1:41">
      <c r="A1212" s="177"/>
      <c r="B1212" s="169"/>
      <c r="C1212" s="169"/>
      <c r="D1212" s="169"/>
      <c r="E1212" s="169"/>
      <c r="F1212" s="169"/>
      <c r="G1212" s="169"/>
      <c r="H1212" s="169"/>
      <c r="I1212" s="169"/>
      <c r="J1212" s="169"/>
      <c r="K1212" s="169"/>
      <c r="L1212" s="169"/>
      <c r="M1212" s="169"/>
      <c r="N1212" s="177"/>
      <c r="O1212" s="169"/>
      <c r="P1212" s="169"/>
      <c r="Q1212" s="169"/>
      <c r="R1212" s="169"/>
      <c r="S1212" s="169"/>
      <c r="T1212" s="169"/>
      <c r="U1212" s="169"/>
      <c r="V1212" s="169"/>
      <c r="W1212" s="169"/>
      <c r="X1212" s="169"/>
      <c r="Y1212" s="169"/>
      <c r="Z1212" s="178"/>
      <c r="AA1212" s="167"/>
      <c r="AB1212" s="169"/>
      <c r="AC1212" s="169"/>
      <c r="AD1212" s="169"/>
      <c r="AE1212" s="169"/>
      <c r="AF1212" s="169"/>
      <c r="AG1212" s="179"/>
      <c r="AH1212" s="169"/>
      <c r="AI1212" s="168"/>
      <c r="AJ1212" s="167"/>
      <c r="AK1212" s="168"/>
      <c r="AL1212" s="169"/>
      <c r="AM1212" s="509"/>
      <c r="AN1212" s="510"/>
      <c r="AO1212" s="510"/>
    </row>
    <row r="1213" spans="1:41">
      <c r="A1213" s="177"/>
      <c r="B1213" s="169"/>
      <c r="C1213" s="169"/>
      <c r="D1213" s="169"/>
      <c r="E1213" s="169"/>
      <c r="F1213" s="169"/>
      <c r="G1213" s="169"/>
      <c r="H1213" s="169"/>
      <c r="I1213" s="169"/>
      <c r="J1213" s="169"/>
      <c r="K1213" s="169"/>
      <c r="L1213" s="169"/>
      <c r="M1213" s="169"/>
      <c r="N1213" s="177"/>
      <c r="O1213" s="169"/>
      <c r="P1213" s="169"/>
      <c r="Q1213" s="169"/>
      <c r="R1213" s="169"/>
      <c r="S1213" s="169"/>
      <c r="T1213" s="169"/>
      <c r="U1213" s="169"/>
      <c r="V1213" s="169"/>
      <c r="W1213" s="169"/>
      <c r="X1213" s="169"/>
      <c r="Y1213" s="169"/>
      <c r="Z1213" s="178"/>
      <c r="AA1213" s="167"/>
      <c r="AB1213" s="169"/>
      <c r="AC1213" s="169"/>
      <c r="AD1213" s="169"/>
      <c r="AE1213" s="169"/>
      <c r="AF1213" s="169"/>
      <c r="AG1213" s="179"/>
      <c r="AH1213" s="169"/>
      <c r="AI1213" s="168"/>
      <c r="AJ1213" s="167"/>
      <c r="AK1213" s="168"/>
      <c r="AL1213" s="169"/>
      <c r="AM1213" s="509"/>
      <c r="AN1213" s="510"/>
      <c r="AO1213" s="510"/>
    </row>
    <row r="1214" spans="1:41">
      <c r="A1214" s="177"/>
      <c r="B1214" s="169"/>
      <c r="C1214" s="169"/>
      <c r="D1214" s="169"/>
      <c r="E1214" s="169"/>
      <c r="F1214" s="169"/>
      <c r="G1214" s="169"/>
      <c r="H1214" s="169"/>
      <c r="I1214" s="169"/>
      <c r="J1214" s="169"/>
      <c r="K1214" s="169"/>
      <c r="L1214" s="169"/>
      <c r="M1214" s="169"/>
      <c r="N1214" s="177"/>
      <c r="O1214" s="169"/>
      <c r="P1214" s="169"/>
      <c r="Q1214" s="169"/>
      <c r="R1214" s="169"/>
      <c r="S1214" s="169"/>
      <c r="T1214" s="169"/>
      <c r="U1214" s="169"/>
      <c r="V1214" s="169"/>
      <c r="W1214" s="169"/>
      <c r="X1214" s="169"/>
      <c r="Y1214" s="169"/>
      <c r="Z1214" s="178"/>
      <c r="AA1214" s="167"/>
      <c r="AB1214" s="169"/>
      <c r="AC1214" s="169"/>
      <c r="AD1214" s="169"/>
      <c r="AE1214" s="169"/>
      <c r="AF1214" s="169"/>
      <c r="AG1214" s="179"/>
      <c r="AH1214" s="169"/>
      <c r="AI1214" s="168"/>
      <c r="AJ1214" s="167"/>
      <c r="AK1214" s="168"/>
      <c r="AL1214" s="169"/>
      <c r="AM1214" s="509"/>
      <c r="AN1214" s="510"/>
      <c r="AO1214" s="510"/>
    </row>
    <row r="1215" spans="1:41">
      <c r="A1215" s="177"/>
      <c r="B1215" s="169"/>
      <c r="C1215" s="169"/>
      <c r="D1215" s="169"/>
      <c r="E1215" s="169"/>
      <c r="F1215" s="169"/>
      <c r="G1215" s="169"/>
      <c r="H1215" s="169"/>
      <c r="I1215" s="169"/>
      <c r="J1215" s="169"/>
      <c r="K1215" s="169"/>
      <c r="L1215" s="169"/>
      <c r="M1215" s="169"/>
      <c r="N1215" s="177"/>
      <c r="O1215" s="169"/>
      <c r="P1215" s="169"/>
      <c r="Q1215" s="169"/>
      <c r="R1215" s="169"/>
      <c r="S1215" s="169"/>
      <c r="T1215" s="169"/>
      <c r="U1215" s="169"/>
      <c r="V1215" s="169"/>
      <c r="W1215" s="169"/>
      <c r="X1215" s="169"/>
      <c r="Y1215" s="169"/>
      <c r="Z1215" s="178"/>
      <c r="AA1215" s="167"/>
      <c r="AB1215" s="169"/>
      <c r="AC1215" s="169"/>
      <c r="AD1215" s="169"/>
      <c r="AE1215" s="169"/>
      <c r="AF1215" s="169"/>
      <c r="AG1215" s="179"/>
      <c r="AH1215" s="169"/>
      <c r="AI1215" s="168"/>
      <c r="AJ1215" s="167"/>
      <c r="AK1215" s="168"/>
      <c r="AL1215" s="169"/>
      <c r="AM1215" s="509"/>
      <c r="AN1215" s="510"/>
      <c r="AO1215" s="510"/>
    </row>
    <row r="1216" spans="1:41">
      <c r="A1216" s="177"/>
      <c r="B1216" s="169"/>
      <c r="C1216" s="169"/>
      <c r="D1216" s="169"/>
      <c r="E1216" s="169"/>
      <c r="F1216" s="169"/>
      <c r="G1216" s="169"/>
      <c r="H1216" s="169"/>
      <c r="I1216" s="169"/>
      <c r="J1216" s="169"/>
      <c r="K1216" s="169"/>
      <c r="L1216" s="169"/>
      <c r="M1216" s="169"/>
      <c r="N1216" s="177"/>
      <c r="O1216" s="169"/>
      <c r="P1216" s="169"/>
      <c r="Q1216" s="169"/>
      <c r="R1216" s="169"/>
      <c r="S1216" s="169"/>
      <c r="T1216" s="169"/>
      <c r="U1216" s="169"/>
      <c r="V1216" s="169"/>
      <c r="W1216" s="169"/>
      <c r="X1216" s="169"/>
      <c r="Y1216" s="169"/>
      <c r="Z1216" s="178"/>
      <c r="AA1216" s="167"/>
      <c r="AB1216" s="169"/>
      <c r="AC1216" s="169"/>
      <c r="AD1216" s="169"/>
      <c r="AE1216" s="169"/>
      <c r="AF1216" s="169"/>
      <c r="AG1216" s="179"/>
      <c r="AH1216" s="169"/>
      <c r="AI1216" s="168"/>
      <c r="AJ1216" s="167"/>
      <c r="AK1216" s="168"/>
      <c r="AL1216" s="169"/>
      <c r="AM1216" s="509"/>
      <c r="AN1216" s="510"/>
      <c r="AO1216" s="510"/>
    </row>
    <row r="1217" spans="1:41">
      <c r="A1217" s="177"/>
      <c r="B1217" s="169"/>
      <c r="C1217" s="169"/>
      <c r="D1217" s="169"/>
      <c r="E1217" s="169"/>
      <c r="F1217" s="169"/>
      <c r="G1217" s="169"/>
      <c r="H1217" s="169"/>
      <c r="I1217" s="169"/>
      <c r="J1217" s="169"/>
      <c r="K1217" s="169"/>
      <c r="L1217" s="169"/>
      <c r="M1217" s="169"/>
      <c r="N1217" s="177"/>
      <c r="O1217" s="169"/>
      <c r="P1217" s="169"/>
      <c r="Q1217" s="169"/>
      <c r="R1217" s="169"/>
      <c r="S1217" s="169"/>
      <c r="T1217" s="169"/>
      <c r="U1217" s="169"/>
      <c r="V1217" s="169"/>
      <c r="W1217" s="169"/>
      <c r="X1217" s="169"/>
      <c r="Y1217" s="169"/>
      <c r="Z1217" s="178"/>
      <c r="AA1217" s="167"/>
      <c r="AB1217" s="169"/>
      <c r="AC1217" s="169"/>
      <c r="AD1217" s="169"/>
      <c r="AE1217" s="169"/>
      <c r="AF1217" s="169"/>
      <c r="AG1217" s="179"/>
      <c r="AH1217" s="169"/>
      <c r="AI1217" s="168"/>
      <c r="AJ1217" s="167"/>
      <c r="AK1217" s="168"/>
      <c r="AL1217" s="169"/>
      <c r="AM1217" s="509"/>
      <c r="AN1217" s="510"/>
      <c r="AO1217" s="510"/>
    </row>
    <row r="1218" spans="1:41">
      <c r="A1218" s="177"/>
      <c r="B1218" s="169"/>
      <c r="C1218" s="169"/>
      <c r="D1218" s="169"/>
      <c r="E1218" s="169"/>
      <c r="F1218" s="169"/>
      <c r="G1218" s="169"/>
      <c r="H1218" s="169"/>
      <c r="I1218" s="169"/>
      <c r="J1218" s="169"/>
      <c r="K1218" s="169"/>
      <c r="L1218" s="169"/>
      <c r="M1218" s="169"/>
      <c r="N1218" s="177"/>
      <c r="O1218" s="169"/>
      <c r="P1218" s="169"/>
      <c r="Q1218" s="169"/>
      <c r="R1218" s="169"/>
      <c r="S1218" s="169"/>
      <c r="T1218" s="169"/>
      <c r="U1218" s="169"/>
      <c r="V1218" s="169"/>
      <c r="W1218" s="169"/>
      <c r="X1218" s="169"/>
      <c r="Y1218" s="169"/>
      <c r="Z1218" s="178"/>
      <c r="AA1218" s="167"/>
      <c r="AB1218" s="169"/>
      <c r="AC1218" s="169"/>
      <c r="AD1218" s="169"/>
      <c r="AE1218" s="169"/>
      <c r="AF1218" s="169"/>
      <c r="AG1218" s="179"/>
      <c r="AH1218" s="169"/>
      <c r="AI1218" s="168"/>
      <c r="AJ1218" s="167"/>
      <c r="AK1218" s="168"/>
      <c r="AL1218" s="169"/>
      <c r="AM1218" s="509"/>
      <c r="AN1218" s="510"/>
      <c r="AO1218" s="510"/>
    </row>
    <row r="1219" spans="1:41">
      <c r="A1219" s="177"/>
      <c r="B1219" s="169"/>
      <c r="C1219" s="169"/>
      <c r="D1219" s="169"/>
      <c r="E1219" s="169"/>
      <c r="F1219" s="169"/>
      <c r="G1219" s="169"/>
      <c r="H1219" s="169"/>
      <c r="I1219" s="169"/>
      <c r="J1219" s="169"/>
      <c r="K1219" s="169"/>
      <c r="L1219" s="169"/>
      <c r="M1219" s="169"/>
      <c r="N1219" s="177"/>
      <c r="O1219" s="169"/>
      <c r="P1219" s="169"/>
      <c r="Q1219" s="169"/>
      <c r="R1219" s="169"/>
      <c r="S1219" s="169"/>
      <c r="T1219" s="169"/>
      <c r="U1219" s="169"/>
      <c r="V1219" s="169"/>
      <c r="W1219" s="169"/>
      <c r="X1219" s="169"/>
      <c r="Y1219" s="169"/>
      <c r="Z1219" s="178"/>
      <c r="AA1219" s="167"/>
      <c r="AB1219" s="169"/>
      <c r="AC1219" s="169"/>
      <c r="AD1219" s="169"/>
      <c r="AE1219" s="169"/>
      <c r="AF1219" s="169"/>
      <c r="AG1219" s="179"/>
      <c r="AH1219" s="169"/>
      <c r="AI1219" s="168"/>
      <c r="AJ1219" s="167"/>
      <c r="AK1219" s="168"/>
      <c r="AL1219" s="169"/>
      <c r="AM1219" s="509"/>
      <c r="AN1219" s="510"/>
      <c r="AO1219" s="510"/>
    </row>
    <row r="1220" spans="1:41">
      <c r="A1220" s="177"/>
      <c r="B1220" s="169"/>
      <c r="C1220" s="169"/>
      <c r="D1220" s="169"/>
      <c r="E1220" s="169"/>
      <c r="F1220" s="169"/>
      <c r="G1220" s="169"/>
      <c r="H1220" s="169"/>
      <c r="I1220" s="169"/>
      <c r="J1220" s="169"/>
      <c r="K1220" s="169"/>
      <c r="L1220" s="169"/>
      <c r="M1220" s="169"/>
      <c r="N1220" s="177"/>
      <c r="O1220" s="169"/>
      <c r="P1220" s="169"/>
      <c r="Q1220" s="169"/>
      <c r="R1220" s="169"/>
      <c r="S1220" s="169"/>
      <c r="T1220" s="169"/>
      <c r="U1220" s="169"/>
      <c r="V1220" s="169"/>
      <c r="W1220" s="169"/>
      <c r="X1220" s="169"/>
      <c r="Y1220" s="169"/>
      <c r="Z1220" s="178"/>
      <c r="AA1220" s="167"/>
      <c r="AB1220" s="169"/>
      <c r="AC1220" s="169"/>
      <c r="AD1220" s="169"/>
      <c r="AE1220" s="169"/>
      <c r="AF1220" s="169"/>
      <c r="AG1220" s="179"/>
      <c r="AH1220" s="169"/>
      <c r="AI1220" s="168"/>
      <c r="AJ1220" s="167"/>
      <c r="AK1220" s="168"/>
      <c r="AL1220" s="169"/>
      <c r="AM1220" s="509"/>
      <c r="AN1220" s="510"/>
      <c r="AO1220" s="510"/>
    </row>
    <row r="1221" spans="1:41">
      <c r="A1221" s="177"/>
      <c r="B1221" s="169"/>
      <c r="C1221" s="169"/>
      <c r="D1221" s="169"/>
      <c r="E1221" s="169"/>
      <c r="F1221" s="169"/>
      <c r="G1221" s="169"/>
      <c r="H1221" s="169"/>
      <c r="I1221" s="169"/>
      <c r="J1221" s="169"/>
      <c r="K1221" s="169"/>
      <c r="L1221" s="169"/>
      <c r="M1221" s="169"/>
      <c r="N1221" s="177"/>
      <c r="O1221" s="169"/>
      <c r="P1221" s="169"/>
      <c r="Q1221" s="169"/>
      <c r="R1221" s="169"/>
      <c r="S1221" s="169"/>
      <c r="T1221" s="169"/>
      <c r="U1221" s="169"/>
      <c r="V1221" s="169"/>
      <c r="W1221" s="169"/>
      <c r="X1221" s="169"/>
      <c r="Y1221" s="169"/>
      <c r="Z1221" s="178"/>
      <c r="AA1221" s="167"/>
      <c r="AB1221" s="169"/>
      <c r="AC1221" s="169"/>
      <c r="AD1221" s="169"/>
      <c r="AE1221" s="169"/>
      <c r="AF1221" s="169"/>
      <c r="AG1221" s="179"/>
      <c r="AH1221" s="169"/>
      <c r="AI1221" s="168"/>
      <c r="AJ1221" s="167"/>
      <c r="AK1221" s="168"/>
      <c r="AL1221" s="169"/>
      <c r="AM1221" s="509"/>
      <c r="AN1221" s="510"/>
      <c r="AO1221" s="510"/>
    </row>
    <row r="1222" spans="1:41">
      <c r="A1222" s="177"/>
      <c r="B1222" s="169"/>
      <c r="C1222" s="169"/>
      <c r="D1222" s="169"/>
      <c r="E1222" s="169"/>
      <c r="F1222" s="169"/>
      <c r="G1222" s="169"/>
      <c r="H1222" s="169"/>
      <c r="I1222" s="169"/>
      <c r="J1222" s="169"/>
      <c r="K1222" s="169"/>
      <c r="L1222" s="169"/>
      <c r="M1222" s="169"/>
      <c r="N1222" s="177"/>
      <c r="O1222" s="169"/>
      <c r="P1222" s="169"/>
      <c r="Q1222" s="169"/>
      <c r="R1222" s="169"/>
      <c r="S1222" s="169"/>
      <c r="T1222" s="169"/>
      <c r="U1222" s="169"/>
      <c r="V1222" s="169"/>
      <c r="W1222" s="169"/>
      <c r="X1222" s="169"/>
      <c r="Y1222" s="169"/>
      <c r="Z1222" s="178"/>
      <c r="AA1222" s="167"/>
      <c r="AB1222" s="169"/>
      <c r="AC1222" s="169"/>
      <c r="AD1222" s="169"/>
      <c r="AE1222" s="169"/>
      <c r="AF1222" s="169"/>
      <c r="AG1222" s="179"/>
      <c r="AH1222" s="169"/>
      <c r="AI1222" s="168"/>
      <c r="AJ1222" s="167"/>
      <c r="AK1222" s="168"/>
      <c r="AL1222" s="169"/>
      <c r="AM1222" s="509"/>
      <c r="AN1222" s="510"/>
      <c r="AO1222" s="510"/>
    </row>
    <row r="1223" spans="1:41">
      <c r="A1223" s="177"/>
      <c r="B1223" s="169"/>
      <c r="C1223" s="169"/>
      <c r="D1223" s="169"/>
      <c r="E1223" s="169"/>
      <c r="F1223" s="169"/>
      <c r="G1223" s="169"/>
      <c r="H1223" s="169"/>
      <c r="I1223" s="169"/>
      <c r="J1223" s="169"/>
      <c r="K1223" s="169"/>
      <c r="L1223" s="169"/>
      <c r="M1223" s="169"/>
      <c r="N1223" s="177"/>
      <c r="O1223" s="169"/>
      <c r="P1223" s="169"/>
      <c r="Q1223" s="169"/>
      <c r="R1223" s="169"/>
      <c r="S1223" s="169"/>
      <c r="T1223" s="169"/>
      <c r="U1223" s="169"/>
      <c r="V1223" s="169"/>
      <c r="W1223" s="169"/>
      <c r="X1223" s="169"/>
      <c r="Y1223" s="169"/>
      <c r="Z1223" s="178"/>
      <c r="AA1223" s="167"/>
      <c r="AB1223" s="169"/>
      <c r="AC1223" s="169"/>
      <c r="AD1223" s="169"/>
      <c r="AE1223" s="169"/>
      <c r="AF1223" s="169"/>
      <c r="AG1223" s="179"/>
      <c r="AH1223" s="169"/>
      <c r="AI1223" s="168"/>
      <c r="AJ1223" s="167"/>
      <c r="AK1223" s="168"/>
      <c r="AL1223" s="169"/>
      <c r="AM1223" s="509"/>
      <c r="AN1223" s="510"/>
      <c r="AO1223" s="510"/>
    </row>
    <row r="1224" spans="1:41">
      <c r="A1224" s="177"/>
      <c r="B1224" s="169"/>
      <c r="C1224" s="169"/>
      <c r="D1224" s="169"/>
      <c r="E1224" s="169"/>
      <c r="F1224" s="169"/>
      <c r="G1224" s="169"/>
      <c r="H1224" s="169"/>
      <c r="I1224" s="169"/>
      <c r="J1224" s="169"/>
      <c r="K1224" s="169"/>
      <c r="L1224" s="169"/>
      <c r="M1224" s="169"/>
      <c r="N1224" s="177"/>
      <c r="O1224" s="169"/>
      <c r="P1224" s="169"/>
      <c r="Q1224" s="169"/>
      <c r="R1224" s="169"/>
      <c r="S1224" s="169"/>
      <c r="T1224" s="169"/>
      <c r="U1224" s="169"/>
      <c r="V1224" s="169"/>
      <c r="W1224" s="169"/>
      <c r="X1224" s="169"/>
      <c r="Y1224" s="169"/>
      <c r="Z1224" s="178"/>
      <c r="AA1224" s="167"/>
      <c r="AB1224" s="169"/>
      <c r="AC1224" s="169"/>
      <c r="AD1224" s="169"/>
      <c r="AE1224" s="169"/>
      <c r="AF1224" s="169"/>
      <c r="AG1224" s="179"/>
      <c r="AH1224" s="169"/>
      <c r="AI1224" s="168"/>
      <c r="AJ1224" s="167"/>
      <c r="AK1224" s="168"/>
      <c r="AL1224" s="169"/>
      <c r="AM1224" s="509"/>
      <c r="AN1224" s="510"/>
      <c r="AO1224" s="510"/>
    </row>
    <row r="1225" spans="1:41">
      <c r="A1225" s="177"/>
      <c r="B1225" s="169"/>
      <c r="C1225" s="169"/>
      <c r="D1225" s="169"/>
      <c r="E1225" s="169"/>
      <c r="F1225" s="169"/>
      <c r="G1225" s="169"/>
      <c r="H1225" s="169"/>
      <c r="I1225" s="169"/>
      <c r="J1225" s="169"/>
      <c r="K1225" s="169"/>
      <c r="L1225" s="169"/>
      <c r="M1225" s="169"/>
      <c r="N1225" s="177"/>
      <c r="O1225" s="169"/>
      <c r="P1225" s="169"/>
      <c r="Q1225" s="169"/>
      <c r="R1225" s="169"/>
      <c r="S1225" s="169"/>
      <c r="T1225" s="169"/>
      <c r="U1225" s="169"/>
      <c r="V1225" s="169"/>
      <c r="W1225" s="169"/>
      <c r="X1225" s="169"/>
      <c r="Y1225" s="169"/>
      <c r="Z1225" s="178"/>
      <c r="AA1225" s="167"/>
      <c r="AB1225" s="169"/>
      <c r="AC1225" s="169"/>
      <c r="AD1225" s="169"/>
      <c r="AE1225" s="169"/>
      <c r="AF1225" s="169"/>
      <c r="AG1225" s="179"/>
      <c r="AH1225" s="169"/>
      <c r="AI1225" s="168"/>
      <c r="AJ1225" s="167"/>
      <c r="AK1225" s="168"/>
      <c r="AL1225" s="169"/>
      <c r="AM1225" s="509"/>
      <c r="AN1225" s="510"/>
      <c r="AO1225" s="510"/>
    </row>
    <row r="1226" spans="1:41">
      <c r="A1226" s="177"/>
      <c r="B1226" s="169"/>
      <c r="C1226" s="169"/>
      <c r="D1226" s="169"/>
      <c r="E1226" s="169"/>
      <c r="F1226" s="169"/>
      <c r="G1226" s="169"/>
      <c r="H1226" s="169"/>
      <c r="I1226" s="169"/>
      <c r="J1226" s="169"/>
      <c r="K1226" s="169"/>
      <c r="L1226" s="169"/>
      <c r="M1226" s="169"/>
      <c r="N1226" s="177"/>
      <c r="O1226" s="169"/>
      <c r="P1226" s="169"/>
      <c r="Q1226" s="169"/>
      <c r="R1226" s="169"/>
      <c r="S1226" s="169"/>
      <c r="T1226" s="169"/>
      <c r="U1226" s="169"/>
      <c r="V1226" s="169"/>
      <c r="W1226" s="169"/>
      <c r="X1226" s="169"/>
      <c r="Y1226" s="169"/>
      <c r="Z1226" s="178"/>
      <c r="AA1226" s="167"/>
      <c r="AB1226" s="169"/>
      <c r="AC1226" s="169"/>
      <c r="AD1226" s="169"/>
      <c r="AE1226" s="169"/>
      <c r="AF1226" s="169"/>
      <c r="AG1226" s="179"/>
      <c r="AH1226" s="169"/>
      <c r="AI1226" s="168"/>
      <c r="AJ1226" s="167"/>
      <c r="AK1226" s="168"/>
      <c r="AL1226" s="169"/>
      <c r="AM1226" s="509"/>
      <c r="AN1226" s="510"/>
      <c r="AO1226" s="510"/>
    </row>
    <row r="1227" spans="1:41">
      <c r="A1227" s="177"/>
      <c r="B1227" s="169"/>
      <c r="C1227" s="169"/>
      <c r="D1227" s="169"/>
      <c r="E1227" s="169"/>
      <c r="F1227" s="169"/>
      <c r="G1227" s="169"/>
      <c r="H1227" s="169"/>
      <c r="I1227" s="169"/>
      <c r="J1227" s="169"/>
      <c r="K1227" s="169"/>
      <c r="L1227" s="169"/>
      <c r="M1227" s="169"/>
      <c r="N1227" s="177"/>
      <c r="O1227" s="169"/>
      <c r="P1227" s="169"/>
      <c r="Q1227" s="169"/>
      <c r="R1227" s="169"/>
      <c r="S1227" s="169"/>
      <c r="T1227" s="169"/>
      <c r="U1227" s="169"/>
      <c r="V1227" s="169"/>
      <c r="W1227" s="169"/>
      <c r="X1227" s="169"/>
      <c r="Y1227" s="169"/>
      <c r="Z1227" s="178"/>
      <c r="AA1227" s="167"/>
      <c r="AB1227" s="169"/>
      <c r="AC1227" s="169"/>
      <c r="AD1227" s="169"/>
      <c r="AE1227" s="169"/>
      <c r="AF1227" s="169"/>
      <c r="AG1227" s="179"/>
      <c r="AH1227" s="169"/>
      <c r="AI1227" s="168"/>
      <c r="AJ1227" s="167"/>
      <c r="AK1227" s="168"/>
      <c r="AL1227" s="169"/>
      <c r="AM1227" s="509"/>
      <c r="AN1227" s="510"/>
      <c r="AO1227" s="510"/>
    </row>
    <row r="1228" spans="1:41">
      <c r="A1228" s="177"/>
      <c r="B1228" s="169"/>
      <c r="C1228" s="169"/>
      <c r="D1228" s="169"/>
      <c r="E1228" s="169"/>
      <c r="F1228" s="169"/>
      <c r="G1228" s="169"/>
      <c r="H1228" s="169"/>
      <c r="I1228" s="169"/>
      <c r="J1228" s="169"/>
      <c r="K1228" s="169"/>
      <c r="L1228" s="169"/>
      <c r="M1228" s="169"/>
      <c r="N1228" s="177"/>
      <c r="O1228" s="169"/>
      <c r="P1228" s="169"/>
      <c r="Q1228" s="169"/>
      <c r="R1228" s="169"/>
      <c r="S1228" s="169"/>
      <c r="T1228" s="169"/>
      <c r="U1228" s="169"/>
      <c r="V1228" s="169"/>
      <c r="W1228" s="169"/>
      <c r="X1228" s="169"/>
      <c r="Y1228" s="169"/>
      <c r="Z1228" s="178"/>
      <c r="AA1228" s="167"/>
      <c r="AB1228" s="169"/>
      <c r="AC1228" s="169"/>
      <c r="AD1228" s="169"/>
      <c r="AE1228" s="169"/>
      <c r="AF1228" s="169"/>
      <c r="AG1228" s="179"/>
      <c r="AH1228" s="169"/>
      <c r="AI1228" s="168"/>
      <c r="AJ1228" s="167"/>
      <c r="AK1228" s="168"/>
      <c r="AL1228" s="169"/>
      <c r="AM1228" s="509"/>
      <c r="AN1228" s="510"/>
      <c r="AO1228" s="510"/>
    </row>
    <row r="1229" spans="1:41">
      <c r="A1229" s="177"/>
      <c r="B1229" s="169"/>
      <c r="C1229" s="169"/>
      <c r="D1229" s="169"/>
      <c r="E1229" s="169"/>
      <c r="F1229" s="169"/>
      <c r="G1229" s="169"/>
      <c r="H1229" s="169"/>
      <c r="I1229" s="169"/>
      <c r="J1229" s="169"/>
      <c r="K1229" s="169"/>
      <c r="L1229" s="169"/>
      <c r="M1229" s="169"/>
      <c r="N1229" s="177"/>
      <c r="O1229" s="169"/>
      <c r="P1229" s="169"/>
      <c r="Q1229" s="169"/>
      <c r="R1229" s="169"/>
      <c r="S1229" s="169"/>
      <c r="T1229" s="169"/>
      <c r="U1229" s="169"/>
      <c r="V1229" s="169"/>
      <c r="W1229" s="169"/>
      <c r="X1229" s="169"/>
      <c r="Y1229" s="169"/>
      <c r="Z1229" s="178"/>
      <c r="AA1229" s="167"/>
      <c r="AB1229" s="169"/>
      <c r="AC1229" s="169"/>
      <c r="AD1229" s="169"/>
      <c r="AE1229" s="169"/>
      <c r="AF1229" s="169"/>
      <c r="AG1229" s="179"/>
      <c r="AH1229" s="169"/>
      <c r="AI1229" s="168"/>
      <c r="AJ1229" s="167"/>
      <c r="AK1229" s="168"/>
      <c r="AL1229" s="169"/>
      <c r="AM1229" s="509"/>
      <c r="AN1229" s="510"/>
      <c r="AO1229" s="510"/>
    </row>
    <row r="1230" spans="1:41">
      <c r="A1230" s="177"/>
      <c r="B1230" s="169"/>
      <c r="C1230" s="169"/>
      <c r="D1230" s="169"/>
      <c r="E1230" s="169"/>
      <c r="F1230" s="169"/>
      <c r="G1230" s="169"/>
      <c r="H1230" s="169"/>
      <c r="I1230" s="169"/>
      <c r="J1230" s="169"/>
      <c r="K1230" s="169"/>
      <c r="L1230" s="169"/>
      <c r="M1230" s="169"/>
      <c r="N1230" s="177"/>
      <c r="O1230" s="169"/>
      <c r="P1230" s="169"/>
      <c r="Q1230" s="169"/>
      <c r="R1230" s="169"/>
      <c r="S1230" s="169"/>
      <c r="T1230" s="169"/>
      <c r="U1230" s="169"/>
      <c r="V1230" s="169"/>
      <c r="W1230" s="169"/>
      <c r="X1230" s="169"/>
      <c r="Y1230" s="169"/>
      <c r="Z1230" s="178"/>
      <c r="AA1230" s="167"/>
      <c r="AB1230" s="169"/>
      <c r="AC1230" s="169"/>
      <c r="AD1230" s="169"/>
      <c r="AE1230" s="169"/>
      <c r="AF1230" s="169"/>
      <c r="AG1230" s="179"/>
      <c r="AH1230" s="169"/>
      <c r="AI1230" s="168"/>
      <c r="AJ1230" s="167"/>
      <c r="AK1230" s="168"/>
      <c r="AL1230" s="169"/>
      <c r="AM1230" s="509"/>
      <c r="AN1230" s="510"/>
      <c r="AO1230" s="510"/>
    </row>
    <row r="1231" spans="1:41">
      <c r="A1231" s="177"/>
      <c r="B1231" s="169"/>
      <c r="C1231" s="169"/>
      <c r="D1231" s="169"/>
      <c r="E1231" s="169"/>
      <c r="F1231" s="169"/>
      <c r="G1231" s="169"/>
      <c r="H1231" s="169"/>
      <c r="I1231" s="169"/>
      <c r="J1231" s="169"/>
      <c r="K1231" s="169"/>
      <c r="L1231" s="169"/>
      <c r="M1231" s="169"/>
      <c r="N1231" s="177"/>
      <c r="O1231" s="169"/>
      <c r="P1231" s="169"/>
      <c r="Q1231" s="169"/>
      <c r="R1231" s="169"/>
      <c r="S1231" s="169"/>
      <c r="T1231" s="169"/>
      <c r="U1231" s="169"/>
      <c r="V1231" s="169"/>
      <c r="W1231" s="169"/>
      <c r="X1231" s="169"/>
      <c r="Y1231" s="169"/>
      <c r="Z1231" s="178"/>
      <c r="AA1231" s="167"/>
      <c r="AB1231" s="169"/>
      <c r="AC1231" s="169"/>
      <c r="AD1231" s="169"/>
      <c r="AE1231" s="169"/>
      <c r="AF1231" s="169"/>
      <c r="AG1231" s="179"/>
      <c r="AH1231" s="169"/>
      <c r="AI1231" s="168"/>
      <c r="AJ1231" s="167"/>
      <c r="AK1231" s="168"/>
      <c r="AL1231" s="169"/>
      <c r="AM1231" s="509"/>
      <c r="AN1231" s="510"/>
      <c r="AO1231" s="510"/>
    </row>
    <row r="1232" spans="1:41">
      <c r="A1232" s="177"/>
      <c r="B1232" s="169"/>
      <c r="C1232" s="169"/>
      <c r="D1232" s="169"/>
      <c r="E1232" s="169"/>
      <c r="F1232" s="169"/>
      <c r="G1232" s="169"/>
      <c r="H1232" s="169"/>
      <c r="I1232" s="169"/>
      <c r="J1232" s="169"/>
      <c r="K1232" s="169"/>
      <c r="L1232" s="169"/>
      <c r="M1232" s="169"/>
      <c r="N1232" s="177"/>
      <c r="O1232" s="169"/>
      <c r="P1232" s="169"/>
      <c r="Q1232" s="169"/>
      <c r="R1232" s="169"/>
      <c r="S1232" s="169"/>
      <c r="T1232" s="169"/>
      <c r="U1232" s="169"/>
      <c r="V1232" s="169"/>
      <c r="W1232" s="169"/>
      <c r="X1232" s="169"/>
      <c r="Y1232" s="169"/>
      <c r="Z1232" s="178"/>
      <c r="AA1232" s="167"/>
      <c r="AB1232" s="169"/>
      <c r="AC1232" s="169"/>
      <c r="AD1232" s="169"/>
      <c r="AE1232" s="169"/>
      <c r="AF1232" s="169"/>
      <c r="AG1232" s="179"/>
      <c r="AH1232" s="169"/>
      <c r="AI1232" s="168"/>
      <c r="AJ1232" s="167"/>
      <c r="AK1232" s="168"/>
      <c r="AL1232" s="169"/>
      <c r="AM1232" s="509"/>
      <c r="AN1232" s="510"/>
      <c r="AO1232" s="510"/>
    </row>
    <row r="1233" spans="1:41">
      <c r="A1233" s="177"/>
      <c r="B1233" s="169"/>
      <c r="C1233" s="169"/>
      <c r="D1233" s="169"/>
      <c r="E1233" s="169"/>
      <c r="F1233" s="169"/>
      <c r="G1233" s="169"/>
      <c r="H1233" s="169"/>
      <c r="I1233" s="169"/>
      <c r="J1233" s="169"/>
      <c r="K1233" s="169"/>
      <c r="L1233" s="169"/>
      <c r="M1233" s="169"/>
      <c r="N1233" s="177"/>
      <c r="O1233" s="169"/>
      <c r="P1233" s="169"/>
      <c r="Q1233" s="169"/>
      <c r="R1233" s="169"/>
      <c r="S1233" s="169"/>
      <c r="T1233" s="169"/>
      <c r="U1233" s="169"/>
      <c r="V1233" s="169"/>
      <c r="W1233" s="169"/>
      <c r="X1233" s="169"/>
      <c r="Y1233" s="169"/>
      <c r="Z1233" s="178"/>
      <c r="AA1233" s="167"/>
      <c r="AB1233" s="169"/>
      <c r="AC1233" s="169"/>
      <c r="AD1233" s="169"/>
      <c r="AE1233" s="169"/>
      <c r="AF1233" s="169"/>
      <c r="AG1233" s="179"/>
      <c r="AH1233" s="169"/>
      <c r="AI1233" s="168"/>
      <c r="AJ1233" s="167"/>
      <c r="AK1233" s="168"/>
      <c r="AL1233" s="169"/>
      <c r="AM1233" s="509"/>
      <c r="AN1233" s="510"/>
      <c r="AO1233" s="510"/>
    </row>
    <row r="1234" spans="1:41">
      <c r="A1234" s="177"/>
      <c r="B1234" s="169"/>
      <c r="C1234" s="169"/>
      <c r="D1234" s="169"/>
      <c r="E1234" s="169"/>
      <c r="F1234" s="169"/>
      <c r="G1234" s="169"/>
      <c r="H1234" s="169"/>
      <c r="I1234" s="169"/>
      <c r="J1234" s="169"/>
      <c r="K1234" s="169"/>
      <c r="L1234" s="169"/>
      <c r="M1234" s="169"/>
      <c r="N1234" s="177"/>
      <c r="O1234" s="169"/>
      <c r="P1234" s="169"/>
      <c r="Q1234" s="169"/>
      <c r="R1234" s="169"/>
      <c r="S1234" s="169"/>
      <c r="T1234" s="169"/>
      <c r="U1234" s="169"/>
      <c r="V1234" s="169"/>
      <c r="W1234" s="169"/>
      <c r="X1234" s="169"/>
      <c r="Y1234" s="169"/>
      <c r="Z1234" s="178"/>
      <c r="AA1234" s="167"/>
      <c r="AB1234" s="169"/>
      <c r="AC1234" s="169"/>
      <c r="AD1234" s="169"/>
      <c r="AE1234" s="169"/>
      <c r="AF1234" s="169"/>
      <c r="AG1234" s="179"/>
      <c r="AH1234" s="169"/>
      <c r="AI1234" s="168"/>
      <c r="AJ1234" s="167"/>
      <c r="AK1234" s="168"/>
      <c r="AL1234" s="169"/>
      <c r="AM1234" s="509"/>
      <c r="AN1234" s="510"/>
      <c r="AO1234" s="510"/>
    </row>
    <row r="1235" spans="1:41">
      <c r="A1235" s="177"/>
      <c r="B1235" s="169"/>
      <c r="C1235" s="169"/>
      <c r="D1235" s="169"/>
      <c r="E1235" s="169"/>
      <c r="F1235" s="169"/>
      <c r="G1235" s="169"/>
      <c r="H1235" s="169"/>
      <c r="I1235" s="169"/>
      <c r="J1235" s="169"/>
      <c r="K1235" s="169"/>
      <c r="L1235" s="169"/>
      <c r="M1235" s="169"/>
      <c r="N1235" s="177"/>
      <c r="O1235" s="169"/>
      <c r="P1235" s="169"/>
      <c r="Q1235" s="169"/>
      <c r="R1235" s="169"/>
      <c r="S1235" s="169"/>
      <c r="T1235" s="169"/>
      <c r="U1235" s="169"/>
      <c r="V1235" s="169"/>
      <c r="W1235" s="169"/>
      <c r="X1235" s="169"/>
      <c r="Y1235" s="169"/>
      <c r="Z1235" s="178"/>
      <c r="AA1235" s="167"/>
      <c r="AB1235" s="169"/>
      <c r="AC1235" s="169"/>
      <c r="AD1235" s="169"/>
      <c r="AE1235" s="169"/>
      <c r="AF1235" s="169"/>
      <c r="AG1235" s="179"/>
      <c r="AH1235" s="169"/>
      <c r="AI1235" s="168"/>
      <c r="AJ1235" s="167"/>
      <c r="AK1235" s="168"/>
      <c r="AL1235" s="169"/>
      <c r="AM1235" s="509"/>
      <c r="AN1235" s="510"/>
      <c r="AO1235" s="510"/>
    </row>
    <row r="1236" spans="1:41">
      <c r="A1236" s="177"/>
      <c r="B1236" s="169"/>
      <c r="C1236" s="169"/>
      <c r="D1236" s="169"/>
      <c r="E1236" s="169"/>
      <c r="F1236" s="169"/>
      <c r="G1236" s="169"/>
      <c r="H1236" s="169"/>
      <c r="I1236" s="169"/>
      <c r="J1236" s="169"/>
      <c r="K1236" s="169"/>
      <c r="L1236" s="169"/>
      <c r="M1236" s="169"/>
      <c r="N1236" s="177"/>
      <c r="O1236" s="169"/>
      <c r="P1236" s="169"/>
      <c r="Q1236" s="169"/>
      <c r="R1236" s="169"/>
      <c r="S1236" s="169"/>
      <c r="T1236" s="169"/>
      <c r="U1236" s="169"/>
      <c r="V1236" s="169"/>
      <c r="W1236" s="169"/>
      <c r="X1236" s="169"/>
      <c r="Y1236" s="169"/>
      <c r="Z1236" s="178"/>
      <c r="AA1236" s="167"/>
      <c r="AB1236" s="169"/>
      <c r="AC1236" s="169"/>
      <c r="AD1236" s="169"/>
      <c r="AE1236" s="169"/>
      <c r="AF1236" s="169"/>
      <c r="AG1236" s="179"/>
      <c r="AH1236" s="169"/>
      <c r="AI1236" s="168"/>
      <c r="AJ1236" s="167"/>
      <c r="AK1236" s="168"/>
      <c r="AL1236" s="169"/>
      <c r="AM1236" s="509"/>
      <c r="AN1236" s="510"/>
      <c r="AO1236" s="510"/>
    </row>
    <row r="1237" spans="1:41">
      <c r="A1237" s="177"/>
      <c r="B1237" s="169"/>
      <c r="C1237" s="169"/>
      <c r="D1237" s="169"/>
      <c r="E1237" s="169"/>
      <c r="F1237" s="169"/>
      <c r="G1237" s="169"/>
      <c r="H1237" s="169"/>
      <c r="I1237" s="169"/>
      <c r="J1237" s="169"/>
      <c r="K1237" s="169"/>
      <c r="L1237" s="169"/>
      <c r="M1237" s="169"/>
      <c r="N1237" s="177"/>
      <c r="O1237" s="169"/>
      <c r="P1237" s="169"/>
      <c r="Q1237" s="169"/>
      <c r="R1237" s="169"/>
      <c r="S1237" s="169"/>
      <c r="T1237" s="169"/>
      <c r="U1237" s="169"/>
      <c r="V1237" s="169"/>
      <c r="W1237" s="169"/>
      <c r="X1237" s="169"/>
      <c r="Y1237" s="169"/>
      <c r="Z1237" s="178"/>
      <c r="AA1237" s="167"/>
      <c r="AB1237" s="169"/>
      <c r="AC1237" s="169"/>
      <c r="AD1237" s="169"/>
      <c r="AE1237" s="169"/>
      <c r="AF1237" s="169"/>
      <c r="AG1237" s="179"/>
      <c r="AH1237" s="169"/>
      <c r="AI1237" s="168"/>
      <c r="AJ1237" s="167"/>
      <c r="AK1237" s="168"/>
      <c r="AL1237" s="169"/>
      <c r="AM1237" s="509"/>
      <c r="AN1237" s="510"/>
      <c r="AO1237" s="510"/>
    </row>
    <row r="1238" spans="1:41">
      <c r="A1238" s="177"/>
      <c r="B1238" s="169"/>
      <c r="C1238" s="169"/>
      <c r="D1238" s="169"/>
      <c r="E1238" s="169"/>
      <c r="F1238" s="169"/>
      <c r="G1238" s="169"/>
      <c r="H1238" s="169"/>
      <c r="I1238" s="169"/>
      <c r="J1238" s="169"/>
      <c r="K1238" s="169"/>
      <c r="L1238" s="169"/>
      <c r="M1238" s="169"/>
      <c r="N1238" s="177"/>
      <c r="O1238" s="169"/>
      <c r="P1238" s="169"/>
      <c r="Q1238" s="169"/>
      <c r="R1238" s="169"/>
      <c r="S1238" s="169"/>
      <c r="T1238" s="169"/>
      <c r="U1238" s="169"/>
      <c r="V1238" s="169"/>
      <c r="W1238" s="169"/>
      <c r="X1238" s="169"/>
      <c r="Y1238" s="169"/>
      <c r="Z1238" s="178"/>
      <c r="AA1238" s="167"/>
      <c r="AB1238" s="169"/>
      <c r="AC1238" s="169"/>
      <c r="AD1238" s="169"/>
      <c r="AE1238" s="169"/>
      <c r="AF1238" s="169"/>
      <c r="AG1238" s="179"/>
      <c r="AH1238" s="169"/>
      <c r="AI1238" s="168"/>
      <c r="AJ1238" s="167"/>
      <c r="AK1238" s="168"/>
      <c r="AL1238" s="169"/>
      <c r="AM1238" s="509"/>
      <c r="AN1238" s="510"/>
      <c r="AO1238" s="510"/>
    </row>
    <row r="1239" spans="1:41">
      <c r="A1239" s="177"/>
      <c r="B1239" s="169"/>
      <c r="C1239" s="169"/>
      <c r="D1239" s="169"/>
      <c r="E1239" s="169"/>
      <c r="F1239" s="169"/>
      <c r="G1239" s="169"/>
      <c r="H1239" s="169"/>
      <c r="I1239" s="169"/>
      <c r="J1239" s="169"/>
      <c r="K1239" s="169"/>
      <c r="L1239" s="169"/>
      <c r="M1239" s="169"/>
      <c r="N1239" s="177"/>
      <c r="O1239" s="169"/>
      <c r="P1239" s="169"/>
      <c r="Q1239" s="169"/>
      <c r="R1239" s="169"/>
      <c r="S1239" s="169"/>
      <c r="T1239" s="169"/>
      <c r="U1239" s="169"/>
      <c r="V1239" s="169"/>
      <c r="W1239" s="169"/>
      <c r="X1239" s="169"/>
      <c r="Y1239" s="169"/>
      <c r="Z1239" s="178"/>
      <c r="AA1239" s="167"/>
      <c r="AB1239" s="169"/>
      <c r="AC1239" s="169"/>
      <c r="AD1239" s="169"/>
      <c r="AE1239" s="169"/>
      <c r="AF1239" s="169"/>
      <c r="AG1239" s="179"/>
      <c r="AH1239" s="169"/>
      <c r="AI1239" s="168"/>
      <c r="AJ1239" s="167"/>
      <c r="AK1239" s="168"/>
      <c r="AL1239" s="169"/>
      <c r="AM1239" s="509"/>
      <c r="AN1239" s="510"/>
      <c r="AO1239" s="510"/>
    </row>
    <row r="1240" spans="1:41">
      <c r="A1240" s="177"/>
      <c r="B1240" s="169"/>
      <c r="C1240" s="169"/>
      <c r="D1240" s="169"/>
      <c r="E1240" s="169"/>
      <c r="F1240" s="169"/>
      <c r="G1240" s="169"/>
      <c r="H1240" s="169"/>
      <c r="I1240" s="169"/>
      <c r="J1240" s="169"/>
      <c r="K1240" s="169"/>
      <c r="L1240" s="169"/>
      <c r="M1240" s="169"/>
      <c r="N1240" s="177"/>
      <c r="O1240" s="169"/>
      <c r="P1240" s="169"/>
      <c r="Q1240" s="169"/>
      <c r="R1240" s="169"/>
      <c r="S1240" s="169"/>
      <c r="T1240" s="169"/>
      <c r="U1240" s="169"/>
      <c r="V1240" s="169"/>
      <c r="W1240" s="169"/>
      <c r="X1240" s="169"/>
      <c r="Y1240" s="169"/>
      <c r="Z1240" s="178"/>
      <c r="AA1240" s="167"/>
      <c r="AB1240" s="169"/>
      <c r="AC1240" s="169"/>
      <c r="AD1240" s="169"/>
      <c r="AE1240" s="169"/>
      <c r="AF1240" s="169"/>
      <c r="AG1240" s="179"/>
      <c r="AH1240" s="169"/>
      <c r="AI1240" s="168"/>
      <c r="AJ1240" s="167"/>
      <c r="AK1240" s="168"/>
      <c r="AL1240" s="169"/>
      <c r="AM1240" s="509"/>
      <c r="AN1240" s="510"/>
      <c r="AO1240" s="510"/>
    </row>
    <row r="1241" spans="1:41">
      <c r="A1241" s="177"/>
      <c r="B1241" s="169"/>
      <c r="C1241" s="169"/>
      <c r="D1241" s="169"/>
      <c r="E1241" s="169"/>
      <c r="F1241" s="169"/>
      <c r="G1241" s="169"/>
      <c r="H1241" s="169"/>
      <c r="I1241" s="169"/>
      <c r="J1241" s="169"/>
      <c r="K1241" s="169"/>
      <c r="L1241" s="169"/>
      <c r="M1241" s="169"/>
      <c r="N1241" s="177"/>
      <c r="O1241" s="169"/>
      <c r="P1241" s="169"/>
      <c r="Q1241" s="169"/>
      <c r="R1241" s="169"/>
      <c r="S1241" s="169"/>
      <c r="T1241" s="169"/>
      <c r="U1241" s="169"/>
      <c r="V1241" s="169"/>
      <c r="W1241" s="169"/>
      <c r="X1241" s="169"/>
      <c r="Y1241" s="169"/>
      <c r="Z1241" s="178"/>
      <c r="AA1241" s="167"/>
      <c r="AB1241" s="169"/>
      <c r="AC1241" s="169"/>
      <c r="AD1241" s="169"/>
      <c r="AE1241" s="169"/>
      <c r="AF1241" s="169"/>
      <c r="AG1241" s="179"/>
      <c r="AH1241" s="169"/>
      <c r="AI1241" s="168"/>
      <c r="AJ1241" s="167"/>
      <c r="AK1241" s="168"/>
      <c r="AL1241" s="169"/>
      <c r="AM1241" s="509"/>
      <c r="AN1241" s="510"/>
      <c r="AO1241" s="510"/>
    </row>
    <row r="1242" spans="1:41">
      <c r="A1242" s="177"/>
      <c r="B1242" s="169"/>
      <c r="C1242" s="169"/>
      <c r="D1242" s="169"/>
      <c r="E1242" s="169"/>
      <c r="F1242" s="169"/>
      <c r="G1242" s="169"/>
      <c r="H1242" s="169"/>
      <c r="I1242" s="169"/>
      <c r="J1242" s="169"/>
      <c r="K1242" s="169"/>
      <c r="L1242" s="169"/>
      <c r="M1242" s="169"/>
      <c r="N1242" s="177"/>
      <c r="O1242" s="169"/>
      <c r="P1242" s="169"/>
      <c r="Q1242" s="169"/>
      <c r="R1242" s="169"/>
      <c r="S1242" s="169"/>
      <c r="T1242" s="169"/>
      <c r="U1242" s="169"/>
      <c r="V1242" s="169"/>
      <c r="W1242" s="169"/>
      <c r="X1242" s="169"/>
      <c r="Y1242" s="169"/>
      <c r="Z1242" s="178"/>
      <c r="AA1242" s="167"/>
      <c r="AB1242" s="169"/>
      <c r="AC1242" s="169"/>
      <c r="AD1242" s="169"/>
      <c r="AE1242" s="169"/>
      <c r="AF1242" s="169"/>
      <c r="AG1242" s="179"/>
      <c r="AH1242" s="169"/>
      <c r="AI1242" s="168"/>
      <c r="AJ1242" s="167"/>
      <c r="AK1242" s="168"/>
      <c r="AL1242" s="169"/>
      <c r="AM1242" s="509"/>
      <c r="AN1242" s="510"/>
      <c r="AO1242" s="510"/>
    </row>
    <row r="1243" spans="1:41">
      <c r="A1243" s="177"/>
      <c r="B1243" s="169"/>
      <c r="C1243" s="169"/>
      <c r="D1243" s="169"/>
      <c r="E1243" s="169"/>
      <c r="F1243" s="169"/>
      <c r="G1243" s="169"/>
      <c r="H1243" s="169"/>
      <c r="I1243" s="169"/>
      <c r="J1243" s="169"/>
      <c r="K1243" s="169"/>
      <c r="L1243" s="169"/>
      <c r="M1243" s="169"/>
      <c r="N1243" s="177"/>
      <c r="O1243" s="169"/>
      <c r="P1243" s="169"/>
      <c r="Q1243" s="169"/>
      <c r="R1243" s="169"/>
      <c r="S1243" s="169"/>
      <c r="T1243" s="169"/>
      <c r="U1243" s="169"/>
      <c r="V1243" s="169"/>
      <c r="W1243" s="169"/>
      <c r="X1243" s="169"/>
      <c r="Y1243" s="169"/>
      <c r="Z1243" s="178"/>
      <c r="AA1243" s="167"/>
      <c r="AB1243" s="169"/>
      <c r="AC1243" s="169"/>
      <c r="AD1243" s="169"/>
      <c r="AE1243" s="169"/>
      <c r="AF1243" s="169"/>
      <c r="AG1243" s="179"/>
      <c r="AH1243" s="169"/>
      <c r="AI1243" s="168"/>
      <c r="AJ1243" s="167"/>
      <c r="AK1243" s="168"/>
      <c r="AL1243" s="169"/>
      <c r="AM1243" s="509"/>
      <c r="AN1243" s="510"/>
      <c r="AO1243" s="510"/>
    </row>
    <row r="1244" spans="1:41">
      <c r="A1244" s="177"/>
      <c r="B1244" s="169"/>
      <c r="C1244" s="169"/>
      <c r="D1244" s="169"/>
      <c r="E1244" s="169"/>
      <c r="F1244" s="169"/>
      <c r="G1244" s="169"/>
      <c r="H1244" s="169"/>
      <c r="I1244" s="169"/>
      <c r="J1244" s="169"/>
      <c r="K1244" s="169"/>
      <c r="L1244" s="169"/>
      <c r="M1244" s="169"/>
      <c r="N1244" s="177"/>
      <c r="O1244" s="169"/>
      <c r="P1244" s="169"/>
      <c r="Q1244" s="169"/>
      <c r="R1244" s="169"/>
      <c r="S1244" s="169"/>
      <c r="T1244" s="169"/>
      <c r="U1244" s="169"/>
      <c r="V1244" s="169"/>
      <c r="W1244" s="169"/>
      <c r="X1244" s="169"/>
      <c r="Y1244" s="169"/>
      <c r="Z1244" s="178"/>
      <c r="AA1244" s="167"/>
      <c r="AB1244" s="169"/>
      <c r="AC1244" s="169"/>
      <c r="AD1244" s="169"/>
      <c r="AE1244" s="169"/>
      <c r="AF1244" s="169"/>
      <c r="AG1244" s="179"/>
      <c r="AH1244" s="169"/>
      <c r="AI1244" s="168"/>
      <c r="AJ1244" s="167"/>
      <c r="AK1244" s="168"/>
      <c r="AL1244" s="169"/>
      <c r="AM1244" s="509"/>
      <c r="AN1244" s="510"/>
      <c r="AO1244" s="510"/>
    </row>
    <row r="1245" spans="1:41">
      <c r="A1245" s="177"/>
      <c r="B1245" s="169"/>
      <c r="C1245" s="169"/>
      <c r="D1245" s="169"/>
      <c r="E1245" s="169"/>
      <c r="F1245" s="169"/>
      <c r="G1245" s="169"/>
      <c r="H1245" s="169"/>
      <c r="I1245" s="169"/>
      <c r="J1245" s="169"/>
      <c r="K1245" s="169"/>
      <c r="L1245" s="169"/>
      <c r="M1245" s="169"/>
      <c r="N1245" s="177"/>
      <c r="O1245" s="169"/>
      <c r="P1245" s="169"/>
      <c r="Q1245" s="169"/>
      <c r="R1245" s="169"/>
      <c r="S1245" s="169"/>
      <c r="T1245" s="169"/>
      <c r="U1245" s="169"/>
      <c r="V1245" s="169"/>
      <c r="W1245" s="169"/>
      <c r="X1245" s="169"/>
      <c r="Y1245" s="169"/>
      <c r="Z1245" s="178"/>
      <c r="AA1245" s="167"/>
      <c r="AB1245" s="169"/>
      <c r="AC1245" s="169"/>
      <c r="AD1245" s="169"/>
      <c r="AE1245" s="169"/>
      <c r="AF1245" s="169"/>
      <c r="AG1245" s="179"/>
      <c r="AH1245" s="169"/>
      <c r="AI1245" s="168"/>
      <c r="AJ1245" s="167"/>
      <c r="AK1245" s="168"/>
      <c r="AL1245" s="169"/>
      <c r="AM1245" s="509"/>
      <c r="AN1245" s="510"/>
      <c r="AO1245" s="510"/>
    </row>
    <row r="1246" spans="1:41">
      <c r="A1246" s="177"/>
      <c r="B1246" s="169"/>
      <c r="C1246" s="169"/>
      <c r="D1246" s="169"/>
      <c r="E1246" s="169"/>
      <c r="F1246" s="169"/>
      <c r="G1246" s="169"/>
      <c r="H1246" s="169"/>
      <c r="I1246" s="169"/>
      <c r="J1246" s="169"/>
      <c r="K1246" s="169"/>
      <c r="L1246" s="169"/>
      <c r="M1246" s="169"/>
      <c r="N1246" s="177"/>
      <c r="O1246" s="169"/>
      <c r="P1246" s="169"/>
      <c r="Q1246" s="169"/>
      <c r="R1246" s="169"/>
      <c r="S1246" s="169"/>
      <c r="T1246" s="169"/>
      <c r="U1246" s="169"/>
      <c r="V1246" s="169"/>
      <c r="W1246" s="169"/>
      <c r="X1246" s="169"/>
      <c r="Y1246" s="169"/>
      <c r="Z1246" s="178"/>
      <c r="AA1246" s="167"/>
      <c r="AB1246" s="169"/>
      <c r="AC1246" s="169"/>
      <c r="AD1246" s="169"/>
      <c r="AE1246" s="169"/>
      <c r="AF1246" s="169"/>
      <c r="AG1246" s="179"/>
      <c r="AH1246" s="169"/>
      <c r="AI1246" s="168"/>
      <c r="AJ1246" s="167"/>
      <c r="AK1246" s="168"/>
      <c r="AL1246" s="169"/>
      <c r="AM1246" s="509"/>
      <c r="AN1246" s="510"/>
      <c r="AO1246" s="510"/>
    </row>
    <row r="1247" spans="1:41">
      <c r="A1247" s="177"/>
      <c r="B1247" s="169"/>
      <c r="C1247" s="169"/>
      <c r="D1247" s="169"/>
      <c r="E1247" s="169"/>
      <c r="F1247" s="169"/>
      <c r="G1247" s="169"/>
      <c r="H1247" s="169"/>
      <c r="I1247" s="169"/>
      <c r="J1247" s="169"/>
      <c r="K1247" s="169"/>
      <c r="L1247" s="169"/>
      <c r="M1247" s="169"/>
      <c r="N1247" s="177"/>
      <c r="O1247" s="169"/>
      <c r="P1247" s="169"/>
      <c r="Q1247" s="169"/>
      <c r="R1247" s="169"/>
      <c r="S1247" s="169"/>
      <c r="T1247" s="169"/>
      <c r="U1247" s="169"/>
      <c r="V1247" s="169"/>
      <c r="W1247" s="169"/>
      <c r="X1247" s="169"/>
      <c r="Y1247" s="169"/>
      <c r="Z1247" s="178"/>
      <c r="AA1247" s="167"/>
      <c r="AB1247" s="169"/>
      <c r="AC1247" s="169"/>
      <c r="AD1247" s="169"/>
      <c r="AE1247" s="169"/>
      <c r="AF1247" s="169"/>
      <c r="AG1247" s="179"/>
      <c r="AH1247" s="169"/>
      <c r="AI1247" s="168"/>
      <c r="AJ1247" s="167"/>
      <c r="AK1247" s="168"/>
      <c r="AL1247" s="169"/>
      <c r="AM1247" s="509"/>
      <c r="AN1247" s="510"/>
      <c r="AO1247" s="510"/>
    </row>
    <row r="1248" spans="1:41">
      <c r="A1248" s="177"/>
      <c r="B1248" s="169"/>
      <c r="C1248" s="169"/>
      <c r="D1248" s="169"/>
      <c r="E1248" s="169"/>
      <c r="F1248" s="169"/>
      <c r="G1248" s="169"/>
      <c r="H1248" s="169"/>
      <c r="I1248" s="169"/>
      <c r="J1248" s="169"/>
      <c r="K1248" s="169"/>
      <c r="L1248" s="169"/>
      <c r="M1248" s="169"/>
      <c r="N1248" s="177"/>
      <c r="O1248" s="169"/>
      <c r="P1248" s="169"/>
      <c r="Q1248" s="169"/>
      <c r="R1248" s="169"/>
      <c r="S1248" s="169"/>
      <c r="T1248" s="169"/>
      <c r="U1248" s="169"/>
      <c r="V1248" s="169"/>
      <c r="W1248" s="169"/>
      <c r="X1248" s="169"/>
      <c r="Y1248" s="169"/>
      <c r="Z1248" s="178"/>
      <c r="AA1248" s="167"/>
      <c r="AB1248" s="169"/>
      <c r="AC1248" s="169"/>
      <c r="AD1248" s="169"/>
      <c r="AE1248" s="169"/>
      <c r="AF1248" s="169"/>
      <c r="AG1248" s="179"/>
      <c r="AH1248" s="169"/>
      <c r="AI1248" s="168"/>
      <c r="AJ1248" s="167"/>
      <c r="AK1248" s="168"/>
      <c r="AL1248" s="169"/>
      <c r="AM1248" s="509"/>
      <c r="AN1248" s="510"/>
      <c r="AO1248" s="510"/>
    </row>
    <row r="1249" spans="1:41">
      <c r="A1249" s="177"/>
      <c r="B1249" s="169"/>
      <c r="C1249" s="169"/>
      <c r="D1249" s="169"/>
      <c r="E1249" s="169"/>
      <c r="F1249" s="169"/>
      <c r="G1249" s="169"/>
      <c r="H1249" s="169"/>
      <c r="I1249" s="169"/>
      <c r="J1249" s="169"/>
      <c r="K1249" s="169"/>
      <c r="L1249" s="169"/>
      <c r="M1249" s="169"/>
      <c r="N1249" s="177"/>
      <c r="O1249" s="169"/>
      <c r="P1249" s="169"/>
      <c r="Q1249" s="169"/>
      <c r="R1249" s="169"/>
      <c r="S1249" s="169"/>
      <c r="T1249" s="169"/>
      <c r="U1249" s="169"/>
      <c r="V1249" s="169"/>
      <c r="W1249" s="169"/>
      <c r="X1249" s="169"/>
      <c r="Y1249" s="169"/>
      <c r="Z1249" s="178"/>
      <c r="AA1249" s="167"/>
      <c r="AB1249" s="169"/>
      <c r="AC1249" s="169"/>
      <c r="AD1249" s="169"/>
      <c r="AE1249" s="169"/>
      <c r="AF1249" s="169"/>
      <c r="AG1249" s="179"/>
      <c r="AH1249" s="169"/>
      <c r="AI1249" s="168"/>
      <c r="AJ1249" s="167"/>
      <c r="AK1249" s="168"/>
      <c r="AL1249" s="169"/>
      <c r="AM1249" s="509"/>
      <c r="AN1249" s="510"/>
      <c r="AO1249" s="510"/>
    </row>
    <row r="1250" spans="1:41">
      <c r="A1250" s="177"/>
      <c r="B1250" s="169"/>
      <c r="C1250" s="169"/>
      <c r="D1250" s="169"/>
      <c r="E1250" s="169"/>
      <c r="F1250" s="169"/>
      <c r="G1250" s="169"/>
      <c r="H1250" s="169"/>
      <c r="I1250" s="169"/>
      <c r="J1250" s="169"/>
      <c r="K1250" s="169"/>
      <c r="L1250" s="169"/>
      <c r="M1250" s="169"/>
      <c r="N1250" s="177"/>
      <c r="O1250" s="169"/>
      <c r="P1250" s="169"/>
      <c r="Q1250" s="169"/>
      <c r="R1250" s="169"/>
      <c r="S1250" s="169"/>
      <c r="T1250" s="169"/>
      <c r="U1250" s="169"/>
      <c r="V1250" s="169"/>
      <c r="W1250" s="169"/>
      <c r="X1250" s="169"/>
      <c r="Y1250" s="169"/>
      <c r="Z1250" s="178"/>
      <c r="AA1250" s="167"/>
      <c r="AB1250" s="169"/>
      <c r="AC1250" s="169"/>
      <c r="AD1250" s="169"/>
      <c r="AE1250" s="169"/>
      <c r="AF1250" s="169"/>
      <c r="AG1250" s="179"/>
      <c r="AH1250" s="169"/>
      <c r="AI1250" s="168"/>
      <c r="AJ1250" s="167"/>
      <c r="AK1250" s="168"/>
      <c r="AL1250" s="169"/>
      <c r="AM1250" s="509"/>
      <c r="AN1250" s="510"/>
      <c r="AO1250" s="510"/>
    </row>
    <row r="1251" spans="1:41">
      <c r="A1251" s="177"/>
      <c r="B1251" s="169"/>
      <c r="C1251" s="169"/>
      <c r="D1251" s="169"/>
      <c r="E1251" s="169"/>
      <c r="F1251" s="169"/>
      <c r="G1251" s="169"/>
      <c r="H1251" s="169"/>
      <c r="I1251" s="169"/>
      <c r="J1251" s="169"/>
      <c r="K1251" s="169"/>
      <c r="L1251" s="169"/>
      <c r="M1251" s="169"/>
      <c r="N1251" s="177"/>
      <c r="O1251" s="169"/>
      <c r="P1251" s="169"/>
      <c r="Q1251" s="169"/>
      <c r="R1251" s="169"/>
      <c r="S1251" s="169"/>
      <c r="T1251" s="169"/>
      <c r="U1251" s="169"/>
      <c r="V1251" s="169"/>
      <c r="W1251" s="169"/>
      <c r="X1251" s="169"/>
      <c r="Y1251" s="169"/>
      <c r="Z1251" s="178"/>
      <c r="AA1251" s="167"/>
      <c r="AB1251" s="169"/>
      <c r="AC1251" s="169"/>
      <c r="AD1251" s="169"/>
      <c r="AE1251" s="169"/>
      <c r="AF1251" s="169"/>
      <c r="AG1251" s="179"/>
      <c r="AH1251" s="169"/>
      <c r="AI1251" s="168"/>
      <c r="AJ1251" s="167"/>
      <c r="AK1251" s="168"/>
      <c r="AL1251" s="169"/>
      <c r="AM1251" s="509"/>
      <c r="AN1251" s="510"/>
      <c r="AO1251" s="510"/>
    </row>
    <row r="1252" spans="1:41">
      <c r="A1252" s="177"/>
      <c r="B1252" s="169"/>
      <c r="C1252" s="169"/>
      <c r="D1252" s="169"/>
      <c r="E1252" s="169"/>
      <c r="F1252" s="169"/>
      <c r="G1252" s="169"/>
      <c r="H1252" s="169"/>
      <c r="I1252" s="169"/>
      <c r="J1252" s="169"/>
      <c r="K1252" s="169"/>
      <c r="L1252" s="169"/>
      <c r="M1252" s="169"/>
      <c r="N1252" s="177"/>
      <c r="O1252" s="169"/>
      <c r="P1252" s="169"/>
      <c r="Q1252" s="169"/>
      <c r="R1252" s="169"/>
      <c r="S1252" s="169"/>
      <c r="T1252" s="169"/>
      <c r="U1252" s="169"/>
      <c r="V1252" s="169"/>
      <c r="W1252" s="169"/>
      <c r="X1252" s="169"/>
      <c r="Y1252" s="169"/>
      <c r="Z1252" s="178"/>
      <c r="AA1252" s="167"/>
      <c r="AB1252" s="169"/>
      <c r="AC1252" s="169"/>
      <c r="AD1252" s="169"/>
      <c r="AE1252" s="169"/>
      <c r="AF1252" s="169"/>
      <c r="AG1252" s="179"/>
      <c r="AH1252" s="169"/>
      <c r="AI1252" s="168"/>
      <c r="AJ1252" s="167"/>
      <c r="AK1252" s="168"/>
      <c r="AL1252" s="169"/>
      <c r="AM1252" s="509"/>
      <c r="AN1252" s="510"/>
      <c r="AO1252" s="510"/>
    </row>
    <row r="1253" spans="1:41">
      <c r="A1253" s="177"/>
      <c r="B1253" s="169"/>
      <c r="C1253" s="169"/>
      <c r="D1253" s="169"/>
      <c r="E1253" s="169"/>
      <c r="F1253" s="169"/>
      <c r="G1253" s="169"/>
      <c r="H1253" s="169"/>
      <c r="I1253" s="169"/>
      <c r="J1253" s="169"/>
      <c r="K1253" s="169"/>
      <c r="L1253" s="169"/>
      <c r="M1253" s="169"/>
      <c r="N1253" s="177"/>
      <c r="O1253" s="169"/>
      <c r="P1253" s="169"/>
      <c r="Q1253" s="169"/>
      <c r="R1253" s="169"/>
      <c r="S1253" s="169"/>
      <c r="T1253" s="169"/>
      <c r="U1253" s="169"/>
      <c r="V1253" s="169"/>
      <c r="W1253" s="169"/>
      <c r="X1253" s="169"/>
      <c r="Y1253" s="169"/>
      <c r="Z1253" s="178"/>
      <c r="AA1253" s="167"/>
      <c r="AB1253" s="169"/>
      <c r="AC1253" s="169"/>
      <c r="AD1253" s="169"/>
      <c r="AE1253" s="169"/>
      <c r="AF1253" s="169"/>
      <c r="AG1253" s="179"/>
      <c r="AH1253" s="169"/>
      <c r="AI1253" s="168"/>
      <c r="AJ1253" s="167"/>
      <c r="AK1253" s="168"/>
      <c r="AL1253" s="169"/>
      <c r="AM1253" s="509"/>
      <c r="AN1253" s="510"/>
      <c r="AO1253" s="510"/>
    </row>
    <row r="1254" spans="1:41">
      <c r="A1254" s="177"/>
      <c r="B1254" s="169"/>
      <c r="C1254" s="169"/>
      <c r="D1254" s="169"/>
      <c r="E1254" s="169"/>
      <c r="F1254" s="169"/>
      <c r="G1254" s="169"/>
      <c r="H1254" s="169"/>
      <c r="I1254" s="169"/>
      <c r="J1254" s="169"/>
      <c r="K1254" s="169"/>
      <c r="L1254" s="169"/>
      <c r="M1254" s="169"/>
      <c r="N1254" s="177"/>
      <c r="O1254" s="169"/>
      <c r="P1254" s="169"/>
      <c r="Q1254" s="169"/>
      <c r="R1254" s="169"/>
      <c r="S1254" s="169"/>
      <c r="T1254" s="169"/>
      <c r="U1254" s="169"/>
      <c r="V1254" s="169"/>
      <c r="W1254" s="169"/>
      <c r="X1254" s="169"/>
      <c r="Y1254" s="169"/>
      <c r="Z1254" s="178"/>
      <c r="AA1254" s="167"/>
      <c r="AB1254" s="169"/>
      <c r="AC1254" s="169"/>
      <c r="AD1254" s="169"/>
      <c r="AE1254" s="169"/>
      <c r="AF1254" s="169"/>
      <c r="AG1254" s="179"/>
      <c r="AH1254" s="169"/>
      <c r="AI1254" s="168"/>
      <c r="AJ1254" s="167"/>
      <c r="AK1254" s="168"/>
      <c r="AL1254" s="169"/>
      <c r="AM1254" s="509"/>
      <c r="AN1254" s="510"/>
      <c r="AO1254" s="510"/>
    </row>
    <row r="1255" spans="1:41">
      <c r="A1255" s="177"/>
      <c r="B1255" s="169"/>
      <c r="C1255" s="169"/>
      <c r="D1255" s="169"/>
      <c r="E1255" s="169"/>
      <c r="F1255" s="169"/>
      <c r="G1255" s="169"/>
      <c r="H1255" s="169"/>
      <c r="I1255" s="169"/>
      <c r="J1255" s="169"/>
      <c r="K1255" s="169"/>
      <c r="L1255" s="169"/>
      <c r="M1255" s="169"/>
      <c r="N1255" s="177"/>
      <c r="O1255" s="169"/>
      <c r="P1255" s="169"/>
      <c r="Q1255" s="169"/>
      <c r="R1255" s="169"/>
      <c r="S1255" s="169"/>
      <c r="T1255" s="169"/>
      <c r="U1255" s="169"/>
      <c r="V1255" s="169"/>
      <c r="W1255" s="169"/>
      <c r="X1255" s="169"/>
      <c r="Y1255" s="169"/>
      <c r="Z1255" s="178"/>
      <c r="AA1255" s="167"/>
      <c r="AB1255" s="169"/>
      <c r="AC1255" s="169"/>
      <c r="AD1255" s="169"/>
      <c r="AE1255" s="169"/>
      <c r="AF1255" s="169"/>
      <c r="AG1255" s="179"/>
      <c r="AH1255" s="169"/>
      <c r="AI1255" s="168"/>
      <c r="AJ1255" s="167"/>
      <c r="AK1255" s="168"/>
      <c r="AL1255" s="169"/>
      <c r="AM1255" s="509"/>
      <c r="AN1255" s="510"/>
      <c r="AO1255" s="510"/>
    </row>
    <row r="1256" spans="1:41">
      <c r="A1256" s="177"/>
      <c r="B1256" s="169"/>
      <c r="C1256" s="169"/>
      <c r="D1256" s="169"/>
      <c r="E1256" s="169"/>
      <c r="F1256" s="169"/>
      <c r="G1256" s="169"/>
      <c r="H1256" s="169"/>
      <c r="I1256" s="169"/>
      <c r="J1256" s="169"/>
      <c r="K1256" s="169"/>
      <c r="L1256" s="169"/>
      <c r="M1256" s="169"/>
      <c r="N1256" s="177"/>
      <c r="O1256" s="169"/>
      <c r="P1256" s="169"/>
      <c r="Q1256" s="169"/>
      <c r="R1256" s="169"/>
      <c r="S1256" s="169"/>
      <c r="T1256" s="169"/>
      <c r="U1256" s="169"/>
      <c r="V1256" s="169"/>
      <c r="W1256" s="169"/>
      <c r="X1256" s="169"/>
      <c r="Y1256" s="169"/>
      <c r="Z1256" s="178"/>
      <c r="AA1256" s="167"/>
      <c r="AB1256" s="169"/>
      <c r="AC1256" s="169"/>
      <c r="AD1256" s="169"/>
      <c r="AE1256" s="169"/>
      <c r="AF1256" s="169"/>
      <c r="AG1256" s="179"/>
      <c r="AH1256" s="169"/>
      <c r="AI1256" s="168"/>
      <c r="AJ1256" s="167"/>
      <c r="AK1256" s="168"/>
      <c r="AL1256" s="169"/>
      <c r="AM1256" s="509"/>
      <c r="AN1256" s="510"/>
      <c r="AO1256" s="510"/>
    </row>
    <row r="1257" spans="1:41">
      <c r="A1257" s="177"/>
      <c r="B1257" s="169"/>
      <c r="C1257" s="169"/>
      <c r="D1257" s="169"/>
      <c r="E1257" s="169"/>
      <c r="F1257" s="169"/>
      <c r="G1257" s="169"/>
      <c r="H1257" s="169"/>
      <c r="I1257" s="169"/>
      <c r="J1257" s="169"/>
      <c r="K1257" s="169"/>
      <c r="L1257" s="169"/>
      <c r="M1257" s="169"/>
      <c r="N1257" s="177"/>
      <c r="O1257" s="169"/>
      <c r="P1257" s="169"/>
      <c r="Q1257" s="169"/>
      <c r="R1257" s="169"/>
      <c r="S1257" s="169"/>
      <c r="T1257" s="169"/>
      <c r="U1257" s="169"/>
      <c r="V1257" s="169"/>
      <c r="W1257" s="169"/>
      <c r="X1257" s="169"/>
      <c r="Y1257" s="169"/>
      <c r="Z1257" s="178"/>
      <c r="AA1257" s="167"/>
      <c r="AB1257" s="169"/>
      <c r="AC1257" s="169"/>
      <c r="AD1257" s="169"/>
      <c r="AE1257" s="169"/>
      <c r="AF1257" s="169"/>
      <c r="AG1257" s="179"/>
      <c r="AH1257" s="169"/>
      <c r="AI1257" s="168"/>
      <c r="AJ1257" s="167"/>
      <c r="AK1257" s="168"/>
      <c r="AL1257" s="169"/>
      <c r="AM1257" s="509"/>
      <c r="AN1257" s="510"/>
      <c r="AO1257" s="510"/>
    </row>
    <row r="1258" spans="1:41">
      <c r="A1258" s="177"/>
      <c r="B1258" s="169"/>
      <c r="C1258" s="169"/>
      <c r="D1258" s="169"/>
      <c r="E1258" s="169"/>
      <c r="F1258" s="169"/>
      <c r="G1258" s="169"/>
      <c r="H1258" s="169"/>
      <c r="I1258" s="169"/>
      <c r="J1258" s="169"/>
      <c r="K1258" s="169"/>
      <c r="L1258" s="169"/>
      <c r="M1258" s="169"/>
      <c r="N1258" s="177"/>
      <c r="O1258" s="169"/>
      <c r="P1258" s="169"/>
      <c r="Q1258" s="169"/>
      <c r="R1258" s="169"/>
      <c r="S1258" s="169"/>
      <c r="T1258" s="169"/>
      <c r="U1258" s="169"/>
      <c r="V1258" s="169"/>
      <c r="W1258" s="169"/>
      <c r="X1258" s="169"/>
      <c r="Y1258" s="169"/>
      <c r="Z1258" s="178"/>
      <c r="AA1258" s="167"/>
      <c r="AB1258" s="169"/>
      <c r="AC1258" s="169"/>
      <c r="AD1258" s="169"/>
      <c r="AE1258" s="169"/>
      <c r="AF1258" s="169"/>
      <c r="AG1258" s="179"/>
      <c r="AH1258" s="169"/>
      <c r="AI1258" s="168"/>
      <c r="AJ1258" s="167"/>
      <c r="AK1258" s="168"/>
      <c r="AL1258" s="169"/>
      <c r="AM1258" s="509"/>
      <c r="AN1258" s="510"/>
      <c r="AO1258" s="510"/>
    </row>
    <row r="1259" spans="1:41">
      <c r="A1259" s="177"/>
      <c r="B1259" s="169"/>
      <c r="C1259" s="169"/>
      <c r="D1259" s="169"/>
      <c r="E1259" s="169"/>
      <c r="F1259" s="169"/>
      <c r="G1259" s="169"/>
      <c r="H1259" s="169"/>
      <c r="I1259" s="169"/>
      <c r="J1259" s="169"/>
      <c r="K1259" s="169"/>
      <c r="L1259" s="169"/>
      <c r="M1259" s="169"/>
      <c r="N1259" s="177"/>
      <c r="O1259" s="169"/>
      <c r="P1259" s="169"/>
      <c r="Q1259" s="169"/>
      <c r="R1259" s="169"/>
      <c r="S1259" s="169"/>
      <c r="T1259" s="169"/>
      <c r="U1259" s="169"/>
      <c r="V1259" s="169"/>
      <c r="W1259" s="169"/>
      <c r="X1259" s="169"/>
      <c r="Y1259" s="169"/>
      <c r="Z1259" s="178"/>
      <c r="AA1259" s="167"/>
      <c r="AB1259" s="169"/>
      <c r="AC1259" s="169"/>
      <c r="AD1259" s="169"/>
      <c r="AE1259" s="169"/>
      <c r="AF1259" s="169"/>
      <c r="AG1259" s="179"/>
      <c r="AH1259" s="169"/>
      <c r="AI1259" s="168"/>
      <c r="AJ1259" s="167"/>
      <c r="AK1259" s="168"/>
      <c r="AL1259" s="169"/>
      <c r="AM1259" s="509"/>
      <c r="AN1259" s="510"/>
      <c r="AO1259" s="510"/>
    </row>
    <row r="1260" spans="1:41">
      <c r="A1260" s="177"/>
      <c r="B1260" s="169"/>
      <c r="C1260" s="169"/>
      <c r="D1260" s="169"/>
      <c r="E1260" s="169"/>
      <c r="F1260" s="169"/>
      <c r="G1260" s="169"/>
      <c r="H1260" s="169"/>
      <c r="I1260" s="169"/>
      <c r="J1260" s="169"/>
      <c r="K1260" s="169"/>
      <c r="L1260" s="169"/>
      <c r="M1260" s="169"/>
      <c r="N1260" s="177"/>
      <c r="O1260" s="169"/>
      <c r="P1260" s="169"/>
      <c r="Q1260" s="169"/>
      <c r="R1260" s="169"/>
      <c r="S1260" s="169"/>
      <c r="T1260" s="169"/>
      <c r="U1260" s="169"/>
      <c r="V1260" s="169"/>
      <c r="W1260" s="169"/>
      <c r="X1260" s="169"/>
      <c r="Y1260" s="169"/>
      <c r="Z1260" s="178"/>
      <c r="AA1260" s="167"/>
      <c r="AB1260" s="169"/>
      <c r="AC1260" s="169"/>
      <c r="AD1260" s="169"/>
      <c r="AE1260" s="169"/>
      <c r="AF1260" s="169"/>
      <c r="AG1260" s="179"/>
      <c r="AH1260" s="169"/>
      <c r="AI1260" s="168"/>
      <c r="AJ1260" s="167"/>
      <c r="AK1260" s="168"/>
      <c r="AL1260" s="169"/>
      <c r="AM1260" s="509"/>
      <c r="AN1260" s="510"/>
      <c r="AO1260" s="510"/>
    </row>
    <row r="1261" spans="1:41">
      <c r="A1261" s="177"/>
      <c r="B1261" s="169"/>
      <c r="C1261" s="169"/>
      <c r="D1261" s="169"/>
      <c r="E1261" s="169"/>
      <c r="F1261" s="169"/>
      <c r="G1261" s="169"/>
      <c r="H1261" s="169"/>
      <c r="I1261" s="169"/>
      <c r="J1261" s="169"/>
      <c r="K1261" s="169"/>
      <c r="L1261" s="169"/>
      <c r="M1261" s="169"/>
      <c r="N1261" s="177"/>
      <c r="O1261" s="169"/>
      <c r="P1261" s="169"/>
      <c r="Q1261" s="169"/>
      <c r="R1261" s="169"/>
      <c r="S1261" s="169"/>
      <c r="T1261" s="169"/>
      <c r="U1261" s="169"/>
      <c r="V1261" s="169"/>
      <c r="W1261" s="169"/>
      <c r="X1261" s="169"/>
      <c r="Y1261" s="169"/>
      <c r="Z1261" s="178"/>
      <c r="AA1261" s="167"/>
      <c r="AB1261" s="169"/>
      <c r="AC1261" s="169"/>
      <c r="AD1261" s="169"/>
      <c r="AE1261" s="169"/>
      <c r="AF1261" s="169"/>
      <c r="AG1261" s="179"/>
      <c r="AH1261" s="169"/>
      <c r="AI1261" s="168"/>
      <c r="AJ1261" s="167"/>
      <c r="AK1261" s="168"/>
      <c r="AL1261" s="169"/>
      <c r="AM1261" s="509"/>
      <c r="AN1261" s="510"/>
      <c r="AO1261" s="510"/>
    </row>
    <row r="1262" spans="1:41">
      <c r="A1262" s="177"/>
      <c r="B1262" s="169"/>
      <c r="C1262" s="169"/>
      <c r="D1262" s="169"/>
      <c r="E1262" s="169"/>
      <c r="F1262" s="169"/>
      <c r="G1262" s="169"/>
      <c r="H1262" s="169"/>
      <c r="I1262" s="169"/>
      <c r="J1262" s="169"/>
      <c r="K1262" s="169"/>
      <c r="L1262" s="169"/>
      <c r="M1262" s="169"/>
      <c r="N1262" s="177"/>
      <c r="O1262" s="169"/>
      <c r="P1262" s="169"/>
      <c r="Q1262" s="169"/>
      <c r="R1262" s="169"/>
      <c r="S1262" s="169"/>
      <c r="T1262" s="169"/>
      <c r="U1262" s="169"/>
      <c r="V1262" s="169"/>
      <c r="W1262" s="169"/>
      <c r="X1262" s="169"/>
      <c r="Y1262" s="169"/>
      <c r="Z1262" s="178"/>
      <c r="AA1262" s="167"/>
      <c r="AB1262" s="169"/>
      <c r="AC1262" s="169"/>
      <c r="AD1262" s="169"/>
      <c r="AE1262" s="169"/>
      <c r="AF1262" s="169"/>
      <c r="AG1262" s="179"/>
      <c r="AH1262" s="169"/>
      <c r="AI1262" s="168"/>
      <c r="AJ1262" s="167"/>
      <c r="AK1262" s="168"/>
      <c r="AL1262" s="169"/>
      <c r="AM1262" s="509"/>
      <c r="AN1262" s="510"/>
      <c r="AO1262" s="510"/>
    </row>
    <row r="1263" spans="1:41">
      <c r="A1263" s="177"/>
      <c r="B1263" s="169"/>
      <c r="C1263" s="169"/>
      <c r="D1263" s="169"/>
      <c r="E1263" s="169"/>
      <c r="F1263" s="169"/>
      <c r="G1263" s="169"/>
      <c r="H1263" s="169"/>
      <c r="I1263" s="169"/>
      <c r="J1263" s="169"/>
      <c r="K1263" s="169"/>
      <c r="L1263" s="169"/>
      <c r="M1263" s="169"/>
      <c r="N1263" s="177"/>
      <c r="O1263" s="169"/>
      <c r="P1263" s="169"/>
      <c r="Q1263" s="169"/>
      <c r="R1263" s="169"/>
      <c r="S1263" s="169"/>
      <c r="T1263" s="169"/>
      <c r="U1263" s="169"/>
      <c r="V1263" s="169"/>
      <c r="W1263" s="169"/>
      <c r="X1263" s="169"/>
      <c r="Y1263" s="169"/>
      <c r="Z1263" s="178"/>
      <c r="AA1263" s="167"/>
      <c r="AB1263" s="169"/>
      <c r="AC1263" s="169"/>
      <c r="AD1263" s="169"/>
      <c r="AE1263" s="169"/>
      <c r="AF1263" s="169"/>
      <c r="AG1263" s="179"/>
      <c r="AH1263" s="169"/>
      <c r="AI1263" s="168"/>
      <c r="AJ1263" s="167"/>
      <c r="AK1263" s="168"/>
      <c r="AL1263" s="169"/>
      <c r="AM1263" s="509"/>
      <c r="AN1263" s="510"/>
      <c r="AO1263" s="510"/>
    </row>
    <row r="1264" spans="1:41">
      <c r="A1264" s="177"/>
      <c r="B1264" s="169"/>
      <c r="C1264" s="169"/>
      <c r="D1264" s="169"/>
      <c r="E1264" s="169"/>
      <c r="F1264" s="169"/>
      <c r="G1264" s="169"/>
      <c r="H1264" s="169"/>
      <c r="I1264" s="169"/>
      <c r="J1264" s="169"/>
      <c r="K1264" s="169"/>
      <c r="L1264" s="169"/>
      <c r="M1264" s="169"/>
      <c r="N1264" s="177"/>
      <c r="O1264" s="169"/>
      <c r="P1264" s="169"/>
      <c r="Q1264" s="169"/>
      <c r="R1264" s="169"/>
      <c r="S1264" s="169"/>
      <c r="T1264" s="169"/>
      <c r="U1264" s="169"/>
      <c r="V1264" s="169"/>
      <c r="W1264" s="169"/>
      <c r="X1264" s="169"/>
      <c r="Y1264" s="169"/>
      <c r="Z1264" s="178"/>
      <c r="AA1264" s="167"/>
      <c r="AB1264" s="169"/>
      <c r="AC1264" s="169"/>
      <c r="AD1264" s="169"/>
      <c r="AE1264" s="169"/>
      <c r="AF1264" s="169"/>
      <c r="AG1264" s="179"/>
      <c r="AH1264" s="169"/>
      <c r="AI1264" s="168"/>
      <c r="AJ1264" s="167"/>
      <c r="AK1264" s="168"/>
      <c r="AL1264" s="169"/>
      <c r="AM1264" s="509"/>
      <c r="AN1264" s="510"/>
      <c r="AO1264" s="510"/>
    </row>
    <row r="1265" spans="1:41">
      <c r="A1265" s="177"/>
      <c r="B1265" s="169"/>
      <c r="C1265" s="169"/>
      <c r="D1265" s="169"/>
      <c r="E1265" s="169"/>
      <c r="F1265" s="169"/>
      <c r="G1265" s="169"/>
      <c r="H1265" s="169"/>
      <c r="I1265" s="169"/>
      <c r="J1265" s="169"/>
      <c r="K1265" s="169"/>
      <c r="L1265" s="169"/>
      <c r="M1265" s="169"/>
      <c r="N1265" s="177"/>
      <c r="O1265" s="169"/>
      <c r="P1265" s="169"/>
      <c r="Q1265" s="169"/>
      <c r="R1265" s="169"/>
      <c r="S1265" s="169"/>
      <c r="T1265" s="169"/>
      <c r="U1265" s="169"/>
      <c r="V1265" s="169"/>
      <c r="W1265" s="169"/>
      <c r="X1265" s="169"/>
      <c r="Y1265" s="169"/>
      <c r="Z1265" s="178"/>
      <c r="AA1265" s="167"/>
      <c r="AB1265" s="169"/>
      <c r="AC1265" s="169"/>
      <c r="AD1265" s="169"/>
      <c r="AE1265" s="169"/>
      <c r="AF1265" s="169"/>
      <c r="AG1265" s="179"/>
      <c r="AH1265" s="169"/>
      <c r="AI1265" s="168"/>
      <c r="AJ1265" s="167"/>
      <c r="AK1265" s="168"/>
      <c r="AL1265" s="169"/>
      <c r="AM1265" s="509"/>
      <c r="AN1265" s="510"/>
      <c r="AO1265" s="510"/>
    </row>
    <row r="1266" spans="1:41">
      <c r="A1266" s="177"/>
      <c r="B1266" s="169"/>
      <c r="C1266" s="169"/>
      <c r="D1266" s="169"/>
      <c r="E1266" s="169"/>
      <c r="F1266" s="169"/>
      <c r="G1266" s="169"/>
      <c r="H1266" s="169"/>
      <c r="I1266" s="169"/>
      <c r="J1266" s="169"/>
      <c r="K1266" s="169"/>
      <c r="L1266" s="169"/>
      <c r="M1266" s="169"/>
      <c r="N1266" s="177"/>
      <c r="O1266" s="169"/>
      <c r="P1266" s="169"/>
      <c r="Q1266" s="169"/>
      <c r="R1266" s="169"/>
      <c r="S1266" s="169"/>
      <c r="T1266" s="169"/>
      <c r="U1266" s="169"/>
      <c r="V1266" s="169"/>
      <c r="W1266" s="169"/>
      <c r="X1266" s="169"/>
      <c r="Y1266" s="169"/>
      <c r="Z1266" s="178"/>
      <c r="AA1266" s="167"/>
      <c r="AB1266" s="169"/>
      <c r="AC1266" s="169"/>
      <c r="AD1266" s="169"/>
      <c r="AE1266" s="169"/>
      <c r="AF1266" s="169"/>
      <c r="AG1266" s="179"/>
      <c r="AH1266" s="169"/>
      <c r="AI1266" s="168"/>
      <c r="AJ1266" s="167"/>
      <c r="AK1266" s="168"/>
      <c r="AL1266" s="169"/>
      <c r="AM1266" s="509"/>
      <c r="AN1266" s="510"/>
      <c r="AO1266" s="510"/>
    </row>
    <row r="1267" spans="1:41">
      <c r="A1267" s="177"/>
      <c r="B1267" s="169"/>
      <c r="C1267" s="169"/>
      <c r="D1267" s="169"/>
      <c r="E1267" s="169"/>
      <c r="F1267" s="169"/>
      <c r="G1267" s="169"/>
      <c r="H1267" s="169"/>
      <c r="I1267" s="169"/>
      <c r="J1267" s="169"/>
      <c r="K1267" s="169"/>
      <c r="L1267" s="169"/>
      <c r="M1267" s="169"/>
      <c r="N1267" s="177"/>
      <c r="O1267" s="169"/>
      <c r="P1267" s="169"/>
      <c r="Q1267" s="169"/>
      <c r="R1267" s="169"/>
      <c r="S1267" s="169"/>
      <c r="T1267" s="169"/>
      <c r="U1267" s="169"/>
      <c r="V1267" s="169"/>
      <c r="W1267" s="169"/>
      <c r="X1267" s="169"/>
      <c r="Y1267" s="169"/>
      <c r="Z1267" s="178"/>
      <c r="AA1267" s="167"/>
      <c r="AB1267" s="169"/>
      <c r="AC1267" s="169"/>
      <c r="AD1267" s="169"/>
      <c r="AE1267" s="169"/>
      <c r="AF1267" s="169"/>
      <c r="AG1267" s="179"/>
      <c r="AH1267" s="169"/>
      <c r="AI1267" s="168"/>
      <c r="AJ1267" s="167"/>
      <c r="AK1267" s="168"/>
      <c r="AL1267" s="169"/>
      <c r="AM1267" s="509"/>
      <c r="AN1267" s="510"/>
      <c r="AO1267" s="510"/>
    </row>
    <row r="1268" spans="1:41">
      <c r="A1268" s="177"/>
      <c r="B1268" s="169"/>
      <c r="C1268" s="169"/>
      <c r="D1268" s="169"/>
      <c r="E1268" s="169"/>
      <c r="F1268" s="169"/>
      <c r="G1268" s="169"/>
      <c r="H1268" s="169"/>
      <c r="I1268" s="169"/>
      <c r="J1268" s="169"/>
      <c r="K1268" s="169"/>
      <c r="L1268" s="169"/>
      <c r="M1268" s="169"/>
      <c r="N1268" s="177"/>
      <c r="O1268" s="169"/>
      <c r="P1268" s="169"/>
      <c r="Q1268" s="169"/>
      <c r="R1268" s="169"/>
      <c r="S1268" s="169"/>
      <c r="T1268" s="169"/>
      <c r="U1268" s="169"/>
      <c r="V1268" s="169"/>
      <c r="W1268" s="169"/>
      <c r="X1268" s="169"/>
      <c r="Y1268" s="169"/>
      <c r="Z1268" s="178"/>
      <c r="AA1268" s="167"/>
      <c r="AB1268" s="169"/>
      <c r="AC1268" s="169"/>
      <c r="AD1268" s="169"/>
      <c r="AE1268" s="169"/>
      <c r="AF1268" s="169"/>
      <c r="AG1268" s="179"/>
      <c r="AH1268" s="169"/>
      <c r="AI1268" s="168"/>
      <c r="AJ1268" s="167"/>
      <c r="AK1268" s="168"/>
      <c r="AL1268" s="169"/>
      <c r="AM1268" s="509"/>
      <c r="AN1268" s="510"/>
      <c r="AO1268" s="510"/>
    </row>
    <row r="1269" spans="1:41">
      <c r="A1269" s="177"/>
      <c r="B1269" s="169"/>
      <c r="C1269" s="169"/>
      <c r="D1269" s="169"/>
      <c r="E1269" s="169"/>
      <c r="F1269" s="169"/>
      <c r="G1269" s="169"/>
      <c r="H1269" s="169"/>
      <c r="I1269" s="169"/>
      <c r="J1269" s="169"/>
      <c r="K1269" s="169"/>
      <c r="L1269" s="169"/>
      <c r="M1269" s="169"/>
      <c r="N1269" s="177"/>
      <c r="O1269" s="169"/>
      <c r="P1269" s="169"/>
      <c r="Q1269" s="169"/>
      <c r="R1269" s="169"/>
      <c r="S1269" s="169"/>
      <c r="T1269" s="169"/>
      <c r="U1269" s="169"/>
      <c r="V1269" s="169"/>
      <c r="W1269" s="169"/>
      <c r="X1269" s="169"/>
      <c r="Y1269" s="169"/>
      <c r="Z1269" s="178"/>
      <c r="AA1269" s="167"/>
      <c r="AB1269" s="169"/>
      <c r="AC1269" s="169"/>
      <c r="AD1269" s="169"/>
      <c r="AE1269" s="169"/>
      <c r="AF1269" s="169"/>
      <c r="AG1269" s="179"/>
      <c r="AH1269" s="169"/>
      <c r="AI1269" s="168"/>
      <c r="AJ1269" s="167"/>
      <c r="AK1269" s="168"/>
      <c r="AL1269" s="169"/>
      <c r="AM1269" s="509"/>
      <c r="AN1269" s="510"/>
      <c r="AO1269" s="510"/>
    </row>
    <row r="1270" spans="1:41">
      <c r="A1270" s="177"/>
      <c r="B1270" s="169"/>
      <c r="C1270" s="169"/>
      <c r="D1270" s="169"/>
      <c r="E1270" s="169"/>
      <c r="F1270" s="169"/>
      <c r="G1270" s="169"/>
      <c r="H1270" s="169"/>
      <c r="I1270" s="169"/>
      <c r="J1270" s="169"/>
      <c r="K1270" s="169"/>
      <c r="L1270" s="169"/>
      <c r="M1270" s="169"/>
      <c r="N1270" s="177"/>
      <c r="O1270" s="169"/>
      <c r="P1270" s="169"/>
      <c r="Q1270" s="169"/>
      <c r="R1270" s="169"/>
      <c r="S1270" s="169"/>
      <c r="T1270" s="169"/>
      <c r="U1270" s="169"/>
      <c r="V1270" s="169"/>
      <c r="W1270" s="169"/>
      <c r="X1270" s="169"/>
      <c r="Y1270" s="169"/>
      <c r="Z1270" s="178"/>
      <c r="AA1270" s="167"/>
      <c r="AB1270" s="169"/>
      <c r="AC1270" s="169"/>
      <c r="AD1270" s="169"/>
      <c r="AE1270" s="169"/>
      <c r="AF1270" s="169"/>
      <c r="AG1270" s="179"/>
      <c r="AH1270" s="169"/>
      <c r="AI1270" s="168"/>
      <c r="AJ1270" s="167"/>
      <c r="AK1270" s="168"/>
      <c r="AL1270" s="169"/>
      <c r="AM1270" s="509"/>
      <c r="AN1270" s="510"/>
      <c r="AO1270" s="510"/>
    </row>
    <row r="1271" spans="1:41">
      <c r="A1271" s="177"/>
      <c r="B1271" s="169"/>
      <c r="C1271" s="169"/>
      <c r="D1271" s="169"/>
      <c r="E1271" s="169"/>
      <c r="F1271" s="169"/>
      <c r="G1271" s="169"/>
      <c r="H1271" s="169"/>
      <c r="I1271" s="169"/>
      <c r="J1271" s="169"/>
      <c r="K1271" s="169"/>
      <c r="L1271" s="169"/>
      <c r="M1271" s="169"/>
      <c r="N1271" s="177"/>
      <c r="O1271" s="169"/>
      <c r="P1271" s="169"/>
      <c r="Q1271" s="169"/>
      <c r="R1271" s="169"/>
      <c r="S1271" s="169"/>
      <c r="T1271" s="169"/>
      <c r="U1271" s="169"/>
      <c r="V1271" s="169"/>
      <c r="W1271" s="169"/>
      <c r="X1271" s="169"/>
      <c r="Y1271" s="169"/>
      <c r="Z1271" s="178"/>
      <c r="AA1271" s="167"/>
      <c r="AB1271" s="169"/>
      <c r="AC1271" s="169"/>
      <c r="AD1271" s="169"/>
      <c r="AE1271" s="169"/>
      <c r="AF1271" s="169"/>
      <c r="AG1271" s="179"/>
      <c r="AH1271" s="169"/>
      <c r="AI1271" s="168"/>
      <c r="AJ1271" s="167"/>
      <c r="AK1271" s="168"/>
      <c r="AL1271" s="169"/>
      <c r="AM1271" s="509"/>
      <c r="AN1271" s="510"/>
      <c r="AO1271" s="510"/>
    </row>
    <row r="1272" spans="1:41">
      <c r="A1272" s="177"/>
      <c r="B1272" s="169"/>
      <c r="C1272" s="169"/>
      <c r="D1272" s="169"/>
      <c r="E1272" s="169"/>
      <c r="F1272" s="169"/>
      <c r="G1272" s="169"/>
      <c r="H1272" s="169"/>
      <c r="I1272" s="169"/>
      <c r="J1272" s="169"/>
      <c r="K1272" s="169"/>
      <c r="L1272" s="169"/>
      <c r="M1272" s="169"/>
      <c r="N1272" s="177"/>
      <c r="O1272" s="169"/>
      <c r="P1272" s="169"/>
      <c r="Q1272" s="169"/>
      <c r="R1272" s="169"/>
      <c r="S1272" s="169"/>
      <c r="T1272" s="169"/>
      <c r="U1272" s="169"/>
      <c r="V1272" s="169"/>
      <c r="W1272" s="169"/>
      <c r="X1272" s="169"/>
      <c r="Y1272" s="169"/>
      <c r="Z1272" s="178"/>
      <c r="AA1272" s="167"/>
      <c r="AB1272" s="169"/>
      <c r="AC1272" s="169"/>
      <c r="AD1272" s="169"/>
      <c r="AE1272" s="169"/>
      <c r="AF1272" s="169"/>
      <c r="AG1272" s="179"/>
      <c r="AH1272" s="169"/>
      <c r="AI1272" s="168"/>
      <c r="AJ1272" s="167"/>
      <c r="AK1272" s="168"/>
      <c r="AL1272" s="169"/>
      <c r="AM1272" s="509"/>
      <c r="AN1272" s="510"/>
      <c r="AO1272" s="510"/>
    </row>
    <row r="1273" spans="1:41">
      <c r="A1273" s="177"/>
      <c r="B1273" s="169"/>
      <c r="C1273" s="169"/>
      <c r="D1273" s="169"/>
      <c r="E1273" s="169"/>
      <c r="F1273" s="169"/>
      <c r="G1273" s="169"/>
      <c r="H1273" s="169"/>
      <c r="I1273" s="169"/>
      <c r="J1273" s="169"/>
      <c r="K1273" s="169"/>
      <c r="L1273" s="169"/>
      <c r="M1273" s="169"/>
      <c r="N1273" s="177"/>
      <c r="O1273" s="169"/>
      <c r="P1273" s="169"/>
      <c r="Q1273" s="169"/>
      <c r="R1273" s="169"/>
      <c r="S1273" s="169"/>
      <c r="T1273" s="169"/>
      <c r="U1273" s="169"/>
      <c r="V1273" s="169"/>
      <c r="W1273" s="169"/>
      <c r="X1273" s="169"/>
      <c r="Y1273" s="169"/>
      <c r="Z1273" s="178"/>
      <c r="AA1273" s="167"/>
      <c r="AB1273" s="169"/>
      <c r="AC1273" s="169"/>
      <c r="AD1273" s="169"/>
      <c r="AE1273" s="169"/>
      <c r="AF1273" s="169"/>
      <c r="AG1273" s="179"/>
      <c r="AH1273" s="169"/>
      <c r="AI1273" s="168"/>
      <c r="AJ1273" s="167"/>
      <c r="AK1273" s="168"/>
      <c r="AL1273" s="169"/>
      <c r="AM1273" s="509"/>
      <c r="AN1273" s="510"/>
      <c r="AO1273" s="510"/>
    </row>
    <row r="1274" spans="1:41">
      <c r="A1274" s="177"/>
      <c r="B1274" s="169"/>
      <c r="C1274" s="169"/>
      <c r="D1274" s="169"/>
      <c r="E1274" s="169"/>
      <c r="F1274" s="169"/>
      <c r="G1274" s="169"/>
      <c r="H1274" s="169"/>
      <c r="I1274" s="169"/>
      <c r="J1274" s="169"/>
      <c r="K1274" s="169"/>
      <c r="L1274" s="169"/>
      <c r="M1274" s="169"/>
      <c r="N1274" s="177"/>
      <c r="O1274" s="169"/>
      <c r="P1274" s="169"/>
      <c r="Q1274" s="169"/>
      <c r="R1274" s="169"/>
      <c r="S1274" s="169"/>
      <c r="T1274" s="169"/>
      <c r="U1274" s="169"/>
      <c r="V1274" s="169"/>
      <c r="W1274" s="169"/>
      <c r="X1274" s="169"/>
      <c r="Y1274" s="169"/>
      <c r="Z1274" s="178"/>
      <c r="AA1274" s="167"/>
      <c r="AB1274" s="169"/>
      <c r="AC1274" s="169"/>
      <c r="AD1274" s="169"/>
      <c r="AE1274" s="169"/>
      <c r="AF1274" s="169"/>
      <c r="AG1274" s="179"/>
      <c r="AH1274" s="169"/>
      <c r="AI1274" s="168"/>
      <c r="AJ1274" s="167"/>
      <c r="AK1274" s="168"/>
      <c r="AL1274" s="169"/>
      <c r="AM1274" s="509"/>
      <c r="AN1274" s="510"/>
      <c r="AO1274" s="510"/>
    </row>
    <row r="1275" spans="1:41">
      <c r="A1275" s="177"/>
      <c r="B1275" s="169"/>
      <c r="C1275" s="169"/>
      <c r="D1275" s="169"/>
      <c r="E1275" s="169"/>
      <c r="F1275" s="169"/>
      <c r="G1275" s="169"/>
      <c r="H1275" s="169"/>
      <c r="I1275" s="169"/>
      <c r="J1275" s="169"/>
      <c r="K1275" s="169"/>
      <c r="L1275" s="169"/>
      <c r="M1275" s="169"/>
      <c r="N1275" s="177"/>
      <c r="O1275" s="169"/>
      <c r="P1275" s="169"/>
      <c r="Q1275" s="169"/>
      <c r="R1275" s="169"/>
      <c r="S1275" s="169"/>
      <c r="T1275" s="169"/>
      <c r="U1275" s="169"/>
      <c r="V1275" s="169"/>
      <c r="W1275" s="169"/>
      <c r="X1275" s="169"/>
      <c r="Y1275" s="169"/>
      <c r="Z1275" s="178"/>
      <c r="AA1275" s="167"/>
      <c r="AB1275" s="169"/>
      <c r="AC1275" s="169"/>
      <c r="AD1275" s="169"/>
      <c r="AE1275" s="169"/>
      <c r="AF1275" s="169"/>
      <c r="AG1275" s="179"/>
      <c r="AH1275" s="169"/>
      <c r="AI1275" s="168"/>
      <c r="AJ1275" s="167"/>
      <c r="AK1275" s="168"/>
      <c r="AL1275" s="169"/>
      <c r="AM1275" s="509"/>
      <c r="AN1275" s="510"/>
      <c r="AO1275" s="510"/>
    </row>
    <row r="1276" spans="1:41">
      <c r="A1276" s="177"/>
      <c r="B1276" s="169"/>
      <c r="C1276" s="169"/>
      <c r="D1276" s="169"/>
      <c r="E1276" s="169"/>
      <c r="F1276" s="169"/>
      <c r="G1276" s="169"/>
      <c r="H1276" s="169"/>
      <c r="I1276" s="169"/>
      <c r="J1276" s="169"/>
      <c r="K1276" s="169"/>
      <c r="L1276" s="169"/>
      <c r="M1276" s="169"/>
      <c r="N1276" s="177"/>
      <c r="O1276" s="169"/>
      <c r="P1276" s="169"/>
      <c r="Q1276" s="169"/>
      <c r="R1276" s="169"/>
      <c r="S1276" s="169"/>
      <c r="T1276" s="169"/>
      <c r="U1276" s="169"/>
      <c r="V1276" s="169"/>
      <c r="W1276" s="169"/>
      <c r="X1276" s="169"/>
      <c r="Y1276" s="169"/>
      <c r="Z1276" s="178"/>
      <c r="AA1276" s="167"/>
      <c r="AB1276" s="169"/>
      <c r="AC1276" s="169"/>
      <c r="AD1276" s="169"/>
      <c r="AE1276" s="169"/>
      <c r="AF1276" s="169"/>
      <c r="AG1276" s="179"/>
      <c r="AH1276" s="169"/>
      <c r="AI1276" s="168"/>
      <c r="AJ1276" s="167"/>
      <c r="AK1276" s="168"/>
      <c r="AL1276" s="169"/>
      <c r="AM1276" s="509"/>
      <c r="AN1276" s="510"/>
      <c r="AO1276" s="510"/>
    </row>
    <row r="1277" spans="1:41">
      <c r="A1277" s="177"/>
      <c r="B1277" s="169"/>
      <c r="C1277" s="169"/>
      <c r="D1277" s="169"/>
      <c r="E1277" s="169"/>
      <c r="F1277" s="169"/>
      <c r="G1277" s="169"/>
      <c r="H1277" s="169"/>
      <c r="I1277" s="169"/>
      <c r="J1277" s="169"/>
      <c r="K1277" s="169"/>
      <c r="L1277" s="169"/>
      <c r="M1277" s="169"/>
      <c r="N1277" s="177"/>
      <c r="O1277" s="169"/>
      <c r="P1277" s="169"/>
      <c r="Q1277" s="169"/>
      <c r="R1277" s="169"/>
      <c r="S1277" s="169"/>
      <c r="T1277" s="169"/>
      <c r="U1277" s="169"/>
      <c r="V1277" s="169"/>
      <c r="W1277" s="169"/>
      <c r="X1277" s="169"/>
      <c r="Y1277" s="169"/>
      <c r="Z1277" s="178"/>
      <c r="AA1277" s="167"/>
      <c r="AB1277" s="169"/>
      <c r="AC1277" s="169"/>
      <c r="AD1277" s="169"/>
      <c r="AE1277" s="169"/>
      <c r="AF1277" s="169"/>
      <c r="AG1277" s="179"/>
      <c r="AH1277" s="169"/>
      <c r="AI1277" s="168"/>
      <c r="AJ1277" s="167"/>
      <c r="AK1277" s="168"/>
      <c r="AL1277" s="169"/>
      <c r="AM1277" s="509"/>
      <c r="AN1277" s="510"/>
      <c r="AO1277" s="510"/>
    </row>
    <row r="1278" spans="1:41">
      <c r="A1278" s="177"/>
      <c r="B1278" s="169"/>
      <c r="C1278" s="169"/>
      <c r="D1278" s="169"/>
      <c r="E1278" s="169"/>
      <c r="F1278" s="169"/>
      <c r="G1278" s="169"/>
      <c r="H1278" s="169"/>
      <c r="I1278" s="169"/>
      <c r="J1278" s="169"/>
      <c r="K1278" s="169"/>
      <c r="L1278" s="169"/>
      <c r="M1278" s="169"/>
      <c r="N1278" s="177"/>
      <c r="O1278" s="169"/>
      <c r="P1278" s="169"/>
      <c r="Q1278" s="169"/>
      <c r="R1278" s="169"/>
      <c r="S1278" s="169"/>
      <c r="T1278" s="169"/>
      <c r="U1278" s="169"/>
      <c r="V1278" s="169"/>
      <c r="W1278" s="169"/>
      <c r="X1278" s="169"/>
      <c r="Y1278" s="169"/>
      <c r="Z1278" s="178"/>
      <c r="AA1278" s="167"/>
      <c r="AB1278" s="169"/>
      <c r="AC1278" s="169"/>
      <c r="AD1278" s="169"/>
      <c r="AE1278" s="169"/>
      <c r="AF1278" s="169"/>
      <c r="AG1278" s="179"/>
      <c r="AH1278" s="169"/>
      <c r="AI1278" s="168"/>
      <c r="AJ1278" s="167"/>
      <c r="AK1278" s="168"/>
      <c r="AL1278" s="169"/>
      <c r="AM1278" s="509"/>
      <c r="AN1278" s="510"/>
      <c r="AO1278" s="510"/>
    </row>
    <row r="1279" spans="1:41">
      <c r="A1279" s="177"/>
      <c r="B1279" s="169"/>
      <c r="C1279" s="169"/>
      <c r="D1279" s="169"/>
      <c r="E1279" s="169"/>
      <c r="F1279" s="169"/>
      <c r="G1279" s="169"/>
      <c r="H1279" s="169"/>
      <c r="I1279" s="169"/>
      <c r="J1279" s="169"/>
      <c r="K1279" s="169"/>
      <c r="L1279" s="169"/>
      <c r="M1279" s="169"/>
      <c r="N1279" s="177"/>
      <c r="O1279" s="169"/>
      <c r="P1279" s="169"/>
      <c r="Q1279" s="169"/>
      <c r="R1279" s="169"/>
      <c r="S1279" s="169"/>
      <c r="T1279" s="169"/>
      <c r="U1279" s="169"/>
      <c r="V1279" s="169"/>
      <c r="W1279" s="169"/>
      <c r="X1279" s="169"/>
      <c r="Y1279" s="169"/>
      <c r="Z1279" s="178"/>
      <c r="AA1279" s="167"/>
      <c r="AB1279" s="169"/>
      <c r="AC1279" s="169"/>
      <c r="AD1279" s="169"/>
      <c r="AE1279" s="169"/>
      <c r="AF1279" s="169"/>
      <c r="AG1279" s="179"/>
      <c r="AH1279" s="169"/>
      <c r="AI1279" s="168"/>
      <c r="AJ1279" s="167"/>
      <c r="AK1279" s="168"/>
      <c r="AL1279" s="169"/>
      <c r="AM1279" s="509"/>
      <c r="AN1279" s="510"/>
      <c r="AO1279" s="510"/>
    </row>
    <row r="1280" spans="1:41">
      <c r="A1280" s="177"/>
      <c r="B1280" s="169"/>
      <c r="C1280" s="169"/>
      <c r="D1280" s="169"/>
      <c r="E1280" s="169"/>
      <c r="F1280" s="169"/>
      <c r="G1280" s="169"/>
      <c r="H1280" s="169"/>
      <c r="I1280" s="169"/>
      <c r="J1280" s="169"/>
      <c r="K1280" s="169"/>
      <c r="L1280" s="169"/>
      <c r="M1280" s="169"/>
      <c r="N1280" s="177"/>
      <c r="O1280" s="169"/>
      <c r="P1280" s="169"/>
      <c r="Q1280" s="169"/>
      <c r="R1280" s="169"/>
      <c r="S1280" s="169"/>
      <c r="T1280" s="169"/>
      <c r="U1280" s="169"/>
      <c r="V1280" s="169"/>
      <c r="W1280" s="169"/>
      <c r="X1280" s="169"/>
      <c r="Y1280" s="169"/>
      <c r="Z1280" s="178"/>
      <c r="AA1280" s="167"/>
      <c r="AB1280" s="169"/>
      <c r="AC1280" s="169"/>
      <c r="AD1280" s="169"/>
      <c r="AE1280" s="169"/>
      <c r="AF1280" s="169"/>
      <c r="AG1280" s="179"/>
      <c r="AH1280" s="169"/>
      <c r="AI1280" s="168"/>
      <c r="AJ1280" s="167"/>
      <c r="AK1280" s="168"/>
      <c r="AL1280" s="169"/>
      <c r="AM1280" s="509"/>
      <c r="AN1280" s="510"/>
      <c r="AO1280" s="510"/>
    </row>
    <row r="1281" spans="1:41">
      <c r="A1281" s="177"/>
      <c r="B1281" s="169"/>
      <c r="C1281" s="169"/>
      <c r="D1281" s="169"/>
      <c r="E1281" s="169"/>
      <c r="F1281" s="169"/>
      <c r="G1281" s="169"/>
      <c r="H1281" s="169"/>
      <c r="I1281" s="169"/>
      <c r="J1281" s="169"/>
      <c r="K1281" s="169"/>
      <c r="L1281" s="169"/>
      <c r="M1281" s="169"/>
      <c r="N1281" s="177"/>
      <c r="O1281" s="169"/>
      <c r="P1281" s="169"/>
      <c r="Q1281" s="169"/>
      <c r="R1281" s="169"/>
      <c r="S1281" s="169"/>
      <c r="T1281" s="169"/>
      <c r="U1281" s="169"/>
      <c r="V1281" s="169"/>
      <c r="W1281" s="169"/>
      <c r="X1281" s="169"/>
      <c r="Y1281" s="169"/>
      <c r="Z1281" s="178"/>
      <c r="AA1281" s="167"/>
      <c r="AB1281" s="169"/>
      <c r="AC1281" s="169"/>
      <c r="AD1281" s="169"/>
      <c r="AE1281" s="169"/>
      <c r="AF1281" s="169"/>
      <c r="AG1281" s="179"/>
      <c r="AH1281" s="169"/>
      <c r="AI1281" s="168"/>
      <c r="AJ1281" s="167"/>
      <c r="AK1281" s="168"/>
      <c r="AL1281" s="169"/>
      <c r="AM1281" s="509"/>
      <c r="AN1281" s="510"/>
      <c r="AO1281" s="510"/>
    </row>
    <row r="1282" spans="1:41">
      <c r="A1282" s="177"/>
      <c r="B1282" s="169"/>
      <c r="C1282" s="169"/>
      <c r="D1282" s="169"/>
      <c r="E1282" s="169"/>
      <c r="F1282" s="169"/>
      <c r="G1282" s="169"/>
      <c r="H1282" s="169"/>
      <c r="I1282" s="169"/>
      <c r="J1282" s="169"/>
      <c r="K1282" s="169"/>
      <c r="L1282" s="169"/>
      <c r="M1282" s="169"/>
      <c r="N1282" s="177"/>
      <c r="O1282" s="169"/>
      <c r="P1282" s="169"/>
      <c r="Q1282" s="169"/>
      <c r="R1282" s="169"/>
      <c r="S1282" s="169"/>
      <c r="T1282" s="169"/>
      <c r="U1282" s="169"/>
      <c r="V1282" s="169"/>
      <c r="W1282" s="169"/>
      <c r="X1282" s="169"/>
      <c r="Y1282" s="169"/>
      <c r="Z1282" s="178"/>
      <c r="AA1282" s="167"/>
      <c r="AB1282" s="169"/>
      <c r="AC1282" s="169"/>
      <c r="AD1282" s="169"/>
      <c r="AE1282" s="169"/>
      <c r="AF1282" s="169"/>
      <c r="AG1282" s="179"/>
      <c r="AH1282" s="169"/>
      <c r="AI1282" s="168"/>
      <c r="AJ1282" s="167"/>
      <c r="AK1282" s="168"/>
      <c r="AL1282" s="169"/>
      <c r="AM1282" s="509"/>
      <c r="AN1282" s="510"/>
      <c r="AO1282" s="510"/>
    </row>
    <row r="1283" spans="1:41">
      <c r="A1283" s="177"/>
      <c r="B1283" s="169"/>
      <c r="C1283" s="169"/>
      <c r="D1283" s="169"/>
      <c r="E1283" s="169"/>
      <c r="F1283" s="169"/>
      <c r="G1283" s="169"/>
      <c r="H1283" s="169"/>
      <c r="I1283" s="169"/>
      <c r="J1283" s="169"/>
      <c r="K1283" s="169"/>
      <c r="L1283" s="169"/>
      <c r="M1283" s="169"/>
      <c r="N1283" s="177"/>
      <c r="O1283" s="169"/>
      <c r="P1283" s="169"/>
      <c r="Q1283" s="169"/>
      <c r="R1283" s="169"/>
      <c r="S1283" s="169"/>
      <c r="T1283" s="169"/>
      <c r="U1283" s="169"/>
      <c r="V1283" s="169"/>
      <c r="W1283" s="169"/>
      <c r="X1283" s="169"/>
      <c r="Y1283" s="169"/>
      <c r="Z1283" s="178"/>
      <c r="AA1283" s="167"/>
      <c r="AB1283" s="169"/>
      <c r="AC1283" s="169"/>
      <c r="AD1283" s="169"/>
      <c r="AE1283" s="169"/>
      <c r="AF1283" s="169"/>
      <c r="AG1283" s="179"/>
      <c r="AH1283" s="169"/>
      <c r="AI1283" s="168"/>
      <c r="AJ1283" s="167"/>
      <c r="AK1283" s="168"/>
      <c r="AL1283" s="169"/>
      <c r="AM1283" s="509"/>
      <c r="AN1283" s="510"/>
      <c r="AO1283" s="510"/>
    </row>
    <row r="1284" spans="1:41">
      <c r="A1284" s="177"/>
      <c r="B1284" s="169"/>
      <c r="C1284" s="169"/>
      <c r="D1284" s="169"/>
      <c r="E1284" s="169"/>
      <c r="F1284" s="169"/>
      <c r="G1284" s="169"/>
      <c r="H1284" s="169"/>
      <c r="I1284" s="169"/>
      <c r="J1284" s="169"/>
      <c r="K1284" s="169"/>
      <c r="L1284" s="169"/>
      <c r="M1284" s="169"/>
      <c r="N1284" s="177"/>
      <c r="O1284" s="169"/>
      <c r="P1284" s="169"/>
      <c r="Q1284" s="169"/>
      <c r="R1284" s="169"/>
      <c r="S1284" s="169"/>
      <c r="T1284" s="169"/>
      <c r="U1284" s="169"/>
      <c r="V1284" s="169"/>
      <c r="W1284" s="169"/>
      <c r="X1284" s="169"/>
      <c r="Y1284" s="169"/>
      <c r="Z1284" s="178"/>
      <c r="AA1284" s="167"/>
      <c r="AB1284" s="169"/>
      <c r="AC1284" s="169"/>
      <c r="AD1284" s="169"/>
      <c r="AE1284" s="169"/>
      <c r="AF1284" s="169"/>
      <c r="AG1284" s="179"/>
      <c r="AH1284" s="169"/>
      <c r="AI1284" s="168"/>
      <c r="AJ1284" s="167"/>
      <c r="AK1284" s="168"/>
      <c r="AL1284" s="169"/>
      <c r="AM1284" s="509"/>
      <c r="AN1284" s="510"/>
      <c r="AO1284" s="510"/>
    </row>
    <row r="1285" spans="1:41">
      <c r="A1285" s="177"/>
      <c r="B1285" s="169"/>
      <c r="C1285" s="169"/>
      <c r="D1285" s="169"/>
      <c r="E1285" s="169"/>
      <c r="F1285" s="169"/>
      <c r="G1285" s="169"/>
      <c r="H1285" s="169"/>
      <c r="I1285" s="169"/>
      <c r="J1285" s="169"/>
      <c r="K1285" s="169"/>
      <c r="L1285" s="169"/>
      <c r="M1285" s="169"/>
      <c r="N1285" s="177"/>
      <c r="O1285" s="169"/>
      <c r="P1285" s="169"/>
      <c r="Q1285" s="169"/>
      <c r="R1285" s="169"/>
      <c r="S1285" s="169"/>
      <c r="T1285" s="169"/>
      <c r="U1285" s="169"/>
      <c r="V1285" s="169"/>
      <c r="W1285" s="169"/>
      <c r="X1285" s="169"/>
      <c r="Y1285" s="169"/>
      <c r="Z1285" s="178"/>
      <c r="AA1285" s="167"/>
      <c r="AB1285" s="169"/>
      <c r="AC1285" s="169"/>
      <c r="AD1285" s="169"/>
      <c r="AE1285" s="169"/>
      <c r="AF1285" s="169"/>
      <c r="AG1285" s="179"/>
      <c r="AH1285" s="169"/>
      <c r="AI1285" s="168"/>
      <c r="AJ1285" s="167"/>
      <c r="AK1285" s="168"/>
      <c r="AL1285" s="169"/>
      <c r="AM1285" s="509"/>
      <c r="AN1285" s="510"/>
      <c r="AO1285" s="510"/>
    </row>
    <row r="1286" spans="1:41">
      <c r="A1286" s="177"/>
      <c r="B1286" s="169"/>
      <c r="C1286" s="169"/>
      <c r="D1286" s="169"/>
      <c r="E1286" s="169"/>
      <c r="F1286" s="169"/>
      <c r="G1286" s="169"/>
      <c r="H1286" s="169"/>
      <c r="I1286" s="169"/>
      <c r="J1286" s="169"/>
      <c r="K1286" s="169"/>
      <c r="L1286" s="169"/>
      <c r="M1286" s="169"/>
      <c r="N1286" s="177"/>
      <c r="O1286" s="169"/>
      <c r="P1286" s="169"/>
      <c r="Q1286" s="169"/>
      <c r="R1286" s="169"/>
      <c r="S1286" s="169"/>
      <c r="T1286" s="169"/>
      <c r="U1286" s="169"/>
      <c r="V1286" s="169"/>
      <c r="W1286" s="169"/>
      <c r="X1286" s="169"/>
      <c r="Y1286" s="169"/>
      <c r="Z1286" s="178"/>
      <c r="AA1286" s="167"/>
      <c r="AB1286" s="169"/>
      <c r="AC1286" s="169"/>
      <c r="AD1286" s="169"/>
      <c r="AE1286" s="169"/>
      <c r="AF1286" s="169"/>
      <c r="AG1286" s="179"/>
      <c r="AH1286" s="169"/>
      <c r="AI1286" s="168"/>
      <c r="AJ1286" s="167"/>
      <c r="AK1286" s="168"/>
      <c r="AL1286" s="169"/>
      <c r="AM1286" s="509"/>
      <c r="AN1286" s="510"/>
      <c r="AO1286" s="510"/>
    </row>
    <row r="1287" spans="1:41">
      <c r="A1287" s="177"/>
      <c r="B1287" s="169"/>
      <c r="C1287" s="169"/>
      <c r="D1287" s="169"/>
      <c r="E1287" s="169"/>
      <c r="F1287" s="169"/>
      <c r="G1287" s="169"/>
      <c r="H1287" s="169"/>
      <c r="I1287" s="169"/>
      <c r="J1287" s="169"/>
      <c r="K1287" s="169"/>
      <c r="L1287" s="169"/>
      <c r="M1287" s="169"/>
      <c r="N1287" s="177"/>
      <c r="O1287" s="169"/>
      <c r="P1287" s="169"/>
      <c r="Q1287" s="169"/>
      <c r="R1287" s="169"/>
      <c r="S1287" s="169"/>
      <c r="T1287" s="169"/>
      <c r="U1287" s="169"/>
      <c r="V1287" s="169"/>
      <c r="W1287" s="169"/>
      <c r="X1287" s="169"/>
      <c r="Y1287" s="169"/>
      <c r="Z1287" s="178"/>
      <c r="AA1287" s="167"/>
      <c r="AB1287" s="169"/>
      <c r="AC1287" s="169"/>
      <c r="AD1287" s="169"/>
      <c r="AE1287" s="169"/>
      <c r="AF1287" s="169"/>
      <c r="AG1287" s="179"/>
      <c r="AH1287" s="169"/>
      <c r="AI1287" s="168"/>
      <c r="AJ1287" s="167"/>
      <c r="AK1287" s="168"/>
      <c r="AL1287" s="169"/>
      <c r="AM1287" s="509"/>
      <c r="AN1287" s="510"/>
      <c r="AO1287" s="510"/>
    </row>
    <row r="1288" spans="1:41">
      <c r="A1288" s="177"/>
      <c r="B1288" s="169"/>
      <c r="C1288" s="169"/>
      <c r="D1288" s="169"/>
      <c r="E1288" s="169"/>
      <c r="F1288" s="169"/>
      <c r="G1288" s="169"/>
      <c r="H1288" s="169"/>
      <c r="I1288" s="169"/>
      <c r="J1288" s="169"/>
      <c r="K1288" s="169"/>
      <c r="L1288" s="169"/>
      <c r="M1288" s="169"/>
      <c r="N1288" s="177"/>
      <c r="O1288" s="169"/>
      <c r="P1288" s="169"/>
      <c r="Q1288" s="169"/>
      <c r="R1288" s="169"/>
      <c r="S1288" s="169"/>
      <c r="T1288" s="169"/>
      <c r="U1288" s="169"/>
      <c r="V1288" s="169"/>
      <c r="W1288" s="169"/>
      <c r="X1288" s="169"/>
      <c r="Y1288" s="169"/>
      <c r="Z1288" s="178"/>
      <c r="AA1288" s="167"/>
      <c r="AB1288" s="169"/>
      <c r="AC1288" s="169"/>
      <c r="AD1288" s="169"/>
      <c r="AE1288" s="169"/>
      <c r="AF1288" s="169"/>
      <c r="AG1288" s="179"/>
      <c r="AH1288" s="169"/>
      <c r="AI1288" s="168"/>
      <c r="AJ1288" s="167"/>
      <c r="AK1288" s="168"/>
      <c r="AL1288" s="169"/>
      <c r="AM1288" s="509"/>
      <c r="AN1288" s="510"/>
      <c r="AO1288" s="510"/>
    </row>
    <row r="1289" spans="1:41">
      <c r="A1289" s="177"/>
      <c r="B1289" s="169"/>
      <c r="C1289" s="169"/>
      <c r="D1289" s="169"/>
      <c r="E1289" s="169"/>
      <c r="F1289" s="169"/>
      <c r="G1289" s="169"/>
      <c r="H1289" s="169"/>
      <c r="I1289" s="169"/>
      <c r="J1289" s="169"/>
      <c r="K1289" s="169"/>
      <c r="L1289" s="169"/>
      <c r="M1289" s="169"/>
      <c r="N1289" s="177"/>
      <c r="O1289" s="169"/>
      <c r="P1289" s="169"/>
      <c r="Q1289" s="169"/>
      <c r="R1289" s="169"/>
      <c r="S1289" s="169"/>
      <c r="T1289" s="169"/>
      <c r="U1289" s="169"/>
      <c r="V1289" s="169"/>
      <c r="W1289" s="169"/>
      <c r="X1289" s="169"/>
      <c r="Y1289" s="169"/>
      <c r="Z1289" s="178"/>
      <c r="AA1289" s="167"/>
      <c r="AB1289" s="169"/>
      <c r="AC1289" s="169"/>
      <c r="AD1289" s="169"/>
      <c r="AE1289" s="169"/>
      <c r="AF1289" s="169"/>
      <c r="AG1289" s="179"/>
      <c r="AH1289" s="169"/>
      <c r="AI1289" s="168"/>
      <c r="AJ1289" s="167"/>
      <c r="AK1289" s="168"/>
      <c r="AL1289" s="169"/>
      <c r="AM1289" s="509"/>
      <c r="AN1289" s="510"/>
      <c r="AO1289" s="510"/>
    </row>
    <row r="1290" spans="1:41">
      <c r="A1290" s="177"/>
      <c r="B1290" s="169"/>
      <c r="C1290" s="169"/>
      <c r="D1290" s="169"/>
      <c r="E1290" s="169"/>
      <c r="F1290" s="169"/>
      <c r="G1290" s="169"/>
      <c r="H1290" s="169"/>
      <c r="I1290" s="169"/>
      <c r="J1290" s="169"/>
      <c r="K1290" s="169"/>
      <c r="L1290" s="169"/>
      <c r="M1290" s="169"/>
      <c r="N1290" s="177"/>
      <c r="O1290" s="169"/>
      <c r="P1290" s="169"/>
      <c r="Q1290" s="169"/>
      <c r="R1290" s="169"/>
      <c r="S1290" s="169"/>
      <c r="T1290" s="169"/>
      <c r="U1290" s="169"/>
      <c r="V1290" s="169"/>
      <c r="W1290" s="169"/>
      <c r="X1290" s="169"/>
      <c r="Y1290" s="169"/>
      <c r="Z1290" s="178"/>
      <c r="AA1290" s="167"/>
      <c r="AB1290" s="169"/>
      <c r="AC1290" s="169"/>
      <c r="AD1290" s="169"/>
      <c r="AE1290" s="169"/>
      <c r="AF1290" s="169"/>
      <c r="AG1290" s="179"/>
      <c r="AH1290" s="169"/>
      <c r="AI1290" s="168"/>
      <c r="AJ1290" s="167"/>
      <c r="AK1290" s="168"/>
      <c r="AL1290" s="169"/>
      <c r="AM1290" s="509"/>
      <c r="AN1290" s="510"/>
      <c r="AO1290" s="510"/>
    </row>
    <row r="1291" spans="1:41">
      <c r="A1291" s="177"/>
      <c r="B1291" s="169"/>
      <c r="C1291" s="169"/>
      <c r="D1291" s="169"/>
      <c r="E1291" s="169"/>
      <c r="F1291" s="169"/>
      <c r="G1291" s="169"/>
      <c r="H1291" s="169"/>
      <c r="I1291" s="169"/>
      <c r="J1291" s="169"/>
      <c r="K1291" s="169"/>
      <c r="L1291" s="169"/>
      <c r="M1291" s="169"/>
      <c r="N1291" s="177"/>
      <c r="O1291" s="169"/>
      <c r="P1291" s="169"/>
      <c r="Q1291" s="169"/>
      <c r="R1291" s="169"/>
      <c r="S1291" s="169"/>
      <c r="T1291" s="169"/>
      <c r="U1291" s="169"/>
      <c r="V1291" s="169"/>
      <c r="W1291" s="169"/>
      <c r="X1291" s="169"/>
      <c r="Y1291" s="169"/>
      <c r="Z1291" s="178"/>
      <c r="AA1291" s="167"/>
      <c r="AB1291" s="169"/>
      <c r="AC1291" s="169"/>
      <c r="AD1291" s="169"/>
      <c r="AE1291" s="169"/>
      <c r="AF1291" s="169"/>
      <c r="AG1291" s="179"/>
      <c r="AH1291" s="169"/>
      <c r="AI1291" s="168"/>
      <c r="AJ1291" s="167"/>
      <c r="AK1291" s="168"/>
      <c r="AL1291" s="169"/>
      <c r="AM1291" s="509"/>
      <c r="AN1291" s="510"/>
      <c r="AO1291" s="510"/>
    </row>
    <row r="1292" spans="1:41">
      <c r="A1292" s="177"/>
      <c r="B1292" s="169"/>
      <c r="C1292" s="169"/>
      <c r="D1292" s="169"/>
      <c r="E1292" s="169"/>
      <c r="F1292" s="169"/>
      <c r="G1292" s="169"/>
      <c r="H1292" s="169"/>
      <c r="I1292" s="169"/>
      <c r="J1292" s="169"/>
      <c r="K1292" s="169"/>
      <c r="L1292" s="169"/>
      <c r="M1292" s="169"/>
      <c r="N1292" s="177"/>
      <c r="O1292" s="169"/>
      <c r="P1292" s="169"/>
      <c r="Q1292" s="169"/>
      <c r="R1292" s="169"/>
      <c r="S1292" s="169"/>
      <c r="T1292" s="169"/>
      <c r="U1292" s="169"/>
      <c r="V1292" s="169"/>
      <c r="W1292" s="169"/>
      <c r="X1292" s="169"/>
      <c r="Y1292" s="169"/>
      <c r="Z1292" s="178"/>
      <c r="AA1292" s="167"/>
      <c r="AB1292" s="169"/>
      <c r="AC1292" s="169"/>
      <c r="AD1292" s="169"/>
      <c r="AE1292" s="169"/>
      <c r="AF1292" s="169"/>
      <c r="AG1292" s="179"/>
      <c r="AH1292" s="169"/>
      <c r="AI1292" s="168"/>
      <c r="AJ1292" s="167"/>
      <c r="AK1292" s="168"/>
      <c r="AL1292" s="169"/>
      <c r="AM1292" s="509"/>
      <c r="AN1292" s="510"/>
      <c r="AO1292" s="510"/>
    </row>
    <row r="1293" spans="1:41">
      <c r="A1293" s="177"/>
      <c r="B1293" s="169"/>
      <c r="C1293" s="169"/>
      <c r="D1293" s="169"/>
      <c r="E1293" s="169"/>
      <c r="F1293" s="169"/>
      <c r="G1293" s="169"/>
      <c r="H1293" s="169"/>
      <c r="I1293" s="169"/>
      <c r="J1293" s="169"/>
      <c r="K1293" s="169"/>
      <c r="L1293" s="169"/>
      <c r="M1293" s="169"/>
      <c r="N1293" s="177"/>
      <c r="O1293" s="169"/>
      <c r="P1293" s="169"/>
      <c r="Q1293" s="169"/>
      <c r="R1293" s="169"/>
      <c r="S1293" s="169"/>
      <c r="T1293" s="169"/>
      <c r="U1293" s="169"/>
      <c r="V1293" s="169"/>
      <c r="W1293" s="169"/>
      <c r="X1293" s="169"/>
      <c r="Y1293" s="169"/>
      <c r="Z1293" s="178"/>
      <c r="AA1293" s="167"/>
      <c r="AB1293" s="169"/>
      <c r="AC1293" s="169"/>
      <c r="AD1293" s="169"/>
      <c r="AE1293" s="169"/>
      <c r="AF1293" s="169"/>
      <c r="AG1293" s="179"/>
      <c r="AH1293" s="169"/>
      <c r="AI1293" s="168"/>
      <c r="AJ1293" s="167"/>
      <c r="AK1293" s="168"/>
      <c r="AL1293" s="169"/>
      <c r="AM1293" s="509"/>
      <c r="AN1293" s="510"/>
      <c r="AO1293" s="510"/>
    </row>
    <row r="1294" spans="1:41">
      <c r="A1294" s="177"/>
      <c r="B1294" s="169"/>
      <c r="C1294" s="169"/>
      <c r="D1294" s="169"/>
      <c r="E1294" s="169"/>
      <c r="F1294" s="169"/>
      <c r="G1294" s="169"/>
      <c r="H1294" s="169"/>
      <c r="I1294" s="169"/>
      <c r="J1294" s="169"/>
      <c r="K1294" s="169"/>
      <c r="L1294" s="169"/>
      <c r="M1294" s="169"/>
      <c r="N1294" s="177"/>
      <c r="O1294" s="169"/>
      <c r="P1294" s="169"/>
      <c r="Q1294" s="169"/>
      <c r="R1294" s="169"/>
      <c r="S1294" s="169"/>
      <c r="T1294" s="169"/>
      <c r="U1294" s="169"/>
      <c r="V1294" s="169"/>
      <c r="W1294" s="169"/>
      <c r="X1294" s="169"/>
      <c r="Y1294" s="169"/>
      <c r="Z1294" s="178"/>
      <c r="AA1294" s="167"/>
      <c r="AB1294" s="169"/>
      <c r="AC1294" s="169"/>
      <c r="AD1294" s="169"/>
      <c r="AE1294" s="169"/>
      <c r="AF1294" s="169"/>
      <c r="AG1294" s="179"/>
      <c r="AH1294" s="169"/>
      <c r="AI1294" s="168"/>
      <c r="AJ1294" s="167"/>
      <c r="AK1294" s="168"/>
      <c r="AL1294" s="169"/>
      <c r="AM1294" s="509"/>
      <c r="AN1294" s="510"/>
      <c r="AO1294" s="510"/>
    </row>
    <row r="1295" spans="1:41">
      <c r="A1295" s="177"/>
      <c r="B1295" s="169"/>
      <c r="C1295" s="169"/>
      <c r="D1295" s="169"/>
      <c r="E1295" s="169"/>
      <c r="F1295" s="169"/>
      <c r="G1295" s="169"/>
      <c r="H1295" s="169"/>
      <c r="I1295" s="169"/>
      <c r="J1295" s="169"/>
      <c r="K1295" s="169"/>
      <c r="L1295" s="169"/>
      <c r="M1295" s="169"/>
      <c r="N1295" s="177"/>
      <c r="O1295" s="169"/>
      <c r="P1295" s="169"/>
      <c r="Q1295" s="169"/>
      <c r="R1295" s="169"/>
      <c r="S1295" s="169"/>
      <c r="T1295" s="169"/>
      <c r="U1295" s="169"/>
      <c r="V1295" s="169"/>
      <c r="W1295" s="169"/>
      <c r="X1295" s="169"/>
      <c r="Y1295" s="169"/>
      <c r="Z1295" s="178"/>
      <c r="AA1295" s="167"/>
      <c r="AB1295" s="169"/>
      <c r="AC1295" s="169"/>
      <c r="AD1295" s="169"/>
      <c r="AE1295" s="169"/>
      <c r="AF1295" s="169"/>
      <c r="AG1295" s="179"/>
      <c r="AH1295" s="169"/>
      <c r="AI1295" s="168"/>
      <c r="AJ1295" s="167"/>
      <c r="AK1295" s="168"/>
      <c r="AL1295" s="169"/>
      <c r="AM1295" s="509"/>
      <c r="AN1295" s="510"/>
      <c r="AO1295" s="510"/>
    </row>
    <row r="1296" spans="1:41">
      <c r="A1296" s="177"/>
      <c r="B1296" s="169"/>
      <c r="C1296" s="169"/>
      <c r="D1296" s="169"/>
      <c r="E1296" s="169"/>
      <c r="F1296" s="169"/>
      <c r="G1296" s="169"/>
      <c r="H1296" s="169"/>
      <c r="I1296" s="169"/>
      <c r="J1296" s="169"/>
      <c r="K1296" s="169"/>
      <c r="L1296" s="169"/>
      <c r="M1296" s="169"/>
      <c r="N1296" s="177"/>
      <c r="O1296" s="169"/>
      <c r="P1296" s="169"/>
      <c r="Q1296" s="169"/>
      <c r="R1296" s="169"/>
      <c r="S1296" s="169"/>
      <c r="T1296" s="169"/>
      <c r="U1296" s="169"/>
      <c r="V1296" s="169"/>
      <c r="W1296" s="169"/>
      <c r="X1296" s="169"/>
      <c r="Y1296" s="169"/>
      <c r="Z1296" s="178"/>
      <c r="AA1296" s="167"/>
      <c r="AB1296" s="169"/>
      <c r="AC1296" s="169"/>
      <c r="AD1296" s="169"/>
      <c r="AE1296" s="169"/>
      <c r="AF1296" s="169"/>
      <c r="AG1296" s="179"/>
      <c r="AH1296" s="169"/>
      <c r="AI1296" s="168"/>
      <c r="AJ1296" s="167"/>
      <c r="AK1296" s="168"/>
      <c r="AL1296" s="169"/>
      <c r="AM1296" s="509"/>
      <c r="AN1296" s="510"/>
      <c r="AO1296" s="510"/>
    </row>
    <row r="1297" spans="1:41">
      <c r="A1297" s="177"/>
      <c r="B1297" s="169"/>
      <c r="C1297" s="169"/>
      <c r="D1297" s="169"/>
      <c r="E1297" s="169"/>
      <c r="F1297" s="169"/>
      <c r="G1297" s="169"/>
      <c r="H1297" s="169"/>
      <c r="I1297" s="169"/>
      <c r="J1297" s="169"/>
      <c r="K1297" s="169"/>
      <c r="L1297" s="169"/>
      <c r="M1297" s="169"/>
      <c r="N1297" s="177"/>
      <c r="O1297" s="169"/>
      <c r="P1297" s="169"/>
      <c r="Q1297" s="169"/>
      <c r="R1297" s="169"/>
      <c r="S1297" s="169"/>
      <c r="T1297" s="169"/>
      <c r="U1297" s="169"/>
      <c r="V1297" s="169"/>
      <c r="W1297" s="169"/>
      <c r="X1297" s="169"/>
      <c r="Y1297" s="169"/>
      <c r="Z1297" s="178"/>
      <c r="AA1297" s="167"/>
      <c r="AB1297" s="169"/>
      <c r="AC1297" s="169"/>
      <c r="AD1297" s="169"/>
      <c r="AE1297" s="169"/>
      <c r="AF1297" s="169"/>
      <c r="AG1297" s="179"/>
      <c r="AH1297" s="169"/>
      <c r="AI1297" s="168"/>
      <c r="AJ1297" s="167"/>
      <c r="AK1297" s="168"/>
      <c r="AL1297" s="169"/>
      <c r="AM1297" s="509"/>
      <c r="AN1297" s="510"/>
      <c r="AO1297" s="510"/>
    </row>
    <row r="1298" spans="1:41">
      <c r="A1298" s="177"/>
      <c r="B1298" s="169"/>
      <c r="C1298" s="169"/>
      <c r="D1298" s="169"/>
      <c r="E1298" s="169"/>
      <c r="F1298" s="169"/>
      <c r="G1298" s="169"/>
      <c r="H1298" s="169"/>
      <c r="I1298" s="169"/>
      <c r="J1298" s="169"/>
      <c r="K1298" s="169"/>
      <c r="L1298" s="169"/>
      <c r="M1298" s="169"/>
      <c r="N1298" s="177"/>
      <c r="O1298" s="169"/>
      <c r="P1298" s="169"/>
      <c r="Q1298" s="169"/>
      <c r="R1298" s="169"/>
      <c r="S1298" s="169"/>
      <c r="T1298" s="169"/>
      <c r="U1298" s="169"/>
      <c r="V1298" s="169"/>
      <c r="W1298" s="169"/>
      <c r="X1298" s="169"/>
      <c r="Y1298" s="169"/>
      <c r="Z1298" s="178"/>
      <c r="AA1298" s="167"/>
      <c r="AB1298" s="169"/>
      <c r="AC1298" s="169"/>
      <c r="AD1298" s="169"/>
      <c r="AE1298" s="169"/>
      <c r="AF1298" s="169"/>
      <c r="AG1298" s="179"/>
      <c r="AH1298" s="169"/>
      <c r="AI1298" s="168"/>
      <c r="AJ1298" s="167"/>
      <c r="AK1298" s="168"/>
      <c r="AL1298" s="169"/>
      <c r="AM1298" s="509"/>
      <c r="AN1298" s="510"/>
      <c r="AO1298" s="510"/>
    </row>
    <row r="1299" spans="1:41">
      <c r="A1299" s="177"/>
      <c r="B1299" s="169"/>
      <c r="C1299" s="169"/>
      <c r="D1299" s="169"/>
      <c r="E1299" s="169"/>
      <c r="F1299" s="169"/>
      <c r="G1299" s="169"/>
      <c r="H1299" s="169"/>
      <c r="I1299" s="169"/>
      <c r="J1299" s="169"/>
      <c r="K1299" s="169"/>
      <c r="L1299" s="169"/>
      <c r="M1299" s="169"/>
      <c r="N1299" s="177"/>
      <c r="O1299" s="169"/>
      <c r="P1299" s="169"/>
      <c r="Q1299" s="169"/>
      <c r="R1299" s="169"/>
      <c r="S1299" s="169"/>
      <c r="T1299" s="169"/>
      <c r="U1299" s="169"/>
      <c r="V1299" s="169"/>
      <c r="W1299" s="169"/>
      <c r="X1299" s="169"/>
      <c r="Y1299" s="169"/>
      <c r="Z1299" s="178"/>
      <c r="AA1299" s="167"/>
      <c r="AB1299" s="169"/>
      <c r="AC1299" s="169"/>
      <c r="AD1299" s="169"/>
      <c r="AE1299" s="169"/>
      <c r="AF1299" s="169"/>
      <c r="AG1299" s="179"/>
      <c r="AH1299" s="169"/>
      <c r="AI1299" s="168"/>
      <c r="AJ1299" s="167"/>
      <c r="AK1299" s="168"/>
      <c r="AL1299" s="169"/>
      <c r="AM1299" s="509"/>
      <c r="AN1299" s="510"/>
      <c r="AO1299" s="510"/>
    </row>
    <row r="1300" spans="1:41">
      <c r="A1300" s="177"/>
      <c r="B1300" s="169"/>
      <c r="C1300" s="169"/>
      <c r="D1300" s="169"/>
      <c r="E1300" s="169"/>
      <c r="F1300" s="169"/>
      <c r="G1300" s="169"/>
      <c r="H1300" s="169"/>
      <c r="I1300" s="169"/>
      <c r="J1300" s="169"/>
      <c r="K1300" s="169"/>
      <c r="L1300" s="169"/>
      <c r="M1300" s="169"/>
      <c r="N1300" s="177"/>
      <c r="O1300" s="169"/>
      <c r="P1300" s="169"/>
      <c r="Q1300" s="169"/>
      <c r="R1300" s="169"/>
      <c r="S1300" s="169"/>
      <c r="T1300" s="169"/>
      <c r="U1300" s="169"/>
      <c r="V1300" s="169"/>
      <c r="W1300" s="169"/>
      <c r="X1300" s="169"/>
      <c r="Y1300" s="169"/>
      <c r="Z1300" s="178"/>
      <c r="AA1300" s="167"/>
      <c r="AB1300" s="169"/>
      <c r="AC1300" s="169"/>
      <c r="AD1300" s="169"/>
      <c r="AE1300" s="169"/>
      <c r="AF1300" s="169"/>
      <c r="AG1300" s="179"/>
      <c r="AH1300" s="169"/>
      <c r="AI1300" s="168"/>
      <c r="AJ1300" s="167"/>
      <c r="AK1300" s="168"/>
      <c r="AL1300" s="169"/>
      <c r="AM1300" s="509"/>
      <c r="AN1300" s="510"/>
      <c r="AO1300" s="510"/>
    </row>
    <row r="1301" spans="1:41">
      <c r="A1301" s="177"/>
      <c r="B1301" s="169"/>
      <c r="C1301" s="169"/>
      <c r="D1301" s="169"/>
      <c r="E1301" s="169"/>
      <c r="F1301" s="169"/>
      <c r="G1301" s="169"/>
      <c r="H1301" s="169"/>
      <c r="I1301" s="169"/>
      <c r="J1301" s="169"/>
      <c r="K1301" s="169"/>
      <c r="L1301" s="169"/>
      <c r="M1301" s="169"/>
      <c r="N1301" s="177"/>
      <c r="O1301" s="169"/>
      <c r="P1301" s="169"/>
      <c r="Q1301" s="169"/>
      <c r="R1301" s="169"/>
      <c r="S1301" s="169"/>
      <c r="T1301" s="169"/>
      <c r="U1301" s="169"/>
      <c r="V1301" s="169"/>
      <c r="W1301" s="169"/>
      <c r="X1301" s="169"/>
      <c r="Y1301" s="169"/>
      <c r="Z1301" s="178"/>
      <c r="AA1301" s="167"/>
      <c r="AB1301" s="169"/>
      <c r="AC1301" s="169"/>
      <c r="AD1301" s="169"/>
      <c r="AE1301" s="169"/>
      <c r="AF1301" s="169"/>
      <c r="AG1301" s="179"/>
      <c r="AH1301" s="169"/>
      <c r="AI1301" s="168"/>
      <c r="AJ1301" s="167"/>
      <c r="AK1301" s="168"/>
      <c r="AL1301" s="169"/>
      <c r="AM1301" s="509"/>
      <c r="AN1301" s="510"/>
      <c r="AO1301" s="510"/>
    </row>
    <row r="1302" spans="1:41">
      <c r="A1302" s="177"/>
      <c r="B1302" s="169"/>
      <c r="C1302" s="169"/>
      <c r="D1302" s="169"/>
      <c r="E1302" s="169"/>
      <c r="F1302" s="169"/>
      <c r="G1302" s="169"/>
      <c r="H1302" s="169"/>
      <c r="I1302" s="169"/>
      <c r="J1302" s="169"/>
      <c r="K1302" s="169"/>
      <c r="L1302" s="169"/>
      <c r="M1302" s="169"/>
      <c r="N1302" s="177"/>
      <c r="O1302" s="169"/>
      <c r="P1302" s="169"/>
      <c r="Q1302" s="169"/>
      <c r="R1302" s="169"/>
      <c r="S1302" s="169"/>
      <c r="T1302" s="169"/>
      <c r="U1302" s="169"/>
      <c r="V1302" s="169"/>
      <c r="W1302" s="169"/>
      <c r="X1302" s="169"/>
      <c r="Y1302" s="169"/>
      <c r="Z1302" s="178"/>
      <c r="AA1302" s="167"/>
      <c r="AB1302" s="169"/>
      <c r="AC1302" s="169"/>
      <c r="AD1302" s="169"/>
      <c r="AE1302" s="169"/>
      <c r="AF1302" s="169"/>
      <c r="AG1302" s="179"/>
      <c r="AH1302" s="169"/>
      <c r="AI1302" s="168"/>
      <c r="AJ1302" s="167"/>
      <c r="AK1302" s="168"/>
      <c r="AL1302" s="169"/>
      <c r="AM1302" s="509"/>
      <c r="AN1302" s="510"/>
      <c r="AO1302" s="510"/>
    </row>
    <row r="1303" spans="1:41">
      <c r="A1303" s="177"/>
      <c r="B1303" s="169"/>
      <c r="C1303" s="169"/>
      <c r="D1303" s="169"/>
      <c r="E1303" s="169"/>
      <c r="F1303" s="169"/>
      <c r="G1303" s="169"/>
      <c r="H1303" s="169"/>
      <c r="I1303" s="169"/>
      <c r="J1303" s="169"/>
      <c r="K1303" s="169"/>
      <c r="L1303" s="169"/>
      <c r="M1303" s="169"/>
      <c r="N1303" s="177"/>
      <c r="O1303" s="169"/>
      <c r="P1303" s="169"/>
      <c r="Q1303" s="169"/>
      <c r="R1303" s="169"/>
      <c r="S1303" s="169"/>
      <c r="T1303" s="169"/>
      <c r="U1303" s="169"/>
      <c r="V1303" s="169"/>
      <c r="W1303" s="169"/>
      <c r="X1303" s="169"/>
      <c r="Y1303" s="169"/>
      <c r="Z1303" s="178"/>
      <c r="AA1303" s="167"/>
      <c r="AB1303" s="169"/>
      <c r="AC1303" s="169"/>
      <c r="AD1303" s="169"/>
      <c r="AE1303" s="169"/>
      <c r="AF1303" s="169"/>
      <c r="AG1303" s="179"/>
      <c r="AH1303" s="169"/>
      <c r="AI1303" s="168"/>
      <c r="AJ1303" s="167"/>
      <c r="AK1303" s="168"/>
      <c r="AL1303" s="169"/>
      <c r="AM1303" s="509"/>
      <c r="AN1303" s="510"/>
      <c r="AO1303" s="510"/>
    </row>
    <row r="1304" spans="1:41">
      <c r="A1304" s="177"/>
      <c r="B1304" s="169"/>
      <c r="C1304" s="169"/>
      <c r="D1304" s="169"/>
      <c r="E1304" s="169"/>
      <c r="F1304" s="169"/>
      <c r="G1304" s="169"/>
      <c r="H1304" s="169"/>
      <c r="I1304" s="169"/>
      <c r="J1304" s="169"/>
      <c r="K1304" s="169"/>
      <c r="L1304" s="169"/>
      <c r="M1304" s="169"/>
      <c r="N1304" s="177"/>
      <c r="O1304" s="169"/>
      <c r="P1304" s="169"/>
      <c r="Q1304" s="169"/>
      <c r="R1304" s="169"/>
      <c r="S1304" s="169"/>
      <c r="T1304" s="169"/>
      <c r="U1304" s="169"/>
      <c r="V1304" s="169"/>
      <c r="W1304" s="169"/>
      <c r="X1304" s="169"/>
      <c r="Y1304" s="169"/>
      <c r="Z1304" s="178"/>
      <c r="AA1304" s="167"/>
      <c r="AB1304" s="169"/>
      <c r="AC1304" s="169"/>
      <c r="AD1304" s="169"/>
      <c r="AE1304" s="169"/>
      <c r="AF1304" s="169"/>
      <c r="AG1304" s="179"/>
      <c r="AH1304" s="169"/>
      <c r="AI1304" s="168"/>
      <c r="AJ1304" s="167"/>
      <c r="AK1304" s="168"/>
      <c r="AL1304" s="169"/>
      <c r="AM1304" s="509"/>
      <c r="AN1304" s="510"/>
      <c r="AO1304" s="510"/>
    </row>
    <row r="1305" spans="1:41">
      <c r="A1305" s="177"/>
      <c r="B1305" s="169"/>
      <c r="C1305" s="169"/>
      <c r="D1305" s="169"/>
      <c r="E1305" s="169"/>
      <c r="F1305" s="169"/>
      <c r="G1305" s="169"/>
      <c r="H1305" s="169"/>
      <c r="I1305" s="169"/>
      <c r="J1305" s="169"/>
      <c r="K1305" s="169"/>
      <c r="L1305" s="169"/>
      <c r="M1305" s="169"/>
      <c r="N1305" s="177"/>
      <c r="O1305" s="169"/>
      <c r="P1305" s="169"/>
      <c r="Q1305" s="169"/>
      <c r="R1305" s="169"/>
      <c r="S1305" s="169"/>
      <c r="T1305" s="169"/>
      <c r="U1305" s="169"/>
      <c r="V1305" s="169"/>
      <c r="W1305" s="169"/>
      <c r="X1305" s="169"/>
      <c r="Y1305" s="169"/>
      <c r="Z1305" s="178"/>
      <c r="AA1305" s="167"/>
      <c r="AB1305" s="169"/>
      <c r="AC1305" s="169"/>
      <c r="AD1305" s="169"/>
      <c r="AE1305" s="169"/>
      <c r="AF1305" s="169"/>
      <c r="AG1305" s="179"/>
      <c r="AH1305" s="169"/>
      <c r="AI1305" s="168"/>
      <c r="AJ1305" s="167"/>
      <c r="AK1305" s="168"/>
      <c r="AL1305" s="169"/>
      <c r="AM1305" s="509"/>
      <c r="AN1305" s="510"/>
      <c r="AO1305" s="510"/>
    </row>
    <row r="1306" spans="1:41">
      <c r="A1306" s="177"/>
      <c r="B1306" s="169"/>
      <c r="C1306" s="169"/>
      <c r="D1306" s="169"/>
      <c r="E1306" s="169"/>
      <c r="F1306" s="169"/>
      <c r="G1306" s="169"/>
      <c r="H1306" s="169"/>
      <c r="I1306" s="169"/>
      <c r="J1306" s="169"/>
      <c r="K1306" s="169"/>
      <c r="L1306" s="169"/>
      <c r="M1306" s="169"/>
      <c r="N1306" s="177"/>
      <c r="O1306" s="169"/>
      <c r="P1306" s="169"/>
      <c r="Q1306" s="169"/>
      <c r="R1306" s="169"/>
      <c r="S1306" s="169"/>
      <c r="T1306" s="169"/>
      <c r="U1306" s="169"/>
      <c r="V1306" s="169"/>
      <c r="W1306" s="169"/>
      <c r="X1306" s="169"/>
      <c r="Y1306" s="169"/>
      <c r="Z1306" s="178"/>
      <c r="AA1306" s="167"/>
      <c r="AB1306" s="169"/>
      <c r="AC1306" s="169"/>
      <c r="AD1306" s="169"/>
      <c r="AE1306" s="169"/>
      <c r="AF1306" s="169"/>
      <c r="AG1306" s="179"/>
      <c r="AH1306" s="169"/>
      <c r="AI1306" s="168"/>
      <c r="AJ1306" s="167"/>
      <c r="AK1306" s="168"/>
      <c r="AL1306" s="169"/>
      <c r="AM1306" s="509"/>
      <c r="AN1306" s="510"/>
      <c r="AO1306" s="510"/>
    </row>
    <row r="1307" spans="1:41">
      <c r="A1307" s="177"/>
      <c r="B1307" s="169"/>
      <c r="C1307" s="169"/>
      <c r="D1307" s="169"/>
      <c r="E1307" s="169"/>
      <c r="F1307" s="169"/>
      <c r="G1307" s="169"/>
      <c r="H1307" s="169"/>
      <c r="I1307" s="169"/>
      <c r="J1307" s="169"/>
      <c r="K1307" s="169"/>
      <c r="L1307" s="169"/>
      <c r="M1307" s="169"/>
      <c r="N1307" s="177"/>
      <c r="O1307" s="169"/>
      <c r="P1307" s="169"/>
      <c r="Q1307" s="169"/>
      <c r="R1307" s="169"/>
      <c r="S1307" s="169"/>
      <c r="T1307" s="169"/>
      <c r="U1307" s="169"/>
      <c r="V1307" s="169"/>
      <c r="W1307" s="169"/>
      <c r="X1307" s="169"/>
      <c r="Y1307" s="169"/>
      <c r="Z1307" s="178"/>
      <c r="AA1307" s="167"/>
      <c r="AB1307" s="169"/>
      <c r="AC1307" s="169"/>
      <c r="AD1307" s="169"/>
      <c r="AE1307" s="169"/>
      <c r="AF1307" s="169"/>
      <c r="AG1307" s="179"/>
      <c r="AH1307" s="169"/>
      <c r="AI1307" s="168"/>
      <c r="AJ1307" s="167"/>
      <c r="AK1307" s="168"/>
      <c r="AL1307" s="169"/>
      <c r="AM1307" s="509"/>
      <c r="AN1307" s="510"/>
      <c r="AO1307" s="510"/>
    </row>
    <row r="1308" spans="1:41">
      <c r="A1308" s="177"/>
      <c r="B1308" s="169"/>
      <c r="C1308" s="169"/>
      <c r="D1308" s="169"/>
      <c r="E1308" s="169"/>
      <c r="F1308" s="169"/>
      <c r="G1308" s="169"/>
      <c r="H1308" s="169"/>
      <c r="I1308" s="169"/>
      <c r="J1308" s="169"/>
      <c r="K1308" s="169"/>
      <c r="L1308" s="169"/>
      <c r="M1308" s="169"/>
      <c r="N1308" s="177"/>
      <c r="O1308" s="169"/>
      <c r="P1308" s="169"/>
      <c r="Q1308" s="169"/>
      <c r="R1308" s="169"/>
      <c r="S1308" s="169"/>
      <c r="T1308" s="169"/>
      <c r="U1308" s="169"/>
      <c r="V1308" s="169"/>
      <c r="W1308" s="169"/>
      <c r="X1308" s="169"/>
      <c r="Y1308" s="169"/>
      <c r="Z1308" s="178"/>
      <c r="AA1308" s="167"/>
      <c r="AB1308" s="169"/>
      <c r="AC1308" s="169"/>
      <c r="AD1308" s="169"/>
      <c r="AE1308" s="169"/>
      <c r="AF1308" s="169"/>
      <c r="AG1308" s="179"/>
      <c r="AH1308" s="169"/>
      <c r="AI1308" s="168"/>
      <c r="AJ1308" s="167"/>
      <c r="AK1308" s="168"/>
      <c r="AL1308" s="169"/>
      <c r="AM1308" s="509"/>
      <c r="AN1308" s="510"/>
      <c r="AO1308" s="510"/>
    </row>
    <row r="1309" spans="1:41">
      <c r="A1309" s="177"/>
      <c r="B1309" s="169"/>
      <c r="C1309" s="169"/>
      <c r="D1309" s="169"/>
      <c r="E1309" s="169"/>
      <c r="F1309" s="169"/>
      <c r="G1309" s="169"/>
      <c r="H1309" s="169"/>
      <c r="I1309" s="169"/>
      <c r="J1309" s="169"/>
      <c r="K1309" s="169"/>
      <c r="L1309" s="169"/>
      <c r="M1309" s="169"/>
      <c r="N1309" s="177"/>
      <c r="O1309" s="169"/>
      <c r="P1309" s="169"/>
      <c r="Q1309" s="169"/>
      <c r="R1309" s="169"/>
      <c r="S1309" s="169"/>
      <c r="T1309" s="169"/>
      <c r="U1309" s="169"/>
      <c r="V1309" s="169"/>
      <c r="W1309" s="169"/>
      <c r="X1309" s="169"/>
      <c r="Y1309" s="169"/>
      <c r="Z1309" s="178"/>
      <c r="AA1309" s="167"/>
      <c r="AB1309" s="169"/>
      <c r="AC1309" s="169"/>
      <c r="AD1309" s="169"/>
      <c r="AE1309" s="169"/>
      <c r="AF1309" s="169"/>
      <c r="AG1309" s="179"/>
      <c r="AH1309" s="169"/>
      <c r="AI1309" s="168"/>
      <c r="AJ1309" s="167"/>
      <c r="AK1309" s="168"/>
      <c r="AL1309" s="169"/>
      <c r="AM1309" s="509"/>
      <c r="AN1309" s="510"/>
      <c r="AO1309" s="510"/>
    </row>
    <row r="1310" spans="1:41">
      <c r="A1310" s="177"/>
      <c r="B1310" s="169"/>
      <c r="C1310" s="169"/>
      <c r="D1310" s="169"/>
      <c r="E1310" s="169"/>
      <c r="F1310" s="169"/>
      <c r="G1310" s="169"/>
      <c r="H1310" s="169"/>
      <c r="I1310" s="169"/>
      <c r="J1310" s="169"/>
      <c r="K1310" s="169"/>
      <c r="L1310" s="169"/>
      <c r="M1310" s="169"/>
      <c r="N1310" s="177"/>
      <c r="O1310" s="169"/>
      <c r="P1310" s="169"/>
      <c r="Q1310" s="169"/>
      <c r="R1310" s="169"/>
      <c r="S1310" s="169"/>
      <c r="T1310" s="169"/>
      <c r="U1310" s="169"/>
      <c r="V1310" s="169"/>
      <c r="W1310" s="169"/>
      <c r="X1310" s="169"/>
      <c r="Y1310" s="169"/>
      <c r="Z1310" s="178"/>
      <c r="AA1310" s="167"/>
      <c r="AB1310" s="169"/>
      <c r="AC1310" s="169"/>
      <c r="AD1310" s="169"/>
      <c r="AE1310" s="169"/>
      <c r="AF1310" s="169"/>
      <c r="AG1310" s="179"/>
      <c r="AH1310" s="169"/>
      <c r="AI1310" s="168"/>
      <c r="AJ1310" s="167"/>
      <c r="AK1310" s="168"/>
      <c r="AL1310" s="169"/>
      <c r="AM1310" s="509"/>
      <c r="AN1310" s="510"/>
      <c r="AO1310" s="510"/>
    </row>
    <row r="1311" spans="1:41">
      <c r="A1311" s="177"/>
      <c r="B1311" s="169"/>
      <c r="C1311" s="169"/>
      <c r="D1311" s="169"/>
      <c r="E1311" s="169"/>
      <c r="F1311" s="169"/>
      <c r="G1311" s="169"/>
      <c r="H1311" s="169"/>
      <c r="I1311" s="169"/>
      <c r="J1311" s="169"/>
      <c r="K1311" s="169"/>
      <c r="L1311" s="169"/>
      <c r="M1311" s="169"/>
      <c r="N1311" s="177"/>
      <c r="O1311" s="169"/>
      <c r="P1311" s="169"/>
      <c r="Q1311" s="169"/>
      <c r="R1311" s="169"/>
      <c r="S1311" s="169"/>
      <c r="T1311" s="169"/>
      <c r="U1311" s="169"/>
      <c r="V1311" s="169"/>
      <c r="W1311" s="169"/>
      <c r="X1311" s="169"/>
      <c r="Y1311" s="169"/>
      <c r="Z1311" s="178"/>
      <c r="AA1311" s="167"/>
      <c r="AB1311" s="169"/>
      <c r="AC1311" s="169"/>
      <c r="AD1311" s="169"/>
      <c r="AE1311" s="169"/>
      <c r="AF1311" s="169"/>
      <c r="AG1311" s="179"/>
      <c r="AH1311" s="169"/>
      <c r="AI1311" s="168"/>
      <c r="AJ1311" s="167"/>
      <c r="AK1311" s="168"/>
      <c r="AL1311" s="169"/>
      <c r="AM1311" s="509"/>
      <c r="AN1311" s="510"/>
      <c r="AO1311" s="510"/>
    </row>
    <row r="1312" spans="1:41">
      <c r="A1312" s="177"/>
      <c r="B1312" s="169"/>
      <c r="C1312" s="169"/>
      <c r="D1312" s="169"/>
      <c r="E1312" s="169"/>
      <c r="F1312" s="169"/>
      <c r="G1312" s="169"/>
      <c r="H1312" s="169"/>
      <c r="I1312" s="169"/>
      <c r="J1312" s="169"/>
      <c r="K1312" s="169"/>
      <c r="L1312" s="169"/>
      <c r="M1312" s="169"/>
      <c r="N1312" s="177"/>
      <c r="O1312" s="169"/>
      <c r="P1312" s="169"/>
      <c r="Q1312" s="169"/>
      <c r="R1312" s="169"/>
      <c r="S1312" s="169"/>
      <c r="T1312" s="169"/>
      <c r="U1312" s="169"/>
      <c r="V1312" s="169"/>
      <c r="W1312" s="169"/>
      <c r="X1312" s="169"/>
      <c r="Y1312" s="169"/>
      <c r="Z1312" s="178"/>
      <c r="AA1312" s="167"/>
      <c r="AB1312" s="169"/>
      <c r="AC1312" s="169"/>
      <c r="AD1312" s="169"/>
      <c r="AE1312" s="169"/>
      <c r="AF1312" s="169"/>
      <c r="AG1312" s="179"/>
      <c r="AH1312" s="169"/>
      <c r="AI1312" s="168"/>
      <c r="AJ1312" s="167"/>
      <c r="AK1312" s="168"/>
      <c r="AL1312" s="169"/>
      <c r="AM1312" s="509"/>
      <c r="AN1312" s="510"/>
      <c r="AO1312" s="510"/>
    </row>
    <row r="1313" spans="1:41">
      <c r="A1313" s="177"/>
      <c r="B1313" s="169"/>
      <c r="C1313" s="169"/>
      <c r="D1313" s="169"/>
      <c r="E1313" s="169"/>
      <c r="F1313" s="169"/>
      <c r="G1313" s="169"/>
      <c r="H1313" s="169"/>
      <c r="I1313" s="169"/>
      <c r="J1313" s="169"/>
      <c r="K1313" s="169"/>
      <c r="L1313" s="169"/>
      <c r="M1313" s="169"/>
      <c r="N1313" s="177"/>
      <c r="O1313" s="169"/>
      <c r="P1313" s="169"/>
      <c r="Q1313" s="169"/>
      <c r="R1313" s="169"/>
      <c r="S1313" s="169"/>
      <c r="T1313" s="169"/>
      <c r="U1313" s="169"/>
      <c r="V1313" s="169"/>
      <c r="W1313" s="169"/>
      <c r="X1313" s="169"/>
      <c r="Y1313" s="169"/>
      <c r="Z1313" s="178"/>
      <c r="AA1313" s="167"/>
      <c r="AB1313" s="169"/>
      <c r="AC1313" s="169"/>
      <c r="AD1313" s="169"/>
      <c r="AE1313" s="169"/>
      <c r="AF1313" s="169"/>
      <c r="AG1313" s="179"/>
      <c r="AH1313" s="169"/>
      <c r="AI1313" s="168"/>
      <c r="AJ1313" s="167"/>
      <c r="AK1313" s="168"/>
      <c r="AL1313" s="169"/>
      <c r="AM1313" s="509"/>
      <c r="AN1313" s="510"/>
      <c r="AO1313" s="510"/>
    </row>
    <row r="1314" spans="1:41">
      <c r="A1314" s="177"/>
      <c r="B1314" s="169"/>
      <c r="C1314" s="169"/>
      <c r="D1314" s="169"/>
      <c r="E1314" s="169"/>
      <c r="F1314" s="169"/>
      <c r="G1314" s="169"/>
      <c r="H1314" s="169"/>
      <c r="I1314" s="169"/>
      <c r="J1314" s="169"/>
      <c r="K1314" s="169"/>
      <c r="L1314" s="169"/>
      <c r="M1314" s="169"/>
      <c r="N1314" s="177"/>
      <c r="O1314" s="169"/>
      <c r="P1314" s="169"/>
      <c r="Q1314" s="169"/>
      <c r="R1314" s="169"/>
      <c r="S1314" s="169"/>
      <c r="T1314" s="169"/>
      <c r="U1314" s="169"/>
      <c r="V1314" s="169"/>
      <c r="W1314" s="169"/>
      <c r="X1314" s="169"/>
      <c r="Y1314" s="169"/>
      <c r="Z1314" s="178"/>
      <c r="AA1314" s="167"/>
      <c r="AB1314" s="169"/>
      <c r="AC1314" s="169"/>
      <c r="AD1314" s="169"/>
      <c r="AE1314" s="169"/>
      <c r="AF1314" s="169"/>
      <c r="AG1314" s="179"/>
      <c r="AH1314" s="169"/>
      <c r="AI1314" s="168"/>
      <c r="AJ1314" s="167"/>
      <c r="AK1314" s="168"/>
      <c r="AL1314" s="169"/>
      <c r="AM1314" s="509"/>
      <c r="AN1314" s="510"/>
      <c r="AO1314" s="510"/>
    </row>
    <row r="1315" spans="1:41">
      <c r="A1315" s="177"/>
      <c r="B1315" s="169"/>
      <c r="C1315" s="169"/>
      <c r="D1315" s="169"/>
      <c r="E1315" s="169"/>
      <c r="F1315" s="169"/>
      <c r="G1315" s="169"/>
      <c r="H1315" s="169"/>
      <c r="I1315" s="169"/>
      <c r="J1315" s="169"/>
      <c r="K1315" s="169"/>
      <c r="L1315" s="169"/>
      <c r="M1315" s="169"/>
      <c r="N1315" s="177"/>
      <c r="O1315" s="169"/>
      <c r="P1315" s="169"/>
      <c r="Q1315" s="169"/>
      <c r="R1315" s="169"/>
      <c r="S1315" s="169"/>
      <c r="T1315" s="169"/>
      <c r="U1315" s="169"/>
      <c r="V1315" s="169"/>
      <c r="W1315" s="169"/>
      <c r="X1315" s="169"/>
      <c r="Y1315" s="169"/>
      <c r="Z1315" s="178"/>
      <c r="AA1315" s="167"/>
      <c r="AB1315" s="169"/>
      <c r="AC1315" s="169"/>
      <c r="AD1315" s="169"/>
      <c r="AE1315" s="169"/>
      <c r="AF1315" s="169"/>
      <c r="AG1315" s="179"/>
      <c r="AH1315" s="169"/>
      <c r="AI1315" s="168"/>
      <c r="AJ1315" s="167"/>
      <c r="AK1315" s="168"/>
      <c r="AL1315" s="169"/>
      <c r="AM1315" s="509"/>
      <c r="AN1315" s="510"/>
      <c r="AO1315" s="510"/>
    </row>
    <row r="1316" spans="1:41">
      <c r="A1316" s="177"/>
      <c r="B1316" s="169"/>
      <c r="C1316" s="169"/>
      <c r="D1316" s="169"/>
      <c r="E1316" s="169"/>
      <c r="F1316" s="169"/>
      <c r="G1316" s="169"/>
      <c r="H1316" s="169"/>
      <c r="I1316" s="169"/>
      <c r="J1316" s="169"/>
      <c r="K1316" s="169"/>
      <c r="L1316" s="169"/>
      <c r="M1316" s="169"/>
      <c r="N1316" s="177"/>
      <c r="O1316" s="169"/>
      <c r="P1316" s="169"/>
      <c r="Q1316" s="169"/>
      <c r="R1316" s="169"/>
      <c r="S1316" s="169"/>
      <c r="T1316" s="169"/>
      <c r="U1316" s="169"/>
      <c r="V1316" s="169"/>
      <c r="W1316" s="169"/>
      <c r="X1316" s="169"/>
      <c r="Y1316" s="169"/>
      <c r="Z1316" s="178"/>
      <c r="AA1316" s="167"/>
      <c r="AB1316" s="169"/>
      <c r="AC1316" s="169"/>
      <c r="AD1316" s="169"/>
      <c r="AE1316" s="169"/>
      <c r="AF1316" s="169"/>
      <c r="AG1316" s="179"/>
      <c r="AH1316" s="169"/>
      <c r="AI1316" s="168"/>
      <c r="AJ1316" s="167"/>
      <c r="AK1316" s="168"/>
      <c r="AL1316" s="169"/>
      <c r="AM1316" s="509"/>
      <c r="AN1316" s="510"/>
      <c r="AO1316" s="510"/>
    </row>
    <row r="1317" spans="1:41">
      <c r="A1317" s="177"/>
      <c r="B1317" s="169"/>
      <c r="C1317" s="169"/>
      <c r="D1317" s="169"/>
      <c r="E1317" s="169"/>
      <c r="F1317" s="169"/>
      <c r="G1317" s="169"/>
      <c r="H1317" s="169"/>
      <c r="I1317" s="169"/>
      <c r="J1317" s="169"/>
      <c r="K1317" s="169"/>
      <c r="L1317" s="169"/>
      <c r="M1317" s="169"/>
      <c r="N1317" s="177"/>
      <c r="O1317" s="169"/>
      <c r="P1317" s="169"/>
      <c r="Q1317" s="169"/>
      <c r="R1317" s="169"/>
      <c r="S1317" s="169"/>
      <c r="T1317" s="169"/>
      <c r="U1317" s="169"/>
      <c r="V1317" s="169"/>
      <c r="W1317" s="169"/>
      <c r="X1317" s="169"/>
      <c r="Y1317" s="169"/>
      <c r="Z1317" s="178"/>
      <c r="AA1317" s="167"/>
      <c r="AB1317" s="169"/>
      <c r="AC1317" s="169"/>
      <c r="AD1317" s="169"/>
      <c r="AE1317" s="169"/>
      <c r="AF1317" s="169"/>
      <c r="AG1317" s="179"/>
      <c r="AH1317" s="169"/>
      <c r="AI1317" s="168"/>
      <c r="AJ1317" s="167"/>
      <c r="AK1317" s="168"/>
      <c r="AL1317" s="169"/>
      <c r="AM1317" s="509"/>
      <c r="AN1317" s="510"/>
      <c r="AO1317" s="510"/>
    </row>
    <row r="1318" spans="1:41">
      <c r="A1318" s="177"/>
      <c r="B1318" s="169"/>
      <c r="C1318" s="169"/>
      <c r="D1318" s="169"/>
      <c r="E1318" s="169"/>
      <c r="F1318" s="169"/>
      <c r="G1318" s="169"/>
      <c r="H1318" s="169"/>
      <c r="I1318" s="169"/>
      <c r="J1318" s="169"/>
      <c r="K1318" s="169"/>
      <c r="L1318" s="169"/>
      <c r="M1318" s="169"/>
      <c r="N1318" s="177"/>
      <c r="O1318" s="169"/>
      <c r="P1318" s="169"/>
      <c r="Q1318" s="169"/>
      <c r="R1318" s="169"/>
      <c r="S1318" s="169"/>
      <c r="T1318" s="169"/>
      <c r="U1318" s="169"/>
      <c r="V1318" s="169"/>
      <c r="W1318" s="169"/>
      <c r="X1318" s="169"/>
      <c r="Y1318" s="169"/>
      <c r="Z1318" s="178"/>
      <c r="AA1318" s="167"/>
      <c r="AB1318" s="169"/>
      <c r="AC1318" s="169"/>
      <c r="AD1318" s="169"/>
      <c r="AE1318" s="169"/>
      <c r="AF1318" s="169"/>
      <c r="AG1318" s="179"/>
      <c r="AH1318" s="169"/>
      <c r="AI1318" s="168"/>
      <c r="AJ1318" s="167"/>
      <c r="AK1318" s="168"/>
      <c r="AL1318" s="169"/>
      <c r="AM1318" s="509"/>
      <c r="AN1318" s="510"/>
      <c r="AO1318" s="510"/>
    </row>
    <row r="1319" spans="1:41">
      <c r="A1319" s="177"/>
      <c r="B1319" s="169"/>
      <c r="C1319" s="169"/>
      <c r="D1319" s="169"/>
      <c r="E1319" s="169"/>
      <c r="F1319" s="169"/>
      <c r="G1319" s="169"/>
      <c r="H1319" s="169"/>
      <c r="I1319" s="169"/>
      <c r="J1319" s="169"/>
      <c r="K1319" s="169"/>
      <c r="L1319" s="169"/>
      <c r="M1319" s="169"/>
      <c r="N1319" s="177"/>
      <c r="O1319" s="169"/>
      <c r="P1319" s="169"/>
      <c r="Q1319" s="169"/>
      <c r="R1319" s="169"/>
      <c r="S1319" s="169"/>
      <c r="T1319" s="169"/>
      <c r="U1319" s="169"/>
      <c r="V1319" s="169"/>
      <c r="W1319" s="169"/>
      <c r="X1319" s="169"/>
      <c r="Y1319" s="169"/>
      <c r="Z1319" s="178"/>
      <c r="AA1319" s="167"/>
      <c r="AB1319" s="169"/>
      <c r="AC1319" s="169"/>
      <c r="AD1319" s="169"/>
      <c r="AE1319" s="169"/>
      <c r="AF1319" s="169"/>
      <c r="AG1319" s="179"/>
      <c r="AH1319" s="169"/>
      <c r="AI1319" s="168"/>
      <c r="AJ1319" s="167"/>
      <c r="AK1319" s="168"/>
      <c r="AL1319" s="169"/>
      <c r="AM1319" s="509"/>
      <c r="AN1319" s="510"/>
      <c r="AO1319" s="510"/>
    </row>
    <row r="1320" spans="1:41">
      <c r="A1320" s="177"/>
      <c r="B1320" s="169"/>
      <c r="C1320" s="169"/>
      <c r="D1320" s="169"/>
      <c r="E1320" s="169"/>
      <c r="F1320" s="169"/>
      <c r="G1320" s="169"/>
      <c r="H1320" s="169"/>
      <c r="I1320" s="169"/>
      <c r="J1320" s="169"/>
      <c r="K1320" s="169"/>
      <c r="L1320" s="169"/>
      <c r="M1320" s="169"/>
      <c r="N1320" s="177"/>
      <c r="O1320" s="169"/>
      <c r="P1320" s="169"/>
      <c r="Q1320" s="169"/>
      <c r="R1320" s="169"/>
      <c r="S1320" s="169"/>
      <c r="T1320" s="169"/>
      <c r="U1320" s="169"/>
      <c r="V1320" s="169"/>
      <c r="W1320" s="169"/>
      <c r="X1320" s="169"/>
      <c r="Y1320" s="169"/>
      <c r="Z1320" s="178"/>
      <c r="AA1320" s="167"/>
      <c r="AB1320" s="169"/>
      <c r="AC1320" s="169"/>
      <c r="AD1320" s="169"/>
      <c r="AE1320" s="169"/>
      <c r="AF1320" s="169"/>
      <c r="AG1320" s="179"/>
      <c r="AH1320" s="169"/>
      <c r="AI1320" s="168"/>
      <c r="AJ1320" s="167"/>
      <c r="AK1320" s="168"/>
      <c r="AL1320" s="169"/>
      <c r="AM1320" s="509"/>
      <c r="AN1320" s="510"/>
      <c r="AO1320" s="510"/>
    </row>
    <row r="1321" spans="1:41">
      <c r="A1321" s="177"/>
      <c r="B1321" s="169"/>
      <c r="C1321" s="169"/>
      <c r="D1321" s="169"/>
      <c r="E1321" s="169"/>
      <c r="F1321" s="169"/>
      <c r="G1321" s="169"/>
      <c r="H1321" s="169"/>
      <c r="I1321" s="169"/>
      <c r="J1321" s="169"/>
      <c r="K1321" s="169"/>
      <c r="L1321" s="169"/>
      <c r="M1321" s="169"/>
      <c r="N1321" s="177"/>
      <c r="O1321" s="169"/>
      <c r="P1321" s="169"/>
      <c r="Q1321" s="169"/>
      <c r="R1321" s="169"/>
      <c r="S1321" s="169"/>
      <c r="T1321" s="169"/>
      <c r="U1321" s="169"/>
      <c r="V1321" s="169"/>
      <c r="W1321" s="169"/>
      <c r="X1321" s="169"/>
      <c r="Y1321" s="169"/>
      <c r="Z1321" s="178"/>
      <c r="AA1321" s="167"/>
      <c r="AB1321" s="169"/>
      <c r="AC1321" s="169"/>
      <c r="AD1321" s="169"/>
      <c r="AE1321" s="169"/>
      <c r="AF1321" s="169"/>
      <c r="AG1321" s="179"/>
      <c r="AH1321" s="169"/>
      <c r="AI1321" s="168"/>
      <c r="AJ1321" s="167"/>
      <c r="AK1321" s="168"/>
      <c r="AL1321" s="169"/>
      <c r="AM1321" s="509"/>
      <c r="AN1321" s="510"/>
      <c r="AO1321" s="510"/>
    </row>
    <row r="1322" spans="1:41">
      <c r="A1322" s="177"/>
      <c r="B1322" s="169"/>
      <c r="C1322" s="169"/>
      <c r="D1322" s="169"/>
      <c r="E1322" s="169"/>
      <c r="F1322" s="169"/>
      <c r="G1322" s="169"/>
      <c r="H1322" s="169"/>
      <c r="I1322" s="169"/>
      <c r="J1322" s="169"/>
      <c r="K1322" s="169"/>
      <c r="L1322" s="169"/>
      <c r="M1322" s="169"/>
      <c r="N1322" s="177"/>
      <c r="O1322" s="169"/>
      <c r="P1322" s="169"/>
      <c r="Q1322" s="169"/>
      <c r="R1322" s="169"/>
      <c r="S1322" s="169"/>
      <c r="T1322" s="169"/>
      <c r="U1322" s="169"/>
      <c r="V1322" s="169"/>
      <c r="W1322" s="169"/>
      <c r="X1322" s="169"/>
      <c r="Y1322" s="169"/>
      <c r="Z1322" s="178"/>
      <c r="AA1322" s="167"/>
      <c r="AB1322" s="169"/>
      <c r="AC1322" s="169"/>
      <c r="AD1322" s="169"/>
      <c r="AE1322" s="169"/>
      <c r="AF1322" s="169"/>
      <c r="AG1322" s="179"/>
      <c r="AH1322" s="169"/>
      <c r="AI1322" s="168"/>
      <c r="AJ1322" s="167"/>
      <c r="AK1322" s="168"/>
      <c r="AL1322" s="169"/>
      <c r="AM1322" s="509"/>
      <c r="AN1322" s="510"/>
      <c r="AO1322" s="510"/>
    </row>
    <row r="1323" spans="1:41">
      <c r="A1323" s="177"/>
      <c r="B1323" s="169"/>
      <c r="C1323" s="169"/>
      <c r="D1323" s="169"/>
      <c r="E1323" s="169"/>
      <c r="F1323" s="169"/>
      <c r="G1323" s="169"/>
      <c r="H1323" s="169"/>
      <c r="I1323" s="169"/>
      <c r="J1323" s="169"/>
      <c r="K1323" s="169"/>
      <c r="L1323" s="169"/>
      <c r="M1323" s="169"/>
      <c r="N1323" s="177"/>
      <c r="O1323" s="169"/>
      <c r="P1323" s="169"/>
      <c r="Q1323" s="169"/>
      <c r="R1323" s="169"/>
      <c r="S1323" s="169"/>
      <c r="T1323" s="169"/>
      <c r="U1323" s="169"/>
      <c r="V1323" s="169"/>
      <c r="W1323" s="169"/>
      <c r="X1323" s="169"/>
      <c r="Y1323" s="169"/>
      <c r="Z1323" s="178"/>
      <c r="AA1323" s="167"/>
      <c r="AB1323" s="169"/>
      <c r="AC1323" s="169"/>
      <c r="AD1323" s="169"/>
      <c r="AE1323" s="169"/>
      <c r="AF1323" s="169"/>
      <c r="AG1323" s="179"/>
      <c r="AH1323" s="169"/>
      <c r="AI1323" s="168"/>
      <c r="AJ1323" s="167"/>
      <c r="AK1323" s="168"/>
      <c r="AL1323" s="169"/>
      <c r="AM1323" s="509"/>
      <c r="AN1323" s="510"/>
      <c r="AO1323" s="510"/>
    </row>
    <row r="1324" spans="1:41">
      <c r="A1324" s="177"/>
      <c r="B1324" s="169"/>
      <c r="C1324" s="169"/>
      <c r="D1324" s="169"/>
      <c r="E1324" s="169"/>
      <c r="F1324" s="169"/>
      <c r="G1324" s="169"/>
      <c r="H1324" s="169"/>
      <c r="I1324" s="169"/>
      <c r="J1324" s="169"/>
      <c r="K1324" s="169"/>
      <c r="L1324" s="169"/>
      <c r="M1324" s="169"/>
      <c r="N1324" s="177"/>
      <c r="O1324" s="169"/>
      <c r="P1324" s="169"/>
      <c r="Q1324" s="169"/>
      <c r="R1324" s="169"/>
      <c r="S1324" s="169"/>
      <c r="T1324" s="169"/>
      <c r="U1324" s="169"/>
      <c r="V1324" s="169"/>
      <c r="W1324" s="169"/>
      <c r="X1324" s="169"/>
      <c r="Y1324" s="169"/>
      <c r="Z1324" s="178"/>
      <c r="AA1324" s="167"/>
      <c r="AB1324" s="169"/>
      <c r="AC1324" s="169"/>
      <c r="AD1324" s="169"/>
      <c r="AE1324" s="169"/>
      <c r="AF1324" s="169"/>
      <c r="AG1324" s="179"/>
      <c r="AH1324" s="169"/>
      <c r="AI1324" s="168"/>
      <c r="AJ1324" s="167"/>
      <c r="AK1324" s="168"/>
      <c r="AL1324" s="169"/>
      <c r="AM1324" s="509"/>
      <c r="AN1324" s="510"/>
      <c r="AO1324" s="510"/>
    </row>
    <row r="1325" spans="1:41">
      <c r="A1325" s="177"/>
      <c r="B1325" s="169"/>
      <c r="C1325" s="169"/>
      <c r="D1325" s="169"/>
      <c r="E1325" s="169"/>
      <c r="F1325" s="169"/>
      <c r="G1325" s="169"/>
      <c r="H1325" s="169"/>
      <c r="I1325" s="169"/>
      <c r="J1325" s="169"/>
      <c r="K1325" s="169"/>
      <c r="L1325" s="169"/>
      <c r="M1325" s="169"/>
      <c r="N1325" s="177"/>
      <c r="O1325" s="169"/>
      <c r="P1325" s="169"/>
      <c r="Q1325" s="169"/>
      <c r="R1325" s="169"/>
      <c r="S1325" s="169"/>
      <c r="T1325" s="169"/>
      <c r="U1325" s="169"/>
      <c r="V1325" s="169"/>
      <c r="W1325" s="169"/>
      <c r="X1325" s="169"/>
      <c r="Y1325" s="169"/>
      <c r="Z1325" s="178"/>
      <c r="AA1325" s="167"/>
      <c r="AB1325" s="169"/>
      <c r="AC1325" s="169"/>
      <c r="AD1325" s="169"/>
      <c r="AE1325" s="169"/>
      <c r="AF1325" s="169"/>
      <c r="AG1325" s="179"/>
      <c r="AH1325" s="169"/>
      <c r="AI1325" s="168"/>
      <c r="AJ1325" s="167"/>
      <c r="AK1325" s="168"/>
      <c r="AL1325" s="169"/>
      <c r="AM1325" s="509"/>
      <c r="AN1325" s="510"/>
      <c r="AO1325" s="510"/>
    </row>
    <row r="1326" spans="1:41">
      <c r="A1326" s="177"/>
      <c r="B1326" s="169"/>
      <c r="C1326" s="169"/>
      <c r="D1326" s="169"/>
      <c r="E1326" s="169"/>
      <c r="F1326" s="169"/>
      <c r="G1326" s="169"/>
      <c r="H1326" s="169"/>
      <c r="I1326" s="169"/>
      <c r="J1326" s="169"/>
      <c r="K1326" s="169"/>
      <c r="L1326" s="169"/>
      <c r="M1326" s="169"/>
      <c r="N1326" s="177"/>
      <c r="O1326" s="169"/>
      <c r="P1326" s="169"/>
      <c r="Q1326" s="169"/>
      <c r="R1326" s="169"/>
      <c r="S1326" s="169"/>
      <c r="T1326" s="169"/>
      <c r="U1326" s="169"/>
      <c r="V1326" s="169"/>
      <c r="W1326" s="169"/>
      <c r="X1326" s="169"/>
      <c r="Y1326" s="169"/>
      <c r="Z1326" s="178"/>
      <c r="AA1326" s="167"/>
      <c r="AB1326" s="169"/>
      <c r="AC1326" s="169"/>
      <c r="AD1326" s="169"/>
      <c r="AE1326" s="169"/>
      <c r="AF1326" s="169"/>
      <c r="AG1326" s="179"/>
      <c r="AH1326" s="169"/>
      <c r="AI1326" s="168"/>
      <c r="AJ1326" s="167"/>
      <c r="AK1326" s="168"/>
      <c r="AL1326" s="169"/>
      <c r="AM1326" s="509"/>
      <c r="AN1326" s="510"/>
      <c r="AO1326" s="510"/>
    </row>
    <row r="1327" spans="1:41">
      <c r="A1327" s="177"/>
      <c r="B1327" s="169"/>
      <c r="C1327" s="169"/>
      <c r="D1327" s="169"/>
      <c r="E1327" s="169"/>
      <c r="F1327" s="169"/>
      <c r="G1327" s="169"/>
      <c r="H1327" s="169"/>
      <c r="I1327" s="169"/>
      <c r="J1327" s="169"/>
      <c r="K1327" s="169"/>
      <c r="L1327" s="169"/>
      <c r="M1327" s="169"/>
      <c r="N1327" s="177"/>
      <c r="O1327" s="169"/>
      <c r="P1327" s="169"/>
      <c r="Q1327" s="169"/>
      <c r="R1327" s="169"/>
      <c r="S1327" s="169"/>
      <c r="T1327" s="169"/>
      <c r="U1327" s="169"/>
      <c r="V1327" s="169"/>
      <c r="W1327" s="169"/>
      <c r="X1327" s="169"/>
      <c r="Y1327" s="169"/>
      <c r="Z1327" s="178"/>
      <c r="AA1327" s="167"/>
      <c r="AB1327" s="169"/>
      <c r="AC1327" s="169"/>
      <c r="AD1327" s="169"/>
      <c r="AE1327" s="169"/>
      <c r="AF1327" s="169"/>
      <c r="AG1327" s="179"/>
      <c r="AH1327" s="169"/>
      <c r="AI1327" s="168"/>
      <c r="AJ1327" s="167"/>
      <c r="AK1327" s="168"/>
      <c r="AL1327" s="169"/>
      <c r="AM1327" s="509"/>
      <c r="AN1327" s="510"/>
      <c r="AO1327" s="510"/>
    </row>
    <row r="1328" spans="1:41">
      <c r="A1328" s="177"/>
      <c r="B1328" s="169"/>
      <c r="C1328" s="169"/>
      <c r="D1328" s="169"/>
      <c r="E1328" s="169"/>
      <c r="F1328" s="169"/>
      <c r="G1328" s="169"/>
      <c r="H1328" s="169"/>
      <c r="I1328" s="169"/>
      <c r="J1328" s="169"/>
      <c r="K1328" s="169"/>
      <c r="L1328" s="169"/>
      <c r="M1328" s="169"/>
      <c r="N1328" s="177"/>
      <c r="O1328" s="169"/>
      <c r="P1328" s="169"/>
      <c r="Q1328" s="169"/>
      <c r="R1328" s="169"/>
      <c r="S1328" s="169"/>
      <c r="T1328" s="169"/>
      <c r="U1328" s="169"/>
      <c r="V1328" s="169"/>
      <c r="W1328" s="169"/>
      <c r="X1328" s="169"/>
      <c r="Y1328" s="169"/>
      <c r="Z1328" s="178"/>
      <c r="AA1328" s="167"/>
      <c r="AB1328" s="169"/>
      <c r="AC1328" s="169"/>
      <c r="AD1328" s="169"/>
      <c r="AE1328" s="169"/>
      <c r="AF1328" s="169"/>
      <c r="AG1328" s="179"/>
      <c r="AH1328" s="169"/>
      <c r="AI1328" s="168"/>
      <c r="AJ1328" s="167"/>
      <c r="AK1328" s="168"/>
      <c r="AL1328" s="169"/>
      <c r="AM1328" s="509"/>
      <c r="AN1328" s="510"/>
      <c r="AO1328" s="510"/>
    </row>
    <row r="1329" spans="1:41">
      <c r="A1329" s="177"/>
      <c r="B1329" s="169"/>
      <c r="C1329" s="169"/>
      <c r="D1329" s="169"/>
      <c r="E1329" s="169"/>
      <c r="F1329" s="169"/>
      <c r="G1329" s="169"/>
      <c r="H1329" s="169"/>
      <c r="I1329" s="169"/>
      <c r="J1329" s="169"/>
      <c r="K1329" s="169"/>
      <c r="L1329" s="169"/>
      <c r="M1329" s="169"/>
      <c r="N1329" s="177"/>
      <c r="O1329" s="169"/>
      <c r="P1329" s="169"/>
      <c r="Q1329" s="169"/>
      <c r="R1329" s="169"/>
      <c r="S1329" s="169"/>
      <c r="T1329" s="169"/>
      <c r="U1329" s="169"/>
      <c r="V1329" s="169"/>
      <c r="W1329" s="169"/>
      <c r="X1329" s="169"/>
      <c r="Y1329" s="169"/>
      <c r="Z1329" s="178"/>
      <c r="AA1329" s="167"/>
      <c r="AB1329" s="169"/>
      <c r="AC1329" s="169"/>
      <c r="AD1329" s="169"/>
      <c r="AE1329" s="169"/>
      <c r="AF1329" s="169"/>
      <c r="AG1329" s="179"/>
      <c r="AH1329" s="169"/>
      <c r="AI1329" s="168"/>
      <c r="AJ1329" s="167"/>
      <c r="AK1329" s="168"/>
      <c r="AL1329" s="169"/>
      <c r="AM1329" s="509"/>
      <c r="AN1329" s="510"/>
      <c r="AO1329" s="510"/>
    </row>
    <row r="1330" spans="1:41">
      <c r="A1330" s="177"/>
      <c r="B1330" s="169"/>
      <c r="C1330" s="169"/>
      <c r="D1330" s="169"/>
      <c r="E1330" s="169"/>
      <c r="F1330" s="169"/>
      <c r="G1330" s="169"/>
      <c r="H1330" s="169"/>
      <c r="I1330" s="169"/>
      <c r="J1330" s="169"/>
      <c r="K1330" s="169"/>
      <c r="L1330" s="169"/>
      <c r="M1330" s="169"/>
      <c r="N1330" s="177"/>
      <c r="O1330" s="169"/>
      <c r="P1330" s="169"/>
      <c r="Q1330" s="169"/>
      <c r="R1330" s="169"/>
      <c r="S1330" s="169"/>
      <c r="T1330" s="169"/>
      <c r="U1330" s="169"/>
      <c r="V1330" s="169"/>
      <c r="W1330" s="169"/>
      <c r="X1330" s="169"/>
      <c r="Y1330" s="169"/>
      <c r="Z1330" s="178"/>
      <c r="AA1330" s="167"/>
      <c r="AB1330" s="169"/>
      <c r="AC1330" s="169"/>
      <c r="AD1330" s="169"/>
      <c r="AE1330" s="169"/>
      <c r="AF1330" s="169"/>
      <c r="AG1330" s="179"/>
      <c r="AH1330" s="169"/>
      <c r="AI1330" s="168"/>
      <c r="AJ1330" s="167"/>
      <c r="AK1330" s="168"/>
      <c r="AL1330" s="169"/>
      <c r="AM1330" s="509"/>
      <c r="AN1330" s="510"/>
      <c r="AO1330" s="510"/>
    </row>
    <row r="1331" spans="1:41">
      <c r="A1331" s="177"/>
      <c r="B1331" s="169"/>
      <c r="C1331" s="169"/>
      <c r="D1331" s="169"/>
      <c r="E1331" s="169"/>
      <c r="F1331" s="169"/>
      <c r="G1331" s="169"/>
      <c r="H1331" s="169"/>
      <c r="I1331" s="169"/>
      <c r="J1331" s="169"/>
      <c r="K1331" s="169"/>
      <c r="L1331" s="169"/>
      <c r="M1331" s="169"/>
      <c r="N1331" s="177"/>
      <c r="O1331" s="169"/>
      <c r="P1331" s="169"/>
      <c r="Q1331" s="169"/>
      <c r="R1331" s="169"/>
      <c r="S1331" s="169"/>
      <c r="T1331" s="169"/>
      <c r="U1331" s="169"/>
      <c r="V1331" s="169"/>
      <c r="W1331" s="169"/>
      <c r="X1331" s="169"/>
      <c r="Y1331" s="169"/>
      <c r="Z1331" s="178"/>
      <c r="AA1331" s="167"/>
      <c r="AB1331" s="169"/>
      <c r="AC1331" s="169"/>
      <c r="AD1331" s="169"/>
      <c r="AE1331" s="169"/>
      <c r="AF1331" s="169"/>
      <c r="AG1331" s="179"/>
      <c r="AH1331" s="169"/>
      <c r="AI1331" s="168"/>
      <c r="AJ1331" s="167"/>
      <c r="AK1331" s="168"/>
      <c r="AL1331" s="169"/>
      <c r="AM1331" s="509"/>
      <c r="AN1331" s="510"/>
      <c r="AO1331" s="510"/>
    </row>
    <row r="1332" spans="1:41">
      <c r="A1332" s="177"/>
      <c r="B1332" s="169"/>
      <c r="C1332" s="169"/>
      <c r="D1332" s="169"/>
      <c r="E1332" s="169"/>
      <c r="F1332" s="169"/>
      <c r="G1332" s="169"/>
      <c r="H1332" s="169"/>
      <c r="I1332" s="169"/>
      <c r="J1332" s="169"/>
      <c r="K1332" s="169"/>
      <c r="L1332" s="169"/>
      <c r="M1332" s="169"/>
      <c r="N1332" s="177"/>
      <c r="O1332" s="169"/>
      <c r="P1332" s="169"/>
      <c r="Q1332" s="169"/>
      <c r="R1332" s="169"/>
      <c r="S1332" s="169"/>
      <c r="T1332" s="169"/>
      <c r="U1332" s="169"/>
      <c r="V1332" s="169"/>
      <c r="W1332" s="169"/>
      <c r="X1332" s="169"/>
      <c r="Y1332" s="169"/>
      <c r="Z1332" s="178"/>
      <c r="AA1332" s="167"/>
      <c r="AB1332" s="169"/>
      <c r="AC1332" s="169"/>
      <c r="AD1332" s="169"/>
      <c r="AE1332" s="169"/>
      <c r="AF1332" s="169"/>
      <c r="AG1332" s="179"/>
      <c r="AH1332" s="169"/>
      <c r="AI1332" s="168"/>
      <c r="AJ1332" s="167"/>
      <c r="AK1332" s="168"/>
      <c r="AL1332" s="169"/>
      <c r="AM1332" s="509"/>
      <c r="AN1332" s="510"/>
      <c r="AO1332" s="510"/>
    </row>
    <row r="1333" spans="1:41">
      <c r="A1333" s="177"/>
      <c r="B1333" s="169"/>
      <c r="C1333" s="169"/>
      <c r="D1333" s="169"/>
      <c r="E1333" s="169"/>
      <c r="F1333" s="169"/>
      <c r="G1333" s="169"/>
      <c r="H1333" s="169"/>
      <c r="I1333" s="169"/>
      <c r="J1333" s="169"/>
      <c r="K1333" s="169"/>
      <c r="L1333" s="169"/>
      <c r="M1333" s="169"/>
      <c r="N1333" s="177"/>
      <c r="O1333" s="169"/>
      <c r="P1333" s="169"/>
      <c r="Q1333" s="169"/>
      <c r="R1333" s="169"/>
      <c r="S1333" s="169"/>
      <c r="T1333" s="169"/>
      <c r="U1333" s="169"/>
      <c r="V1333" s="169"/>
      <c r="W1333" s="169"/>
      <c r="X1333" s="169"/>
      <c r="Y1333" s="169"/>
      <c r="Z1333" s="178"/>
      <c r="AA1333" s="167"/>
      <c r="AB1333" s="169"/>
      <c r="AC1333" s="169"/>
      <c r="AD1333" s="169"/>
      <c r="AE1333" s="169"/>
      <c r="AF1333" s="169"/>
      <c r="AG1333" s="179"/>
      <c r="AH1333" s="169"/>
      <c r="AI1333" s="168"/>
      <c r="AJ1333" s="167"/>
      <c r="AK1333" s="168"/>
      <c r="AL1333" s="169"/>
      <c r="AM1333" s="509"/>
      <c r="AN1333" s="510"/>
      <c r="AO1333" s="510"/>
    </row>
    <row r="1334" spans="1:41">
      <c r="A1334" s="177"/>
      <c r="B1334" s="169"/>
      <c r="C1334" s="169"/>
      <c r="D1334" s="169"/>
      <c r="E1334" s="169"/>
      <c r="F1334" s="169"/>
      <c r="G1334" s="169"/>
      <c r="H1334" s="169"/>
      <c r="I1334" s="169"/>
      <c r="J1334" s="169"/>
      <c r="K1334" s="169"/>
      <c r="L1334" s="169"/>
      <c r="M1334" s="169"/>
      <c r="N1334" s="177"/>
      <c r="O1334" s="169"/>
      <c r="P1334" s="169"/>
      <c r="Q1334" s="169"/>
      <c r="R1334" s="169"/>
      <c r="S1334" s="169"/>
      <c r="T1334" s="169"/>
      <c r="U1334" s="169"/>
      <c r="V1334" s="169"/>
      <c r="W1334" s="169"/>
      <c r="X1334" s="169"/>
      <c r="Y1334" s="169"/>
      <c r="Z1334" s="178"/>
      <c r="AA1334" s="167"/>
      <c r="AB1334" s="169"/>
      <c r="AC1334" s="169"/>
      <c r="AD1334" s="169"/>
      <c r="AE1334" s="169"/>
      <c r="AF1334" s="169"/>
      <c r="AG1334" s="179"/>
      <c r="AH1334" s="169"/>
      <c r="AI1334" s="168"/>
      <c r="AJ1334" s="167"/>
      <c r="AK1334" s="168"/>
      <c r="AL1334" s="169"/>
      <c r="AM1334" s="509"/>
      <c r="AN1334" s="510"/>
      <c r="AO1334" s="510"/>
    </row>
    <row r="1335" spans="1:41">
      <c r="A1335" s="177"/>
      <c r="B1335" s="169"/>
      <c r="C1335" s="169"/>
      <c r="D1335" s="169"/>
      <c r="E1335" s="169"/>
      <c r="F1335" s="169"/>
      <c r="G1335" s="169"/>
      <c r="H1335" s="169"/>
      <c r="I1335" s="169"/>
      <c r="J1335" s="169"/>
      <c r="K1335" s="169"/>
      <c r="L1335" s="169"/>
      <c r="M1335" s="169"/>
      <c r="N1335" s="177"/>
      <c r="O1335" s="169"/>
      <c r="P1335" s="169"/>
      <c r="Q1335" s="169"/>
      <c r="R1335" s="169"/>
      <c r="S1335" s="169"/>
      <c r="T1335" s="169"/>
      <c r="U1335" s="169"/>
      <c r="V1335" s="169"/>
      <c r="W1335" s="169"/>
      <c r="X1335" s="169"/>
      <c r="Y1335" s="169"/>
      <c r="Z1335" s="178"/>
      <c r="AA1335" s="167"/>
      <c r="AB1335" s="169"/>
      <c r="AC1335" s="169"/>
      <c r="AD1335" s="169"/>
      <c r="AE1335" s="169"/>
      <c r="AF1335" s="169"/>
      <c r="AG1335" s="179"/>
      <c r="AH1335" s="169"/>
      <c r="AI1335" s="168"/>
      <c r="AJ1335" s="167"/>
      <c r="AK1335" s="168"/>
      <c r="AL1335" s="169"/>
      <c r="AM1335" s="509"/>
      <c r="AN1335" s="510"/>
      <c r="AO1335" s="510"/>
    </row>
    <row r="1336" spans="1:41">
      <c r="A1336" s="177"/>
      <c r="B1336" s="169"/>
      <c r="C1336" s="169"/>
      <c r="D1336" s="169"/>
      <c r="E1336" s="169"/>
      <c r="F1336" s="169"/>
      <c r="G1336" s="169"/>
      <c r="H1336" s="169"/>
      <c r="I1336" s="169"/>
      <c r="J1336" s="169"/>
      <c r="K1336" s="169"/>
      <c r="L1336" s="169"/>
      <c r="M1336" s="169"/>
      <c r="N1336" s="177"/>
      <c r="O1336" s="169"/>
      <c r="P1336" s="169"/>
      <c r="Q1336" s="169"/>
      <c r="R1336" s="169"/>
      <c r="S1336" s="169"/>
      <c r="T1336" s="169"/>
      <c r="U1336" s="169"/>
      <c r="V1336" s="169"/>
      <c r="W1336" s="169"/>
      <c r="X1336" s="169"/>
      <c r="Y1336" s="169"/>
      <c r="Z1336" s="178"/>
      <c r="AA1336" s="167"/>
      <c r="AB1336" s="169"/>
      <c r="AC1336" s="169"/>
      <c r="AD1336" s="169"/>
      <c r="AE1336" s="169"/>
      <c r="AF1336" s="169"/>
      <c r="AG1336" s="179"/>
      <c r="AH1336" s="169"/>
      <c r="AI1336" s="168"/>
      <c r="AJ1336" s="167"/>
      <c r="AK1336" s="168"/>
      <c r="AL1336" s="169"/>
      <c r="AM1336" s="509"/>
      <c r="AN1336" s="510"/>
      <c r="AO1336" s="510"/>
    </row>
    <row r="1337" spans="1:41">
      <c r="A1337" s="177"/>
      <c r="B1337" s="169"/>
      <c r="C1337" s="169"/>
      <c r="D1337" s="169"/>
      <c r="E1337" s="169"/>
      <c r="F1337" s="169"/>
      <c r="G1337" s="169"/>
      <c r="H1337" s="169"/>
      <c r="I1337" s="169"/>
      <c r="J1337" s="169"/>
      <c r="K1337" s="169"/>
      <c r="L1337" s="169"/>
      <c r="M1337" s="169"/>
      <c r="N1337" s="177"/>
      <c r="O1337" s="169"/>
      <c r="P1337" s="169"/>
      <c r="Q1337" s="169"/>
      <c r="R1337" s="169"/>
      <c r="S1337" s="169"/>
      <c r="T1337" s="169"/>
      <c r="U1337" s="169"/>
      <c r="V1337" s="169"/>
      <c r="W1337" s="169"/>
      <c r="X1337" s="169"/>
      <c r="Y1337" s="169"/>
      <c r="Z1337" s="178"/>
      <c r="AA1337" s="167"/>
      <c r="AB1337" s="169"/>
      <c r="AC1337" s="169"/>
      <c r="AD1337" s="169"/>
      <c r="AE1337" s="169"/>
      <c r="AF1337" s="169"/>
      <c r="AG1337" s="179"/>
      <c r="AH1337" s="169"/>
      <c r="AI1337" s="168"/>
      <c r="AJ1337" s="167"/>
      <c r="AK1337" s="168"/>
      <c r="AL1337" s="169"/>
      <c r="AM1337" s="509"/>
      <c r="AN1337" s="510"/>
      <c r="AO1337" s="510"/>
    </row>
    <row r="1338" spans="1:41">
      <c r="A1338" s="177"/>
      <c r="B1338" s="169"/>
      <c r="C1338" s="169"/>
      <c r="D1338" s="169"/>
      <c r="E1338" s="169"/>
      <c r="F1338" s="169"/>
      <c r="G1338" s="169"/>
      <c r="H1338" s="169"/>
      <c r="I1338" s="169"/>
      <c r="J1338" s="169"/>
      <c r="K1338" s="169"/>
      <c r="L1338" s="169"/>
      <c r="M1338" s="169"/>
      <c r="N1338" s="177"/>
      <c r="O1338" s="169"/>
      <c r="P1338" s="169"/>
      <c r="Q1338" s="169"/>
      <c r="R1338" s="169"/>
      <c r="S1338" s="169"/>
      <c r="T1338" s="169"/>
      <c r="U1338" s="169"/>
      <c r="V1338" s="169"/>
      <c r="W1338" s="169"/>
      <c r="X1338" s="169"/>
      <c r="Y1338" s="169"/>
      <c r="Z1338" s="178"/>
      <c r="AA1338" s="167"/>
      <c r="AB1338" s="169"/>
      <c r="AC1338" s="169"/>
      <c r="AD1338" s="169"/>
      <c r="AE1338" s="169"/>
      <c r="AF1338" s="169"/>
      <c r="AG1338" s="179"/>
      <c r="AH1338" s="169"/>
      <c r="AI1338" s="168"/>
      <c r="AJ1338" s="167"/>
      <c r="AK1338" s="168"/>
      <c r="AL1338" s="169"/>
      <c r="AM1338" s="509"/>
      <c r="AN1338" s="510"/>
      <c r="AO1338" s="510"/>
    </row>
    <row r="1339" spans="1:41">
      <c r="A1339" s="177"/>
      <c r="B1339" s="169"/>
      <c r="C1339" s="169"/>
      <c r="D1339" s="169"/>
      <c r="E1339" s="169"/>
      <c r="F1339" s="169"/>
      <c r="G1339" s="169"/>
      <c r="H1339" s="169"/>
      <c r="I1339" s="169"/>
      <c r="J1339" s="169"/>
      <c r="K1339" s="169"/>
      <c r="L1339" s="169"/>
      <c r="M1339" s="169"/>
      <c r="N1339" s="177"/>
      <c r="O1339" s="169"/>
      <c r="P1339" s="169"/>
      <c r="Q1339" s="169"/>
      <c r="R1339" s="169"/>
      <c r="S1339" s="169"/>
      <c r="T1339" s="169"/>
      <c r="U1339" s="169"/>
      <c r="V1339" s="169"/>
      <c r="W1339" s="169"/>
      <c r="X1339" s="169"/>
      <c r="Y1339" s="169"/>
      <c r="Z1339" s="178"/>
      <c r="AA1339" s="167"/>
      <c r="AB1339" s="169"/>
      <c r="AC1339" s="169"/>
      <c r="AD1339" s="169"/>
      <c r="AE1339" s="169"/>
      <c r="AF1339" s="169"/>
      <c r="AG1339" s="179"/>
      <c r="AH1339" s="169"/>
      <c r="AI1339" s="168"/>
      <c r="AJ1339" s="167"/>
      <c r="AK1339" s="168"/>
      <c r="AL1339" s="169"/>
      <c r="AM1339" s="509"/>
      <c r="AN1339" s="510"/>
      <c r="AO1339" s="510"/>
    </row>
    <row r="1340" spans="1:41">
      <c r="A1340" s="177"/>
      <c r="B1340" s="169"/>
      <c r="C1340" s="169"/>
      <c r="D1340" s="169"/>
      <c r="E1340" s="169"/>
      <c r="F1340" s="169"/>
      <c r="G1340" s="169"/>
      <c r="H1340" s="169"/>
      <c r="I1340" s="169"/>
      <c r="J1340" s="169"/>
      <c r="K1340" s="169"/>
      <c r="L1340" s="169"/>
      <c r="M1340" s="169"/>
      <c r="N1340" s="177"/>
      <c r="O1340" s="169"/>
      <c r="P1340" s="169"/>
      <c r="Q1340" s="169"/>
      <c r="R1340" s="169"/>
      <c r="S1340" s="169"/>
      <c r="T1340" s="169"/>
      <c r="U1340" s="169"/>
      <c r="V1340" s="169"/>
      <c r="W1340" s="169"/>
      <c r="X1340" s="169"/>
      <c r="Y1340" s="169"/>
      <c r="Z1340" s="178"/>
      <c r="AA1340" s="167"/>
      <c r="AB1340" s="169"/>
      <c r="AC1340" s="169"/>
      <c r="AD1340" s="169"/>
      <c r="AE1340" s="169"/>
      <c r="AF1340" s="169"/>
      <c r="AG1340" s="179"/>
      <c r="AH1340" s="169"/>
      <c r="AI1340" s="168"/>
      <c r="AJ1340" s="167"/>
      <c r="AK1340" s="168"/>
      <c r="AL1340" s="169"/>
      <c r="AM1340" s="509"/>
      <c r="AN1340" s="510"/>
      <c r="AO1340" s="510"/>
    </row>
    <row r="1341" spans="1:41">
      <c r="A1341" s="177"/>
      <c r="B1341" s="169"/>
      <c r="C1341" s="169"/>
      <c r="D1341" s="169"/>
      <c r="E1341" s="169"/>
      <c r="F1341" s="169"/>
      <c r="G1341" s="169"/>
      <c r="H1341" s="169"/>
      <c r="I1341" s="169"/>
      <c r="J1341" s="169"/>
      <c r="K1341" s="169"/>
      <c r="L1341" s="169"/>
      <c r="M1341" s="169"/>
      <c r="N1341" s="177"/>
      <c r="O1341" s="169"/>
      <c r="P1341" s="169"/>
      <c r="Q1341" s="169"/>
      <c r="R1341" s="169"/>
      <c r="S1341" s="169"/>
      <c r="T1341" s="169"/>
      <c r="U1341" s="169"/>
      <c r="V1341" s="169"/>
      <c r="W1341" s="169"/>
      <c r="X1341" s="169"/>
      <c r="Y1341" s="169"/>
      <c r="Z1341" s="178"/>
      <c r="AA1341" s="167"/>
      <c r="AB1341" s="169"/>
      <c r="AC1341" s="169"/>
      <c r="AD1341" s="169"/>
      <c r="AE1341" s="169"/>
      <c r="AF1341" s="169"/>
      <c r="AG1341" s="179"/>
      <c r="AH1341" s="169"/>
      <c r="AI1341" s="168"/>
      <c r="AJ1341" s="167"/>
      <c r="AK1341" s="168"/>
      <c r="AL1341" s="169"/>
      <c r="AM1341" s="509"/>
      <c r="AN1341" s="510"/>
      <c r="AO1341" s="510"/>
    </row>
    <row r="1342" spans="1:41">
      <c r="A1342" s="177"/>
      <c r="B1342" s="169"/>
      <c r="C1342" s="169"/>
      <c r="D1342" s="169"/>
      <c r="E1342" s="169"/>
      <c r="F1342" s="169"/>
      <c r="G1342" s="169"/>
      <c r="H1342" s="169"/>
      <c r="I1342" s="169"/>
      <c r="J1342" s="169"/>
      <c r="K1342" s="169"/>
      <c r="L1342" s="169"/>
      <c r="M1342" s="169"/>
      <c r="N1342" s="177"/>
      <c r="O1342" s="169"/>
      <c r="P1342" s="169"/>
      <c r="Q1342" s="169"/>
      <c r="R1342" s="169"/>
      <c r="S1342" s="169"/>
      <c r="T1342" s="169"/>
      <c r="U1342" s="169"/>
      <c r="V1342" s="169"/>
      <c r="W1342" s="169"/>
      <c r="X1342" s="169"/>
      <c r="Y1342" s="169"/>
      <c r="Z1342" s="178"/>
      <c r="AA1342" s="167"/>
      <c r="AB1342" s="169"/>
      <c r="AC1342" s="169"/>
      <c r="AD1342" s="169"/>
      <c r="AE1342" s="169"/>
      <c r="AF1342" s="169"/>
      <c r="AG1342" s="179"/>
      <c r="AH1342" s="169"/>
      <c r="AI1342" s="168"/>
      <c r="AJ1342" s="167"/>
      <c r="AK1342" s="168"/>
      <c r="AL1342" s="169"/>
      <c r="AM1342" s="509"/>
      <c r="AN1342" s="510"/>
      <c r="AO1342" s="510"/>
    </row>
    <row r="1343" spans="1:41">
      <c r="A1343" s="177"/>
      <c r="B1343" s="169"/>
      <c r="C1343" s="169"/>
      <c r="D1343" s="169"/>
      <c r="E1343" s="169"/>
      <c r="F1343" s="169"/>
      <c r="G1343" s="169"/>
      <c r="H1343" s="169"/>
      <c r="I1343" s="169"/>
      <c r="J1343" s="169"/>
      <c r="K1343" s="169"/>
      <c r="L1343" s="169"/>
      <c r="M1343" s="169"/>
      <c r="N1343" s="177"/>
      <c r="O1343" s="169"/>
      <c r="P1343" s="169"/>
      <c r="Q1343" s="169"/>
      <c r="R1343" s="169"/>
      <c r="S1343" s="169"/>
      <c r="T1343" s="169"/>
      <c r="U1343" s="169"/>
      <c r="V1343" s="169"/>
      <c r="W1343" s="169"/>
      <c r="X1343" s="169"/>
      <c r="Y1343" s="169"/>
      <c r="Z1343" s="178"/>
      <c r="AA1343" s="167"/>
      <c r="AB1343" s="169"/>
      <c r="AC1343" s="169"/>
      <c r="AD1343" s="169"/>
      <c r="AE1343" s="169"/>
      <c r="AF1343" s="169"/>
      <c r="AG1343" s="179"/>
      <c r="AH1343" s="169"/>
      <c r="AI1343" s="168"/>
      <c r="AJ1343" s="167"/>
      <c r="AK1343" s="168"/>
      <c r="AL1343" s="169"/>
      <c r="AM1343" s="509"/>
      <c r="AN1343" s="510"/>
      <c r="AO1343" s="510"/>
    </row>
    <row r="1344" spans="1:41">
      <c r="A1344" s="177"/>
      <c r="B1344" s="169"/>
      <c r="C1344" s="169"/>
      <c r="D1344" s="169"/>
      <c r="E1344" s="169"/>
      <c r="F1344" s="169"/>
      <c r="G1344" s="169"/>
      <c r="H1344" s="169"/>
      <c r="I1344" s="169"/>
      <c r="J1344" s="169"/>
      <c r="K1344" s="169"/>
      <c r="L1344" s="169"/>
      <c r="M1344" s="169"/>
      <c r="N1344" s="177"/>
      <c r="O1344" s="169"/>
      <c r="P1344" s="169"/>
      <c r="Q1344" s="169"/>
      <c r="R1344" s="169"/>
      <c r="S1344" s="169"/>
      <c r="T1344" s="169"/>
      <c r="U1344" s="169"/>
      <c r="V1344" s="169"/>
      <c r="W1344" s="169"/>
      <c r="X1344" s="169"/>
      <c r="Y1344" s="169"/>
      <c r="Z1344" s="178"/>
      <c r="AA1344" s="167"/>
      <c r="AB1344" s="169"/>
      <c r="AC1344" s="169"/>
      <c r="AD1344" s="169"/>
      <c r="AE1344" s="169"/>
      <c r="AF1344" s="169"/>
      <c r="AG1344" s="179"/>
      <c r="AH1344" s="169"/>
      <c r="AI1344" s="168"/>
      <c r="AJ1344" s="167"/>
      <c r="AK1344" s="168"/>
      <c r="AL1344" s="169"/>
      <c r="AM1344" s="509"/>
      <c r="AN1344" s="510"/>
      <c r="AO1344" s="510"/>
    </row>
    <row r="1345" spans="1:41">
      <c r="A1345" s="177"/>
      <c r="B1345" s="169"/>
      <c r="C1345" s="169"/>
      <c r="D1345" s="169"/>
      <c r="E1345" s="169"/>
      <c r="F1345" s="169"/>
      <c r="G1345" s="169"/>
      <c r="H1345" s="169"/>
      <c r="I1345" s="169"/>
      <c r="J1345" s="169"/>
      <c r="K1345" s="169"/>
      <c r="L1345" s="169"/>
      <c r="M1345" s="169"/>
      <c r="N1345" s="177"/>
      <c r="O1345" s="169"/>
      <c r="P1345" s="169"/>
      <c r="Q1345" s="169"/>
      <c r="R1345" s="169"/>
      <c r="S1345" s="169"/>
      <c r="T1345" s="169"/>
      <c r="U1345" s="169"/>
      <c r="V1345" s="169"/>
      <c r="W1345" s="169"/>
      <c r="X1345" s="169"/>
      <c r="Y1345" s="169"/>
      <c r="Z1345" s="178"/>
      <c r="AA1345" s="167"/>
      <c r="AB1345" s="169"/>
      <c r="AC1345" s="169"/>
      <c r="AD1345" s="169"/>
      <c r="AE1345" s="169"/>
      <c r="AF1345" s="169"/>
      <c r="AG1345" s="179"/>
      <c r="AH1345" s="169"/>
      <c r="AI1345" s="168"/>
      <c r="AJ1345" s="167"/>
      <c r="AK1345" s="168"/>
      <c r="AL1345" s="169"/>
      <c r="AM1345" s="509"/>
      <c r="AN1345" s="510"/>
      <c r="AO1345" s="510"/>
    </row>
    <row r="1346" spans="1:41">
      <c r="A1346" s="177"/>
      <c r="B1346" s="169"/>
      <c r="C1346" s="169"/>
      <c r="D1346" s="169"/>
      <c r="E1346" s="169"/>
      <c r="F1346" s="169"/>
      <c r="G1346" s="169"/>
      <c r="H1346" s="169"/>
      <c r="I1346" s="169"/>
      <c r="J1346" s="169"/>
      <c r="K1346" s="169"/>
      <c r="L1346" s="169"/>
      <c r="M1346" s="169"/>
      <c r="N1346" s="177"/>
      <c r="O1346" s="169"/>
      <c r="P1346" s="169"/>
      <c r="Q1346" s="169"/>
      <c r="R1346" s="169"/>
      <c r="S1346" s="169"/>
      <c r="T1346" s="169"/>
      <c r="U1346" s="169"/>
      <c r="V1346" s="169"/>
      <c r="W1346" s="169"/>
      <c r="X1346" s="169"/>
      <c r="Y1346" s="169"/>
      <c r="Z1346" s="178"/>
      <c r="AA1346" s="167"/>
      <c r="AB1346" s="169"/>
      <c r="AC1346" s="169"/>
      <c r="AD1346" s="169"/>
      <c r="AE1346" s="169"/>
      <c r="AF1346" s="169"/>
      <c r="AG1346" s="179"/>
      <c r="AH1346" s="169"/>
      <c r="AI1346" s="168"/>
      <c r="AJ1346" s="167"/>
      <c r="AK1346" s="168"/>
      <c r="AL1346" s="169"/>
      <c r="AM1346" s="509"/>
      <c r="AN1346" s="510"/>
      <c r="AO1346" s="510"/>
    </row>
    <row r="1347" spans="1:41">
      <c r="A1347" s="177"/>
      <c r="B1347" s="169"/>
      <c r="C1347" s="169"/>
      <c r="D1347" s="169"/>
      <c r="E1347" s="169"/>
      <c r="F1347" s="169"/>
      <c r="G1347" s="169"/>
      <c r="H1347" s="169"/>
      <c r="I1347" s="169"/>
      <c r="J1347" s="169"/>
      <c r="K1347" s="169"/>
      <c r="L1347" s="169"/>
      <c r="M1347" s="169"/>
      <c r="N1347" s="177"/>
      <c r="O1347" s="169"/>
      <c r="P1347" s="169"/>
      <c r="Q1347" s="169"/>
      <c r="R1347" s="169"/>
      <c r="S1347" s="169"/>
      <c r="T1347" s="169"/>
      <c r="U1347" s="169"/>
      <c r="V1347" s="169"/>
      <c r="W1347" s="169"/>
      <c r="X1347" s="169"/>
      <c r="Y1347" s="169"/>
      <c r="Z1347" s="178"/>
      <c r="AA1347" s="167"/>
      <c r="AB1347" s="169"/>
      <c r="AC1347" s="169"/>
      <c r="AD1347" s="169"/>
      <c r="AE1347" s="169"/>
      <c r="AF1347" s="169"/>
      <c r="AG1347" s="179"/>
      <c r="AH1347" s="169"/>
      <c r="AI1347" s="168"/>
      <c r="AJ1347" s="167"/>
      <c r="AK1347" s="168"/>
      <c r="AL1347" s="169"/>
      <c r="AM1347" s="509"/>
      <c r="AN1347" s="510"/>
      <c r="AO1347" s="510"/>
    </row>
    <row r="1348" spans="1:41">
      <c r="A1348" s="177"/>
      <c r="B1348" s="169"/>
      <c r="C1348" s="169"/>
      <c r="D1348" s="169"/>
      <c r="E1348" s="169"/>
      <c r="F1348" s="169"/>
      <c r="G1348" s="169"/>
      <c r="H1348" s="169"/>
      <c r="I1348" s="169"/>
      <c r="J1348" s="169"/>
      <c r="K1348" s="169"/>
      <c r="L1348" s="169"/>
      <c r="M1348" s="169"/>
      <c r="N1348" s="177"/>
      <c r="O1348" s="169"/>
      <c r="P1348" s="169"/>
      <c r="Q1348" s="169"/>
      <c r="R1348" s="169"/>
      <c r="S1348" s="169"/>
      <c r="T1348" s="169"/>
      <c r="U1348" s="169"/>
      <c r="V1348" s="169"/>
      <c r="W1348" s="169"/>
      <c r="X1348" s="169"/>
      <c r="Y1348" s="169"/>
      <c r="Z1348" s="178"/>
      <c r="AA1348" s="167"/>
      <c r="AB1348" s="169"/>
      <c r="AC1348" s="169"/>
      <c r="AD1348" s="169"/>
      <c r="AE1348" s="169"/>
      <c r="AF1348" s="169"/>
      <c r="AG1348" s="179"/>
      <c r="AH1348" s="169"/>
      <c r="AI1348" s="168"/>
      <c r="AJ1348" s="167"/>
      <c r="AK1348" s="168"/>
      <c r="AL1348" s="169"/>
      <c r="AM1348" s="509"/>
      <c r="AN1348" s="510"/>
      <c r="AO1348" s="510"/>
    </row>
    <row r="1349" spans="1:41">
      <c r="A1349" s="177"/>
      <c r="B1349" s="169"/>
      <c r="C1349" s="169"/>
      <c r="D1349" s="169"/>
      <c r="E1349" s="169"/>
      <c r="F1349" s="169"/>
      <c r="G1349" s="169"/>
      <c r="H1349" s="169"/>
      <c r="I1349" s="169"/>
      <c r="J1349" s="169"/>
      <c r="K1349" s="169"/>
      <c r="L1349" s="169"/>
      <c r="M1349" s="169"/>
      <c r="N1349" s="177"/>
      <c r="O1349" s="169"/>
      <c r="P1349" s="169"/>
      <c r="Q1349" s="169"/>
      <c r="R1349" s="169"/>
      <c r="S1349" s="169"/>
      <c r="T1349" s="169"/>
      <c r="U1349" s="169"/>
      <c r="V1349" s="169"/>
      <c r="W1349" s="169"/>
      <c r="X1349" s="169"/>
      <c r="Y1349" s="169"/>
      <c r="Z1349" s="178"/>
      <c r="AA1349" s="167"/>
      <c r="AB1349" s="169"/>
      <c r="AC1349" s="169"/>
      <c r="AD1349" s="169"/>
      <c r="AE1349" s="169"/>
      <c r="AF1349" s="169"/>
      <c r="AG1349" s="179"/>
      <c r="AH1349" s="169"/>
      <c r="AI1349" s="168"/>
      <c r="AJ1349" s="167"/>
      <c r="AK1349" s="168"/>
      <c r="AL1349" s="169"/>
      <c r="AM1349" s="509"/>
      <c r="AN1349" s="510"/>
      <c r="AO1349" s="510"/>
    </row>
    <row r="1350" spans="1:41">
      <c r="A1350" s="177"/>
      <c r="B1350" s="169"/>
      <c r="C1350" s="169"/>
      <c r="D1350" s="169"/>
      <c r="E1350" s="169"/>
      <c r="F1350" s="169"/>
      <c r="G1350" s="169"/>
      <c r="H1350" s="169"/>
      <c r="I1350" s="169"/>
      <c r="J1350" s="169"/>
      <c r="K1350" s="169"/>
      <c r="L1350" s="169"/>
      <c r="M1350" s="169"/>
      <c r="N1350" s="177"/>
      <c r="O1350" s="169"/>
      <c r="P1350" s="169"/>
      <c r="Q1350" s="169"/>
      <c r="R1350" s="169"/>
      <c r="S1350" s="169"/>
      <c r="T1350" s="169"/>
      <c r="U1350" s="169"/>
      <c r="V1350" s="169"/>
      <c r="W1350" s="169"/>
      <c r="X1350" s="169"/>
      <c r="Y1350" s="169"/>
      <c r="Z1350" s="178"/>
      <c r="AA1350" s="167"/>
      <c r="AB1350" s="169"/>
      <c r="AC1350" s="169"/>
      <c r="AD1350" s="169"/>
      <c r="AE1350" s="169"/>
      <c r="AF1350" s="169"/>
      <c r="AG1350" s="179"/>
      <c r="AH1350" s="169"/>
      <c r="AI1350" s="168"/>
      <c r="AJ1350" s="167"/>
      <c r="AK1350" s="168"/>
      <c r="AL1350" s="169"/>
      <c r="AM1350" s="509"/>
      <c r="AN1350" s="510"/>
      <c r="AO1350" s="510"/>
    </row>
    <row r="1351" spans="1:41">
      <c r="A1351" s="177"/>
      <c r="B1351" s="169"/>
      <c r="C1351" s="169"/>
      <c r="D1351" s="169"/>
      <c r="E1351" s="169"/>
      <c r="F1351" s="169"/>
      <c r="G1351" s="169"/>
      <c r="H1351" s="169"/>
      <c r="I1351" s="169"/>
      <c r="J1351" s="169"/>
      <c r="K1351" s="169"/>
      <c r="L1351" s="169"/>
      <c r="M1351" s="169"/>
      <c r="N1351" s="177"/>
      <c r="O1351" s="169"/>
      <c r="P1351" s="169"/>
      <c r="Q1351" s="169"/>
      <c r="R1351" s="169"/>
      <c r="S1351" s="169"/>
      <c r="T1351" s="169"/>
      <c r="U1351" s="169"/>
      <c r="V1351" s="169"/>
      <c r="W1351" s="169"/>
      <c r="X1351" s="169"/>
      <c r="Y1351" s="169"/>
      <c r="Z1351" s="178"/>
      <c r="AA1351" s="167"/>
      <c r="AB1351" s="169"/>
      <c r="AC1351" s="169"/>
      <c r="AD1351" s="169"/>
      <c r="AE1351" s="169"/>
      <c r="AF1351" s="169"/>
      <c r="AG1351" s="179"/>
      <c r="AH1351" s="169"/>
      <c r="AI1351" s="168"/>
      <c r="AJ1351" s="167"/>
      <c r="AK1351" s="168"/>
      <c r="AL1351" s="169"/>
      <c r="AM1351" s="509"/>
      <c r="AN1351" s="510"/>
      <c r="AO1351" s="510"/>
    </row>
    <row r="1352" spans="1:41">
      <c r="A1352" s="177"/>
      <c r="B1352" s="169"/>
      <c r="C1352" s="169"/>
      <c r="D1352" s="169"/>
      <c r="E1352" s="169"/>
      <c r="F1352" s="169"/>
      <c r="G1352" s="169"/>
      <c r="H1352" s="169"/>
      <c r="I1352" s="169"/>
      <c r="J1352" s="169"/>
      <c r="K1352" s="169"/>
      <c r="L1352" s="169"/>
      <c r="M1352" s="169"/>
      <c r="N1352" s="177"/>
      <c r="O1352" s="169"/>
      <c r="P1352" s="169"/>
      <c r="Q1352" s="169"/>
      <c r="R1352" s="169"/>
      <c r="S1352" s="169"/>
      <c r="T1352" s="169"/>
      <c r="U1352" s="169"/>
      <c r="V1352" s="169"/>
      <c r="W1352" s="169"/>
      <c r="X1352" s="169"/>
      <c r="Y1352" s="169"/>
      <c r="Z1352" s="178"/>
      <c r="AA1352" s="167"/>
      <c r="AB1352" s="169"/>
      <c r="AC1352" s="169"/>
      <c r="AD1352" s="169"/>
      <c r="AE1352" s="169"/>
      <c r="AF1352" s="169"/>
      <c r="AG1352" s="179"/>
      <c r="AH1352" s="169"/>
      <c r="AI1352" s="168"/>
      <c r="AJ1352" s="167"/>
      <c r="AK1352" s="168"/>
      <c r="AL1352" s="169"/>
      <c r="AM1352" s="509"/>
      <c r="AN1352" s="510"/>
      <c r="AO1352" s="510"/>
    </row>
    <row r="1353" spans="1:41">
      <c r="A1353" s="177"/>
      <c r="B1353" s="169"/>
      <c r="C1353" s="169"/>
      <c r="D1353" s="169"/>
      <c r="E1353" s="169"/>
      <c r="F1353" s="169"/>
      <c r="G1353" s="169"/>
      <c r="H1353" s="169"/>
      <c r="I1353" s="169"/>
      <c r="J1353" s="169"/>
      <c r="K1353" s="169"/>
      <c r="L1353" s="169"/>
      <c r="M1353" s="169"/>
      <c r="N1353" s="177"/>
      <c r="O1353" s="169"/>
      <c r="P1353" s="169"/>
      <c r="Q1353" s="169"/>
      <c r="R1353" s="169"/>
      <c r="S1353" s="169"/>
      <c r="T1353" s="169"/>
      <c r="U1353" s="169"/>
      <c r="V1353" s="169"/>
      <c r="W1353" s="169"/>
      <c r="X1353" s="169"/>
      <c r="Y1353" s="169"/>
      <c r="Z1353" s="178"/>
      <c r="AA1353" s="167"/>
      <c r="AB1353" s="169"/>
      <c r="AC1353" s="169"/>
      <c r="AD1353" s="169"/>
      <c r="AE1353" s="169"/>
      <c r="AF1353" s="169"/>
      <c r="AG1353" s="179"/>
      <c r="AH1353" s="169"/>
      <c r="AI1353" s="168"/>
      <c r="AJ1353" s="167"/>
      <c r="AK1353" s="168"/>
      <c r="AL1353" s="169"/>
      <c r="AM1353" s="509"/>
      <c r="AN1353" s="510"/>
      <c r="AO1353" s="510"/>
    </row>
    <row r="1354" spans="1:41">
      <c r="A1354" s="177"/>
      <c r="B1354" s="169"/>
      <c r="C1354" s="169"/>
      <c r="D1354" s="169"/>
      <c r="E1354" s="169"/>
      <c r="F1354" s="169"/>
      <c r="G1354" s="169"/>
      <c r="H1354" s="169"/>
      <c r="I1354" s="169"/>
      <c r="J1354" s="169"/>
      <c r="K1354" s="169"/>
      <c r="L1354" s="169"/>
      <c r="M1354" s="169"/>
      <c r="N1354" s="177"/>
      <c r="O1354" s="169"/>
      <c r="P1354" s="169"/>
      <c r="Q1354" s="169"/>
      <c r="R1354" s="169"/>
      <c r="S1354" s="169"/>
      <c r="T1354" s="169"/>
      <c r="U1354" s="169"/>
      <c r="V1354" s="169"/>
      <c r="W1354" s="169"/>
      <c r="X1354" s="169"/>
      <c r="Y1354" s="169"/>
      <c r="Z1354" s="178"/>
      <c r="AA1354" s="167"/>
      <c r="AB1354" s="169"/>
      <c r="AC1354" s="169"/>
      <c r="AD1354" s="169"/>
      <c r="AE1354" s="169"/>
      <c r="AF1354" s="169"/>
      <c r="AG1354" s="179"/>
      <c r="AH1354" s="169"/>
      <c r="AI1354" s="168"/>
      <c r="AJ1354" s="167"/>
      <c r="AK1354" s="168"/>
      <c r="AL1354" s="169"/>
      <c r="AM1354" s="509"/>
      <c r="AN1354" s="510"/>
      <c r="AO1354" s="510"/>
    </row>
    <row r="1355" spans="1:41">
      <c r="A1355" s="177"/>
      <c r="B1355" s="169"/>
      <c r="C1355" s="169"/>
      <c r="D1355" s="169"/>
      <c r="E1355" s="169"/>
      <c r="F1355" s="169"/>
      <c r="G1355" s="169"/>
      <c r="H1355" s="169"/>
      <c r="I1355" s="169"/>
      <c r="J1355" s="169"/>
      <c r="K1355" s="169"/>
      <c r="L1355" s="169"/>
      <c r="M1355" s="169"/>
      <c r="N1355" s="177"/>
      <c r="O1355" s="169"/>
      <c r="P1355" s="169"/>
      <c r="Q1355" s="169"/>
      <c r="R1355" s="169"/>
      <c r="S1355" s="169"/>
      <c r="T1355" s="169"/>
      <c r="U1355" s="169"/>
      <c r="V1355" s="169"/>
      <c r="W1355" s="169"/>
      <c r="X1355" s="169"/>
      <c r="Y1355" s="169"/>
      <c r="Z1355" s="178"/>
      <c r="AA1355" s="167"/>
      <c r="AB1355" s="169"/>
      <c r="AC1355" s="169"/>
      <c r="AD1355" s="169"/>
      <c r="AE1355" s="169"/>
      <c r="AF1355" s="169"/>
      <c r="AG1355" s="179"/>
      <c r="AH1355" s="169"/>
      <c r="AI1355" s="168"/>
      <c r="AJ1355" s="167"/>
      <c r="AK1355" s="168"/>
      <c r="AL1355" s="169"/>
      <c r="AM1355" s="509"/>
      <c r="AN1355" s="510"/>
      <c r="AO1355" s="510"/>
    </row>
    <row r="1356" spans="1:41">
      <c r="A1356" s="177"/>
      <c r="B1356" s="169"/>
      <c r="C1356" s="169"/>
      <c r="D1356" s="169"/>
      <c r="E1356" s="169"/>
      <c r="F1356" s="169"/>
      <c r="G1356" s="169"/>
      <c r="H1356" s="169"/>
      <c r="I1356" s="169"/>
      <c r="J1356" s="169"/>
      <c r="K1356" s="169"/>
      <c r="L1356" s="169"/>
      <c r="M1356" s="169"/>
      <c r="N1356" s="177"/>
      <c r="O1356" s="169"/>
      <c r="P1356" s="169"/>
      <c r="Q1356" s="169"/>
      <c r="R1356" s="169"/>
      <c r="S1356" s="169"/>
      <c r="T1356" s="169"/>
      <c r="U1356" s="169"/>
      <c r="V1356" s="169"/>
      <c r="W1356" s="169"/>
      <c r="X1356" s="169"/>
      <c r="Y1356" s="169"/>
      <c r="Z1356" s="178"/>
      <c r="AA1356" s="167"/>
      <c r="AB1356" s="169"/>
      <c r="AC1356" s="169"/>
      <c r="AD1356" s="169"/>
      <c r="AE1356" s="169"/>
      <c r="AF1356" s="169"/>
      <c r="AG1356" s="179"/>
      <c r="AH1356" s="169"/>
      <c r="AI1356" s="168"/>
      <c r="AJ1356" s="167"/>
      <c r="AK1356" s="168"/>
      <c r="AL1356" s="169"/>
      <c r="AM1356" s="509"/>
      <c r="AN1356" s="510"/>
      <c r="AO1356" s="510"/>
    </row>
    <row r="1357" spans="1:41">
      <c r="A1357" s="177"/>
      <c r="B1357" s="169"/>
      <c r="C1357" s="169"/>
      <c r="D1357" s="169"/>
      <c r="E1357" s="169"/>
      <c r="F1357" s="169"/>
      <c r="G1357" s="169"/>
      <c r="H1357" s="169"/>
      <c r="I1357" s="169"/>
      <c r="J1357" s="169"/>
      <c r="K1357" s="169"/>
      <c r="L1357" s="169"/>
      <c r="M1357" s="169"/>
      <c r="N1357" s="177"/>
      <c r="O1357" s="169"/>
      <c r="P1357" s="169"/>
      <c r="Q1357" s="169"/>
      <c r="R1357" s="169"/>
      <c r="S1357" s="169"/>
      <c r="T1357" s="169"/>
      <c r="U1357" s="169"/>
      <c r="V1357" s="169"/>
      <c r="W1357" s="169"/>
      <c r="X1357" s="169"/>
      <c r="Y1357" s="169"/>
      <c r="Z1357" s="178"/>
      <c r="AA1357" s="167"/>
      <c r="AB1357" s="169"/>
      <c r="AC1357" s="169"/>
      <c r="AD1357" s="169"/>
      <c r="AE1357" s="169"/>
      <c r="AF1357" s="169"/>
      <c r="AG1357" s="179"/>
      <c r="AH1357" s="169"/>
      <c r="AI1357" s="168"/>
      <c r="AJ1357" s="167"/>
      <c r="AK1357" s="168"/>
      <c r="AL1357" s="169"/>
      <c r="AM1357" s="509"/>
      <c r="AN1357" s="510"/>
      <c r="AO1357" s="510"/>
    </row>
    <row r="1358" spans="1:41">
      <c r="A1358" s="177"/>
      <c r="B1358" s="169"/>
      <c r="C1358" s="169"/>
      <c r="D1358" s="169"/>
      <c r="E1358" s="169"/>
      <c r="F1358" s="169"/>
      <c r="G1358" s="169"/>
      <c r="H1358" s="169"/>
      <c r="I1358" s="169"/>
      <c r="J1358" s="169"/>
      <c r="K1358" s="169"/>
      <c r="L1358" s="169"/>
      <c r="M1358" s="169"/>
      <c r="N1358" s="177"/>
      <c r="O1358" s="169"/>
      <c r="P1358" s="169"/>
      <c r="Q1358" s="169"/>
      <c r="R1358" s="169"/>
      <c r="S1358" s="169"/>
      <c r="T1358" s="169"/>
      <c r="U1358" s="169"/>
      <c r="V1358" s="169"/>
      <c r="W1358" s="169"/>
      <c r="X1358" s="169"/>
      <c r="Y1358" s="169"/>
      <c r="Z1358" s="178"/>
      <c r="AA1358" s="167"/>
      <c r="AB1358" s="169"/>
      <c r="AC1358" s="169"/>
      <c r="AD1358" s="169"/>
      <c r="AE1358" s="169"/>
      <c r="AF1358" s="169"/>
      <c r="AG1358" s="179"/>
      <c r="AH1358" s="169"/>
      <c r="AI1358" s="168"/>
      <c r="AJ1358" s="167"/>
      <c r="AK1358" s="168"/>
      <c r="AL1358" s="169"/>
      <c r="AM1358" s="509"/>
      <c r="AN1358" s="510"/>
      <c r="AO1358" s="510"/>
    </row>
    <row r="1359" spans="1:41">
      <c r="A1359" s="177"/>
      <c r="B1359" s="169"/>
      <c r="C1359" s="169"/>
      <c r="D1359" s="169"/>
      <c r="E1359" s="169"/>
      <c r="F1359" s="169"/>
      <c r="G1359" s="169"/>
      <c r="H1359" s="169"/>
      <c r="I1359" s="169"/>
      <c r="J1359" s="169"/>
      <c r="K1359" s="169"/>
      <c r="L1359" s="169"/>
      <c r="M1359" s="169"/>
      <c r="N1359" s="177"/>
      <c r="O1359" s="169"/>
      <c r="P1359" s="169"/>
      <c r="Q1359" s="169"/>
      <c r="R1359" s="169"/>
      <c r="S1359" s="169"/>
      <c r="T1359" s="169"/>
      <c r="U1359" s="169"/>
      <c r="V1359" s="169"/>
      <c r="W1359" s="169"/>
      <c r="X1359" s="169"/>
      <c r="Y1359" s="169"/>
      <c r="Z1359" s="178"/>
      <c r="AA1359" s="167"/>
      <c r="AB1359" s="169"/>
      <c r="AC1359" s="169"/>
      <c r="AD1359" s="169"/>
      <c r="AE1359" s="169"/>
      <c r="AF1359" s="169"/>
      <c r="AG1359" s="179"/>
      <c r="AH1359" s="169"/>
      <c r="AI1359" s="168"/>
      <c r="AJ1359" s="167"/>
      <c r="AK1359" s="168"/>
      <c r="AL1359" s="169"/>
      <c r="AM1359" s="509"/>
      <c r="AN1359" s="510"/>
      <c r="AO1359" s="510"/>
    </row>
    <row r="1360" spans="1:41">
      <c r="A1360" s="177"/>
      <c r="B1360" s="169"/>
      <c r="C1360" s="169"/>
      <c r="D1360" s="169"/>
      <c r="E1360" s="169"/>
      <c r="F1360" s="169"/>
      <c r="G1360" s="169"/>
      <c r="H1360" s="169"/>
      <c r="I1360" s="169"/>
      <c r="J1360" s="169"/>
      <c r="K1360" s="169"/>
      <c r="L1360" s="169"/>
      <c r="M1360" s="169"/>
      <c r="N1360" s="177"/>
      <c r="O1360" s="169"/>
      <c r="P1360" s="169"/>
      <c r="Q1360" s="169"/>
      <c r="R1360" s="169"/>
      <c r="S1360" s="169"/>
      <c r="T1360" s="169"/>
      <c r="U1360" s="169"/>
      <c r="V1360" s="169"/>
      <c r="W1360" s="169"/>
      <c r="X1360" s="169"/>
      <c r="Y1360" s="169"/>
      <c r="Z1360" s="178"/>
      <c r="AA1360" s="167"/>
      <c r="AB1360" s="169"/>
      <c r="AC1360" s="169"/>
      <c r="AD1360" s="169"/>
      <c r="AE1360" s="169"/>
      <c r="AF1360" s="169"/>
      <c r="AG1360" s="179"/>
      <c r="AH1360" s="169"/>
      <c r="AI1360" s="168"/>
      <c r="AJ1360" s="167"/>
      <c r="AK1360" s="168"/>
      <c r="AL1360" s="169"/>
      <c r="AM1360" s="509"/>
      <c r="AN1360" s="510"/>
      <c r="AO1360" s="510"/>
    </row>
    <row r="1361" spans="1:41">
      <c r="A1361" s="177"/>
      <c r="B1361" s="169"/>
      <c r="C1361" s="169"/>
      <c r="D1361" s="169"/>
      <c r="E1361" s="169"/>
      <c r="F1361" s="169"/>
      <c r="G1361" s="169"/>
      <c r="H1361" s="169"/>
      <c r="I1361" s="169"/>
      <c r="J1361" s="169"/>
      <c r="K1361" s="169"/>
      <c r="L1361" s="169"/>
      <c r="M1361" s="169"/>
      <c r="N1361" s="177"/>
      <c r="O1361" s="169"/>
      <c r="P1361" s="169"/>
      <c r="Q1361" s="169"/>
      <c r="R1361" s="169"/>
      <c r="S1361" s="169"/>
      <c r="T1361" s="169"/>
      <c r="U1361" s="169"/>
      <c r="V1361" s="169"/>
      <c r="W1361" s="169"/>
      <c r="X1361" s="169"/>
      <c r="Y1361" s="169"/>
      <c r="Z1361" s="178"/>
      <c r="AA1361" s="167"/>
      <c r="AB1361" s="169"/>
      <c r="AC1361" s="169"/>
      <c r="AD1361" s="169"/>
      <c r="AE1361" s="169"/>
      <c r="AF1361" s="169"/>
      <c r="AG1361" s="179"/>
      <c r="AH1361" s="169"/>
      <c r="AI1361" s="168"/>
      <c r="AJ1361" s="167"/>
      <c r="AK1361" s="168"/>
      <c r="AL1361" s="169"/>
      <c r="AM1361" s="509"/>
      <c r="AN1361" s="510"/>
      <c r="AO1361" s="510"/>
    </row>
    <row r="1362" spans="1:41">
      <c r="A1362" s="177"/>
      <c r="B1362" s="169"/>
      <c r="C1362" s="169"/>
      <c r="D1362" s="169"/>
      <c r="E1362" s="169"/>
      <c r="F1362" s="169"/>
      <c r="G1362" s="169"/>
      <c r="H1362" s="169"/>
      <c r="I1362" s="169"/>
      <c r="J1362" s="169"/>
      <c r="K1362" s="169"/>
      <c r="L1362" s="169"/>
      <c r="M1362" s="169"/>
      <c r="N1362" s="177"/>
      <c r="O1362" s="169"/>
      <c r="P1362" s="169"/>
      <c r="Q1362" s="169"/>
      <c r="R1362" s="169"/>
      <c r="S1362" s="169"/>
      <c r="T1362" s="169"/>
      <c r="U1362" s="169"/>
      <c r="V1362" s="169"/>
      <c r="W1362" s="169"/>
      <c r="X1362" s="169"/>
      <c r="Y1362" s="169"/>
      <c r="Z1362" s="178"/>
      <c r="AA1362" s="167"/>
      <c r="AB1362" s="169"/>
      <c r="AC1362" s="169"/>
      <c r="AD1362" s="169"/>
      <c r="AE1362" s="169"/>
      <c r="AF1362" s="169"/>
      <c r="AG1362" s="179"/>
      <c r="AH1362" s="169"/>
      <c r="AI1362" s="168"/>
      <c r="AJ1362" s="167"/>
      <c r="AK1362" s="168"/>
      <c r="AL1362" s="169"/>
      <c r="AM1362" s="509"/>
      <c r="AN1362" s="510"/>
      <c r="AO1362" s="510"/>
    </row>
    <row r="1363" spans="1:41">
      <c r="A1363" s="177"/>
      <c r="B1363" s="169"/>
      <c r="C1363" s="169"/>
      <c r="D1363" s="169"/>
      <c r="E1363" s="169"/>
      <c r="F1363" s="169"/>
      <c r="G1363" s="169"/>
      <c r="H1363" s="169"/>
      <c r="I1363" s="169"/>
      <c r="J1363" s="169"/>
      <c r="K1363" s="169"/>
      <c r="L1363" s="169"/>
      <c r="M1363" s="169"/>
      <c r="N1363" s="177"/>
      <c r="O1363" s="169"/>
      <c r="P1363" s="169"/>
      <c r="Q1363" s="169"/>
      <c r="R1363" s="169"/>
      <c r="S1363" s="169"/>
      <c r="T1363" s="169"/>
      <c r="U1363" s="169"/>
      <c r="V1363" s="169"/>
      <c r="W1363" s="169"/>
      <c r="X1363" s="169"/>
      <c r="Y1363" s="169"/>
      <c r="Z1363" s="178"/>
      <c r="AA1363" s="167"/>
      <c r="AB1363" s="169"/>
      <c r="AC1363" s="169"/>
      <c r="AD1363" s="169"/>
      <c r="AE1363" s="169"/>
      <c r="AF1363" s="169"/>
      <c r="AG1363" s="179"/>
      <c r="AH1363" s="169"/>
      <c r="AI1363" s="168"/>
      <c r="AJ1363" s="167"/>
      <c r="AK1363" s="168"/>
      <c r="AL1363" s="169"/>
      <c r="AM1363" s="509"/>
      <c r="AN1363" s="510"/>
      <c r="AO1363" s="510"/>
    </row>
    <row r="1364" spans="1:41">
      <c r="A1364" s="177"/>
      <c r="B1364" s="169"/>
      <c r="C1364" s="169"/>
      <c r="D1364" s="169"/>
      <c r="E1364" s="169"/>
      <c r="F1364" s="169"/>
      <c r="G1364" s="169"/>
      <c r="H1364" s="169"/>
      <c r="I1364" s="169"/>
      <c r="J1364" s="169"/>
      <c r="K1364" s="169"/>
      <c r="L1364" s="169"/>
      <c r="M1364" s="169"/>
      <c r="N1364" s="177"/>
      <c r="O1364" s="169"/>
      <c r="P1364" s="169"/>
      <c r="Q1364" s="169"/>
      <c r="R1364" s="169"/>
      <c r="S1364" s="169"/>
      <c r="T1364" s="169"/>
      <c r="U1364" s="169"/>
      <c r="V1364" s="169"/>
      <c r="W1364" s="169"/>
      <c r="X1364" s="169"/>
      <c r="Y1364" s="169"/>
      <c r="Z1364" s="178"/>
      <c r="AA1364" s="167"/>
      <c r="AB1364" s="169"/>
      <c r="AC1364" s="169"/>
      <c r="AD1364" s="169"/>
      <c r="AE1364" s="169"/>
      <c r="AF1364" s="169"/>
      <c r="AG1364" s="179"/>
      <c r="AH1364" s="169"/>
      <c r="AI1364" s="168"/>
      <c r="AJ1364" s="167"/>
      <c r="AK1364" s="168"/>
      <c r="AL1364" s="169"/>
      <c r="AM1364" s="509"/>
      <c r="AN1364" s="510"/>
      <c r="AO1364" s="510"/>
    </row>
    <row r="1365" spans="1:41">
      <c r="A1365" s="177"/>
      <c r="B1365" s="169"/>
      <c r="C1365" s="169"/>
      <c r="D1365" s="169"/>
      <c r="E1365" s="169"/>
      <c r="F1365" s="169"/>
      <c r="G1365" s="169"/>
      <c r="H1365" s="169"/>
      <c r="I1365" s="169"/>
      <c r="J1365" s="169"/>
      <c r="K1365" s="169"/>
      <c r="L1365" s="169"/>
      <c r="M1365" s="169"/>
      <c r="N1365" s="177"/>
      <c r="O1365" s="169"/>
      <c r="P1365" s="169"/>
      <c r="Q1365" s="169"/>
      <c r="R1365" s="169"/>
      <c r="S1365" s="169"/>
      <c r="T1365" s="169"/>
      <c r="U1365" s="169"/>
      <c r="V1365" s="169"/>
      <c r="W1365" s="169"/>
      <c r="X1365" s="169"/>
      <c r="Y1365" s="169"/>
      <c r="Z1365" s="178"/>
      <c r="AA1365" s="167"/>
      <c r="AB1365" s="169"/>
      <c r="AC1365" s="169"/>
      <c r="AD1365" s="169"/>
      <c r="AE1365" s="169"/>
      <c r="AF1365" s="169"/>
      <c r="AG1365" s="179"/>
      <c r="AH1365" s="169"/>
      <c r="AI1365" s="168"/>
      <c r="AJ1365" s="167"/>
      <c r="AK1365" s="168"/>
      <c r="AL1365" s="169"/>
      <c r="AM1365" s="509"/>
      <c r="AN1365" s="510"/>
      <c r="AO1365" s="510"/>
    </row>
    <row r="1366" spans="1:41">
      <c r="A1366" s="177"/>
      <c r="B1366" s="169"/>
      <c r="C1366" s="169"/>
      <c r="D1366" s="169"/>
      <c r="E1366" s="169"/>
      <c r="F1366" s="169"/>
      <c r="G1366" s="169"/>
      <c r="H1366" s="169"/>
      <c r="I1366" s="169"/>
      <c r="J1366" s="169"/>
      <c r="K1366" s="169"/>
      <c r="L1366" s="169"/>
      <c r="M1366" s="169"/>
      <c r="N1366" s="177"/>
      <c r="O1366" s="169"/>
      <c r="P1366" s="169"/>
      <c r="Q1366" s="169"/>
      <c r="R1366" s="169"/>
      <c r="S1366" s="169"/>
      <c r="T1366" s="169"/>
      <c r="U1366" s="169"/>
      <c r="V1366" s="169"/>
      <c r="W1366" s="169"/>
      <c r="X1366" s="169"/>
      <c r="Y1366" s="169"/>
      <c r="Z1366" s="178"/>
      <c r="AA1366" s="167"/>
      <c r="AB1366" s="169"/>
      <c r="AC1366" s="169"/>
      <c r="AD1366" s="169"/>
      <c r="AE1366" s="169"/>
      <c r="AF1366" s="169"/>
      <c r="AG1366" s="179"/>
      <c r="AH1366" s="169"/>
      <c r="AI1366" s="168"/>
      <c r="AJ1366" s="167"/>
      <c r="AK1366" s="168"/>
      <c r="AL1366" s="169"/>
      <c r="AM1366" s="509"/>
      <c r="AN1366" s="510"/>
      <c r="AO1366" s="510"/>
    </row>
    <row r="1367" spans="1:41">
      <c r="A1367" s="177"/>
      <c r="B1367" s="169"/>
      <c r="C1367" s="169"/>
      <c r="D1367" s="169"/>
      <c r="E1367" s="169"/>
      <c r="F1367" s="169"/>
      <c r="G1367" s="169"/>
      <c r="H1367" s="169"/>
      <c r="I1367" s="169"/>
      <c r="J1367" s="169"/>
      <c r="K1367" s="169"/>
      <c r="L1367" s="169"/>
      <c r="M1367" s="169"/>
      <c r="N1367" s="177"/>
      <c r="O1367" s="169"/>
      <c r="P1367" s="169"/>
      <c r="Q1367" s="169"/>
      <c r="R1367" s="169"/>
      <c r="S1367" s="169"/>
      <c r="T1367" s="169"/>
      <c r="U1367" s="169"/>
      <c r="V1367" s="169"/>
      <c r="W1367" s="169"/>
      <c r="X1367" s="169"/>
      <c r="Y1367" s="169"/>
      <c r="Z1367" s="178"/>
      <c r="AA1367" s="167"/>
      <c r="AB1367" s="169"/>
      <c r="AC1367" s="169"/>
      <c r="AD1367" s="169"/>
      <c r="AE1367" s="169"/>
      <c r="AF1367" s="169"/>
      <c r="AG1367" s="179"/>
      <c r="AH1367" s="169"/>
      <c r="AI1367" s="168"/>
      <c r="AJ1367" s="167"/>
      <c r="AK1367" s="168"/>
      <c r="AL1367" s="169"/>
      <c r="AM1367" s="509"/>
      <c r="AN1367" s="510"/>
      <c r="AO1367" s="510"/>
    </row>
    <row r="1368" spans="1:41">
      <c r="A1368" s="177"/>
      <c r="B1368" s="169"/>
      <c r="C1368" s="169"/>
      <c r="D1368" s="169"/>
      <c r="E1368" s="169"/>
      <c r="F1368" s="169"/>
      <c r="G1368" s="169"/>
      <c r="H1368" s="169"/>
      <c r="I1368" s="169"/>
      <c r="J1368" s="169"/>
      <c r="K1368" s="169"/>
      <c r="L1368" s="169"/>
      <c r="M1368" s="169"/>
      <c r="N1368" s="177"/>
      <c r="O1368" s="169"/>
      <c r="P1368" s="169"/>
      <c r="Q1368" s="169"/>
      <c r="R1368" s="169"/>
      <c r="S1368" s="169"/>
      <c r="T1368" s="169"/>
      <c r="U1368" s="169"/>
      <c r="V1368" s="169"/>
      <c r="W1368" s="169"/>
      <c r="X1368" s="169"/>
      <c r="Y1368" s="169"/>
      <c r="Z1368" s="178"/>
      <c r="AA1368" s="167"/>
      <c r="AB1368" s="169"/>
      <c r="AC1368" s="169"/>
      <c r="AD1368" s="169"/>
      <c r="AE1368" s="169"/>
      <c r="AF1368" s="169"/>
      <c r="AG1368" s="179"/>
      <c r="AH1368" s="169"/>
      <c r="AI1368" s="168"/>
      <c r="AJ1368" s="167"/>
      <c r="AK1368" s="168"/>
      <c r="AL1368" s="169"/>
      <c r="AM1368" s="509"/>
      <c r="AN1368" s="510"/>
      <c r="AO1368" s="510"/>
    </row>
    <row r="1369" spans="1:41">
      <c r="A1369" s="177"/>
      <c r="B1369" s="169"/>
      <c r="C1369" s="169"/>
      <c r="D1369" s="169"/>
      <c r="E1369" s="169"/>
      <c r="F1369" s="169"/>
      <c r="G1369" s="169"/>
      <c r="H1369" s="169"/>
      <c r="I1369" s="169"/>
      <c r="J1369" s="169"/>
      <c r="K1369" s="169"/>
      <c r="L1369" s="169"/>
      <c r="M1369" s="169"/>
      <c r="N1369" s="177"/>
      <c r="O1369" s="169"/>
      <c r="P1369" s="169"/>
      <c r="Q1369" s="169"/>
      <c r="R1369" s="169"/>
      <c r="S1369" s="169"/>
      <c r="T1369" s="169"/>
      <c r="U1369" s="169"/>
      <c r="V1369" s="169"/>
      <c r="W1369" s="169"/>
      <c r="X1369" s="169"/>
      <c r="Y1369" s="169"/>
      <c r="Z1369" s="178"/>
      <c r="AA1369" s="167"/>
      <c r="AB1369" s="169"/>
      <c r="AC1369" s="169"/>
      <c r="AD1369" s="169"/>
      <c r="AE1369" s="169"/>
      <c r="AF1369" s="169"/>
      <c r="AG1369" s="179"/>
      <c r="AH1369" s="169"/>
      <c r="AI1369" s="168"/>
      <c r="AJ1369" s="167"/>
      <c r="AK1369" s="168"/>
      <c r="AL1369" s="169"/>
      <c r="AM1369" s="509"/>
      <c r="AN1369" s="510"/>
      <c r="AO1369" s="510"/>
    </row>
    <row r="1370" spans="1:41">
      <c r="A1370" s="177"/>
      <c r="B1370" s="169"/>
      <c r="C1370" s="169"/>
      <c r="D1370" s="169"/>
      <c r="E1370" s="169"/>
      <c r="F1370" s="169"/>
      <c r="G1370" s="169"/>
      <c r="H1370" s="169"/>
      <c r="I1370" s="169"/>
      <c r="J1370" s="169"/>
      <c r="K1370" s="169"/>
      <c r="L1370" s="169"/>
      <c r="M1370" s="169"/>
      <c r="N1370" s="177"/>
      <c r="O1370" s="169"/>
      <c r="P1370" s="169"/>
      <c r="Q1370" s="169"/>
      <c r="R1370" s="169"/>
      <c r="S1370" s="169"/>
      <c r="T1370" s="169"/>
      <c r="U1370" s="169"/>
      <c r="V1370" s="169"/>
      <c r="W1370" s="169"/>
      <c r="X1370" s="169"/>
      <c r="Y1370" s="169"/>
      <c r="Z1370" s="178"/>
      <c r="AA1370" s="167"/>
      <c r="AB1370" s="169"/>
      <c r="AC1370" s="169"/>
      <c r="AD1370" s="169"/>
      <c r="AE1370" s="169"/>
      <c r="AF1370" s="169"/>
      <c r="AG1370" s="179"/>
      <c r="AH1370" s="169"/>
      <c r="AI1370" s="168"/>
      <c r="AJ1370" s="167"/>
      <c r="AK1370" s="168"/>
      <c r="AL1370" s="169"/>
      <c r="AM1370" s="509"/>
      <c r="AN1370" s="510"/>
      <c r="AO1370" s="510"/>
    </row>
    <row r="1371" spans="1:41">
      <c r="A1371" s="177"/>
      <c r="B1371" s="169"/>
      <c r="C1371" s="169"/>
      <c r="D1371" s="169"/>
      <c r="E1371" s="169"/>
      <c r="F1371" s="169"/>
      <c r="G1371" s="169"/>
      <c r="H1371" s="169"/>
      <c r="I1371" s="169"/>
      <c r="J1371" s="169"/>
      <c r="K1371" s="169"/>
      <c r="L1371" s="169"/>
      <c r="M1371" s="169"/>
      <c r="N1371" s="177"/>
      <c r="O1371" s="169"/>
      <c r="P1371" s="169"/>
      <c r="Q1371" s="169"/>
      <c r="R1371" s="169"/>
      <c r="S1371" s="169"/>
      <c r="T1371" s="169"/>
      <c r="U1371" s="169"/>
      <c r="V1371" s="169"/>
      <c r="W1371" s="169"/>
      <c r="X1371" s="169"/>
      <c r="Y1371" s="169"/>
      <c r="Z1371" s="178"/>
      <c r="AA1371" s="167"/>
      <c r="AB1371" s="169"/>
      <c r="AC1371" s="169"/>
      <c r="AD1371" s="169"/>
      <c r="AE1371" s="169"/>
      <c r="AF1371" s="169"/>
      <c r="AG1371" s="179"/>
      <c r="AH1371" s="169"/>
      <c r="AI1371" s="168"/>
      <c r="AJ1371" s="167"/>
      <c r="AK1371" s="168"/>
      <c r="AL1371" s="169"/>
      <c r="AM1371" s="509"/>
      <c r="AN1371" s="510"/>
      <c r="AO1371" s="510"/>
    </row>
    <row r="1372" spans="1:41">
      <c r="A1372" s="177"/>
      <c r="B1372" s="169"/>
      <c r="C1372" s="169"/>
      <c r="D1372" s="169"/>
      <c r="E1372" s="169"/>
      <c r="F1372" s="169"/>
      <c r="G1372" s="169"/>
      <c r="H1372" s="169"/>
      <c r="I1372" s="169"/>
      <c r="J1372" s="169"/>
      <c r="K1372" s="169"/>
      <c r="L1372" s="169"/>
      <c r="M1372" s="169"/>
      <c r="N1372" s="177"/>
      <c r="O1372" s="169"/>
      <c r="P1372" s="169"/>
      <c r="Q1372" s="169"/>
      <c r="R1372" s="169"/>
      <c r="S1372" s="169"/>
      <c r="T1372" s="169"/>
      <c r="U1372" s="169"/>
      <c r="V1372" s="169"/>
      <c r="W1372" s="169"/>
      <c r="X1372" s="169"/>
      <c r="Y1372" s="169"/>
      <c r="Z1372" s="178"/>
      <c r="AA1372" s="167"/>
      <c r="AB1372" s="169"/>
      <c r="AC1372" s="169"/>
      <c r="AD1372" s="169"/>
      <c r="AE1372" s="169"/>
      <c r="AF1372" s="169"/>
      <c r="AG1372" s="179"/>
      <c r="AH1372" s="169"/>
      <c r="AI1372" s="168"/>
      <c r="AJ1372" s="167"/>
      <c r="AK1372" s="168"/>
      <c r="AL1372" s="169"/>
      <c r="AM1372" s="509"/>
      <c r="AN1372" s="510"/>
      <c r="AO1372" s="510"/>
    </row>
    <row r="1373" spans="1:41">
      <c r="A1373" s="177"/>
      <c r="B1373" s="169"/>
      <c r="C1373" s="169"/>
      <c r="D1373" s="169"/>
      <c r="E1373" s="169"/>
      <c r="F1373" s="169"/>
      <c r="G1373" s="169"/>
      <c r="H1373" s="169"/>
      <c r="I1373" s="169"/>
      <c r="J1373" s="169"/>
      <c r="K1373" s="169"/>
      <c r="L1373" s="169"/>
      <c r="M1373" s="169"/>
      <c r="N1373" s="177"/>
      <c r="O1373" s="169"/>
      <c r="P1373" s="169"/>
      <c r="Q1373" s="169"/>
      <c r="R1373" s="169"/>
      <c r="S1373" s="169"/>
      <c r="T1373" s="169"/>
      <c r="U1373" s="169"/>
      <c r="V1373" s="169"/>
      <c r="W1373" s="169"/>
      <c r="X1373" s="169"/>
      <c r="Y1373" s="169"/>
      <c r="Z1373" s="178"/>
      <c r="AA1373" s="167"/>
      <c r="AB1373" s="169"/>
      <c r="AC1373" s="169"/>
      <c r="AD1373" s="169"/>
      <c r="AE1373" s="169"/>
      <c r="AF1373" s="169"/>
      <c r="AG1373" s="179"/>
      <c r="AH1373" s="169"/>
      <c r="AI1373" s="168"/>
      <c r="AJ1373" s="167"/>
      <c r="AK1373" s="168"/>
      <c r="AL1373" s="169"/>
      <c r="AM1373" s="509"/>
      <c r="AN1373" s="510"/>
      <c r="AO1373" s="510"/>
    </row>
    <row r="1374" spans="1:41">
      <c r="A1374" s="177"/>
      <c r="B1374" s="169"/>
      <c r="C1374" s="169"/>
      <c r="D1374" s="169"/>
      <c r="E1374" s="169"/>
      <c r="F1374" s="169"/>
      <c r="G1374" s="169"/>
      <c r="H1374" s="169"/>
      <c r="I1374" s="169"/>
      <c r="J1374" s="169"/>
      <c r="K1374" s="169"/>
      <c r="L1374" s="169"/>
      <c r="M1374" s="169"/>
      <c r="N1374" s="177"/>
      <c r="O1374" s="169"/>
      <c r="P1374" s="169"/>
      <c r="Q1374" s="169"/>
      <c r="R1374" s="169"/>
      <c r="S1374" s="169"/>
      <c r="T1374" s="169"/>
      <c r="U1374" s="169"/>
      <c r="V1374" s="169"/>
      <c r="W1374" s="169"/>
      <c r="X1374" s="169"/>
      <c r="Y1374" s="169"/>
      <c r="Z1374" s="178"/>
      <c r="AA1374" s="167"/>
      <c r="AB1374" s="169"/>
      <c r="AC1374" s="169"/>
      <c r="AD1374" s="169"/>
      <c r="AE1374" s="169"/>
      <c r="AF1374" s="169"/>
      <c r="AG1374" s="179"/>
      <c r="AH1374" s="169"/>
      <c r="AI1374" s="168"/>
      <c r="AJ1374" s="167"/>
      <c r="AK1374" s="168"/>
      <c r="AL1374" s="169"/>
      <c r="AM1374" s="509"/>
      <c r="AN1374" s="510"/>
      <c r="AO1374" s="510"/>
    </row>
    <row r="1375" spans="1:41">
      <c r="A1375" s="177"/>
      <c r="B1375" s="169"/>
      <c r="C1375" s="169"/>
      <c r="D1375" s="169"/>
      <c r="E1375" s="169"/>
      <c r="F1375" s="169"/>
      <c r="G1375" s="169"/>
      <c r="H1375" s="169"/>
      <c r="I1375" s="169"/>
      <c r="J1375" s="169"/>
      <c r="K1375" s="169"/>
      <c r="L1375" s="169"/>
      <c r="M1375" s="169"/>
      <c r="N1375" s="177"/>
      <c r="O1375" s="169"/>
      <c r="P1375" s="169"/>
      <c r="Q1375" s="169"/>
      <c r="R1375" s="169"/>
      <c r="S1375" s="169"/>
      <c r="T1375" s="169"/>
      <c r="U1375" s="169"/>
      <c r="V1375" s="169"/>
      <c r="W1375" s="169"/>
      <c r="X1375" s="169"/>
      <c r="Y1375" s="169"/>
      <c r="Z1375" s="178"/>
      <c r="AA1375" s="167"/>
      <c r="AB1375" s="169"/>
      <c r="AC1375" s="169"/>
      <c r="AD1375" s="169"/>
      <c r="AE1375" s="169"/>
      <c r="AF1375" s="169"/>
      <c r="AG1375" s="179"/>
      <c r="AH1375" s="169"/>
      <c r="AI1375" s="168"/>
      <c r="AJ1375" s="167"/>
      <c r="AK1375" s="168"/>
      <c r="AL1375" s="169"/>
      <c r="AM1375" s="509"/>
      <c r="AN1375" s="510"/>
      <c r="AO1375" s="510"/>
    </row>
    <row r="1376" spans="1:41">
      <c r="A1376" s="177"/>
      <c r="B1376" s="169"/>
      <c r="C1376" s="169"/>
      <c r="D1376" s="169"/>
      <c r="E1376" s="169"/>
      <c r="F1376" s="169"/>
      <c r="G1376" s="169"/>
      <c r="H1376" s="169"/>
      <c r="I1376" s="169"/>
      <c r="J1376" s="169"/>
      <c r="K1376" s="169"/>
      <c r="L1376" s="169"/>
      <c r="M1376" s="169"/>
      <c r="N1376" s="177"/>
      <c r="O1376" s="169"/>
      <c r="P1376" s="169"/>
      <c r="Q1376" s="169"/>
      <c r="R1376" s="169"/>
      <c r="S1376" s="169"/>
      <c r="T1376" s="169"/>
      <c r="U1376" s="169"/>
      <c r="V1376" s="169"/>
      <c r="W1376" s="169"/>
      <c r="X1376" s="169"/>
      <c r="Y1376" s="169"/>
      <c r="Z1376" s="178"/>
      <c r="AA1376" s="167"/>
      <c r="AB1376" s="169"/>
      <c r="AC1376" s="169"/>
      <c r="AD1376" s="169"/>
      <c r="AE1376" s="169"/>
      <c r="AF1376" s="169"/>
      <c r="AG1376" s="179"/>
      <c r="AH1376" s="169"/>
      <c r="AI1376" s="168"/>
      <c r="AJ1376" s="167"/>
      <c r="AK1376" s="168"/>
      <c r="AL1376" s="169"/>
      <c r="AM1376" s="509"/>
      <c r="AN1376" s="510"/>
      <c r="AO1376" s="510"/>
    </row>
    <row r="1377" spans="1:41">
      <c r="A1377" s="177"/>
      <c r="B1377" s="169"/>
      <c r="C1377" s="169"/>
      <c r="D1377" s="169"/>
      <c r="E1377" s="169"/>
      <c r="F1377" s="169"/>
      <c r="G1377" s="169"/>
      <c r="H1377" s="169"/>
      <c r="I1377" s="169"/>
      <c r="J1377" s="169"/>
      <c r="K1377" s="169"/>
      <c r="L1377" s="169"/>
      <c r="M1377" s="169"/>
      <c r="N1377" s="177"/>
      <c r="O1377" s="169"/>
      <c r="P1377" s="169"/>
      <c r="Q1377" s="169"/>
      <c r="R1377" s="169"/>
      <c r="S1377" s="169"/>
      <c r="T1377" s="169"/>
      <c r="U1377" s="169"/>
      <c r="V1377" s="169"/>
      <c r="W1377" s="169"/>
      <c r="X1377" s="169"/>
      <c r="Y1377" s="169"/>
      <c r="Z1377" s="178"/>
      <c r="AA1377" s="167"/>
      <c r="AB1377" s="169"/>
      <c r="AC1377" s="169"/>
      <c r="AD1377" s="169"/>
      <c r="AE1377" s="169"/>
      <c r="AF1377" s="169"/>
      <c r="AG1377" s="179"/>
      <c r="AH1377" s="169"/>
      <c r="AI1377" s="168"/>
      <c r="AJ1377" s="167"/>
      <c r="AK1377" s="168"/>
      <c r="AL1377" s="169"/>
      <c r="AM1377" s="509"/>
      <c r="AN1377" s="510"/>
      <c r="AO1377" s="510"/>
    </row>
    <row r="1378" spans="1:41">
      <c r="A1378" s="177"/>
      <c r="B1378" s="169"/>
      <c r="C1378" s="169"/>
      <c r="D1378" s="169"/>
      <c r="E1378" s="169"/>
      <c r="F1378" s="169"/>
      <c r="G1378" s="169"/>
      <c r="H1378" s="169"/>
      <c r="I1378" s="169"/>
      <c r="J1378" s="169"/>
      <c r="K1378" s="169"/>
      <c r="L1378" s="169"/>
      <c r="M1378" s="169"/>
      <c r="N1378" s="177"/>
      <c r="O1378" s="169"/>
      <c r="P1378" s="169"/>
      <c r="Q1378" s="169"/>
      <c r="R1378" s="169"/>
      <c r="S1378" s="169"/>
      <c r="T1378" s="169"/>
      <c r="U1378" s="169"/>
      <c r="V1378" s="169"/>
      <c r="W1378" s="169"/>
      <c r="X1378" s="169"/>
      <c r="Y1378" s="169"/>
      <c r="Z1378" s="178"/>
      <c r="AA1378" s="167"/>
      <c r="AB1378" s="169"/>
      <c r="AC1378" s="169"/>
      <c r="AD1378" s="169"/>
      <c r="AE1378" s="169"/>
      <c r="AF1378" s="169"/>
      <c r="AG1378" s="179"/>
      <c r="AH1378" s="169"/>
      <c r="AI1378" s="168"/>
      <c r="AJ1378" s="167"/>
      <c r="AK1378" s="168"/>
      <c r="AL1378" s="169"/>
      <c r="AM1378" s="509"/>
      <c r="AN1378" s="510"/>
      <c r="AO1378" s="510"/>
    </row>
    <row r="1379" spans="1:41">
      <c r="A1379" s="177"/>
      <c r="B1379" s="169"/>
      <c r="C1379" s="169"/>
      <c r="D1379" s="169"/>
      <c r="E1379" s="169"/>
      <c r="F1379" s="169"/>
      <c r="G1379" s="169"/>
      <c r="H1379" s="169"/>
      <c r="I1379" s="169"/>
      <c r="J1379" s="169"/>
      <c r="K1379" s="169"/>
      <c r="L1379" s="169"/>
      <c r="M1379" s="169"/>
      <c r="N1379" s="177"/>
      <c r="O1379" s="169"/>
      <c r="P1379" s="169"/>
      <c r="Q1379" s="169"/>
      <c r="R1379" s="169"/>
      <c r="S1379" s="169"/>
      <c r="T1379" s="169"/>
      <c r="U1379" s="169"/>
      <c r="V1379" s="169"/>
      <c r="W1379" s="169"/>
      <c r="X1379" s="169"/>
      <c r="Y1379" s="169"/>
      <c r="Z1379" s="178"/>
      <c r="AA1379" s="167"/>
      <c r="AB1379" s="169"/>
      <c r="AC1379" s="169"/>
      <c r="AD1379" s="169"/>
      <c r="AE1379" s="169"/>
      <c r="AF1379" s="169"/>
      <c r="AG1379" s="179"/>
      <c r="AH1379" s="169"/>
      <c r="AI1379" s="168"/>
      <c r="AJ1379" s="167"/>
      <c r="AK1379" s="168"/>
      <c r="AL1379" s="169"/>
      <c r="AM1379" s="509"/>
      <c r="AN1379" s="510"/>
      <c r="AO1379" s="510"/>
    </row>
    <row r="1380" spans="1:41">
      <c r="A1380" s="177"/>
      <c r="B1380" s="169"/>
      <c r="C1380" s="169"/>
      <c r="D1380" s="169"/>
      <c r="E1380" s="169"/>
      <c r="F1380" s="169"/>
      <c r="G1380" s="169"/>
      <c r="H1380" s="169"/>
      <c r="I1380" s="169"/>
      <c r="J1380" s="169"/>
      <c r="K1380" s="169"/>
      <c r="L1380" s="169"/>
      <c r="M1380" s="169"/>
      <c r="N1380" s="177"/>
      <c r="O1380" s="169"/>
      <c r="P1380" s="169"/>
      <c r="Q1380" s="169"/>
      <c r="R1380" s="169"/>
      <c r="S1380" s="169"/>
      <c r="T1380" s="169"/>
      <c r="U1380" s="169"/>
      <c r="V1380" s="169"/>
      <c r="W1380" s="169"/>
      <c r="X1380" s="169"/>
      <c r="Y1380" s="169"/>
      <c r="Z1380" s="178"/>
      <c r="AA1380" s="167"/>
      <c r="AB1380" s="169"/>
      <c r="AC1380" s="169"/>
      <c r="AD1380" s="169"/>
      <c r="AE1380" s="169"/>
      <c r="AF1380" s="169"/>
      <c r="AG1380" s="179"/>
      <c r="AH1380" s="169"/>
      <c r="AI1380" s="168"/>
      <c r="AJ1380" s="167"/>
      <c r="AK1380" s="168"/>
      <c r="AL1380" s="169"/>
      <c r="AM1380" s="509"/>
      <c r="AN1380" s="510"/>
      <c r="AO1380" s="510"/>
    </row>
    <row r="1381" spans="1:41">
      <c r="A1381" s="177"/>
      <c r="B1381" s="169"/>
      <c r="C1381" s="169"/>
      <c r="D1381" s="169"/>
      <c r="E1381" s="169"/>
      <c r="F1381" s="169"/>
      <c r="G1381" s="169"/>
      <c r="H1381" s="169"/>
      <c r="I1381" s="169"/>
      <c r="J1381" s="169"/>
      <c r="K1381" s="169"/>
      <c r="L1381" s="169"/>
      <c r="M1381" s="169"/>
      <c r="N1381" s="177"/>
      <c r="O1381" s="169"/>
      <c r="P1381" s="169"/>
      <c r="Q1381" s="169"/>
      <c r="R1381" s="169"/>
      <c r="S1381" s="169"/>
      <c r="T1381" s="169"/>
      <c r="U1381" s="169"/>
      <c r="V1381" s="169"/>
      <c r="W1381" s="169"/>
      <c r="X1381" s="169"/>
      <c r="Y1381" s="169"/>
      <c r="Z1381" s="178"/>
      <c r="AA1381" s="167"/>
      <c r="AB1381" s="169"/>
      <c r="AC1381" s="169"/>
      <c r="AD1381" s="169"/>
      <c r="AE1381" s="169"/>
      <c r="AF1381" s="169"/>
      <c r="AG1381" s="179"/>
      <c r="AH1381" s="169"/>
      <c r="AI1381" s="168"/>
      <c r="AJ1381" s="167"/>
      <c r="AK1381" s="168"/>
      <c r="AL1381" s="169"/>
      <c r="AM1381" s="509"/>
      <c r="AN1381" s="510"/>
      <c r="AO1381" s="510"/>
    </row>
    <row r="1382" spans="1:41">
      <c r="A1382" s="177"/>
      <c r="B1382" s="169"/>
      <c r="C1382" s="169"/>
      <c r="D1382" s="169"/>
      <c r="E1382" s="169"/>
      <c r="F1382" s="169"/>
      <c r="G1382" s="169"/>
      <c r="H1382" s="169"/>
      <c r="I1382" s="169"/>
      <c r="J1382" s="169"/>
      <c r="K1382" s="169"/>
      <c r="L1382" s="169"/>
      <c r="M1382" s="169"/>
      <c r="N1382" s="177"/>
      <c r="O1382" s="169"/>
      <c r="P1382" s="169"/>
      <c r="Q1382" s="169"/>
      <c r="R1382" s="169"/>
      <c r="S1382" s="169"/>
      <c r="T1382" s="169"/>
      <c r="U1382" s="169"/>
      <c r="V1382" s="169"/>
      <c r="W1382" s="169"/>
      <c r="X1382" s="169"/>
      <c r="Y1382" s="169"/>
      <c r="Z1382" s="178"/>
      <c r="AA1382" s="167"/>
      <c r="AB1382" s="169"/>
      <c r="AC1382" s="169"/>
      <c r="AD1382" s="169"/>
      <c r="AE1382" s="169"/>
      <c r="AF1382" s="169"/>
      <c r="AG1382" s="179"/>
      <c r="AH1382" s="169"/>
      <c r="AI1382" s="168"/>
      <c r="AJ1382" s="167"/>
      <c r="AK1382" s="168"/>
      <c r="AL1382" s="169"/>
      <c r="AM1382" s="509"/>
      <c r="AN1382" s="510"/>
      <c r="AO1382" s="510"/>
    </row>
    <row r="1383" spans="1:41">
      <c r="A1383" s="177"/>
      <c r="B1383" s="169"/>
      <c r="C1383" s="169"/>
      <c r="D1383" s="169"/>
      <c r="E1383" s="169"/>
      <c r="F1383" s="169"/>
      <c r="G1383" s="169"/>
      <c r="H1383" s="169"/>
      <c r="I1383" s="169"/>
      <c r="J1383" s="169"/>
      <c r="K1383" s="169"/>
      <c r="L1383" s="169"/>
      <c r="M1383" s="169"/>
      <c r="N1383" s="177"/>
      <c r="O1383" s="169"/>
      <c r="P1383" s="169"/>
      <c r="Q1383" s="169"/>
      <c r="R1383" s="169"/>
      <c r="S1383" s="169"/>
      <c r="T1383" s="169"/>
      <c r="U1383" s="169"/>
      <c r="V1383" s="169"/>
      <c r="W1383" s="169"/>
      <c r="X1383" s="169"/>
      <c r="Y1383" s="169"/>
      <c r="Z1383" s="178"/>
      <c r="AA1383" s="167"/>
      <c r="AB1383" s="169"/>
      <c r="AC1383" s="169"/>
      <c r="AD1383" s="169"/>
      <c r="AE1383" s="169"/>
      <c r="AF1383" s="169"/>
      <c r="AG1383" s="179"/>
      <c r="AH1383" s="169"/>
      <c r="AI1383" s="168"/>
      <c r="AJ1383" s="167"/>
      <c r="AK1383" s="168"/>
      <c r="AL1383" s="169"/>
      <c r="AM1383" s="509"/>
      <c r="AN1383" s="510"/>
      <c r="AO1383" s="510"/>
    </row>
    <row r="1384" spans="1:41">
      <c r="A1384" s="177"/>
      <c r="B1384" s="169"/>
      <c r="C1384" s="169"/>
      <c r="D1384" s="169"/>
      <c r="E1384" s="169"/>
      <c r="F1384" s="169"/>
      <c r="G1384" s="169"/>
      <c r="H1384" s="169"/>
      <c r="I1384" s="169"/>
      <c r="J1384" s="169"/>
      <c r="K1384" s="169"/>
      <c r="L1384" s="169"/>
      <c r="M1384" s="169"/>
      <c r="N1384" s="177"/>
      <c r="O1384" s="169"/>
      <c r="P1384" s="169"/>
      <c r="Q1384" s="169"/>
      <c r="R1384" s="169"/>
      <c r="S1384" s="169"/>
      <c r="T1384" s="169"/>
      <c r="U1384" s="169"/>
      <c r="V1384" s="169"/>
      <c r="W1384" s="169"/>
      <c r="X1384" s="169"/>
      <c r="Y1384" s="169"/>
      <c r="Z1384" s="178"/>
      <c r="AA1384" s="167"/>
      <c r="AB1384" s="169"/>
      <c r="AC1384" s="169"/>
      <c r="AD1384" s="169"/>
      <c r="AE1384" s="169"/>
      <c r="AF1384" s="169"/>
      <c r="AG1384" s="179"/>
      <c r="AH1384" s="169"/>
      <c r="AI1384" s="168"/>
      <c r="AJ1384" s="167"/>
      <c r="AK1384" s="168"/>
      <c r="AL1384" s="169"/>
      <c r="AM1384" s="509"/>
      <c r="AN1384" s="510"/>
      <c r="AO1384" s="510"/>
    </row>
    <row r="1385" spans="1:41">
      <c r="A1385" s="177"/>
      <c r="B1385" s="169"/>
      <c r="C1385" s="169"/>
      <c r="D1385" s="169"/>
      <c r="E1385" s="169"/>
      <c r="F1385" s="169"/>
      <c r="G1385" s="169"/>
      <c r="H1385" s="169"/>
      <c r="I1385" s="169"/>
      <c r="J1385" s="169"/>
      <c r="K1385" s="169"/>
      <c r="L1385" s="169"/>
      <c r="M1385" s="169"/>
      <c r="N1385" s="177"/>
      <c r="O1385" s="169"/>
      <c r="P1385" s="169"/>
      <c r="Q1385" s="169"/>
      <c r="R1385" s="169"/>
      <c r="S1385" s="169"/>
      <c r="T1385" s="169"/>
      <c r="U1385" s="169"/>
      <c r="V1385" s="169"/>
      <c r="W1385" s="169"/>
      <c r="X1385" s="169"/>
      <c r="Y1385" s="169"/>
      <c r="Z1385" s="178"/>
      <c r="AA1385" s="167"/>
      <c r="AB1385" s="169"/>
      <c r="AC1385" s="169"/>
      <c r="AD1385" s="169"/>
      <c r="AE1385" s="169"/>
      <c r="AF1385" s="169"/>
      <c r="AG1385" s="179"/>
      <c r="AH1385" s="169"/>
      <c r="AI1385" s="168"/>
      <c r="AJ1385" s="167"/>
      <c r="AK1385" s="168"/>
      <c r="AL1385" s="169"/>
      <c r="AM1385" s="509"/>
      <c r="AN1385" s="510"/>
      <c r="AO1385" s="510"/>
    </row>
    <row r="1386" spans="1:41">
      <c r="A1386" s="177"/>
      <c r="B1386" s="169"/>
      <c r="C1386" s="169"/>
      <c r="D1386" s="169"/>
      <c r="E1386" s="169"/>
      <c r="F1386" s="169"/>
      <c r="G1386" s="169"/>
      <c r="H1386" s="169"/>
      <c r="I1386" s="169"/>
      <c r="J1386" s="169"/>
      <c r="K1386" s="169"/>
      <c r="L1386" s="169"/>
      <c r="M1386" s="169"/>
      <c r="N1386" s="177"/>
      <c r="O1386" s="169"/>
      <c r="P1386" s="169"/>
      <c r="Q1386" s="169"/>
      <c r="R1386" s="169"/>
      <c r="S1386" s="169"/>
      <c r="T1386" s="169"/>
      <c r="U1386" s="169"/>
      <c r="V1386" s="169"/>
      <c r="W1386" s="169"/>
      <c r="X1386" s="169"/>
      <c r="Y1386" s="169"/>
      <c r="Z1386" s="178"/>
      <c r="AA1386" s="167"/>
      <c r="AB1386" s="169"/>
      <c r="AC1386" s="169"/>
      <c r="AD1386" s="169"/>
      <c r="AE1386" s="169"/>
      <c r="AF1386" s="169"/>
      <c r="AG1386" s="179"/>
      <c r="AH1386" s="169"/>
      <c r="AI1386" s="168"/>
      <c r="AJ1386" s="167"/>
      <c r="AK1386" s="168"/>
      <c r="AL1386" s="169"/>
      <c r="AM1386" s="509"/>
      <c r="AN1386" s="510"/>
      <c r="AO1386" s="510"/>
    </row>
    <row r="1387" spans="1:41">
      <c r="A1387" s="177"/>
      <c r="B1387" s="169"/>
      <c r="C1387" s="169"/>
      <c r="D1387" s="169"/>
      <c r="E1387" s="169"/>
      <c r="F1387" s="169"/>
      <c r="G1387" s="169"/>
      <c r="H1387" s="169"/>
      <c r="I1387" s="169"/>
      <c r="J1387" s="169"/>
      <c r="K1387" s="169"/>
      <c r="L1387" s="169"/>
      <c r="M1387" s="169"/>
      <c r="N1387" s="177"/>
      <c r="O1387" s="169"/>
      <c r="P1387" s="169"/>
      <c r="Q1387" s="169"/>
      <c r="R1387" s="169"/>
      <c r="S1387" s="169"/>
      <c r="T1387" s="169"/>
      <c r="U1387" s="169"/>
      <c r="V1387" s="169"/>
      <c r="W1387" s="169"/>
      <c r="X1387" s="169"/>
      <c r="Y1387" s="169"/>
      <c r="Z1387" s="178"/>
      <c r="AA1387" s="167"/>
      <c r="AB1387" s="169"/>
      <c r="AC1387" s="169"/>
      <c r="AD1387" s="169"/>
      <c r="AE1387" s="169"/>
      <c r="AF1387" s="169"/>
      <c r="AG1387" s="179"/>
      <c r="AH1387" s="169"/>
      <c r="AI1387" s="168"/>
      <c r="AJ1387" s="167"/>
      <c r="AK1387" s="168"/>
      <c r="AL1387" s="169"/>
      <c r="AM1387" s="509"/>
      <c r="AN1387" s="510"/>
      <c r="AO1387" s="510"/>
    </row>
    <row r="1388" spans="1:41">
      <c r="A1388" s="177"/>
      <c r="B1388" s="169"/>
      <c r="C1388" s="169"/>
      <c r="D1388" s="169"/>
      <c r="E1388" s="169"/>
      <c r="F1388" s="169"/>
      <c r="G1388" s="169"/>
      <c r="H1388" s="169"/>
      <c r="I1388" s="169"/>
      <c r="J1388" s="169"/>
      <c r="K1388" s="169"/>
      <c r="L1388" s="169"/>
      <c r="M1388" s="169"/>
      <c r="N1388" s="177"/>
      <c r="O1388" s="169"/>
      <c r="P1388" s="169"/>
      <c r="Q1388" s="169"/>
      <c r="R1388" s="169"/>
      <c r="S1388" s="169"/>
      <c r="T1388" s="169"/>
      <c r="U1388" s="169"/>
      <c r="V1388" s="169"/>
      <c r="W1388" s="169"/>
      <c r="X1388" s="169"/>
      <c r="Y1388" s="169"/>
      <c r="Z1388" s="178"/>
      <c r="AA1388" s="167"/>
      <c r="AB1388" s="169"/>
      <c r="AC1388" s="169"/>
      <c r="AD1388" s="169"/>
      <c r="AE1388" s="169"/>
      <c r="AF1388" s="169"/>
      <c r="AG1388" s="179"/>
      <c r="AH1388" s="169"/>
      <c r="AI1388" s="168"/>
      <c r="AJ1388" s="167"/>
      <c r="AK1388" s="168"/>
      <c r="AL1388" s="169"/>
      <c r="AM1388" s="509"/>
      <c r="AN1388" s="510"/>
      <c r="AO1388" s="510"/>
    </row>
    <row r="1389" spans="1:41">
      <c r="A1389" s="177"/>
      <c r="B1389" s="169"/>
      <c r="C1389" s="169"/>
      <c r="D1389" s="169"/>
      <c r="E1389" s="169"/>
      <c r="F1389" s="169"/>
      <c r="G1389" s="169"/>
      <c r="H1389" s="169"/>
      <c r="I1389" s="169"/>
      <c r="J1389" s="169"/>
      <c r="K1389" s="169"/>
      <c r="L1389" s="169"/>
      <c r="M1389" s="169"/>
      <c r="N1389" s="177"/>
      <c r="O1389" s="169"/>
      <c r="P1389" s="169"/>
      <c r="Q1389" s="169"/>
      <c r="R1389" s="169"/>
      <c r="S1389" s="169"/>
      <c r="T1389" s="169"/>
      <c r="U1389" s="169"/>
      <c r="V1389" s="169"/>
      <c r="W1389" s="169"/>
      <c r="X1389" s="169"/>
      <c r="Y1389" s="169"/>
      <c r="Z1389" s="178"/>
      <c r="AA1389" s="167"/>
      <c r="AB1389" s="169"/>
      <c r="AC1389" s="169"/>
      <c r="AD1389" s="169"/>
      <c r="AE1389" s="169"/>
      <c r="AF1389" s="169"/>
      <c r="AG1389" s="179"/>
      <c r="AH1389" s="169"/>
      <c r="AI1389" s="168"/>
      <c r="AJ1389" s="167"/>
      <c r="AK1389" s="168"/>
      <c r="AL1389" s="169"/>
      <c r="AM1389" s="509"/>
      <c r="AN1389" s="510"/>
      <c r="AO1389" s="510"/>
    </row>
    <row r="1390" spans="1:41">
      <c r="A1390" s="177"/>
      <c r="B1390" s="169"/>
      <c r="C1390" s="169"/>
      <c r="D1390" s="169"/>
      <c r="E1390" s="169"/>
      <c r="F1390" s="169"/>
      <c r="G1390" s="169"/>
      <c r="H1390" s="169"/>
      <c r="I1390" s="169"/>
      <c r="J1390" s="169"/>
      <c r="K1390" s="169"/>
      <c r="L1390" s="169"/>
      <c r="M1390" s="169"/>
      <c r="N1390" s="177"/>
      <c r="O1390" s="169"/>
      <c r="P1390" s="169"/>
      <c r="Q1390" s="169"/>
      <c r="R1390" s="169"/>
      <c r="S1390" s="169"/>
      <c r="T1390" s="169"/>
      <c r="U1390" s="169"/>
      <c r="V1390" s="169"/>
      <c r="W1390" s="169"/>
      <c r="X1390" s="169"/>
      <c r="Y1390" s="169"/>
      <c r="Z1390" s="178"/>
      <c r="AA1390" s="167"/>
      <c r="AB1390" s="169"/>
      <c r="AC1390" s="169"/>
      <c r="AD1390" s="169"/>
      <c r="AE1390" s="169"/>
      <c r="AF1390" s="169"/>
      <c r="AG1390" s="179"/>
      <c r="AH1390" s="169"/>
      <c r="AI1390" s="168"/>
      <c r="AJ1390" s="167"/>
      <c r="AK1390" s="168"/>
      <c r="AL1390" s="169"/>
      <c r="AM1390" s="509"/>
      <c r="AN1390" s="510"/>
      <c r="AO1390" s="510"/>
    </row>
    <row r="1391" spans="1:41">
      <c r="A1391" s="177"/>
      <c r="B1391" s="169"/>
      <c r="C1391" s="169"/>
      <c r="D1391" s="169"/>
      <c r="E1391" s="169"/>
      <c r="F1391" s="169"/>
      <c r="G1391" s="169"/>
      <c r="H1391" s="169"/>
      <c r="I1391" s="169"/>
      <c r="J1391" s="169"/>
      <c r="K1391" s="169"/>
      <c r="L1391" s="169"/>
      <c r="M1391" s="169"/>
      <c r="N1391" s="177"/>
      <c r="O1391" s="169"/>
      <c r="P1391" s="169"/>
      <c r="Q1391" s="169"/>
      <c r="R1391" s="169"/>
      <c r="S1391" s="169"/>
      <c r="T1391" s="169"/>
      <c r="U1391" s="169"/>
      <c r="V1391" s="169"/>
      <c r="W1391" s="169"/>
      <c r="X1391" s="169"/>
      <c r="Y1391" s="169"/>
      <c r="Z1391" s="178"/>
      <c r="AA1391" s="167"/>
      <c r="AB1391" s="169"/>
      <c r="AC1391" s="169"/>
      <c r="AD1391" s="169"/>
      <c r="AE1391" s="169"/>
      <c r="AF1391" s="169"/>
      <c r="AG1391" s="179"/>
      <c r="AH1391" s="169"/>
      <c r="AI1391" s="168"/>
      <c r="AJ1391" s="167"/>
      <c r="AK1391" s="168"/>
      <c r="AL1391" s="169"/>
      <c r="AM1391" s="509"/>
      <c r="AN1391" s="510"/>
      <c r="AO1391" s="510"/>
    </row>
    <row r="1392" spans="1:41">
      <c r="A1392" s="177"/>
      <c r="B1392" s="169"/>
      <c r="C1392" s="169"/>
      <c r="D1392" s="169"/>
      <c r="E1392" s="169"/>
      <c r="F1392" s="169"/>
      <c r="G1392" s="169"/>
      <c r="H1392" s="169"/>
      <c r="I1392" s="169"/>
      <c r="J1392" s="169"/>
      <c r="K1392" s="169"/>
      <c r="L1392" s="169"/>
      <c r="M1392" s="169"/>
      <c r="N1392" s="177"/>
      <c r="O1392" s="169"/>
      <c r="P1392" s="169"/>
      <c r="Q1392" s="169"/>
      <c r="R1392" s="169"/>
      <c r="S1392" s="169"/>
      <c r="T1392" s="169"/>
      <c r="U1392" s="169"/>
      <c r="V1392" s="169"/>
      <c r="W1392" s="169"/>
      <c r="X1392" s="169"/>
      <c r="Y1392" s="169"/>
      <c r="Z1392" s="178"/>
      <c r="AA1392" s="167"/>
      <c r="AB1392" s="169"/>
      <c r="AC1392" s="169"/>
      <c r="AD1392" s="169"/>
      <c r="AE1392" s="169"/>
      <c r="AF1392" s="169"/>
      <c r="AG1392" s="179"/>
      <c r="AH1392" s="169"/>
      <c r="AI1392" s="168"/>
      <c r="AJ1392" s="167"/>
      <c r="AK1392" s="168"/>
      <c r="AL1392" s="169"/>
      <c r="AM1392" s="509"/>
      <c r="AN1392" s="510"/>
      <c r="AO1392" s="510"/>
    </row>
    <row r="1393" spans="1:41">
      <c r="A1393" s="177"/>
      <c r="B1393" s="169"/>
      <c r="C1393" s="169"/>
      <c r="D1393" s="169"/>
      <c r="E1393" s="169"/>
      <c r="F1393" s="169"/>
      <c r="G1393" s="169"/>
      <c r="H1393" s="169"/>
      <c r="I1393" s="169"/>
      <c r="J1393" s="169"/>
      <c r="K1393" s="169"/>
      <c r="L1393" s="169"/>
      <c r="M1393" s="169"/>
      <c r="N1393" s="177"/>
      <c r="O1393" s="169"/>
      <c r="P1393" s="169"/>
      <c r="Q1393" s="169"/>
      <c r="R1393" s="169"/>
      <c r="S1393" s="169"/>
      <c r="T1393" s="169"/>
      <c r="U1393" s="169"/>
      <c r="V1393" s="169"/>
      <c r="W1393" s="169"/>
      <c r="X1393" s="169"/>
      <c r="Y1393" s="169"/>
      <c r="Z1393" s="178"/>
      <c r="AA1393" s="167"/>
      <c r="AB1393" s="169"/>
      <c r="AC1393" s="169"/>
      <c r="AD1393" s="169"/>
      <c r="AE1393" s="169"/>
      <c r="AF1393" s="169"/>
      <c r="AG1393" s="179"/>
      <c r="AH1393" s="169"/>
      <c r="AI1393" s="168"/>
      <c r="AJ1393" s="167"/>
      <c r="AK1393" s="168"/>
      <c r="AL1393" s="169"/>
      <c r="AM1393" s="509"/>
      <c r="AN1393" s="510"/>
      <c r="AO1393" s="510"/>
    </row>
    <row r="1394" spans="1:41">
      <c r="A1394" s="177"/>
      <c r="B1394" s="169"/>
      <c r="C1394" s="169"/>
      <c r="D1394" s="169"/>
      <c r="E1394" s="169"/>
      <c r="F1394" s="169"/>
      <c r="G1394" s="169"/>
      <c r="H1394" s="169"/>
      <c r="I1394" s="169"/>
      <c r="J1394" s="169"/>
      <c r="K1394" s="169"/>
      <c r="L1394" s="169"/>
      <c r="M1394" s="169"/>
      <c r="N1394" s="177"/>
      <c r="O1394" s="169"/>
      <c r="P1394" s="169"/>
      <c r="Q1394" s="169"/>
      <c r="R1394" s="169"/>
      <c r="S1394" s="169"/>
      <c r="T1394" s="169"/>
      <c r="U1394" s="169"/>
      <c r="V1394" s="169"/>
      <c r="W1394" s="169"/>
      <c r="X1394" s="169"/>
      <c r="Y1394" s="169"/>
      <c r="Z1394" s="178"/>
      <c r="AA1394" s="167"/>
      <c r="AB1394" s="169"/>
      <c r="AC1394" s="169"/>
      <c r="AD1394" s="169"/>
      <c r="AE1394" s="169"/>
      <c r="AF1394" s="169"/>
      <c r="AG1394" s="179"/>
      <c r="AH1394" s="169"/>
      <c r="AI1394" s="168"/>
      <c r="AJ1394" s="167"/>
      <c r="AK1394" s="168"/>
      <c r="AL1394" s="169"/>
      <c r="AM1394" s="509"/>
      <c r="AN1394" s="510"/>
      <c r="AO1394" s="510"/>
    </row>
    <row r="1395" spans="1:41">
      <c r="A1395" s="177"/>
      <c r="B1395" s="169"/>
      <c r="C1395" s="169"/>
      <c r="D1395" s="169"/>
      <c r="E1395" s="169"/>
      <c r="F1395" s="169"/>
      <c r="G1395" s="169"/>
      <c r="H1395" s="169"/>
      <c r="I1395" s="169"/>
      <c r="J1395" s="169"/>
      <c r="K1395" s="169"/>
      <c r="L1395" s="169"/>
      <c r="M1395" s="169"/>
      <c r="N1395" s="177"/>
      <c r="O1395" s="169"/>
      <c r="P1395" s="169"/>
      <c r="Q1395" s="169"/>
      <c r="R1395" s="169"/>
      <c r="S1395" s="169"/>
      <c r="T1395" s="169"/>
      <c r="U1395" s="169"/>
      <c r="V1395" s="169"/>
      <c r="W1395" s="169"/>
      <c r="X1395" s="169"/>
      <c r="Y1395" s="169"/>
      <c r="Z1395" s="178"/>
      <c r="AA1395" s="167"/>
      <c r="AB1395" s="169"/>
      <c r="AC1395" s="169"/>
      <c r="AD1395" s="169"/>
      <c r="AE1395" s="169"/>
      <c r="AF1395" s="169"/>
      <c r="AG1395" s="179"/>
      <c r="AH1395" s="169"/>
      <c r="AI1395" s="168"/>
      <c r="AJ1395" s="167"/>
      <c r="AK1395" s="168"/>
      <c r="AL1395" s="169"/>
      <c r="AM1395" s="509"/>
      <c r="AN1395" s="510"/>
      <c r="AO1395" s="510"/>
    </row>
    <row r="1396" spans="1:41">
      <c r="A1396" s="177"/>
      <c r="B1396" s="169"/>
      <c r="C1396" s="169"/>
      <c r="D1396" s="169"/>
      <c r="E1396" s="169"/>
      <c r="F1396" s="169"/>
      <c r="G1396" s="169"/>
      <c r="H1396" s="169"/>
      <c r="I1396" s="169"/>
      <c r="J1396" s="169"/>
      <c r="K1396" s="169"/>
      <c r="L1396" s="169"/>
      <c r="M1396" s="169"/>
      <c r="N1396" s="177"/>
      <c r="O1396" s="169"/>
      <c r="P1396" s="169"/>
      <c r="Q1396" s="169"/>
      <c r="R1396" s="169"/>
      <c r="S1396" s="169"/>
      <c r="T1396" s="169"/>
      <c r="U1396" s="169"/>
      <c r="V1396" s="169"/>
      <c r="W1396" s="169"/>
      <c r="X1396" s="169"/>
      <c r="Y1396" s="169"/>
      <c r="Z1396" s="178"/>
      <c r="AA1396" s="167"/>
      <c r="AB1396" s="169"/>
      <c r="AC1396" s="169"/>
      <c r="AD1396" s="169"/>
      <c r="AE1396" s="169"/>
      <c r="AF1396" s="169"/>
      <c r="AG1396" s="179"/>
      <c r="AH1396" s="169"/>
      <c r="AI1396" s="168"/>
      <c r="AJ1396" s="167"/>
      <c r="AK1396" s="168"/>
      <c r="AL1396" s="169"/>
      <c r="AM1396" s="509"/>
      <c r="AN1396" s="510"/>
      <c r="AO1396" s="510"/>
    </row>
    <row r="1397" spans="1:41">
      <c r="A1397" s="177"/>
      <c r="B1397" s="169"/>
      <c r="C1397" s="169"/>
      <c r="D1397" s="169"/>
      <c r="E1397" s="169"/>
      <c r="F1397" s="169"/>
      <c r="G1397" s="169"/>
      <c r="H1397" s="169"/>
      <c r="I1397" s="169"/>
      <c r="J1397" s="169"/>
      <c r="K1397" s="169"/>
      <c r="L1397" s="169"/>
      <c r="M1397" s="169"/>
      <c r="N1397" s="177"/>
      <c r="O1397" s="169"/>
      <c r="P1397" s="169"/>
      <c r="Q1397" s="169"/>
      <c r="R1397" s="169"/>
      <c r="S1397" s="169"/>
      <c r="T1397" s="169"/>
      <c r="U1397" s="169"/>
      <c r="V1397" s="169"/>
      <c r="W1397" s="169"/>
      <c r="X1397" s="169"/>
      <c r="Y1397" s="169"/>
      <c r="Z1397" s="178"/>
      <c r="AA1397" s="167"/>
      <c r="AB1397" s="169"/>
      <c r="AC1397" s="169"/>
      <c r="AD1397" s="169"/>
      <c r="AE1397" s="169"/>
      <c r="AF1397" s="169"/>
      <c r="AG1397" s="179"/>
      <c r="AH1397" s="169"/>
      <c r="AI1397" s="168"/>
      <c r="AJ1397" s="167"/>
      <c r="AK1397" s="168"/>
      <c r="AL1397" s="169"/>
      <c r="AM1397" s="509"/>
      <c r="AN1397" s="510"/>
      <c r="AO1397" s="510"/>
    </row>
    <row r="1398" spans="1:41">
      <c r="A1398" s="177"/>
      <c r="B1398" s="169"/>
      <c r="C1398" s="169"/>
      <c r="D1398" s="169"/>
      <c r="E1398" s="169"/>
      <c r="F1398" s="169"/>
      <c r="G1398" s="169"/>
      <c r="H1398" s="169"/>
      <c r="I1398" s="169"/>
      <c r="J1398" s="169"/>
      <c r="K1398" s="169"/>
      <c r="L1398" s="169"/>
      <c r="M1398" s="169"/>
      <c r="N1398" s="177"/>
      <c r="O1398" s="169"/>
      <c r="P1398" s="169"/>
      <c r="Q1398" s="169"/>
      <c r="R1398" s="169"/>
      <c r="S1398" s="169"/>
      <c r="T1398" s="169"/>
      <c r="U1398" s="169"/>
      <c r="V1398" s="169"/>
      <c r="W1398" s="169"/>
      <c r="X1398" s="169"/>
      <c r="Y1398" s="169"/>
      <c r="Z1398" s="178"/>
      <c r="AA1398" s="167"/>
      <c r="AB1398" s="169"/>
      <c r="AC1398" s="169"/>
      <c r="AD1398" s="169"/>
      <c r="AE1398" s="169"/>
      <c r="AF1398" s="169"/>
      <c r="AG1398" s="179"/>
      <c r="AH1398" s="169"/>
      <c r="AI1398" s="168"/>
      <c r="AJ1398" s="167"/>
      <c r="AK1398" s="168"/>
      <c r="AL1398" s="169"/>
      <c r="AM1398" s="509"/>
      <c r="AN1398" s="510"/>
      <c r="AO1398" s="510"/>
    </row>
    <row r="1399" spans="1:41">
      <c r="A1399" s="177"/>
      <c r="B1399" s="169"/>
      <c r="C1399" s="169"/>
      <c r="D1399" s="169"/>
      <c r="E1399" s="169"/>
      <c r="F1399" s="169"/>
      <c r="G1399" s="169"/>
      <c r="H1399" s="169"/>
      <c r="I1399" s="169"/>
      <c r="J1399" s="169"/>
      <c r="K1399" s="169"/>
      <c r="L1399" s="169"/>
      <c r="M1399" s="169"/>
      <c r="N1399" s="177"/>
      <c r="O1399" s="169"/>
      <c r="P1399" s="169"/>
      <c r="Q1399" s="169"/>
      <c r="R1399" s="169"/>
      <c r="S1399" s="169"/>
      <c r="T1399" s="169"/>
      <c r="U1399" s="169"/>
      <c r="V1399" s="169"/>
      <c r="W1399" s="169"/>
      <c r="X1399" s="169"/>
      <c r="Y1399" s="169"/>
      <c r="Z1399" s="178"/>
      <c r="AA1399" s="167"/>
      <c r="AB1399" s="169"/>
      <c r="AC1399" s="169"/>
      <c r="AD1399" s="169"/>
      <c r="AE1399" s="169"/>
      <c r="AF1399" s="169"/>
      <c r="AG1399" s="179"/>
      <c r="AH1399" s="169"/>
      <c r="AI1399" s="168"/>
      <c r="AJ1399" s="167"/>
      <c r="AK1399" s="168"/>
      <c r="AL1399" s="169"/>
      <c r="AM1399" s="509"/>
      <c r="AN1399" s="510"/>
      <c r="AO1399" s="510"/>
    </row>
    <row r="1400" spans="1:41">
      <c r="A1400" s="177"/>
      <c r="B1400" s="169"/>
      <c r="C1400" s="169"/>
      <c r="D1400" s="169"/>
      <c r="E1400" s="169"/>
      <c r="F1400" s="169"/>
      <c r="G1400" s="169"/>
      <c r="H1400" s="169"/>
      <c r="I1400" s="169"/>
      <c r="J1400" s="169"/>
      <c r="K1400" s="169"/>
      <c r="L1400" s="169"/>
      <c r="M1400" s="169"/>
      <c r="N1400" s="177"/>
      <c r="O1400" s="169"/>
      <c r="P1400" s="169"/>
      <c r="Q1400" s="169"/>
      <c r="R1400" s="169"/>
      <c r="S1400" s="169"/>
      <c r="T1400" s="169"/>
      <c r="U1400" s="169"/>
      <c r="V1400" s="169"/>
      <c r="W1400" s="169"/>
      <c r="X1400" s="169"/>
      <c r="Y1400" s="169"/>
      <c r="Z1400" s="178"/>
      <c r="AA1400" s="167"/>
      <c r="AB1400" s="169"/>
      <c r="AC1400" s="169"/>
      <c r="AD1400" s="169"/>
      <c r="AE1400" s="169"/>
      <c r="AF1400" s="169"/>
      <c r="AG1400" s="179"/>
      <c r="AH1400" s="169"/>
      <c r="AI1400" s="168"/>
      <c r="AJ1400" s="167"/>
      <c r="AK1400" s="168"/>
      <c r="AL1400" s="169"/>
      <c r="AM1400" s="509"/>
      <c r="AN1400" s="510"/>
      <c r="AO1400" s="510"/>
    </row>
    <row r="1401" spans="1:41">
      <c r="A1401" s="177"/>
      <c r="B1401" s="169"/>
      <c r="C1401" s="169"/>
      <c r="D1401" s="169"/>
      <c r="E1401" s="169"/>
      <c r="F1401" s="169"/>
      <c r="G1401" s="169"/>
      <c r="H1401" s="169"/>
      <c r="I1401" s="169"/>
      <c r="J1401" s="169"/>
      <c r="K1401" s="169"/>
      <c r="L1401" s="169"/>
      <c r="M1401" s="169"/>
      <c r="N1401" s="177"/>
      <c r="O1401" s="169"/>
      <c r="P1401" s="169"/>
      <c r="Q1401" s="169"/>
      <c r="R1401" s="169"/>
      <c r="S1401" s="169"/>
      <c r="T1401" s="169"/>
      <c r="U1401" s="169"/>
      <c r="V1401" s="169"/>
      <c r="W1401" s="169"/>
      <c r="X1401" s="169"/>
      <c r="Y1401" s="169"/>
      <c r="Z1401" s="178"/>
      <c r="AA1401" s="167"/>
      <c r="AB1401" s="169"/>
      <c r="AC1401" s="169"/>
      <c r="AD1401" s="169"/>
      <c r="AE1401" s="169"/>
      <c r="AF1401" s="169"/>
      <c r="AG1401" s="179"/>
      <c r="AH1401" s="169"/>
      <c r="AI1401" s="168"/>
      <c r="AJ1401" s="167"/>
      <c r="AK1401" s="168"/>
      <c r="AL1401" s="169"/>
      <c r="AM1401" s="509"/>
      <c r="AN1401" s="510"/>
      <c r="AO1401" s="510"/>
    </row>
    <row r="1402" spans="1:41">
      <c r="A1402" s="177"/>
      <c r="B1402" s="169"/>
      <c r="C1402" s="169"/>
      <c r="D1402" s="169"/>
      <c r="E1402" s="169"/>
      <c r="F1402" s="169"/>
      <c r="G1402" s="169"/>
      <c r="H1402" s="169"/>
      <c r="I1402" s="169"/>
      <c r="J1402" s="169"/>
      <c r="K1402" s="169"/>
      <c r="L1402" s="169"/>
      <c r="M1402" s="169"/>
      <c r="N1402" s="177"/>
      <c r="O1402" s="169"/>
      <c r="P1402" s="169"/>
      <c r="Q1402" s="169"/>
      <c r="R1402" s="169"/>
      <c r="S1402" s="169"/>
      <c r="T1402" s="169"/>
      <c r="U1402" s="169"/>
      <c r="V1402" s="169"/>
      <c r="W1402" s="169"/>
      <c r="X1402" s="169"/>
      <c r="Y1402" s="169"/>
      <c r="Z1402" s="178"/>
      <c r="AA1402" s="167"/>
      <c r="AB1402" s="169"/>
      <c r="AC1402" s="169"/>
      <c r="AD1402" s="169"/>
      <c r="AE1402" s="169"/>
      <c r="AF1402" s="169"/>
      <c r="AG1402" s="179"/>
      <c r="AH1402" s="169"/>
      <c r="AI1402" s="168"/>
      <c r="AJ1402" s="167"/>
      <c r="AK1402" s="168"/>
      <c r="AL1402" s="169"/>
      <c r="AM1402" s="509"/>
      <c r="AN1402" s="510"/>
      <c r="AO1402" s="510"/>
    </row>
    <row r="1403" spans="1:41">
      <c r="A1403" s="177"/>
      <c r="B1403" s="169"/>
      <c r="C1403" s="169"/>
      <c r="D1403" s="169"/>
      <c r="E1403" s="169"/>
      <c r="F1403" s="169"/>
      <c r="G1403" s="169"/>
      <c r="H1403" s="169"/>
      <c r="I1403" s="169"/>
      <c r="J1403" s="169"/>
      <c r="K1403" s="169"/>
      <c r="L1403" s="169"/>
      <c r="M1403" s="169"/>
      <c r="N1403" s="177"/>
      <c r="O1403" s="169"/>
      <c r="P1403" s="169"/>
      <c r="Q1403" s="169"/>
      <c r="R1403" s="169"/>
      <c r="S1403" s="169"/>
      <c r="T1403" s="169"/>
      <c r="U1403" s="169"/>
      <c r="V1403" s="169"/>
      <c r="W1403" s="169"/>
      <c r="X1403" s="169"/>
      <c r="Y1403" s="169"/>
      <c r="Z1403" s="178"/>
      <c r="AA1403" s="167"/>
      <c r="AB1403" s="169"/>
      <c r="AC1403" s="169"/>
      <c r="AD1403" s="169"/>
      <c r="AE1403" s="169"/>
      <c r="AF1403" s="169"/>
      <c r="AG1403" s="179"/>
      <c r="AH1403" s="169"/>
      <c r="AI1403" s="168"/>
      <c r="AJ1403" s="167"/>
      <c r="AK1403" s="168"/>
      <c r="AL1403" s="169"/>
      <c r="AM1403" s="509"/>
      <c r="AN1403" s="510"/>
      <c r="AO1403" s="510"/>
    </row>
    <row r="1404" spans="1:41">
      <c r="A1404" s="177"/>
      <c r="B1404" s="169"/>
      <c r="C1404" s="169"/>
      <c r="D1404" s="169"/>
      <c r="E1404" s="169"/>
      <c r="F1404" s="169"/>
      <c r="G1404" s="169"/>
      <c r="H1404" s="169"/>
      <c r="I1404" s="169"/>
      <c r="J1404" s="169"/>
      <c r="K1404" s="169"/>
      <c r="L1404" s="169"/>
      <c r="M1404" s="169"/>
      <c r="N1404" s="177"/>
      <c r="O1404" s="169"/>
      <c r="P1404" s="169"/>
      <c r="Q1404" s="169"/>
      <c r="R1404" s="169"/>
      <c r="S1404" s="169"/>
      <c r="T1404" s="169"/>
      <c r="U1404" s="169"/>
      <c r="V1404" s="169"/>
      <c r="W1404" s="169"/>
      <c r="X1404" s="169"/>
      <c r="Y1404" s="169"/>
      <c r="Z1404" s="178"/>
      <c r="AA1404" s="167"/>
      <c r="AB1404" s="169"/>
      <c r="AC1404" s="169"/>
      <c r="AD1404" s="169"/>
      <c r="AE1404" s="169"/>
      <c r="AF1404" s="169"/>
      <c r="AG1404" s="179"/>
      <c r="AH1404" s="169"/>
      <c r="AI1404" s="168"/>
      <c r="AJ1404" s="167"/>
      <c r="AK1404" s="168"/>
      <c r="AL1404" s="169"/>
      <c r="AM1404" s="509"/>
      <c r="AN1404" s="510"/>
      <c r="AO1404" s="510"/>
    </row>
    <row r="1405" spans="1:41">
      <c r="A1405" s="177"/>
      <c r="B1405" s="169"/>
      <c r="C1405" s="169"/>
      <c r="D1405" s="169"/>
      <c r="E1405" s="169"/>
      <c r="F1405" s="169"/>
      <c r="G1405" s="169"/>
      <c r="H1405" s="169"/>
      <c r="I1405" s="169"/>
      <c r="J1405" s="169"/>
      <c r="K1405" s="169"/>
      <c r="L1405" s="169"/>
      <c r="M1405" s="169"/>
      <c r="N1405" s="177"/>
      <c r="O1405" s="169"/>
      <c r="P1405" s="169"/>
      <c r="Q1405" s="169"/>
      <c r="R1405" s="169"/>
      <c r="S1405" s="169"/>
      <c r="T1405" s="169"/>
      <c r="U1405" s="169"/>
      <c r="V1405" s="169"/>
      <c r="W1405" s="169"/>
      <c r="X1405" s="169"/>
      <c r="Y1405" s="169"/>
      <c r="Z1405" s="178"/>
      <c r="AA1405" s="167"/>
      <c r="AB1405" s="169"/>
      <c r="AC1405" s="169"/>
      <c r="AD1405" s="169"/>
      <c r="AE1405" s="169"/>
      <c r="AF1405" s="169"/>
      <c r="AG1405" s="179"/>
      <c r="AH1405" s="169"/>
      <c r="AI1405" s="168"/>
      <c r="AJ1405" s="167"/>
      <c r="AK1405" s="168"/>
      <c r="AL1405" s="169"/>
      <c r="AM1405" s="509"/>
      <c r="AN1405" s="510"/>
      <c r="AO1405" s="510"/>
    </row>
    <row r="1406" spans="1:41">
      <c r="A1406" s="177"/>
      <c r="B1406" s="169"/>
      <c r="C1406" s="169"/>
      <c r="D1406" s="169"/>
      <c r="E1406" s="169"/>
      <c r="F1406" s="169"/>
      <c r="G1406" s="169"/>
      <c r="H1406" s="169"/>
      <c r="I1406" s="169"/>
      <c r="J1406" s="169"/>
      <c r="K1406" s="169"/>
      <c r="L1406" s="169"/>
      <c r="M1406" s="169"/>
      <c r="N1406" s="177"/>
      <c r="O1406" s="169"/>
      <c r="P1406" s="169"/>
      <c r="Q1406" s="169"/>
      <c r="R1406" s="169"/>
      <c r="S1406" s="169"/>
      <c r="T1406" s="169"/>
      <c r="U1406" s="169"/>
      <c r="V1406" s="169"/>
      <c r="W1406" s="169"/>
      <c r="X1406" s="169"/>
      <c r="Y1406" s="169"/>
      <c r="Z1406" s="178"/>
      <c r="AA1406" s="167"/>
      <c r="AB1406" s="169"/>
      <c r="AC1406" s="169"/>
      <c r="AD1406" s="169"/>
      <c r="AE1406" s="169"/>
      <c r="AF1406" s="169"/>
      <c r="AG1406" s="179"/>
      <c r="AH1406" s="169"/>
      <c r="AI1406" s="168"/>
      <c r="AJ1406" s="167"/>
      <c r="AK1406" s="168"/>
      <c r="AL1406" s="169"/>
      <c r="AM1406" s="509"/>
      <c r="AN1406" s="510"/>
      <c r="AO1406" s="510"/>
    </row>
    <row r="1407" spans="1:41">
      <c r="A1407" s="177"/>
      <c r="B1407" s="169"/>
      <c r="C1407" s="169"/>
      <c r="D1407" s="169"/>
      <c r="E1407" s="169"/>
      <c r="F1407" s="169"/>
      <c r="G1407" s="169"/>
      <c r="H1407" s="169"/>
      <c r="I1407" s="169"/>
      <c r="J1407" s="169"/>
      <c r="K1407" s="169"/>
      <c r="L1407" s="169"/>
      <c r="M1407" s="169"/>
      <c r="N1407" s="177"/>
      <c r="O1407" s="169"/>
      <c r="P1407" s="169"/>
      <c r="Q1407" s="169"/>
      <c r="R1407" s="169"/>
      <c r="S1407" s="169"/>
      <c r="T1407" s="169"/>
      <c r="U1407" s="169"/>
      <c r="V1407" s="169"/>
      <c r="W1407" s="169"/>
      <c r="X1407" s="169"/>
      <c r="Y1407" s="169"/>
      <c r="Z1407" s="178"/>
      <c r="AA1407" s="167"/>
      <c r="AB1407" s="169"/>
      <c r="AC1407" s="169"/>
      <c r="AD1407" s="169"/>
      <c r="AE1407" s="169"/>
      <c r="AF1407" s="169"/>
      <c r="AG1407" s="179"/>
      <c r="AH1407" s="169"/>
      <c r="AI1407" s="168"/>
      <c r="AJ1407" s="167"/>
      <c r="AK1407" s="168"/>
      <c r="AL1407" s="169"/>
      <c r="AM1407" s="509"/>
      <c r="AN1407" s="510"/>
      <c r="AO1407" s="510"/>
    </row>
    <row r="1408" spans="1:41">
      <c r="A1408" s="177"/>
      <c r="B1408" s="169"/>
      <c r="C1408" s="169"/>
      <c r="D1408" s="169"/>
      <c r="E1408" s="169"/>
      <c r="F1408" s="169"/>
      <c r="G1408" s="169"/>
      <c r="H1408" s="169"/>
      <c r="I1408" s="169"/>
      <c r="J1408" s="169"/>
      <c r="K1408" s="169"/>
      <c r="L1408" s="169"/>
      <c r="M1408" s="169"/>
      <c r="N1408" s="177"/>
      <c r="O1408" s="169"/>
      <c r="P1408" s="169"/>
      <c r="Q1408" s="169"/>
      <c r="R1408" s="169"/>
      <c r="S1408" s="169"/>
      <c r="T1408" s="169"/>
      <c r="U1408" s="169"/>
      <c r="V1408" s="169"/>
      <c r="W1408" s="169"/>
      <c r="X1408" s="169"/>
      <c r="Y1408" s="169"/>
      <c r="Z1408" s="178"/>
      <c r="AA1408" s="167"/>
      <c r="AB1408" s="169"/>
      <c r="AC1408" s="169"/>
      <c r="AD1408" s="169"/>
      <c r="AE1408" s="169"/>
      <c r="AF1408" s="169"/>
      <c r="AG1408" s="179"/>
      <c r="AH1408" s="169"/>
      <c r="AI1408" s="168"/>
      <c r="AJ1408" s="167"/>
      <c r="AK1408" s="168"/>
      <c r="AL1408" s="169"/>
      <c r="AM1408" s="509"/>
      <c r="AN1408" s="510"/>
      <c r="AO1408" s="510"/>
    </row>
    <row r="1409" spans="1:41">
      <c r="A1409" s="177"/>
      <c r="B1409" s="169"/>
      <c r="C1409" s="169"/>
      <c r="D1409" s="169"/>
      <c r="E1409" s="169"/>
      <c r="F1409" s="169"/>
      <c r="G1409" s="169"/>
      <c r="H1409" s="169"/>
      <c r="I1409" s="169"/>
      <c r="J1409" s="169"/>
      <c r="K1409" s="169"/>
      <c r="L1409" s="169"/>
      <c r="M1409" s="169"/>
      <c r="N1409" s="177"/>
      <c r="O1409" s="169"/>
      <c r="P1409" s="169"/>
      <c r="Q1409" s="169"/>
      <c r="R1409" s="169"/>
      <c r="S1409" s="169"/>
      <c r="T1409" s="169"/>
      <c r="U1409" s="169"/>
      <c r="V1409" s="169"/>
      <c r="W1409" s="169"/>
      <c r="X1409" s="169"/>
      <c r="Y1409" s="169"/>
      <c r="Z1409" s="178"/>
      <c r="AA1409" s="167"/>
      <c r="AB1409" s="169"/>
      <c r="AC1409" s="169"/>
      <c r="AD1409" s="169"/>
      <c r="AE1409" s="169"/>
      <c r="AF1409" s="169"/>
      <c r="AG1409" s="179"/>
      <c r="AH1409" s="169"/>
      <c r="AI1409" s="168"/>
      <c r="AJ1409" s="167"/>
      <c r="AK1409" s="168"/>
      <c r="AL1409" s="169"/>
      <c r="AM1409" s="509"/>
      <c r="AN1409" s="510"/>
      <c r="AO1409" s="510"/>
    </row>
    <row r="1410" spans="1:41">
      <c r="A1410" s="177"/>
      <c r="B1410" s="169"/>
      <c r="C1410" s="169"/>
      <c r="D1410" s="169"/>
      <c r="E1410" s="169"/>
      <c r="F1410" s="169"/>
      <c r="G1410" s="169"/>
      <c r="H1410" s="169"/>
      <c r="I1410" s="169"/>
      <c r="J1410" s="169"/>
      <c r="K1410" s="169"/>
      <c r="L1410" s="169"/>
      <c r="M1410" s="169"/>
      <c r="N1410" s="177"/>
      <c r="O1410" s="169"/>
      <c r="P1410" s="169"/>
      <c r="Q1410" s="169"/>
      <c r="R1410" s="169"/>
      <c r="S1410" s="169"/>
      <c r="T1410" s="169"/>
      <c r="U1410" s="169"/>
      <c r="V1410" s="169"/>
      <c r="W1410" s="169"/>
      <c r="X1410" s="169"/>
      <c r="Y1410" s="169"/>
      <c r="Z1410" s="178"/>
      <c r="AA1410" s="167"/>
      <c r="AB1410" s="169"/>
      <c r="AC1410" s="169"/>
      <c r="AD1410" s="169"/>
      <c r="AE1410" s="169"/>
      <c r="AF1410" s="169"/>
      <c r="AG1410" s="179"/>
      <c r="AH1410" s="169"/>
      <c r="AI1410" s="168"/>
      <c r="AJ1410" s="167"/>
      <c r="AK1410" s="168"/>
      <c r="AL1410" s="169"/>
      <c r="AM1410" s="509"/>
      <c r="AN1410" s="510"/>
      <c r="AO1410" s="510"/>
    </row>
    <row r="1411" spans="1:41">
      <c r="A1411" s="177"/>
      <c r="B1411" s="169"/>
      <c r="C1411" s="169"/>
      <c r="D1411" s="169"/>
      <c r="E1411" s="169"/>
      <c r="F1411" s="169"/>
      <c r="G1411" s="169"/>
      <c r="H1411" s="169"/>
      <c r="I1411" s="169"/>
      <c r="J1411" s="169"/>
      <c r="K1411" s="169"/>
      <c r="L1411" s="169"/>
      <c r="M1411" s="169"/>
      <c r="N1411" s="177"/>
      <c r="O1411" s="169"/>
      <c r="P1411" s="169"/>
      <c r="Q1411" s="169"/>
      <c r="R1411" s="169"/>
      <c r="S1411" s="169"/>
      <c r="T1411" s="169"/>
      <c r="U1411" s="169"/>
      <c r="V1411" s="169"/>
      <c r="W1411" s="169"/>
      <c r="X1411" s="169"/>
      <c r="Y1411" s="169"/>
      <c r="Z1411" s="178"/>
      <c r="AA1411" s="167"/>
      <c r="AB1411" s="169"/>
      <c r="AC1411" s="169"/>
      <c r="AD1411" s="169"/>
      <c r="AE1411" s="169"/>
      <c r="AF1411" s="169"/>
      <c r="AG1411" s="179"/>
      <c r="AH1411" s="169"/>
      <c r="AI1411" s="168"/>
      <c r="AJ1411" s="167"/>
      <c r="AK1411" s="168"/>
      <c r="AL1411" s="169"/>
      <c r="AM1411" s="509"/>
      <c r="AN1411" s="510"/>
      <c r="AO1411" s="510"/>
    </row>
    <row r="1412" spans="1:41">
      <c r="A1412" s="177"/>
      <c r="B1412" s="169"/>
      <c r="C1412" s="169"/>
      <c r="D1412" s="169"/>
      <c r="E1412" s="169"/>
      <c r="F1412" s="169"/>
      <c r="G1412" s="169"/>
      <c r="H1412" s="169"/>
      <c r="I1412" s="169"/>
      <c r="J1412" s="169"/>
      <c r="K1412" s="169"/>
      <c r="L1412" s="169"/>
      <c r="M1412" s="169"/>
      <c r="N1412" s="177"/>
      <c r="O1412" s="169"/>
      <c r="P1412" s="169"/>
      <c r="Q1412" s="169"/>
      <c r="R1412" s="169"/>
      <c r="S1412" s="169"/>
      <c r="T1412" s="169"/>
      <c r="U1412" s="169"/>
      <c r="V1412" s="169"/>
      <c r="W1412" s="169"/>
      <c r="X1412" s="169"/>
      <c r="Y1412" s="169"/>
      <c r="Z1412" s="178"/>
      <c r="AA1412" s="167"/>
      <c r="AB1412" s="169"/>
      <c r="AC1412" s="169"/>
      <c r="AD1412" s="169"/>
      <c r="AE1412" s="169"/>
      <c r="AF1412" s="169"/>
      <c r="AG1412" s="179"/>
      <c r="AH1412" s="169"/>
      <c r="AI1412" s="168"/>
      <c r="AJ1412" s="167"/>
      <c r="AK1412" s="168"/>
      <c r="AL1412" s="169"/>
      <c r="AM1412" s="509"/>
      <c r="AN1412" s="510"/>
      <c r="AO1412" s="510"/>
    </row>
    <row r="1413" spans="1:41">
      <c r="A1413" s="177"/>
      <c r="B1413" s="169"/>
      <c r="C1413" s="169"/>
      <c r="D1413" s="169"/>
      <c r="E1413" s="169"/>
      <c r="F1413" s="169"/>
      <c r="G1413" s="169"/>
      <c r="H1413" s="169"/>
      <c r="I1413" s="169"/>
      <c r="J1413" s="169"/>
      <c r="K1413" s="169"/>
      <c r="L1413" s="169"/>
      <c r="M1413" s="169"/>
      <c r="N1413" s="177"/>
      <c r="O1413" s="169"/>
      <c r="P1413" s="169"/>
      <c r="Q1413" s="169"/>
      <c r="R1413" s="169"/>
      <c r="S1413" s="169"/>
      <c r="T1413" s="169"/>
      <c r="U1413" s="169"/>
      <c r="V1413" s="169"/>
      <c r="W1413" s="169"/>
      <c r="X1413" s="169"/>
      <c r="Y1413" s="169"/>
      <c r="Z1413" s="178"/>
      <c r="AA1413" s="167"/>
      <c r="AB1413" s="169"/>
      <c r="AC1413" s="169"/>
      <c r="AD1413" s="169"/>
      <c r="AE1413" s="169"/>
      <c r="AF1413" s="169"/>
      <c r="AG1413" s="179"/>
      <c r="AH1413" s="169"/>
      <c r="AI1413" s="168"/>
      <c r="AJ1413" s="167"/>
      <c r="AK1413" s="168"/>
      <c r="AL1413" s="169"/>
      <c r="AM1413" s="509"/>
      <c r="AN1413" s="510"/>
      <c r="AO1413" s="510"/>
    </row>
    <row r="1414" spans="1:41">
      <c r="A1414" s="177"/>
      <c r="B1414" s="169"/>
      <c r="C1414" s="169"/>
      <c r="D1414" s="169"/>
      <c r="E1414" s="169"/>
      <c r="F1414" s="169"/>
      <c r="G1414" s="169"/>
      <c r="H1414" s="169"/>
      <c r="I1414" s="169"/>
      <c r="J1414" s="169"/>
      <c r="K1414" s="169"/>
      <c r="L1414" s="169"/>
      <c r="M1414" s="169"/>
      <c r="N1414" s="177"/>
      <c r="O1414" s="169"/>
      <c r="P1414" s="169"/>
      <c r="Q1414" s="169"/>
      <c r="R1414" s="169"/>
      <c r="S1414" s="169"/>
      <c r="T1414" s="169"/>
      <c r="U1414" s="169"/>
      <c r="V1414" s="169"/>
      <c r="W1414" s="169"/>
      <c r="X1414" s="169"/>
      <c r="Y1414" s="169"/>
      <c r="Z1414" s="178"/>
      <c r="AA1414" s="167"/>
      <c r="AB1414" s="169"/>
      <c r="AC1414" s="169"/>
      <c r="AD1414" s="169"/>
      <c r="AE1414" s="169"/>
      <c r="AF1414" s="169"/>
      <c r="AG1414" s="179"/>
      <c r="AH1414" s="169"/>
      <c r="AI1414" s="168"/>
      <c r="AJ1414" s="167"/>
      <c r="AK1414" s="168"/>
      <c r="AL1414" s="169"/>
      <c r="AM1414" s="509"/>
      <c r="AN1414" s="510"/>
      <c r="AO1414" s="510"/>
    </row>
    <row r="1415" spans="1:41">
      <c r="A1415" s="177"/>
      <c r="B1415" s="169"/>
      <c r="C1415" s="169"/>
      <c r="D1415" s="169"/>
      <c r="E1415" s="169"/>
      <c r="F1415" s="169"/>
      <c r="G1415" s="169"/>
      <c r="H1415" s="169"/>
      <c r="I1415" s="169"/>
      <c r="J1415" s="169"/>
      <c r="K1415" s="169"/>
      <c r="L1415" s="169"/>
      <c r="M1415" s="169"/>
      <c r="N1415" s="177"/>
      <c r="O1415" s="169"/>
      <c r="P1415" s="169"/>
      <c r="Q1415" s="169"/>
      <c r="R1415" s="169"/>
      <c r="S1415" s="169"/>
      <c r="T1415" s="169"/>
      <c r="U1415" s="169"/>
      <c r="V1415" s="169"/>
      <c r="W1415" s="169"/>
      <c r="X1415" s="169"/>
      <c r="Y1415" s="169"/>
      <c r="Z1415" s="178"/>
      <c r="AA1415" s="167"/>
      <c r="AB1415" s="169"/>
      <c r="AC1415" s="169"/>
      <c r="AD1415" s="169"/>
      <c r="AE1415" s="169"/>
      <c r="AF1415" s="169"/>
      <c r="AG1415" s="179"/>
      <c r="AH1415" s="169"/>
      <c r="AI1415" s="168"/>
      <c r="AJ1415" s="167"/>
      <c r="AK1415" s="168"/>
      <c r="AL1415" s="169"/>
      <c r="AM1415" s="509"/>
      <c r="AN1415" s="510"/>
      <c r="AO1415" s="510"/>
    </row>
    <row r="1416" spans="1:41">
      <c r="A1416" s="177"/>
      <c r="B1416" s="169"/>
      <c r="C1416" s="169"/>
      <c r="D1416" s="169"/>
      <c r="E1416" s="169"/>
      <c r="F1416" s="169"/>
      <c r="G1416" s="169"/>
      <c r="H1416" s="169"/>
      <c r="I1416" s="169"/>
      <c r="J1416" s="169"/>
      <c r="K1416" s="169"/>
      <c r="L1416" s="169"/>
      <c r="M1416" s="169"/>
      <c r="N1416" s="177"/>
      <c r="O1416" s="169"/>
      <c r="P1416" s="169"/>
      <c r="Q1416" s="169"/>
      <c r="R1416" s="169"/>
      <c r="S1416" s="169"/>
      <c r="T1416" s="169"/>
      <c r="U1416" s="169"/>
      <c r="V1416" s="169"/>
      <c r="W1416" s="169"/>
      <c r="X1416" s="169"/>
      <c r="Y1416" s="169"/>
      <c r="Z1416" s="178"/>
      <c r="AA1416" s="167"/>
      <c r="AB1416" s="169"/>
      <c r="AC1416" s="169"/>
      <c r="AD1416" s="169"/>
      <c r="AE1416" s="169"/>
      <c r="AF1416" s="169"/>
      <c r="AG1416" s="179"/>
      <c r="AH1416" s="169"/>
      <c r="AI1416" s="168"/>
      <c r="AJ1416" s="167"/>
      <c r="AK1416" s="168"/>
      <c r="AL1416" s="169"/>
      <c r="AM1416" s="509"/>
      <c r="AN1416" s="510"/>
      <c r="AO1416" s="510"/>
    </row>
    <row r="1417" spans="1:41">
      <c r="A1417" s="177"/>
      <c r="B1417" s="169"/>
      <c r="C1417" s="169"/>
      <c r="D1417" s="169"/>
      <c r="E1417" s="169"/>
      <c r="F1417" s="169"/>
      <c r="G1417" s="169"/>
      <c r="H1417" s="169"/>
      <c r="I1417" s="169"/>
      <c r="J1417" s="169"/>
      <c r="K1417" s="169"/>
      <c r="L1417" s="169"/>
      <c r="M1417" s="169"/>
      <c r="N1417" s="177"/>
      <c r="O1417" s="169"/>
      <c r="P1417" s="169"/>
      <c r="Q1417" s="169"/>
      <c r="R1417" s="169"/>
      <c r="S1417" s="169"/>
      <c r="T1417" s="169"/>
      <c r="U1417" s="169"/>
      <c r="V1417" s="169"/>
      <c r="W1417" s="169"/>
      <c r="X1417" s="169"/>
      <c r="Y1417" s="169"/>
      <c r="Z1417" s="178"/>
      <c r="AA1417" s="167"/>
      <c r="AB1417" s="169"/>
      <c r="AC1417" s="169"/>
      <c r="AD1417" s="169"/>
      <c r="AE1417" s="169"/>
      <c r="AF1417" s="169"/>
      <c r="AG1417" s="179"/>
      <c r="AH1417" s="169"/>
      <c r="AI1417" s="168"/>
      <c r="AJ1417" s="167"/>
      <c r="AK1417" s="168"/>
      <c r="AL1417" s="169"/>
      <c r="AM1417" s="509"/>
      <c r="AN1417" s="510"/>
      <c r="AO1417" s="510"/>
    </row>
    <row r="1418" spans="1:41">
      <c r="A1418" s="177"/>
      <c r="B1418" s="169"/>
      <c r="C1418" s="169"/>
      <c r="D1418" s="169"/>
      <c r="E1418" s="169"/>
      <c r="F1418" s="169"/>
      <c r="G1418" s="169"/>
      <c r="H1418" s="169"/>
      <c r="I1418" s="169"/>
      <c r="J1418" s="169"/>
      <c r="K1418" s="169"/>
      <c r="L1418" s="169"/>
      <c r="M1418" s="169"/>
      <c r="N1418" s="177"/>
      <c r="O1418" s="169"/>
      <c r="P1418" s="169"/>
      <c r="Q1418" s="169"/>
      <c r="R1418" s="169"/>
      <c r="S1418" s="169"/>
      <c r="T1418" s="169"/>
      <c r="U1418" s="169"/>
      <c r="V1418" s="169"/>
      <c r="W1418" s="169"/>
      <c r="X1418" s="169"/>
      <c r="Y1418" s="169"/>
      <c r="Z1418" s="178"/>
      <c r="AA1418" s="167"/>
      <c r="AB1418" s="169"/>
      <c r="AC1418" s="169"/>
      <c r="AD1418" s="169"/>
      <c r="AE1418" s="169"/>
      <c r="AF1418" s="169"/>
      <c r="AG1418" s="179"/>
      <c r="AH1418" s="169"/>
      <c r="AI1418" s="168"/>
      <c r="AJ1418" s="167"/>
      <c r="AK1418" s="168"/>
      <c r="AL1418" s="169"/>
      <c r="AM1418" s="509"/>
      <c r="AN1418" s="510"/>
      <c r="AO1418" s="510"/>
    </row>
    <row r="1419" spans="1:41">
      <c r="A1419" s="177"/>
      <c r="B1419" s="169"/>
      <c r="C1419" s="169"/>
      <c r="D1419" s="169"/>
      <c r="E1419" s="169"/>
      <c r="F1419" s="169"/>
      <c r="G1419" s="169"/>
      <c r="H1419" s="169"/>
      <c r="I1419" s="169"/>
      <c r="J1419" s="169"/>
      <c r="K1419" s="169"/>
      <c r="L1419" s="169"/>
      <c r="M1419" s="169"/>
      <c r="N1419" s="177"/>
      <c r="O1419" s="169"/>
      <c r="P1419" s="169"/>
      <c r="Q1419" s="169"/>
      <c r="R1419" s="169"/>
      <c r="S1419" s="169"/>
      <c r="T1419" s="169"/>
      <c r="U1419" s="169"/>
      <c r="V1419" s="169"/>
      <c r="W1419" s="169"/>
      <c r="X1419" s="169"/>
      <c r="Y1419" s="169"/>
      <c r="Z1419" s="178"/>
      <c r="AA1419" s="167"/>
      <c r="AB1419" s="169"/>
      <c r="AC1419" s="169"/>
      <c r="AD1419" s="169"/>
      <c r="AE1419" s="169"/>
      <c r="AF1419" s="169"/>
      <c r="AG1419" s="179"/>
      <c r="AH1419" s="169"/>
      <c r="AI1419" s="168"/>
      <c r="AJ1419" s="167"/>
      <c r="AK1419" s="168"/>
      <c r="AL1419" s="169"/>
      <c r="AM1419" s="509"/>
      <c r="AN1419" s="510"/>
      <c r="AO1419" s="510"/>
    </row>
    <row r="1420" spans="1:41">
      <c r="A1420" s="177"/>
      <c r="B1420" s="169"/>
      <c r="C1420" s="169"/>
      <c r="D1420" s="169"/>
      <c r="E1420" s="169"/>
      <c r="F1420" s="169"/>
      <c r="G1420" s="169"/>
      <c r="H1420" s="169"/>
      <c r="I1420" s="169"/>
      <c r="J1420" s="169"/>
      <c r="K1420" s="169"/>
      <c r="L1420" s="169"/>
      <c r="M1420" s="169"/>
      <c r="N1420" s="177"/>
      <c r="O1420" s="169"/>
      <c r="P1420" s="169"/>
      <c r="Q1420" s="169"/>
      <c r="R1420" s="169"/>
      <c r="S1420" s="169"/>
      <c r="T1420" s="169"/>
      <c r="U1420" s="169"/>
      <c r="V1420" s="169"/>
      <c r="W1420" s="169"/>
      <c r="X1420" s="169"/>
      <c r="Y1420" s="169"/>
      <c r="Z1420" s="178"/>
      <c r="AA1420" s="167"/>
      <c r="AB1420" s="169"/>
      <c r="AC1420" s="169"/>
      <c r="AD1420" s="169"/>
      <c r="AE1420" s="169"/>
      <c r="AF1420" s="169"/>
      <c r="AG1420" s="179"/>
      <c r="AH1420" s="169"/>
      <c r="AI1420" s="168"/>
      <c r="AJ1420" s="167"/>
      <c r="AK1420" s="168"/>
      <c r="AL1420" s="169"/>
      <c r="AM1420" s="509"/>
      <c r="AN1420" s="510"/>
      <c r="AO1420" s="510"/>
    </row>
    <row r="1421" spans="1:41">
      <c r="A1421" s="177"/>
      <c r="B1421" s="169"/>
      <c r="C1421" s="169"/>
      <c r="D1421" s="169"/>
      <c r="E1421" s="169"/>
      <c r="F1421" s="169"/>
      <c r="G1421" s="169"/>
      <c r="H1421" s="169"/>
      <c r="I1421" s="169"/>
      <c r="J1421" s="169"/>
      <c r="K1421" s="169"/>
      <c r="L1421" s="169"/>
      <c r="M1421" s="169"/>
      <c r="N1421" s="177"/>
      <c r="O1421" s="169"/>
      <c r="P1421" s="169"/>
      <c r="Q1421" s="169"/>
      <c r="R1421" s="169"/>
      <c r="S1421" s="169"/>
      <c r="T1421" s="169"/>
      <c r="U1421" s="169"/>
      <c r="V1421" s="169"/>
      <c r="W1421" s="169"/>
      <c r="X1421" s="169"/>
      <c r="Y1421" s="169"/>
      <c r="Z1421" s="178"/>
      <c r="AA1421" s="167"/>
      <c r="AB1421" s="169"/>
      <c r="AC1421" s="169"/>
      <c r="AD1421" s="169"/>
      <c r="AE1421" s="169"/>
      <c r="AF1421" s="169"/>
      <c r="AG1421" s="179"/>
      <c r="AH1421" s="169"/>
      <c r="AI1421" s="168"/>
      <c r="AJ1421" s="167"/>
      <c r="AK1421" s="168"/>
      <c r="AL1421" s="169"/>
      <c r="AM1421" s="509"/>
      <c r="AN1421" s="510"/>
      <c r="AO1421" s="510"/>
    </row>
    <row r="1422" spans="1:41">
      <c r="A1422" s="177"/>
      <c r="B1422" s="169"/>
      <c r="C1422" s="169"/>
      <c r="D1422" s="169"/>
      <c r="E1422" s="169"/>
      <c r="F1422" s="169"/>
      <c r="G1422" s="169"/>
      <c r="H1422" s="169"/>
      <c r="I1422" s="169"/>
      <c r="J1422" s="169"/>
      <c r="K1422" s="169"/>
      <c r="L1422" s="169"/>
      <c r="M1422" s="169"/>
      <c r="N1422" s="177"/>
      <c r="O1422" s="169"/>
      <c r="P1422" s="169"/>
      <c r="Q1422" s="169"/>
      <c r="R1422" s="169"/>
      <c r="S1422" s="169"/>
      <c r="T1422" s="169"/>
      <c r="U1422" s="169"/>
      <c r="V1422" s="169"/>
      <c r="W1422" s="169"/>
      <c r="X1422" s="169"/>
      <c r="Y1422" s="169"/>
      <c r="Z1422" s="178"/>
      <c r="AA1422" s="167"/>
      <c r="AB1422" s="169"/>
      <c r="AC1422" s="169"/>
      <c r="AD1422" s="169"/>
      <c r="AE1422" s="169"/>
      <c r="AF1422" s="169"/>
      <c r="AG1422" s="179"/>
      <c r="AH1422" s="169"/>
      <c r="AI1422" s="168"/>
      <c r="AJ1422" s="167"/>
      <c r="AK1422" s="168"/>
      <c r="AL1422" s="169"/>
      <c r="AM1422" s="509"/>
      <c r="AN1422" s="510"/>
      <c r="AO1422" s="510"/>
    </row>
    <row r="1423" spans="1:41">
      <c r="A1423" s="177"/>
      <c r="B1423" s="169"/>
      <c r="C1423" s="169"/>
      <c r="D1423" s="169"/>
      <c r="E1423" s="169"/>
      <c r="F1423" s="169"/>
      <c r="G1423" s="169"/>
      <c r="H1423" s="169"/>
      <c r="I1423" s="169"/>
      <c r="J1423" s="169"/>
      <c r="K1423" s="169"/>
      <c r="L1423" s="169"/>
      <c r="M1423" s="169"/>
      <c r="N1423" s="177"/>
      <c r="O1423" s="169"/>
      <c r="P1423" s="169"/>
      <c r="Q1423" s="169"/>
      <c r="R1423" s="169"/>
      <c r="S1423" s="169"/>
      <c r="T1423" s="169"/>
      <c r="U1423" s="169"/>
      <c r="V1423" s="169"/>
      <c r="W1423" s="169"/>
      <c r="X1423" s="169"/>
      <c r="Y1423" s="169"/>
      <c r="Z1423" s="178"/>
      <c r="AA1423" s="167"/>
      <c r="AB1423" s="169"/>
      <c r="AC1423" s="169"/>
      <c r="AD1423" s="169"/>
      <c r="AE1423" s="169"/>
      <c r="AF1423" s="169"/>
      <c r="AG1423" s="179"/>
      <c r="AH1423" s="169"/>
      <c r="AI1423" s="168"/>
      <c r="AJ1423" s="167"/>
      <c r="AK1423" s="168"/>
      <c r="AL1423" s="169"/>
      <c r="AM1423" s="509"/>
      <c r="AN1423" s="510"/>
      <c r="AO1423" s="510"/>
    </row>
    <row r="1424" spans="1:41">
      <c r="A1424" s="177"/>
      <c r="B1424" s="169"/>
      <c r="C1424" s="169"/>
      <c r="D1424" s="169"/>
      <c r="E1424" s="169"/>
      <c r="F1424" s="169"/>
      <c r="G1424" s="169"/>
      <c r="H1424" s="169"/>
      <c r="I1424" s="169"/>
      <c r="J1424" s="169"/>
      <c r="K1424" s="169"/>
      <c r="L1424" s="169"/>
      <c r="M1424" s="169"/>
      <c r="N1424" s="177"/>
      <c r="O1424" s="169"/>
      <c r="P1424" s="169"/>
      <c r="Q1424" s="169"/>
      <c r="R1424" s="169"/>
      <c r="S1424" s="169"/>
      <c r="T1424" s="169"/>
      <c r="U1424" s="169"/>
      <c r="V1424" s="169"/>
      <c r="W1424" s="169"/>
      <c r="X1424" s="169"/>
      <c r="Y1424" s="169"/>
      <c r="Z1424" s="178"/>
      <c r="AA1424" s="167"/>
      <c r="AB1424" s="169"/>
      <c r="AC1424" s="169"/>
      <c r="AD1424" s="169"/>
      <c r="AE1424" s="169"/>
      <c r="AF1424" s="169"/>
      <c r="AG1424" s="179"/>
      <c r="AH1424" s="169"/>
      <c r="AI1424" s="168"/>
      <c r="AJ1424" s="167"/>
      <c r="AK1424" s="168"/>
      <c r="AL1424" s="169"/>
      <c r="AM1424" s="509"/>
      <c r="AN1424" s="510"/>
      <c r="AO1424" s="510"/>
    </row>
    <row r="1425" spans="1:41">
      <c r="A1425" s="177"/>
      <c r="B1425" s="169"/>
      <c r="C1425" s="169"/>
      <c r="D1425" s="169"/>
      <c r="E1425" s="169"/>
      <c r="F1425" s="169"/>
      <c r="G1425" s="169"/>
      <c r="H1425" s="169"/>
      <c r="I1425" s="169"/>
      <c r="J1425" s="169"/>
      <c r="K1425" s="169"/>
      <c r="L1425" s="169"/>
      <c r="M1425" s="169"/>
      <c r="N1425" s="177"/>
      <c r="O1425" s="169"/>
      <c r="P1425" s="169"/>
      <c r="Q1425" s="169"/>
      <c r="R1425" s="169"/>
      <c r="S1425" s="169"/>
      <c r="T1425" s="169"/>
      <c r="U1425" s="169"/>
      <c r="V1425" s="169"/>
      <c r="W1425" s="169"/>
      <c r="X1425" s="169"/>
      <c r="Y1425" s="169"/>
      <c r="Z1425" s="178"/>
      <c r="AA1425" s="167"/>
      <c r="AB1425" s="169"/>
      <c r="AC1425" s="169"/>
      <c r="AD1425" s="169"/>
      <c r="AE1425" s="169"/>
      <c r="AF1425" s="169"/>
      <c r="AG1425" s="179"/>
      <c r="AH1425" s="169"/>
      <c r="AI1425" s="168"/>
      <c r="AJ1425" s="167"/>
      <c r="AK1425" s="168"/>
      <c r="AL1425" s="169"/>
      <c r="AM1425" s="509"/>
      <c r="AN1425" s="510"/>
      <c r="AO1425" s="510"/>
    </row>
    <row r="1426" spans="1:41">
      <c r="A1426" s="177"/>
      <c r="B1426" s="169"/>
      <c r="C1426" s="169"/>
      <c r="D1426" s="169"/>
      <c r="E1426" s="169"/>
      <c r="F1426" s="169"/>
      <c r="G1426" s="169"/>
      <c r="H1426" s="169"/>
      <c r="I1426" s="169"/>
      <c r="J1426" s="169"/>
      <c r="K1426" s="169"/>
      <c r="L1426" s="169"/>
      <c r="M1426" s="169"/>
      <c r="N1426" s="177"/>
      <c r="O1426" s="169"/>
      <c r="P1426" s="169"/>
      <c r="Q1426" s="169"/>
      <c r="R1426" s="169"/>
      <c r="S1426" s="169"/>
      <c r="T1426" s="169"/>
      <c r="U1426" s="169"/>
      <c r="V1426" s="169"/>
      <c r="W1426" s="169"/>
      <c r="X1426" s="169"/>
      <c r="Y1426" s="169"/>
      <c r="Z1426" s="178"/>
      <c r="AA1426" s="167"/>
      <c r="AB1426" s="169"/>
      <c r="AC1426" s="169"/>
      <c r="AD1426" s="169"/>
      <c r="AE1426" s="169"/>
      <c r="AF1426" s="169"/>
      <c r="AG1426" s="179"/>
      <c r="AH1426" s="169"/>
      <c r="AI1426" s="168"/>
      <c r="AJ1426" s="167"/>
      <c r="AK1426" s="168"/>
      <c r="AL1426" s="169"/>
      <c r="AM1426" s="509"/>
      <c r="AN1426" s="510"/>
      <c r="AO1426" s="510"/>
    </row>
    <row r="1427" spans="1:41">
      <c r="A1427" s="177"/>
      <c r="B1427" s="169"/>
      <c r="C1427" s="169"/>
      <c r="D1427" s="169"/>
      <c r="E1427" s="169"/>
      <c r="F1427" s="169"/>
      <c r="G1427" s="169"/>
      <c r="H1427" s="169"/>
      <c r="I1427" s="169"/>
      <c r="J1427" s="169"/>
      <c r="K1427" s="169"/>
      <c r="L1427" s="169"/>
      <c r="M1427" s="169"/>
      <c r="N1427" s="177"/>
      <c r="O1427" s="169"/>
      <c r="P1427" s="169"/>
      <c r="Q1427" s="169"/>
      <c r="R1427" s="169"/>
      <c r="S1427" s="169"/>
      <c r="T1427" s="169"/>
      <c r="U1427" s="169"/>
      <c r="V1427" s="169"/>
      <c r="W1427" s="169"/>
      <c r="X1427" s="169"/>
      <c r="Y1427" s="169"/>
      <c r="Z1427" s="178"/>
      <c r="AA1427" s="167"/>
      <c r="AB1427" s="169"/>
      <c r="AC1427" s="169"/>
      <c r="AD1427" s="169"/>
      <c r="AE1427" s="169"/>
      <c r="AF1427" s="169"/>
      <c r="AG1427" s="179"/>
      <c r="AH1427" s="169"/>
      <c r="AI1427" s="168"/>
      <c r="AJ1427" s="167"/>
      <c r="AK1427" s="168"/>
      <c r="AL1427" s="169"/>
      <c r="AM1427" s="509"/>
      <c r="AN1427" s="510"/>
      <c r="AO1427" s="510"/>
    </row>
    <row r="1428" spans="1:41">
      <c r="A1428" s="177"/>
      <c r="B1428" s="169"/>
      <c r="C1428" s="169"/>
      <c r="D1428" s="169"/>
      <c r="E1428" s="169"/>
      <c r="F1428" s="169"/>
      <c r="G1428" s="169"/>
      <c r="H1428" s="169"/>
      <c r="I1428" s="169"/>
      <c r="J1428" s="169"/>
      <c r="K1428" s="169"/>
      <c r="L1428" s="169"/>
      <c r="M1428" s="169"/>
      <c r="N1428" s="177"/>
      <c r="O1428" s="169"/>
      <c r="P1428" s="169"/>
      <c r="Q1428" s="169"/>
      <c r="R1428" s="169"/>
      <c r="S1428" s="169"/>
      <c r="T1428" s="169"/>
      <c r="U1428" s="169"/>
      <c r="V1428" s="169"/>
      <c r="W1428" s="169"/>
      <c r="X1428" s="169"/>
      <c r="Y1428" s="169"/>
      <c r="Z1428" s="178"/>
      <c r="AA1428" s="167"/>
      <c r="AB1428" s="169"/>
      <c r="AC1428" s="169"/>
      <c r="AD1428" s="169"/>
      <c r="AE1428" s="169"/>
      <c r="AF1428" s="169"/>
      <c r="AG1428" s="179"/>
      <c r="AH1428" s="169"/>
      <c r="AI1428" s="168"/>
      <c r="AJ1428" s="167"/>
      <c r="AK1428" s="168"/>
      <c r="AL1428" s="169"/>
      <c r="AM1428" s="509"/>
      <c r="AN1428" s="510"/>
      <c r="AO1428" s="510"/>
    </row>
    <row r="1429" spans="1:41">
      <c r="A1429" s="177"/>
      <c r="B1429" s="169"/>
      <c r="C1429" s="169"/>
      <c r="D1429" s="169"/>
      <c r="E1429" s="169"/>
      <c r="F1429" s="169"/>
      <c r="G1429" s="169"/>
      <c r="H1429" s="169"/>
      <c r="I1429" s="169"/>
      <c r="J1429" s="169"/>
      <c r="K1429" s="169"/>
      <c r="L1429" s="169"/>
      <c r="M1429" s="169"/>
      <c r="N1429" s="177"/>
      <c r="O1429" s="169"/>
      <c r="P1429" s="169"/>
      <c r="Q1429" s="169"/>
      <c r="R1429" s="169"/>
      <c r="S1429" s="169"/>
      <c r="T1429" s="169"/>
      <c r="U1429" s="169"/>
      <c r="V1429" s="169"/>
      <c r="W1429" s="169"/>
      <c r="X1429" s="169"/>
      <c r="Y1429" s="169"/>
      <c r="Z1429" s="178"/>
      <c r="AA1429" s="167"/>
      <c r="AB1429" s="169"/>
      <c r="AC1429" s="169"/>
      <c r="AD1429" s="169"/>
      <c r="AE1429" s="169"/>
      <c r="AF1429" s="169"/>
      <c r="AG1429" s="179"/>
      <c r="AH1429" s="169"/>
      <c r="AI1429" s="168"/>
      <c r="AJ1429" s="167"/>
      <c r="AK1429" s="168"/>
      <c r="AL1429" s="169"/>
      <c r="AM1429" s="509"/>
      <c r="AN1429" s="510"/>
      <c r="AO1429" s="510"/>
    </row>
    <row r="1430" spans="1:41">
      <c r="A1430" s="177"/>
      <c r="B1430" s="169"/>
      <c r="C1430" s="169"/>
      <c r="D1430" s="169"/>
      <c r="E1430" s="169"/>
      <c r="F1430" s="169"/>
      <c r="G1430" s="169"/>
      <c r="H1430" s="169"/>
      <c r="I1430" s="169"/>
      <c r="J1430" s="169"/>
      <c r="K1430" s="169"/>
      <c r="L1430" s="169"/>
      <c r="M1430" s="169"/>
      <c r="N1430" s="177"/>
      <c r="O1430" s="169"/>
      <c r="P1430" s="169"/>
      <c r="Q1430" s="169"/>
      <c r="R1430" s="169"/>
      <c r="S1430" s="169"/>
      <c r="T1430" s="169"/>
      <c r="U1430" s="169"/>
      <c r="V1430" s="169"/>
      <c r="W1430" s="169"/>
      <c r="X1430" s="169"/>
      <c r="Y1430" s="169"/>
      <c r="Z1430" s="178"/>
      <c r="AA1430" s="167"/>
      <c r="AB1430" s="169"/>
      <c r="AC1430" s="169"/>
      <c r="AD1430" s="169"/>
      <c r="AE1430" s="169"/>
      <c r="AF1430" s="169"/>
      <c r="AG1430" s="179"/>
      <c r="AH1430" s="169"/>
      <c r="AI1430" s="168"/>
      <c r="AJ1430" s="167"/>
      <c r="AK1430" s="168"/>
      <c r="AL1430" s="169"/>
      <c r="AM1430" s="509"/>
      <c r="AN1430" s="510"/>
      <c r="AO1430" s="510"/>
    </row>
    <row r="1431" spans="1:41">
      <c r="A1431" s="177"/>
      <c r="B1431" s="169"/>
      <c r="C1431" s="169"/>
      <c r="D1431" s="169"/>
      <c r="E1431" s="169"/>
      <c r="F1431" s="169"/>
      <c r="G1431" s="169"/>
      <c r="H1431" s="169"/>
      <c r="I1431" s="169"/>
      <c r="J1431" s="169"/>
      <c r="K1431" s="169"/>
      <c r="L1431" s="169"/>
      <c r="M1431" s="169"/>
      <c r="N1431" s="177"/>
      <c r="O1431" s="169"/>
      <c r="P1431" s="169"/>
      <c r="Q1431" s="169"/>
      <c r="R1431" s="169"/>
      <c r="S1431" s="169"/>
      <c r="T1431" s="169"/>
      <c r="U1431" s="169"/>
      <c r="V1431" s="169"/>
      <c r="W1431" s="169"/>
      <c r="X1431" s="169"/>
      <c r="Y1431" s="169"/>
      <c r="Z1431" s="178"/>
      <c r="AA1431" s="167"/>
      <c r="AB1431" s="169"/>
      <c r="AC1431" s="169"/>
      <c r="AD1431" s="169"/>
      <c r="AE1431" s="169"/>
      <c r="AF1431" s="169"/>
      <c r="AG1431" s="179"/>
      <c r="AH1431" s="169"/>
      <c r="AI1431" s="168"/>
      <c r="AJ1431" s="167"/>
      <c r="AK1431" s="168"/>
      <c r="AL1431" s="169"/>
      <c r="AM1431" s="509"/>
      <c r="AN1431" s="510"/>
      <c r="AO1431" s="510"/>
    </row>
    <row r="1432" spans="1:41">
      <c r="A1432" s="177"/>
      <c r="B1432" s="169"/>
      <c r="C1432" s="169"/>
      <c r="D1432" s="169"/>
      <c r="E1432" s="169"/>
      <c r="F1432" s="169"/>
      <c r="G1432" s="169"/>
      <c r="H1432" s="169"/>
      <c r="I1432" s="169"/>
      <c r="J1432" s="169"/>
      <c r="K1432" s="169"/>
      <c r="L1432" s="169"/>
      <c r="M1432" s="169"/>
      <c r="N1432" s="177"/>
      <c r="O1432" s="169"/>
      <c r="P1432" s="169"/>
      <c r="Q1432" s="169"/>
      <c r="R1432" s="169"/>
      <c r="S1432" s="169"/>
      <c r="T1432" s="169"/>
      <c r="U1432" s="169"/>
      <c r="V1432" s="169"/>
      <c r="W1432" s="169"/>
      <c r="X1432" s="169"/>
      <c r="Y1432" s="169"/>
      <c r="Z1432" s="178"/>
      <c r="AA1432" s="167"/>
      <c r="AB1432" s="169"/>
      <c r="AC1432" s="169"/>
      <c r="AD1432" s="169"/>
      <c r="AE1432" s="169"/>
      <c r="AF1432" s="169"/>
      <c r="AG1432" s="179"/>
      <c r="AH1432" s="169"/>
      <c r="AI1432" s="168"/>
      <c r="AJ1432" s="167"/>
      <c r="AK1432" s="168"/>
      <c r="AL1432" s="169"/>
      <c r="AM1432" s="509"/>
      <c r="AN1432" s="510"/>
      <c r="AO1432" s="510"/>
    </row>
    <row r="1433" spans="1:41">
      <c r="A1433" s="177"/>
      <c r="B1433" s="169"/>
      <c r="C1433" s="169"/>
      <c r="D1433" s="169"/>
      <c r="E1433" s="169"/>
      <c r="F1433" s="169"/>
      <c r="G1433" s="169"/>
      <c r="H1433" s="169"/>
      <c r="I1433" s="169"/>
      <c r="J1433" s="169"/>
      <c r="K1433" s="169"/>
      <c r="L1433" s="169"/>
      <c r="M1433" s="169"/>
      <c r="N1433" s="177"/>
      <c r="O1433" s="169"/>
      <c r="P1433" s="169"/>
      <c r="Q1433" s="169"/>
      <c r="R1433" s="169"/>
      <c r="S1433" s="169"/>
      <c r="T1433" s="169"/>
      <c r="U1433" s="169"/>
      <c r="V1433" s="169"/>
      <c r="W1433" s="169"/>
      <c r="X1433" s="169"/>
      <c r="Y1433" s="169"/>
      <c r="Z1433" s="178"/>
      <c r="AA1433" s="167"/>
      <c r="AB1433" s="169"/>
      <c r="AC1433" s="169"/>
      <c r="AD1433" s="169"/>
      <c r="AE1433" s="169"/>
      <c r="AF1433" s="169"/>
      <c r="AG1433" s="179"/>
      <c r="AH1433" s="169"/>
      <c r="AI1433" s="168"/>
      <c r="AJ1433" s="167"/>
      <c r="AK1433" s="168"/>
      <c r="AL1433" s="169"/>
      <c r="AM1433" s="509"/>
      <c r="AN1433" s="510"/>
      <c r="AO1433" s="510"/>
    </row>
    <row r="1434" spans="1:41">
      <c r="A1434" s="177"/>
      <c r="B1434" s="169"/>
      <c r="C1434" s="169"/>
      <c r="D1434" s="169"/>
      <c r="E1434" s="169"/>
      <c r="F1434" s="169"/>
      <c r="G1434" s="169"/>
      <c r="H1434" s="169"/>
      <c r="I1434" s="169"/>
      <c r="J1434" s="169"/>
      <c r="K1434" s="169"/>
      <c r="L1434" s="169"/>
      <c r="M1434" s="169"/>
      <c r="N1434" s="177"/>
      <c r="O1434" s="169"/>
      <c r="P1434" s="169"/>
      <c r="Q1434" s="169"/>
      <c r="R1434" s="169"/>
      <c r="S1434" s="169"/>
      <c r="T1434" s="169"/>
      <c r="U1434" s="169"/>
      <c r="V1434" s="169"/>
      <c r="W1434" s="169"/>
      <c r="X1434" s="169"/>
      <c r="Y1434" s="169"/>
      <c r="Z1434" s="178"/>
      <c r="AA1434" s="167"/>
      <c r="AB1434" s="169"/>
      <c r="AC1434" s="169"/>
      <c r="AD1434" s="169"/>
      <c r="AE1434" s="169"/>
      <c r="AF1434" s="169"/>
      <c r="AG1434" s="179"/>
      <c r="AH1434" s="169"/>
      <c r="AI1434" s="168"/>
      <c r="AJ1434" s="167"/>
      <c r="AK1434" s="168"/>
      <c r="AL1434" s="169"/>
      <c r="AM1434" s="509"/>
      <c r="AN1434" s="510"/>
      <c r="AO1434" s="510"/>
    </row>
    <row r="1435" spans="1:41">
      <c r="A1435" s="177"/>
      <c r="B1435" s="169"/>
      <c r="C1435" s="169"/>
      <c r="D1435" s="169"/>
      <c r="E1435" s="169"/>
      <c r="F1435" s="169"/>
      <c r="G1435" s="169"/>
      <c r="H1435" s="169"/>
      <c r="I1435" s="169"/>
      <c r="J1435" s="169"/>
      <c r="K1435" s="169"/>
      <c r="L1435" s="169"/>
      <c r="M1435" s="169"/>
      <c r="N1435" s="177"/>
      <c r="O1435" s="169"/>
      <c r="P1435" s="169"/>
      <c r="Q1435" s="169"/>
      <c r="R1435" s="169"/>
      <c r="S1435" s="169"/>
      <c r="T1435" s="169"/>
      <c r="U1435" s="169"/>
      <c r="V1435" s="169"/>
      <c r="W1435" s="169"/>
      <c r="X1435" s="169"/>
      <c r="Y1435" s="169"/>
      <c r="Z1435" s="178"/>
      <c r="AA1435" s="167"/>
      <c r="AB1435" s="169"/>
      <c r="AC1435" s="169"/>
      <c r="AD1435" s="169"/>
      <c r="AE1435" s="169"/>
      <c r="AF1435" s="169"/>
      <c r="AG1435" s="179"/>
      <c r="AH1435" s="169"/>
      <c r="AI1435" s="168"/>
      <c r="AJ1435" s="167"/>
      <c r="AK1435" s="168"/>
      <c r="AL1435" s="169"/>
      <c r="AM1435" s="509"/>
      <c r="AN1435" s="510"/>
      <c r="AO1435" s="510"/>
    </row>
    <row r="1436" spans="1:41">
      <c r="A1436" s="177"/>
      <c r="B1436" s="169"/>
      <c r="C1436" s="169"/>
      <c r="D1436" s="169"/>
      <c r="E1436" s="169"/>
      <c r="F1436" s="169"/>
      <c r="G1436" s="169"/>
      <c r="H1436" s="169"/>
      <c r="I1436" s="169"/>
      <c r="J1436" s="169"/>
      <c r="K1436" s="169"/>
      <c r="L1436" s="169"/>
      <c r="M1436" s="169"/>
      <c r="N1436" s="177"/>
      <c r="O1436" s="169"/>
      <c r="P1436" s="169"/>
      <c r="Q1436" s="169"/>
      <c r="R1436" s="169"/>
      <c r="S1436" s="169"/>
      <c r="T1436" s="169"/>
      <c r="U1436" s="169"/>
      <c r="V1436" s="169"/>
      <c r="W1436" s="169"/>
      <c r="X1436" s="169"/>
      <c r="Y1436" s="169"/>
      <c r="Z1436" s="178"/>
      <c r="AA1436" s="167"/>
      <c r="AB1436" s="169"/>
      <c r="AC1436" s="169"/>
      <c r="AD1436" s="169"/>
      <c r="AE1436" s="169"/>
      <c r="AF1436" s="169"/>
      <c r="AG1436" s="179"/>
      <c r="AH1436" s="169"/>
      <c r="AI1436" s="168"/>
      <c r="AJ1436" s="167"/>
      <c r="AK1436" s="168"/>
      <c r="AL1436" s="169"/>
      <c r="AM1436" s="509"/>
      <c r="AN1436" s="510"/>
      <c r="AO1436" s="510"/>
    </row>
    <row r="1437" spans="1:41">
      <c r="A1437" s="177"/>
      <c r="B1437" s="169"/>
      <c r="C1437" s="169"/>
      <c r="D1437" s="169"/>
      <c r="E1437" s="169"/>
      <c r="F1437" s="169"/>
      <c r="G1437" s="169"/>
      <c r="H1437" s="169"/>
      <c r="I1437" s="169"/>
      <c r="J1437" s="169"/>
      <c r="K1437" s="169"/>
      <c r="L1437" s="169"/>
      <c r="M1437" s="169"/>
      <c r="N1437" s="177"/>
      <c r="O1437" s="169"/>
      <c r="P1437" s="169"/>
      <c r="Q1437" s="169"/>
      <c r="R1437" s="169"/>
      <c r="S1437" s="169"/>
      <c r="T1437" s="169"/>
      <c r="U1437" s="169"/>
      <c r="V1437" s="169"/>
      <c r="W1437" s="169"/>
      <c r="X1437" s="169"/>
      <c r="Y1437" s="169"/>
      <c r="Z1437" s="178"/>
      <c r="AA1437" s="167"/>
      <c r="AB1437" s="169"/>
      <c r="AC1437" s="169"/>
      <c r="AD1437" s="169"/>
      <c r="AE1437" s="169"/>
      <c r="AF1437" s="169"/>
      <c r="AG1437" s="179"/>
      <c r="AH1437" s="169"/>
      <c r="AI1437" s="168"/>
      <c r="AJ1437" s="167"/>
      <c r="AK1437" s="168"/>
      <c r="AL1437" s="169"/>
      <c r="AM1437" s="509"/>
      <c r="AN1437" s="510"/>
      <c r="AO1437" s="510"/>
    </row>
    <row r="1438" spans="1:41">
      <c r="A1438" s="177"/>
      <c r="B1438" s="169"/>
      <c r="C1438" s="169"/>
      <c r="D1438" s="169"/>
      <c r="E1438" s="169"/>
      <c r="F1438" s="169"/>
      <c r="G1438" s="169"/>
      <c r="H1438" s="169"/>
      <c r="I1438" s="169"/>
      <c r="J1438" s="169"/>
      <c r="K1438" s="169"/>
      <c r="L1438" s="169"/>
      <c r="M1438" s="169"/>
      <c r="N1438" s="177"/>
      <c r="O1438" s="169"/>
      <c r="P1438" s="169"/>
      <c r="Q1438" s="169"/>
      <c r="R1438" s="169"/>
      <c r="S1438" s="169"/>
      <c r="T1438" s="169"/>
      <c r="U1438" s="169"/>
      <c r="V1438" s="169"/>
      <c r="W1438" s="169"/>
      <c r="X1438" s="169"/>
      <c r="Y1438" s="169"/>
      <c r="Z1438" s="178"/>
      <c r="AA1438" s="167"/>
      <c r="AB1438" s="169"/>
      <c r="AC1438" s="169"/>
      <c r="AD1438" s="169"/>
      <c r="AE1438" s="169"/>
      <c r="AF1438" s="169"/>
      <c r="AG1438" s="179"/>
      <c r="AH1438" s="169"/>
      <c r="AI1438" s="168"/>
      <c r="AJ1438" s="167"/>
      <c r="AK1438" s="168"/>
      <c r="AL1438" s="169"/>
      <c r="AM1438" s="509"/>
      <c r="AN1438" s="510"/>
      <c r="AO1438" s="510"/>
    </row>
    <row r="1439" spans="1:41">
      <c r="A1439" s="177"/>
      <c r="B1439" s="169"/>
      <c r="C1439" s="169"/>
      <c r="D1439" s="169"/>
      <c r="E1439" s="169"/>
      <c r="F1439" s="169"/>
      <c r="G1439" s="169"/>
      <c r="H1439" s="169"/>
      <c r="I1439" s="169"/>
      <c r="J1439" s="169"/>
      <c r="K1439" s="169"/>
      <c r="L1439" s="169"/>
      <c r="M1439" s="169"/>
      <c r="N1439" s="177"/>
      <c r="O1439" s="169"/>
      <c r="P1439" s="169"/>
      <c r="Q1439" s="169"/>
      <c r="R1439" s="169"/>
      <c r="S1439" s="169"/>
      <c r="T1439" s="169"/>
      <c r="U1439" s="169"/>
      <c r="V1439" s="169"/>
      <c r="W1439" s="169"/>
      <c r="X1439" s="169"/>
      <c r="Y1439" s="169"/>
      <c r="Z1439" s="178"/>
      <c r="AA1439" s="167"/>
      <c r="AB1439" s="169"/>
      <c r="AC1439" s="169"/>
      <c r="AD1439" s="169"/>
      <c r="AE1439" s="169"/>
      <c r="AF1439" s="169"/>
      <c r="AG1439" s="179"/>
      <c r="AH1439" s="169"/>
      <c r="AI1439" s="168"/>
      <c r="AJ1439" s="167"/>
      <c r="AK1439" s="168"/>
      <c r="AL1439" s="169"/>
      <c r="AM1439" s="509"/>
      <c r="AN1439" s="510"/>
      <c r="AO1439" s="510"/>
    </row>
    <row r="1440" spans="1:41">
      <c r="A1440" s="177"/>
      <c r="B1440" s="169"/>
      <c r="C1440" s="169"/>
      <c r="D1440" s="169"/>
      <c r="E1440" s="169"/>
      <c r="F1440" s="169"/>
      <c r="G1440" s="169"/>
      <c r="H1440" s="169"/>
      <c r="I1440" s="169"/>
      <c r="J1440" s="169"/>
      <c r="K1440" s="169"/>
      <c r="L1440" s="169"/>
      <c r="M1440" s="169"/>
      <c r="N1440" s="177"/>
      <c r="O1440" s="169"/>
      <c r="P1440" s="169"/>
      <c r="Q1440" s="169"/>
      <c r="R1440" s="169"/>
      <c r="S1440" s="169"/>
      <c r="T1440" s="169"/>
      <c r="U1440" s="169"/>
      <c r="V1440" s="169"/>
      <c r="W1440" s="169"/>
      <c r="X1440" s="169"/>
      <c r="Y1440" s="169"/>
      <c r="Z1440" s="178"/>
      <c r="AA1440" s="167"/>
      <c r="AB1440" s="169"/>
      <c r="AC1440" s="169"/>
      <c r="AD1440" s="169"/>
      <c r="AE1440" s="169"/>
      <c r="AF1440" s="169"/>
      <c r="AG1440" s="179"/>
      <c r="AH1440" s="169"/>
      <c r="AI1440" s="168"/>
      <c r="AJ1440" s="167"/>
      <c r="AK1440" s="168"/>
      <c r="AL1440" s="169"/>
      <c r="AM1440" s="509"/>
      <c r="AN1440" s="510"/>
      <c r="AO1440" s="510"/>
    </row>
    <row r="1441" spans="1:41">
      <c r="A1441" s="177"/>
      <c r="B1441" s="169"/>
      <c r="C1441" s="169"/>
      <c r="D1441" s="169"/>
      <c r="E1441" s="169"/>
      <c r="F1441" s="169"/>
      <c r="G1441" s="169"/>
      <c r="H1441" s="169"/>
      <c r="I1441" s="169"/>
      <c r="J1441" s="169"/>
      <c r="K1441" s="169"/>
      <c r="L1441" s="169"/>
      <c r="M1441" s="169"/>
      <c r="N1441" s="177"/>
      <c r="O1441" s="169"/>
      <c r="P1441" s="169"/>
      <c r="Q1441" s="169"/>
      <c r="R1441" s="169"/>
      <c r="S1441" s="169"/>
      <c r="T1441" s="169"/>
      <c r="U1441" s="169"/>
      <c r="V1441" s="169"/>
      <c r="W1441" s="169"/>
      <c r="X1441" s="169"/>
      <c r="Y1441" s="169"/>
      <c r="Z1441" s="178"/>
      <c r="AA1441" s="167"/>
      <c r="AB1441" s="169"/>
      <c r="AC1441" s="169"/>
      <c r="AD1441" s="169"/>
      <c r="AE1441" s="169"/>
      <c r="AF1441" s="169"/>
      <c r="AG1441" s="179"/>
      <c r="AH1441" s="169"/>
      <c r="AI1441" s="168"/>
      <c r="AJ1441" s="167"/>
      <c r="AK1441" s="168"/>
      <c r="AL1441" s="169"/>
      <c r="AM1441" s="509"/>
      <c r="AN1441" s="510"/>
      <c r="AO1441" s="510"/>
    </row>
    <row r="1442" spans="1:41">
      <c r="A1442" s="177"/>
      <c r="B1442" s="169"/>
      <c r="C1442" s="169"/>
      <c r="D1442" s="169"/>
      <c r="E1442" s="169"/>
      <c r="F1442" s="169"/>
      <c r="G1442" s="169"/>
      <c r="H1442" s="169"/>
      <c r="I1442" s="169"/>
      <c r="J1442" s="169"/>
      <c r="K1442" s="169"/>
      <c r="L1442" s="169"/>
      <c r="M1442" s="169"/>
      <c r="N1442" s="177"/>
      <c r="O1442" s="169"/>
      <c r="P1442" s="169"/>
      <c r="Q1442" s="169"/>
      <c r="R1442" s="169"/>
      <c r="S1442" s="169"/>
      <c r="T1442" s="169"/>
      <c r="U1442" s="169"/>
      <c r="V1442" s="169"/>
      <c r="W1442" s="169"/>
      <c r="X1442" s="169"/>
      <c r="Y1442" s="169"/>
      <c r="Z1442" s="178"/>
      <c r="AA1442" s="167"/>
      <c r="AB1442" s="169"/>
      <c r="AC1442" s="169"/>
      <c r="AD1442" s="169"/>
      <c r="AE1442" s="169"/>
      <c r="AF1442" s="169"/>
      <c r="AG1442" s="179"/>
      <c r="AH1442" s="169"/>
      <c r="AI1442" s="168"/>
      <c r="AJ1442" s="167"/>
      <c r="AK1442" s="168"/>
      <c r="AL1442" s="169"/>
      <c r="AM1442" s="509"/>
      <c r="AN1442" s="510"/>
      <c r="AO1442" s="510"/>
    </row>
    <row r="1443" spans="1:41">
      <c r="A1443" s="177"/>
      <c r="B1443" s="169"/>
      <c r="C1443" s="169"/>
      <c r="D1443" s="169"/>
      <c r="E1443" s="169"/>
      <c r="F1443" s="169"/>
      <c r="G1443" s="169"/>
      <c r="H1443" s="169"/>
      <c r="I1443" s="169"/>
      <c r="J1443" s="169"/>
      <c r="K1443" s="169"/>
      <c r="L1443" s="169"/>
      <c r="M1443" s="169"/>
      <c r="N1443" s="177"/>
      <c r="O1443" s="169"/>
      <c r="P1443" s="169"/>
      <c r="Q1443" s="169"/>
      <c r="R1443" s="169"/>
      <c r="S1443" s="169"/>
      <c r="T1443" s="169"/>
      <c r="U1443" s="169"/>
      <c r="V1443" s="169"/>
      <c r="W1443" s="169"/>
      <c r="X1443" s="169"/>
      <c r="Y1443" s="169"/>
      <c r="Z1443" s="178"/>
      <c r="AA1443" s="167"/>
      <c r="AB1443" s="169"/>
      <c r="AC1443" s="169"/>
      <c r="AD1443" s="169"/>
      <c r="AE1443" s="169"/>
      <c r="AF1443" s="169"/>
      <c r="AG1443" s="179"/>
      <c r="AH1443" s="169"/>
      <c r="AI1443" s="168"/>
      <c r="AJ1443" s="167"/>
      <c r="AK1443" s="168"/>
      <c r="AL1443" s="169"/>
      <c r="AM1443" s="509"/>
      <c r="AN1443" s="510"/>
      <c r="AO1443" s="510"/>
    </row>
    <row r="1444" spans="1:41">
      <c r="A1444" s="177"/>
      <c r="B1444" s="169"/>
      <c r="C1444" s="169"/>
      <c r="D1444" s="169"/>
      <c r="E1444" s="169"/>
      <c r="F1444" s="169"/>
      <c r="G1444" s="169"/>
      <c r="H1444" s="169"/>
      <c r="I1444" s="169"/>
      <c r="J1444" s="169"/>
      <c r="K1444" s="169"/>
      <c r="L1444" s="169"/>
      <c r="M1444" s="169"/>
      <c r="N1444" s="177"/>
      <c r="O1444" s="169"/>
      <c r="P1444" s="169"/>
      <c r="Q1444" s="169"/>
      <c r="R1444" s="169"/>
      <c r="S1444" s="169"/>
      <c r="T1444" s="169"/>
      <c r="U1444" s="169"/>
      <c r="V1444" s="169"/>
      <c r="W1444" s="169"/>
      <c r="X1444" s="169"/>
      <c r="Y1444" s="169"/>
      <c r="Z1444" s="178"/>
      <c r="AA1444" s="167"/>
      <c r="AB1444" s="169"/>
      <c r="AC1444" s="169"/>
      <c r="AD1444" s="169"/>
      <c r="AE1444" s="169"/>
      <c r="AF1444" s="169"/>
      <c r="AG1444" s="179"/>
      <c r="AH1444" s="169"/>
      <c r="AI1444" s="168"/>
      <c r="AJ1444" s="167"/>
      <c r="AK1444" s="168"/>
      <c r="AL1444" s="169"/>
      <c r="AM1444" s="509"/>
      <c r="AN1444" s="510"/>
      <c r="AO1444" s="510"/>
    </row>
    <row r="1445" spans="1:41">
      <c r="A1445" s="177"/>
      <c r="B1445" s="169"/>
      <c r="C1445" s="169"/>
      <c r="D1445" s="169"/>
      <c r="E1445" s="169"/>
      <c r="F1445" s="169"/>
      <c r="G1445" s="169"/>
      <c r="H1445" s="169"/>
      <c r="I1445" s="169"/>
      <c r="J1445" s="169"/>
      <c r="K1445" s="169"/>
      <c r="L1445" s="169"/>
      <c r="M1445" s="169"/>
      <c r="N1445" s="177"/>
      <c r="O1445" s="169"/>
      <c r="P1445" s="169"/>
      <c r="Q1445" s="169"/>
      <c r="R1445" s="169"/>
      <c r="S1445" s="169"/>
      <c r="T1445" s="169"/>
      <c r="U1445" s="169"/>
      <c r="V1445" s="169"/>
      <c r="W1445" s="169"/>
      <c r="X1445" s="169"/>
      <c r="Y1445" s="169"/>
      <c r="Z1445" s="178"/>
      <c r="AA1445" s="167"/>
      <c r="AB1445" s="169"/>
      <c r="AC1445" s="169"/>
      <c r="AD1445" s="169"/>
      <c r="AE1445" s="169"/>
      <c r="AF1445" s="169"/>
      <c r="AG1445" s="179"/>
      <c r="AH1445" s="169"/>
      <c r="AI1445" s="168"/>
      <c r="AJ1445" s="167"/>
      <c r="AK1445" s="168"/>
      <c r="AL1445" s="169"/>
      <c r="AM1445" s="509"/>
      <c r="AN1445" s="510"/>
      <c r="AO1445" s="510"/>
    </row>
    <row r="1446" spans="1:41">
      <c r="A1446" s="177"/>
      <c r="B1446" s="169"/>
      <c r="C1446" s="169"/>
      <c r="D1446" s="169"/>
      <c r="E1446" s="169"/>
      <c r="F1446" s="169"/>
      <c r="G1446" s="169"/>
      <c r="H1446" s="169"/>
      <c r="I1446" s="169"/>
      <c r="J1446" s="169"/>
      <c r="K1446" s="169"/>
      <c r="L1446" s="169"/>
      <c r="M1446" s="169"/>
      <c r="N1446" s="177"/>
      <c r="O1446" s="169"/>
      <c r="P1446" s="169"/>
      <c r="Q1446" s="169"/>
      <c r="R1446" s="169"/>
      <c r="S1446" s="169"/>
      <c r="T1446" s="169"/>
      <c r="U1446" s="169"/>
      <c r="V1446" s="169"/>
      <c r="W1446" s="169"/>
      <c r="X1446" s="169"/>
      <c r="Y1446" s="169"/>
      <c r="Z1446" s="178"/>
      <c r="AA1446" s="167"/>
      <c r="AB1446" s="169"/>
      <c r="AC1446" s="169"/>
      <c r="AD1446" s="169"/>
      <c r="AE1446" s="169"/>
      <c r="AF1446" s="169"/>
      <c r="AG1446" s="179"/>
      <c r="AH1446" s="169"/>
      <c r="AI1446" s="168"/>
      <c r="AJ1446" s="167"/>
      <c r="AK1446" s="168"/>
      <c r="AL1446" s="169"/>
      <c r="AM1446" s="509"/>
      <c r="AN1446" s="510"/>
      <c r="AO1446" s="510"/>
    </row>
    <row r="1447" spans="1:41">
      <c r="A1447" s="177"/>
      <c r="B1447" s="169"/>
      <c r="C1447" s="169"/>
      <c r="D1447" s="169"/>
      <c r="E1447" s="169"/>
      <c r="F1447" s="169"/>
      <c r="G1447" s="169"/>
      <c r="H1447" s="169"/>
      <c r="I1447" s="169"/>
      <c r="J1447" s="169"/>
      <c r="K1447" s="169"/>
      <c r="L1447" s="169"/>
      <c r="M1447" s="169"/>
      <c r="N1447" s="177"/>
      <c r="O1447" s="169"/>
      <c r="P1447" s="169"/>
      <c r="Q1447" s="169"/>
      <c r="R1447" s="169"/>
      <c r="S1447" s="169"/>
      <c r="T1447" s="169"/>
      <c r="U1447" s="169"/>
      <c r="V1447" s="169"/>
      <c r="W1447" s="169"/>
      <c r="X1447" s="169"/>
      <c r="Y1447" s="169"/>
      <c r="Z1447" s="178"/>
      <c r="AA1447" s="167"/>
      <c r="AB1447" s="169"/>
      <c r="AC1447" s="169"/>
      <c r="AD1447" s="169"/>
      <c r="AE1447" s="169"/>
      <c r="AF1447" s="169"/>
      <c r="AG1447" s="179"/>
      <c r="AH1447" s="169"/>
      <c r="AI1447" s="168"/>
      <c r="AJ1447" s="167"/>
      <c r="AK1447" s="168"/>
      <c r="AL1447" s="169"/>
      <c r="AM1447" s="509"/>
      <c r="AN1447" s="510"/>
      <c r="AO1447" s="510"/>
    </row>
    <row r="1448" spans="1:41">
      <c r="A1448" s="177"/>
      <c r="B1448" s="169"/>
      <c r="C1448" s="169"/>
      <c r="D1448" s="169"/>
      <c r="E1448" s="169"/>
      <c r="F1448" s="169"/>
      <c r="G1448" s="169"/>
      <c r="H1448" s="169"/>
      <c r="I1448" s="169"/>
      <c r="J1448" s="169"/>
      <c r="K1448" s="169"/>
      <c r="L1448" s="169"/>
      <c r="M1448" s="169"/>
      <c r="N1448" s="177"/>
      <c r="O1448" s="169"/>
      <c r="P1448" s="169"/>
      <c r="Q1448" s="169"/>
      <c r="R1448" s="169"/>
      <c r="S1448" s="169"/>
      <c r="T1448" s="169"/>
      <c r="U1448" s="169"/>
      <c r="V1448" s="169"/>
      <c r="W1448" s="169"/>
      <c r="X1448" s="169"/>
      <c r="Y1448" s="169"/>
      <c r="Z1448" s="178"/>
      <c r="AA1448" s="167"/>
      <c r="AB1448" s="169"/>
      <c r="AC1448" s="169"/>
      <c r="AD1448" s="169"/>
      <c r="AE1448" s="169"/>
      <c r="AF1448" s="169"/>
      <c r="AG1448" s="179"/>
      <c r="AH1448" s="169"/>
      <c r="AI1448" s="168"/>
      <c r="AJ1448" s="167"/>
      <c r="AK1448" s="168"/>
      <c r="AL1448" s="169"/>
      <c r="AM1448" s="509"/>
      <c r="AN1448" s="510"/>
      <c r="AO1448" s="510"/>
    </row>
    <row r="1449" spans="1:41">
      <c r="A1449" s="177"/>
      <c r="B1449" s="169"/>
      <c r="C1449" s="169"/>
      <c r="D1449" s="169"/>
      <c r="E1449" s="169"/>
      <c r="F1449" s="169"/>
      <c r="G1449" s="169"/>
      <c r="H1449" s="169"/>
      <c r="I1449" s="169"/>
      <c r="J1449" s="169"/>
      <c r="K1449" s="169"/>
      <c r="L1449" s="169"/>
      <c r="M1449" s="169"/>
      <c r="N1449" s="177"/>
      <c r="O1449" s="169"/>
      <c r="P1449" s="169"/>
      <c r="Q1449" s="169"/>
      <c r="R1449" s="169"/>
      <c r="S1449" s="169"/>
      <c r="T1449" s="169"/>
      <c r="U1449" s="169"/>
      <c r="V1449" s="169"/>
      <c r="W1449" s="169"/>
      <c r="X1449" s="169"/>
      <c r="Y1449" s="169"/>
      <c r="Z1449" s="178"/>
      <c r="AA1449" s="167"/>
      <c r="AB1449" s="169"/>
      <c r="AC1449" s="169"/>
      <c r="AD1449" s="169"/>
      <c r="AE1449" s="169"/>
      <c r="AF1449" s="169"/>
      <c r="AG1449" s="179"/>
      <c r="AH1449" s="169"/>
      <c r="AI1449" s="168"/>
      <c r="AJ1449" s="167"/>
      <c r="AK1449" s="168"/>
      <c r="AL1449" s="169"/>
      <c r="AM1449" s="509"/>
      <c r="AN1449" s="510"/>
      <c r="AO1449" s="510"/>
    </row>
    <row r="1450" spans="1:41">
      <c r="A1450" s="177"/>
      <c r="B1450" s="169"/>
      <c r="C1450" s="169"/>
      <c r="D1450" s="169"/>
      <c r="E1450" s="169"/>
      <c r="F1450" s="169"/>
      <c r="G1450" s="169"/>
      <c r="H1450" s="169"/>
      <c r="I1450" s="169"/>
      <c r="J1450" s="169"/>
      <c r="K1450" s="169"/>
      <c r="L1450" s="169"/>
      <c r="M1450" s="169"/>
      <c r="N1450" s="177"/>
      <c r="O1450" s="169"/>
      <c r="P1450" s="169"/>
      <c r="Q1450" s="169"/>
      <c r="R1450" s="169"/>
      <c r="S1450" s="169"/>
      <c r="T1450" s="169"/>
      <c r="U1450" s="169"/>
      <c r="V1450" s="169"/>
      <c r="W1450" s="169"/>
      <c r="X1450" s="169"/>
      <c r="Y1450" s="169"/>
      <c r="Z1450" s="178"/>
      <c r="AA1450" s="167"/>
      <c r="AB1450" s="169"/>
      <c r="AC1450" s="169"/>
      <c r="AD1450" s="169"/>
      <c r="AE1450" s="169"/>
      <c r="AF1450" s="169"/>
      <c r="AG1450" s="179"/>
      <c r="AH1450" s="169"/>
      <c r="AI1450" s="168"/>
      <c r="AJ1450" s="167"/>
      <c r="AK1450" s="168"/>
      <c r="AL1450" s="169"/>
      <c r="AM1450" s="509"/>
      <c r="AN1450" s="510"/>
      <c r="AO1450" s="510"/>
    </row>
    <row r="1451" spans="1:41">
      <c r="A1451" s="177"/>
      <c r="B1451" s="169"/>
      <c r="C1451" s="169"/>
      <c r="D1451" s="169"/>
      <c r="E1451" s="169"/>
      <c r="F1451" s="169"/>
      <c r="G1451" s="169"/>
      <c r="H1451" s="169"/>
      <c r="I1451" s="169"/>
      <c r="J1451" s="169"/>
      <c r="K1451" s="169"/>
      <c r="L1451" s="169"/>
      <c r="M1451" s="169"/>
      <c r="N1451" s="177"/>
      <c r="O1451" s="169"/>
      <c r="P1451" s="169"/>
      <c r="Q1451" s="169"/>
      <c r="R1451" s="169"/>
      <c r="S1451" s="169"/>
      <c r="T1451" s="169"/>
      <c r="U1451" s="169"/>
      <c r="V1451" s="169"/>
      <c r="W1451" s="169"/>
      <c r="X1451" s="169"/>
      <c r="Y1451" s="169"/>
      <c r="Z1451" s="178"/>
      <c r="AA1451" s="167"/>
      <c r="AB1451" s="169"/>
      <c r="AC1451" s="169"/>
      <c r="AD1451" s="169"/>
      <c r="AE1451" s="169"/>
      <c r="AF1451" s="169"/>
      <c r="AG1451" s="179"/>
      <c r="AH1451" s="169"/>
      <c r="AI1451" s="168"/>
      <c r="AJ1451" s="167"/>
      <c r="AK1451" s="168"/>
      <c r="AL1451" s="169"/>
      <c r="AM1451" s="509"/>
      <c r="AN1451" s="510"/>
      <c r="AO1451" s="510"/>
    </row>
    <row r="1452" spans="1:41">
      <c r="A1452" s="177"/>
      <c r="B1452" s="169"/>
      <c r="C1452" s="169"/>
      <c r="D1452" s="169"/>
      <c r="E1452" s="169"/>
      <c r="F1452" s="169"/>
      <c r="G1452" s="169"/>
      <c r="H1452" s="169"/>
      <c r="I1452" s="169"/>
      <c r="J1452" s="169"/>
      <c r="K1452" s="169"/>
      <c r="L1452" s="169"/>
      <c r="M1452" s="169"/>
      <c r="N1452" s="177"/>
      <c r="O1452" s="169"/>
      <c r="P1452" s="169"/>
      <c r="Q1452" s="169"/>
      <c r="R1452" s="169"/>
      <c r="S1452" s="169"/>
      <c r="T1452" s="169"/>
      <c r="U1452" s="169"/>
      <c r="V1452" s="169"/>
      <c r="W1452" s="169"/>
      <c r="X1452" s="169"/>
      <c r="Y1452" s="169"/>
      <c r="Z1452" s="178"/>
      <c r="AA1452" s="167"/>
      <c r="AB1452" s="169"/>
      <c r="AC1452" s="169"/>
      <c r="AD1452" s="169"/>
      <c r="AE1452" s="169"/>
      <c r="AF1452" s="169"/>
      <c r="AG1452" s="179"/>
      <c r="AH1452" s="169"/>
      <c r="AI1452" s="168"/>
      <c r="AJ1452" s="167"/>
      <c r="AK1452" s="168"/>
      <c r="AL1452" s="169"/>
      <c r="AM1452" s="509"/>
      <c r="AN1452" s="510"/>
      <c r="AO1452" s="510"/>
    </row>
    <row r="1453" spans="1:41">
      <c r="A1453" s="177"/>
      <c r="B1453" s="169"/>
      <c r="C1453" s="169"/>
      <c r="D1453" s="169"/>
      <c r="E1453" s="169"/>
      <c r="F1453" s="169"/>
      <c r="G1453" s="169"/>
      <c r="H1453" s="169"/>
      <c r="I1453" s="169"/>
      <c r="J1453" s="169"/>
      <c r="K1453" s="169"/>
      <c r="L1453" s="169"/>
      <c r="M1453" s="169"/>
      <c r="N1453" s="177"/>
      <c r="O1453" s="169"/>
      <c r="P1453" s="169"/>
      <c r="Q1453" s="169"/>
      <c r="R1453" s="169"/>
      <c r="S1453" s="169"/>
      <c r="T1453" s="169"/>
      <c r="U1453" s="169"/>
      <c r="V1453" s="169"/>
      <c r="W1453" s="169"/>
      <c r="X1453" s="169"/>
      <c r="Y1453" s="169"/>
      <c r="Z1453" s="178"/>
      <c r="AA1453" s="167"/>
      <c r="AB1453" s="169"/>
      <c r="AC1453" s="169"/>
      <c r="AD1453" s="169"/>
      <c r="AE1453" s="169"/>
      <c r="AF1453" s="169"/>
      <c r="AG1453" s="179"/>
      <c r="AH1453" s="169"/>
      <c r="AI1453" s="168"/>
      <c r="AJ1453" s="167"/>
      <c r="AK1453" s="168"/>
      <c r="AL1453" s="169"/>
      <c r="AM1453" s="509"/>
      <c r="AN1453" s="510"/>
      <c r="AO1453" s="510"/>
    </row>
    <row r="1454" spans="1:41">
      <c r="A1454" s="177"/>
      <c r="B1454" s="169"/>
      <c r="C1454" s="169"/>
      <c r="D1454" s="169"/>
      <c r="E1454" s="169"/>
      <c r="F1454" s="169"/>
      <c r="G1454" s="169"/>
      <c r="H1454" s="169"/>
      <c r="I1454" s="169"/>
      <c r="J1454" s="169"/>
      <c r="K1454" s="169"/>
      <c r="L1454" s="169"/>
      <c r="M1454" s="169"/>
      <c r="N1454" s="177"/>
      <c r="O1454" s="169"/>
      <c r="P1454" s="169"/>
      <c r="Q1454" s="169"/>
      <c r="R1454" s="169"/>
      <c r="S1454" s="169"/>
      <c r="T1454" s="169"/>
      <c r="U1454" s="169"/>
      <c r="V1454" s="169"/>
      <c r="W1454" s="169"/>
      <c r="X1454" s="169"/>
      <c r="Y1454" s="169"/>
      <c r="Z1454" s="178"/>
      <c r="AA1454" s="167"/>
      <c r="AB1454" s="169"/>
      <c r="AC1454" s="169"/>
      <c r="AD1454" s="169"/>
      <c r="AE1454" s="169"/>
      <c r="AF1454" s="169"/>
      <c r="AG1454" s="179"/>
      <c r="AH1454" s="169"/>
      <c r="AI1454" s="168"/>
      <c r="AJ1454" s="167"/>
      <c r="AK1454" s="168"/>
      <c r="AL1454" s="169"/>
      <c r="AM1454" s="509"/>
      <c r="AN1454" s="510"/>
      <c r="AO1454" s="510"/>
    </row>
    <row r="1455" spans="1:41">
      <c r="A1455" s="177"/>
      <c r="B1455" s="169"/>
      <c r="C1455" s="169"/>
      <c r="D1455" s="169"/>
      <c r="E1455" s="169"/>
      <c r="F1455" s="169"/>
      <c r="G1455" s="169"/>
      <c r="H1455" s="169"/>
      <c r="I1455" s="169"/>
      <c r="J1455" s="169"/>
      <c r="K1455" s="169"/>
      <c r="L1455" s="169"/>
      <c r="M1455" s="169"/>
      <c r="N1455" s="177"/>
      <c r="O1455" s="169"/>
      <c r="P1455" s="169"/>
      <c r="Q1455" s="169"/>
      <c r="R1455" s="169"/>
      <c r="S1455" s="169"/>
      <c r="T1455" s="169"/>
      <c r="U1455" s="169"/>
      <c r="V1455" s="169"/>
      <c r="W1455" s="169"/>
      <c r="X1455" s="169"/>
      <c r="Y1455" s="169"/>
      <c r="Z1455" s="178"/>
      <c r="AA1455" s="167"/>
      <c r="AB1455" s="169"/>
      <c r="AC1455" s="169"/>
      <c r="AD1455" s="169"/>
      <c r="AE1455" s="169"/>
      <c r="AF1455" s="169"/>
      <c r="AG1455" s="179"/>
      <c r="AH1455" s="169"/>
      <c r="AI1455" s="168"/>
      <c r="AJ1455" s="167"/>
      <c r="AK1455" s="168"/>
      <c r="AL1455" s="169"/>
      <c r="AM1455" s="509"/>
      <c r="AN1455" s="510"/>
      <c r="AO1455" s="510"/>
    </row>
    <row r="1456" spans="1:41">
      <c r="A1456" s="177"/>
      <c r="B1456" s="169"/>
      <c r="C1456" s="169"/>
      <c r="D1456" s="169"/>
      <c r="E1456" s="169"/>
      <c r="F1456" s="169"/>
      <c r="G1456" s="169"/>
      <c r="H1456" s="169"/>
      <c r="I1456" s="169"/>
      <c r="J1456" s="169"/>
      <c r="K1456" s="169"/>
      <c r="L1456" s="169"/>
      <c r="M1456" s="169"/>
      <c r="N1456" s="177"/>
      <c r="O1456" s="169"/>
      <c r="P1456" s="169"/>
      <c r="Q1456" s="169"/>
      <c r="R1456" s="169"/>
      <c r="S1456" s="169"/>
      <c r="T1456" s="169"/>
      <c r="U1456" s="169"/>
      <c r="V1456" s="169"/>
      <c r="W1456" s="169"/>
      <c r="X1456" s="169"/>
      <c r="Y1456" s="169"/>
      <c r="Z1456" s="178"/>
      <c r="AA1456" s="167"/>
      <c r="AB1456" s="169"/>
      <c r="AC1456" s="169"/>
      <c r="AD1456" s="169"/>
      <c r="AE1456" s="169"/>
      <c r="AF1456" s="169"/>
      <c r="AG1456" s="179"/>
      <c r="AH1456" s="169"/>
      <c r="AI1456" s="168"/>
      <c r="AJ1456" s="167"/>
      <c r="AK1456" s="168"/>
      <c r="AL1456" s="169"/>
      <c r="AM1456" s="509"/>
      <c r="AN1456" s="510"/>
      <c r="AO1456" s="510"/>
    </row>
    <row r="1457" spans="1:41">
      <c r="A1457" s="177"/>
      <c r="B1457" s="169"/>
      <c r="C1457" s="169"/>
      <c r="D1457" s="169"/>
      <c r="E1457" s="169"/>
      <c r="F1457" s="169"/>
      <c r="G1457" s="169"/>
      <c r="H1457" s="169"/>
      <c r="I1457" s="169"/>
      <c r="J1457" s="169"/>
      <c r="K1457" s="169"/>
      <c r="L1457" s="169"/>
      <c r="M1457" s="169"/>
      <c r="N1457" s="177"/>
      <c r="O1457" s="169"/>
      <c r="P1457" s="169"/>
      <c r="Q1457" s="169"/>
      <c r="R1457" s="169"/>
      <c r="S1457" s="169"/>
      <c r="T1457" s="169"/>
      <c r="U1457" s="169"/>
      <c r="V1457" s="169"/>
      <c r="W1457" s="169"/>
      <c r="X1457" s="169"/>
      <c r="Y1457" s="169"/>
      <c r="Z1457" s="178"/>
      <c r="AA1457" s="167"/>
      <c r="AB1457" s="169"/>
      <c r="AC1457" s="169"/>
      <c r="AD1457" s="169"/>
      <c r="AE1457" s="169"/>
      <c r="AF1457" s="169"/>
      <c r="AG1457" s="179"/>
      <c r="AH1457" s="169"/>
      <c r="AI1457" s="168"/>
      <c r="AJ1457" s="167"/>
      <c r="AK1457" s="168"/>
      <c r="AL1457" s="169"/>
      <c r="AM1457" s="509"/>
      <c r="AN1457" s="510"/>
      <c r="AO1457" s="510"/>
    </row>
    <row r="1458" spans="1:41">
      <c r="A1458" s="177"/>
      <c r="B1458" s="169"/>
      <c r="C1458" s="169"/>
      <c r="D1458" s="169"/>
      <c r="E1458" s="169"/>
      <c r="F1458" s="169"/>
      <c r="G1458" s="169"/>
      <c r="H1458" s="169"/>
      <c r="I1458" s="169"/>
      <c r="J1458" s="169"/>
      <c r="K1458" s="169"/>
      <c r="L1458" s="169"/>
      <c r="M1458" s="169"/>
      <c r="N1458" s="177"/>
      <c r="O1458" s="169"/>
      <c r="P1458" s="169"/>
      <c r="Q1458" s="169"/>
      <c r="R1458" s="169"/>
      <c r="S1458" s="169"/>
      <c r="T1458" s="169"/>
      <c r="U1458" s="169"/>
      <c r="V1458" s="169"/>
      <c r="W1458" s="169"/>
      <c r="X1458" s="169"/>
      <c r="Y1458" s="169"/>
      <c r="Z1458" s="178"/>
      <c r="AA1458" s="167"/>
      <c r="AB1458" s="169"/>
      <c r="AC1458" s="169"/>
      <c r="AD1458" s="169"/>
      <c r="AE1458" s="169"/>
      <c r="AF1458" s="169"/>
      <c r="AG1458" s="179"/>
      <c r="AH1458" s="169"/>
      <c r="AI1458" s="168"/>
      <c r="AJ1458" s="167"/>
      <c r="AK1458" s="168"/>
      <c r="AL1458" s="169"/>
      <c r="AM1458" s="509"/>
      <c r="AN1458" s="510"/>
      <c r="AO1458" s="510"/>
    </row>
    <row r="1459" spans="1:41">
      <c r="A1459" s="177"/>
      <c r="B1459" s="169"/>
      <c r="C1459" s="169"/>
      <c r="D1459" s="169"/>
      <c r="E1459" s="169"/>
      <c r="F1459" s="169"/>
      <c r="G1459" s="169"/>
      <c r="H1459" s="169"/>
      <c r="I1459" s="169"/>
      <c r="J1459" s="169"/>
      <c r="K1459" s="169"/>
      <c r="L1459" s="169"/>
      <c r="M1459" s="169"/>
      <c r="N1459" s="177"/>
      <c r="O1459" s="169"/>
      <c r="P1459" s="169"/>
      <c r="Q1459" s="169"/>
      <c r="R1459" s="169"/>
      <c r="S1459" s="169"/>
      <c r="T1459" s="169"/>
      <c r="U1459" s="169"/>
      <c r="V1459" s="169"/>
      <c r="W1459" s="169"/>
      <c r="X1459" s="169"/>
      <c r="Y1459" s="169"/>
      <c r="Z1459" s="178"/>
      <c r="AA1459" s="167"/>
      <c r="AB1459" s="169"/>
      <c r="AC1459" s="169"/>
      <c r="AD1459" s="169"/>
      <c r="AE1459" s="169"/>
      <c r="AF1459" s="169"/>
      <c r="AG1459" s="179"/>
      <c r="AH1459" s="169"/>
      <c r="AI1459" s="168"/>
      <c r="AJ1459" s="167"/>
      <c r="AK1459" s="168"/>
      <c r="AL1459" s="169"/>
      <c r="AM1459" s="509"/>
      <c r="AN1459" s="510"/>
      <c r="AO1459" s="510"/>
    </row>
    <row r="1460" spans="1:41">
      <c r="A1460" s="177"/>
      <c r="B1460" s="169"/>
      <c r="C1460" s="169"/>
      <c r="D1460" s="169"/>
      <c r="E1460" s="169"/>
      <c r="F1460" s="169"/>
      <c r="G1460" s="169"/>
      <c r="H1460" s="169"/>
      <c r="I1460" s="169"/>
      <c r="J1460" s="169"/>
      <c r="K1460" s="169"/>
      <c r="L1460" s="169"/>
      <c r="M1460" s="169"/>
      <c r="N1460" s="177"/>
      <c r="O1460" s="169"/>
      <c r="P1460" s="169"/>
      <c r="Q1460" s="169"/>
      <c r="R1460" s="169"/>
      <c r="S1460" s="169"/>
      <c r="T1460" s="169"/>
      <c r="U1460" s="169"/>
      <c r="V1460" s="169"/>
      <c r="W1460" s="169"/>
      <c r="X1460" s="169"/>
      <c r="Y1460" s="169"/>
      <c r="Z1460" s="178"/>
      <c r="AA1460" s="167"/>
      <c r="AB1460" s="169"/>
      <c r="AC1460" s="169"/>
      <c r="AD1460" s="169"/>
      <c r="AE1460" s="169"/>
      <c r="AF1460" s="169"/>
      <c r="AG1460" s="179"/>
      <c r="AH1460" s="169"/>
      <c r="AI1460" s="168"/>
      <c r="AJ1460" s="167"/>
      <c r="AK1460" s="168"/>
      <c r="AL1460" s="169"/>
      <c r="AM1460" s="509"/>
      <c r="AN1460" s="510"/>
      <c r="AO1460" s="510"/>
    </row>
    <row r="1461" spans="1:41">
      <c r="A1461" s="177"/>
      <c r="B1461" s="169"/>
      <c r="C1461" s="169"/>
      <c r="D1461" s="169"/>
      <c r="E1461" s="169"/>
      <c r="F1461" s="169"/>
      <c r="G1461" s="169"/>
      <c r="H1461" s="169"/>
      <c r="I1461" s="169"/>
      <c r="J1461" s="169"/>
      <c r="K1461" s="169"/>
      <c r="L1461" s="169"/>
      <c r="M1461" s="169"/>
      <c r="N1461" s="177"/>
      <c r="O1461" s="169"/>
      <c r="P1461" s="169"/>
      <c r="Q1461" s="169"/>
      <c r="R1461" s="169"/>
      <c r="S1461" s="169"/>
      <c r="T1461" s="169"/>
      <c r="U1461" s="169"/>
      <c r="V1461" s="169"/>
      <c r="W1461" s="169"/>
      <c r="X1461" s="169"/>
      <c r="Y1461" s="169"/>
      <c r="Z1461" s="178"/>
      <c r="AA1461" s="167"/>
      <c r="AB1461" s="169"/>
      <c r="AC1461" s="169"/>
      <c r="AD1461" s="169"/>
      <c r="AE1461" s="169"/>
      <c r="AF1461" s="169"/>
      <c r="AG1461" s="179"/>
      <c r="AH1461" s="169"/>
      <c r="AI1461" s="168"/>
      <c r="AJ1461" s="167"/>
      <c r="AK1461" s="168"/>
      <c r="AL1461" s="169"/>
      <c r="AM1461" s="509"/>
      <c r="AN1461" s="510"/>
      <c r="AO1461" s="510"/>
    </row>
    <row r="1462" spans="1:41">
      <c r="A1462" s="177"/>
      <c r="B1462" s="169"/>
      <c r="C1462" s="169"/>
      <c r="D1462" s="169"/>
      <c r="E1462" s="169"/>
      <c r="F1462" s="169"/>
      <c r="G1462" s="169"/>
      <c r="H1462" s="169"/>
      <c r="I1462" s="169"/>
      <c r="J1462" s="169"/>
      <c r="K1462" s="169"/>
      <c r="L1462" s="169"/>
      <c r="M1462" s="169"/>
      <c r="N1462" s="177"/>
      <c r="O1462" s="169"/>
      <c r="P1462" s="169"/>
      <c r="Q1462" s="169"/>
      <c r="R1462" s="169"/>
      <c r="S1462" s="169"/>
      <c r="T1462" s="169"/>
      <c r="U1462" s="169"/>
      <c r="V1462" s="169"/>
      <c r="W1462" s="169"/>
      <c r="X1462" s="169"/>
      <c r="Y1462" s="169"/>
      <c r="Z1462" s="178"/>
      <c r="AA1462" s="167"/>
      <c r="AB1462" s="169"/>
      <c r="AC1462" s="169"/>
      <c r="AD1462" s="169"/>
      <c r="AE1462" s="169"/>
      <c r="AF1462" s="169"/>
      <c r="AG1462" s="179"/>
      <c r="AH1462" s="169"/>
      <c r="AI1462" s="168"/>
      <c r="AJ1462" s="167"/>
      <c r="AK1462" s="168"/>
      <c r="AL1462" s="169"/>
      <c r="AM1462" s="509"/>
      <c r="AN1462" s="510"/>
      <c r="AO1462" s="510"/>
    </row>
    <row r="1463" spans="1:41">
      <c r="A1463" s="177"/>
      <c r="B1463" s="169"/>
      <c r="C1463" s="169"/>
      <c r="D1463" s="169"/>
      <c r="E1463" s="169"/>
      <c r="F1463" s="169"/>
      <c r="G1463" s="169"/>
      <c r="H1463" s="169"/>
      <c r="I1463" s="169"/>
      <c r="J1463" s="169"/>
      <c r="K1463" s="169"/>
      <c r="L1463" s="169"/>
      <c r="M1463" s="169"/>
      <c r="N1463" s="177"/>
      <c r="O1463" s="169"/>
      <c r="P1463" s="169"/>
      <c r="Q1463" s="169"/>
      <c r="R1463" s="169"/>
      <c r="S1463" s="169"/>
      <c r="T1463" s="169"/>
      <c r="U1463" s="169"/>
      <c r="V1463" s="169"/>
      <c r="W1463" s="169"/>
      <c r="X1463" s="169"/>
      <c r="Y1463" s="169"/>
      <c r="Z1463" s="178"/>
      <c r="AA1463" s="167"/>
      <c r="AB1463" s="169"/>
      <c r="AC1463" s="169"/>
      <c r="AD1463" s="169"/>
      <c r="AE1463" s="169"/>
      <c r="AF1463" s="169"/>
      <c r="AG1463" s="179"/>
      <c r="AH1463" s="169"/>
      <c r="AI1463" s="168"/>
      <c r="AJ1463" s="167"/>
      <c r="AK1463" s="168"/>
      <c r="AL1463" s="169"/>
      <c r="AM1463" s="509"/>
      <c r="AN1463" s="510"/>
      <c r="AO1463" s="510"/>
    </row>
    <row r="1464" spans="1:41">
      <c r="A1464" s="177"/>
      <c r="B1464" s="169"/>
      <c r="C1464" s="169"/>
      <c r="D1464" s="169"/>
      <c r="E1464" s="169"/>
      <c r="F1464" s="169"/>
      <c r="G1464" s="169"/>
      <c r="H1464" s="169"/>
      <c r="I1464" s="169"/>
      <c r="J1464" s="169"/>
      <c r="K1464" s="169"/>
      <c r="L1464" s="169"/>
      <c r="M1464" s="169"/>
      <c r="N1464" s="177"/>
      <c r="O1464" s="169"/>
      <c r="P1464" s="169"/>
      <c r="Q1464" s="169"/>
      <c r="R1464" s="169"/>
      <c r="S1464" s="169"/>
      <c r="T1464" s="169"/>
      <c r="U1464" s="169"/>
      <c r="V1464" s="169"/>
      <c r="W1464" s="169"/>
      <c r="X1464" s="169"/>
      <c r="Y1464" s="169"/>
      <c r="Z1464" s="178"/>
      <c r="AA1464" s="167"/>
      <c r="AB1464" s="169"/>
      <c r="AC1464" s="169"/>
      <c r="AD1464" s="169"/>
      <c r="AE1464" s="169"/>
      <c r="AF1464" s="169"/>
      <c r="AG1464" s="179"/>
      <c r="AH1464" s="169"/>
      <c r="AI1464" s="168"/>
      <c r="AJ1464" s="167"/>
      <c r="AK1464" s="168"/>
      <c r="AL1464" s="169"/>
      <c r="AM1464" s="509"/>
      <c r="AN1464" s="510"/>
      <c r="AO1464" s="510"/>
    </row>
    <row r="1465" spans="1:41">
      <c r="A1465" s="177"/>
      <c r="B1465" s="169"/>
      <c r="C1465" s="169"/>
      <c r="D1465" s="169"/>
      <c r="E1465" s="169"/>
      <c r="F1465" s="169"/>
      <c r="G1465" s="169"/>
      <c r="H1465" s="169"/>
      <c r="I1465" s="169"/>
      <c r="J1465" s="169"/>
      <c r="K1465" s="169"/>
      <c r="L1465" s="169"/>
      <c r="M1465" s="169"/>
      <c r="N1465" s="177"/>
      <c r="O1465" s="169"/>
      <c r="P1465" s="169"/>
      <c r="Q1465" s="169"/>
      <c r="R1465" s="169"/>
      <c r="S1465" s="169"/>
      <c r="T1465" s="169"/>
      <c r="U1465" s="169"/>
      <c r="V1465" s="169"/>
      <c r="W1465" s="169"/>
      <c r="X1465" s="169"/>
      <c r="Y1465" s="169"/>
      <c r="Z1465" s="178"/>
      <c r="AA1465" s="167"/>
      <c r="AB1465" s="169"/>
      <c r="AC1465" s="169"/>
      <c r="AD1465" s="169"/>
      <c r="AE1465" s="169"/>
      <c r="AF1465" s="169"/>
      <c r="AG1465" s="179"/>
      <c r="AH1465" s="169"/>
      <c r="AI1465" s="168"/>
      <c r="AJ1465" s="167"/>
      <c r="AK1465" s="168"/>
      <c r="AL1465" s="169"/>
      <c r="AM1465" s="509"/>
      <c r="AN1465" s="510"/>
      <c r="AO1465" s="510"/>
    </row>
    <row r="1466" spans="1:41">
      <c r="A1466" s="177"/>
      <c r="B1466" s="169"/>
      <c r="C1466" s="169"/>
      <c r="D1466" s="169"/>
      <c r="E1466" s="169"/>
      <c r="F1466" s="169"/>
      <c r="G1466" s="169"/>
      <c r="H1466" s="169"/>
      <c r="I1466" s="169"/>
      <c r="J1466" s="169"/>
      <c r="K1466" s="169"/>
      <c r="L1466" s="169"/>
      <c r="M1466" s="169"/>
      <c r="N1466" s="177"/>
      <c r="O1466" s="169"/>
      <c r="P1466" s="169"/>
      <c r="Q1466" s="169"/>
      <c r="R1466" s="169"/>
      <c r="S1466" s="169"/>
      <c r="T1466" s="169"/>
      <c r="U1466" s="169"/>
      <c r="V1466" s="169"/>
      <c r="W1466" s="169"/>
      <c r="X1466" s="169"/>
      <c r="Y1466" s="169"/>
      <c r="Z1466" s="178"/>
      <c r="AA1466" s="167"/>
      <c r="AB1466" s="169"/>
      <c r="AC1466" s="169"/>
      <c r="AD1466" s="169"/>
      <c r="AE1466" s="169"/>
      <c r="AF1466" s="169"/>
      <c r="AG1466" s="179"/>
      <c r="AH1466" s="169"/>
      <c r="AI1466" s="168"/>
      <c r="AJ1466" s="167"/>
      <c r="AK1466" s="168"/>
      <c r="AL1466" s="169"/>
      <c r="AM1466" s="509"/>
      <c r="AN1466" s="510"/>
      <c r="AO1466" s="510"/>
    </row>
    <row r="1467" spans="1:41">
      <c r="A1467" s="177"/>
      <c r="B1467" s="169"/>
      <c r="C1467" s="169"/>
      <c r="D1467" s="169"/>
      <c r="E1467" s="169"/>
      <c r="F1467" s="169"/>
      <c r="G1467" s="169"/>
      <c r="H1467" s="169"/>
      <c r="I1467" s="169"/>
      <c r="J1467" s="169"/>
      <c r="K1467" s="169"/>
      <c r="L1467" s="169"/>
      <c r="M1467" s="169"/>
      <c r="N1467" s="177"/>
      <c r="O1467" s="169"/>
      <c r="P1467" s="169"/>
      <c r="Q1467" s="169"/>
      <c r="R1467" s="169"/>
      <c r="S1467" s="169"/>
      <c r="T1467" s="169"/>
      <c r="U1467" s="169"/>
      <c r="V1467" s="169"/>
      <c r="W1467" s="169"/>
      <c r="X1467" s="169"/>
      <c r="Y1467" s="169"/>
      <c r="Z1467" s="178"/>
      <c r="AA1467" s="167"/>
      <c r="AB1467" s="169"/>
      <c r="AC1467" s="169"/>
      <c r="AD1467" s="169"/>
      <c r="AE1467" s="169"/>
      <c r="AF1467" s="169"/>
      <c r="AG1467" s="179"/>
      <c r="AH1467" s="169"/>
      <c r="AI1467" s="168"/>
      <c r="AJ1467" s="167"/>
      <c r="AK1467" s="168"/>
      <c r="AL1467" s="169"/>
      <c r="AM1467" s="509"/>
      <c r="AN1467" s="510"/>
      <c r="AO1467" s="510"/>
    </row>
    <row r="1468" spans="1:41">
      <c r="A1468" s="177"/>
      <c r="B1468" s="169"/>
      <c r="C1468" s="169"/>
      <c r="D1468" s="169"/>
      <c r="E1468" s="169"/>
      <c r="F1468" s="169"/>
      <c r="G1468" s="169"/>
      <c r="H1468" s="169"/>
      <c r="I1468" s="169"/>
      <c r="J1468" s="169"/>
      <c r="K1468" s="169"/>
      <c r="L1468" s="169"/>
      <c r="M1468" s="169"/>
      <c r="N1468" s="177"/>
      <c r="O1468" s="169"/>
      <c r="P1468" s="169"/>
      <c r="Q1468" s="169"/>
      <c r="R1468" s="169"/>
      <c r="S1468" s="169"/>
      <c r="T1468" s="169"/>
      <c r="U1468" s="169"/>
      <c r="V1468" s="169"/>
      <c r="W1468" s="169"/>
      <c r="X1468" s="169"/>
      <c r="Y1468" s="169"/>
      <c r="Z1468" s="178"/>
      <c r="AA1468" s="167"/>
      <c r="AB1468" s="169"/>
      <c r="AC1468" s="169"/>
      <c r="AD1468" s="169"/>
      <c r="AE1468" s="169"/>
      <c r="AF1468" s="169"/>
      <c r="AG1468" s="179"/>
      <c r="AH1468" s="169"/>
      <c r="AI1468" s="168"/>
      <c r="AJ1468" s="167"/>
      <c r="AK1468" s="168"/>
      <c r="AL1468" s="169"/>
      <c r="AM1468" s="509"/>
      <c r="AN1468" s="510"/>
      <c r="AO1468" s="510"/>
    </row>
    <row r="1469" spans="1:41">
      <c r="A1469" s="177"/>
      <c r="B1469" s="169"/>
      <c r="C1469" s="169"/>
      <c r="D1469" s="169"/>
      <c r="E1469" s="169"/>
      <c r="F1469" s="169"/>
      <c r="G1469" s="169"/>
      <c r="H1469" s="169"/>
      <c r="I1469" s="169"/>
      <c r="J1469" s="169"/>
      <c r="K1469" s="169"/>
      <c r="L1469" s="169"/>
      <c r="M1469" s="169"/>
      <c r="N1469" s="177"/>
      <c r="O1469" s="169"/>
      <c r="P1469" s="169"/>
      <c r="Q1469" s="169"/>
      <c r="R1469" s="169"/>
      <c r="S1469" s="169"/>
      <c r="T1469" s="169"/>
      <c r="U1469" s="169"/>
      <c r="V1469" s="169"/>
      <c r="W1469" s="169"/>
      <c r="X1469" s="169"/>
      <c r="Y1469" s="169"/>
      <c r="Z1469" s="178"/>
      <c r="AA1469" s="167"/>
      <c r="AB1469" s="169"/>
      <c r="AC1469" s="169"/>
      <c r="AD1469" s="169"/>
      <c r="AE1469" s="169"/>
      <c r="AF1469" s="169"/>
      <c r="AG1469" s="179"/>
      <c r="AH1469" s="169"/>
      <c r="AI1469" s="168"/>
      <c r="AJ1469" s="167"/>
      <c r="AK1469" s="168"/>
      <c r="AL1469" s="169"/>
      <c r="AM1469" s="509"/>
      <c r="AN1469" s="510"/>
      <c r="AO1469" s="510"/>
    </row>
    <row r="1470" spans="1:41">
      <c r="A1470" s="177"/>
      <c r="B1470" s="169"/>
      <c r="C1470" s="169"/>
      <c r="D1470" s="169"/>
      <c r="E1470" s="169"/>
      <c r="F1470" s="169"/>
      <c r="G1470" s="169"/>
      <c r="H1470" s="169"/>
      <c r="I1470" s="169"/>
      <c r="J1470" s="169"/>
      <c r="K1470" s="169"/>
      <c r="L1470" s="169"/>
      <c r="M1470" s="169"/>
      <c r="N1470" s="177"/>
      <c r="O1470" s="169"/>
      <c r="P1470" s="169"/>
      <c r="Q1470" s="169"/>
      <c r="R1470" s="169"/>
      <c r="S1470" s="169"/>
      <c r="T1470" s="169"/>
      <c r="U1470" s="169"/>
      <c r="V1470" s="169"/>
      <c r="W1470" s="169"/>
      <c r="X1470" s="169"/>
      <c r="Y1470" s="169"/>
      <c r="Z1470" s="178"/>
      <c r="AA1470" s="167"/>
      <c r="AB1470" s="169"/>
      <c r="AC1470" s="169"/>
      <c r="AD1470" s="169"/>
      <c r="AE1470" s="169"/>
      <c r="AF1470" s="169"/>
      <c r="AG1470" s="179"/>
      <c r="AH1470" s="169"/>
      <c r="AI1470" s="168"/>
      <c r="AJ1470" s="167"/>
      <c r="AK1470" s="168"/>
      <c r="AL1470" s="169"/>
      <c r="AM1470" s="509"/>
      <c r="AN1470" s="510"/>
      <c r="AO1470" s="510"/>
    </row>
    <row r="1471" spans="1:41">
      <c r="A1471" s="177"/>
      <c r="B1471" s="169"/>
      <c r="C1471" s="169"/>
      <c r="D1471" s="169"/>
      <c r="E1471" s="169"/>
      <c r="F1471" s="169"/>
      <c r="G1471" s="169"/>
      <c r="H1471" s="169"/>
      <c r="I1471" s="169"/>
      <c r="J1471" s="169"/>
      <c r="K1471" s="169"/>
      <c r="L1471" s="169"/>
      <c r="M1471" s="169"/>
      <c r="N1471" s="177"/>
      <c r="O1471" s="169"/>
      <c r="P1471" s="169"/>
      <c r="Q1471" s="169"/>
      <c r="R1471" s="169"/>
      <c r="S1471" s="169"/>
      <c r="T1471" s="169"/>
      <c r="U1471" s="169"/>
      <c r="V1471" s="169"/>
      <c r="W1471" s="169"/>
      <c r="X1471" s="169"/>
      <c r="Y1471" s="169"/>
      <c r="Z1471" s="178"/>
      <c r="AA1471" s="167"/>
      <c r="AB1471" s="169"/>
      <c r="AC1471" s="169"/>
      <c r="AD1471" s="169"/>
      <c r="AE1471" s="169"/>
      <c r="AF1471" s="169"/>
      <c r="AG1471" s="179"/>
      <c r="AH1471" s="169"/>
      <c r="AI1471" s="168"/>
      <c r="AJ1471" s="167"/>
      <c r="AK1471" s="168"/>
      <c r="AL1471" s="169"/>
      <c r="AM1471" s="509"/>
      <c r="AN1471" s="510"/>
      <c r="AO1471" s="510"/>
    </row>
    <row r="1472" spans="1:41">
      <c r="A1472" s="177"/>
      <c r="B1472" s="169"/>
      <c r="C1472" s="169"/>
      <c r="D1472" s="169"/>
      <c r="E1472" s="169"/>
      <c r="F1472" s="169"/>
      <c r="G1472" s="169"/>
      <c r="H1472" s="169"/>
      <c r="I1472" s="169"/>
      <c r="J1472" s="169"/>
      <c r="K1472" s="169"/>
      <c r="L1472" s="169"/>
      <c r="M1472" s="169"/>
      <c r="N1472" s="177"/>
      <c r="O1472" s="169"/>
      <c r="P1472" s="169"/>
      <c r="Q1472" s="169"/>
      <c r="R1472" s="169"/>
      <c r="S1472" s="169"/>
      <c r="T1472" s="169"/>
      <c r="U1472" s="169"/>
      <c r="V1472" s="169"/>
      <c r="W1472" s="169"/>
      <c r="X1472" s="169"/>
      <c r="Y1472" s="169"/>
      <c r="Z1472" s="178"/>
      <c r="AA1472" s="167"/>
      <c r="AB1472" s="169"/>
      <c r="AC1472" s="169"/>
      <c r="AD1472" s="169"/>
      <c r="AE1472" s="169"/>
      <c r="AF1472" s="169"/>
      <c r="AG1472" s="179"/>
      <c r="AH1472" s="169"/>
      <c r="AI1472" s="168"/>
      <c r="AJ1472" s="167"/>
      <c r="AK1472" s="168"/>
      <c r="AL1472" s="169"/>
      <c r="AM1472" s="509"/>
      <c r="AN1472" s="510"/>
      <c r="AO1472" s="510"/>
    </row>
    <row r="1473" spans="1:41">
      <c r="A1473" s="177"/>
      <c r="B1473" s="169"/>
      <c r="C1473" s="169"/>
      <c r="D1473" s="169"/>
      <c r="E1473" s="169"/>
      <c r="F1473" s="169"/>
      <c r="G1473" s="169"/>
      <c r="H1473" s="169"/>
      <c r="I1473" s="169"/>
      <c r="J1473" s="169"/>
      <c r="K1473" s="169"/>
      <c r="L1473" s="169"/>
      <c r="M1473" s="169"/>
      <c r="N1473" s="177"/>
      <c r="O1473" s="169"/>
      <c r="P1473" s="169"/>
      <c r="Q1473" s="169"/>
      <c r="R1473" s="169"/>
      <c r="S1473" s="169"/>
      <c r="T1473" s="169"/>
      <c r="U1473" s="169"/>
      <c r="V1473" s="169"/>
      <c r="W1473" s="169"/>
      <c r="X1473" s="169"/>
      <c r="Y1473" s="169"/>
      <c r="Z1473" s="178"/>
      <c r="AA1473" s="167"/>
      <c r="AB1473" s="169"/>
      <c r="AC1473" s="169"/>
      <c r="AD1473" s="169"/>
      <c r="AE1473" s="169"/>
      <c r="AF1473" s="169"/>
      <c r="AG1473" s="179"/>
      <c r="AH1473" s="169"/>
      <c r="AI1473" s="168"/>
      <c r="AJ1473" s="167"/>
      <c r="AK1473" s="168"/>
      <c r="AL1473" s="169"/>
      <c r="AM1473" s="509"/>
      <c r="AN1473" s="510"/>
      <c r="AO1473" s="510"/>
    </row>
    <row r="1474" spans="1:41">
      <c r="A1474" s="177"/>
      <c r="B1474" s="169"/>
      <c r="C1474" s="169"/>
      <c r="D1474" s="169"/>
      <c r="E1474" s="169"/>
      <c r="F1474" s="169"/>
      <c r="G1474" s="169"/>
      <c r="H1474" s="169"/>
      <c r="I1474" s="169"/>
      <c r="J1474" s="169"/>
      <c r="K1474" s="169"/>
      <c r="L1474" s="169"/>
      <c r="M1474" s="169"/>
      <c r="N1474" s="177"/>
      <c r="O1474" s="169"/>
      <c r="P1474" s="169"/>
      <c r="Q1474" s="169"/>
      <c r="R1474" s="169"/>
      <c r="S1474" s="169"/>
      <c r="T1474" s="169"/>
      <c r="U1474" s="169"/>
      <c r="V1474" s="169"/>
      <c r="W1474" s="169"/>
      <c r="X1474" s="169"/>
      <c r="Y1474" s="169"/>
      <c r="Z1474" s="178"/>
      <c r="AA1474" s="167"/>
      <c r="AB1474" s="169"/>
      <c r="AC1474" s="169"/>
      <c r="AD1474" s="169"/>
      <c r="AE1474" s="169"/>
      <c r="AF1474" s="169"/>
      <c r="AG1474" s="179"/>
      <c r="AH1474" s="169"/>
      <c r="AI1474" s="168"/>
      <c r="AJ1474" s="167"/>
      <c r="AK1474" s="168"/>
      <c r="AL1474" s="169"/>
      <c r="AM1474" s="509"/>
      <c r="AN1474" s="510"/>
      <c r="AO1474" s="510"/>
    </row>
    <row r="1475" spans="1:41">
      <c r="A1475" s="177"/>
      <c r="B1475" s="169"/>
      <c r="C1475" s="169"/>
      <c r="D1475" s="169"/>
      <c r="E1475" s="169"/>
      <c r="F1475" s="169"/>
      <c r="G1475" s="169"/>
      <c r="H1475" s="169"/>
      <c r="I1475" s="169"/>
      <c r="J1475" s="169"/>
      <c r="K1475" s="169"/>
      <c r="L1475" s="169"/>
      <c r="M1475" s="169"/>
      <c r="N1475" s="177"/>
      <c r="O1475" s="169"/>
      <c r="P1475" s="169"/>
      <c r="Q1475" s="169"/>
      <c r="R1475" s="169"/>
      <c r="S1475" s="169"/>
      <c r="T1475" s="169"/>
      <c r="U1475" s="169"/>
      <c r="V1475" s="169"/>
      <c r="W1475" s="169"/>
      <c r="X1475" s="169"/>
      <c r="Y1475" s="169"/>
      <c r="Z1475" s="178"/>
      <c r="AA1475" s="167"/>
      <c r="AB1475" s="169"/>
      <c r="AC1475" s="169"/>
      <c r="AD1475" s="169"/>
      <c r="AE1475" s="169"/>
      <c r="AF1475" s="169"/>
      <c r="AG1475" s="179"/>
      <c r="AH1475" s="169"/>
      <c r="AI1475" s="168"/>
      <c r="AJ1475" s="167"/>
      <c r="AK1475" s="168"/>
      <c r="AL1475" s="169"/>
      <c r="AM1475" s="509"/>
      <c r="AN1475" s="510"/>
      <c r="AO1475" s="510"/>
    </row>
    <row r="1476" spans="1:41">
      <c r="A1476" s="177"/>
      <c r="B1476" s="169"/>
      <c r="C1476" s="169"/>
      <c r="D1476" s="169"/>
      <c r="E1476" s="169"/>
      <c r="F1476" s="169"/>
      <c r="G1476" s="169"/>
      <c r="H1476" s="169"/>
      <c r="I1476" s="169"/>
      <c r="J1476" s="169"/>
      <c r="K1476" s="169"/>
      <c r="L1476" s="169"/>
      <c r="M1476" s="169"/>
      <c r="N1476" s="177"/>
      <c r="O1476" s="169"/>
      <c r="P1476" s="169"/>
      <c r="Q1476" s="169"/>
      <c r="R1476" s="169"/>
      <c r="S1476" s="169"/>
      <c r="T1476" s="169"/>
      <c r="U1476" s="169"/>
      <c r="V1476" s="169"/>
      <c r="W1476" s="169"/>
      <c r="X1476" s="169"/>
      <c r="Y1476" s="169"/>
      <c r="Z1476" s="178"/>
      <c r="AA1476" s="167"/>
      <c r="AB1476" s="169"/>
      <c r="AC1476" s="169"/>
      <c r="AD1476" s="169"/>
      <c r="AE1476" s="169"/>
      <c r="AF1476" s="169"/>
      <c r="AG1476" s="179"/>
      <c r="AH1476" s="169"/>
      <c r="AI1476" s="168"/>
      <c r="AJ1476" s="167"/>
      <c r="AK1476" s="168"/>
      <c r="AL1476" s="169"/>
      <c r="AM1476" s="509"/>
      <c r="AN1476" s="510"/>
      <c r="AO1476" s="510"/>
    </row>
    <row r="1477" spans="1:41">
      <c r="A1477" s="177"/>
      <c r="B1477" s="169"/>
      <c r="C1477" s="169"/>
      <c r="D1477" s="169"/>
      <c r="E1477" s="169"/>
      <c r="F1477" s="169"/>
      <c r="G1477" s="169"/>
      <c r="H1477" s="169"/>
      <c r="I1477" s="169"/>
      <c r="J1477" s="169"/>
      <c r="K1477" s="169"/>
      <c r="L1477" s="169"/>
      <c r="M1477" s="169"/>
      <c r="N1477" s="177"/>
      <c r="O1477" s="169"/>
      <c r="P1477" s="169"/>
      <c r="Q1477" s="169"/>
      <c r="R1477" s="169"/>
      <c r="S1477" s="169"/>
      <c r="T1477" s="169"/>
      <c r="U1477" s="169"/>
      <c r="V1477" s="169"/>
      <c r="W1477" s="169"/>
      <c r="X1477" s="169"/>
      <c r="Y1477" s="169"/>
      <c r="Z1477" s="178"/>
      <c r="AA1477" s="167"/>
      <c r="AB1477" s="169"/>
      <c r="AC1477" s="169"/>
      <c r="AD1477" s="169"/>
      <c r="AE1477" s="169"/>
      <c r="AF1477" s="169"/>
      <c r="AG1477" s="179"/>
      <c r="AH1477" s="169"/>
      <c r="AI1477" s="168"/>
      <c r="AJ1477" s="167"/>
      <c r="AK1477" s="168"/>
      <c r="AL1477" s="169"/>
      <c r="AM1477" s="509"/>
      <c r="AN1477" s="510"/>
      <c r="AO1477" s="510"/>
    </row>
    <row r="1478" spans="1:41">
      <c r="A1478" s="177"/>
      <c r="B1478" s="169"/>
      <c r="C1478" s="169"/>
      <c r="D1478" s="169"/>
      <c r="E1478" s="169"/>
      <c r="F1478" s="169"/>
      <c r="G1478" s="169"/>
      <c r="H1478" s="169"/>
      <c r="I1478" s="169"/>
      <c r="J1478" s="169"/>
      <c r="K1478" s="169"/>
      <c r="L1478" s="169"/>
      <c r="M1478" s="169"/>
      <c r="N1478" s="177"/>
      <c r="O1478" s="169"/>
      <c r="P1478" s="169"/>
      <c r="Q1478" s="169"/>
      <c r="R1478" s="169"/>
      <c r="S1478" s="169"/>
      <c r="T1478" s="169"/>
      <c r="U1478" s="169"/>
      <c r="V1478" s="169"/>
      <c r="W1478" s="169"/>
      <c r="X1478" s="169"/>
      <c r="Y1478" s="169"/>
      <c r="Z1478" s="178"/>
      <c r="AA1478" s="167"/>
      <c r="AB1478" s="169"/>
      <c r="AC1478" s="169"/>
      <c r="AD1478" s="169"/>
      <c r="AE1478" s="169"/>
      <c r="AF1478" s="169"/>
      <c r="AG1478" s="179"/>
      <c r="AH1478" s="169"/>
      <c r="AI1478" s="168"/>
      <c r="AJ1478" s="167"/>
      <c r="AK1478" s="168"/>
      <c r="AL1478" s="169"/>
      <c r="AM1478" s="509"/>
      <c r="AN1478" s="510"/>
      <c r="AO1478" s="510"/>
    </row>
    <row r="1479" spans="1:41">
      <c r="A1479" s="177"/>
      <c r="B1479" s="169"/>
      <c r="C1479" s="169"/>
      <c r="D1479" s="169"/>
      <c r="E1479" s="169"/>
      <c r="F1479" s="169"/>
      <c r="G1479" s="169"/>
      <c r="H1479" s="169"/>
      <c r="I1479" s="169"/>
      <c r="J1479" s="169"/>
      <c r="K1479" s="169"/>
      <c r="L1479" s="169"/>
      <c r="M1479" s="169"/>
      <c r="N1479" s="177"/>
      <c r="O1479" s="169"/>
      <c r="P1479" s="169"/>
      <c r="Q1479" s="169"/>
      <c r="R1479" s="169"/>
      <c r="S1479" s="169"/>
      <c r="T1479" s="169"/>
      <c r="U1479" s="169"/>
      <c r="V1479" s="169"/>
      <c r="W1479" s="169"/>
      <c r="X1479" s="169"/>
      <c r="Y1479" s="169"/>
      <c r="Z1479" s="178"/>
      <c r="AA1479" s="167"/>
      <c r="AB1479" s="169"/>
      <c r="AC1479" s="169"/>
      <c r="AD1479" s="169"/>
      <c r="AE1479" s="169"/>
      <c r="AF1479" s="169"/>
      <c r="AG1479" s="179"/>
      <c r="AH1479" s="169"/>
      <c r="AI1479" s="168"/>
      <c r="AJ1479" s="167"/>
      <c r="AK1479" s="168"/>
      <c r="AL1479" s="169"/>
      <c r="AM1479" s="509"/>
      <c r="AN1479" s="510"/>
      <c r="AO1479" s="510"/>
    </row>
    <row r="1480" spans="1:41">
      <c r="A1480" s="177"/>
      <c r="B1480" s="169"/>
      <c r="C1480" s="169"/>
      <c r="D1480" s="169"/>
      <c r="E1480" s="169"/>
      <c r="F1480" s="169"/>
      <c r="G1480" s="169"/>
      <c r="H1480" s="169"/>
      <c r="I1480" s="169"/>
      <c r="J1480" s="169"/>
      <c r="K1480" s="169"/>
      <c r="L1480" s="169"/>
      <c r="M1480" s="169"/>
      <c r="N1480" s="177"/>
      <c r="O1480" s="169"/>
      <c r="P1480" s="169"/>
      <c r="Q1480" s="169"/>
      <c r="R1480" s="169"/>
      <c r="S1480" s="169"/>
      <c r="T1480" s="169"/>
      <c r="U1480" s="169"/>
      <c r="V1480" s="169"/>
      <c r="W1480" s="169"/>
      <c r="X1480" s="169"/>
      <c r="Y1480" s="169"/>
      <c r="Z1480" s="178"/>
      <c r="AA1480" s="167"/>
      <c r="AB1480" s="169"/>
      <c r="AC1480" s="169"/>
      <c r="AD1480" s="169"/>
      <c r="AE1480" s="169"/>
      <c r="AF1480" s="169"/>
      <c r="AG1480" s="179"/>
      <c r="AH1480" s="169"/>
      <c r="AI1480" s="168"/>
      <c r="AJ1480" s="167"/>
      <c r="AK1480" s="168"/>
      <c r="AL1480" s="169"/>
      <c r="AM1480" s="509"/>
      <c r="AN1480" s="510"/>
      <c r="AO1480" s="510"/>
    </row>
    <row r="1481" spans="1:41">
      <c r="A1481" s="177"/>
      <c r="B1481" s="169"/>
      <c r="C1481" s="169"/>
      <c r="D1481" s="169"/>
      <c r="E1481" s="169"/>
      <c r="F1481" s="169"/>
      <c r="G1481" s="169"/>
      <c r="H1481" s="169"/>
      <c r="I1481" s="169"/>
      <c r="J1481" s="169"/>
      <c r="K1481" s="169"/>
      <c r="L1481" s="169"/>
      <c r="M1481" s="169"/>
      <c r="N1481" s="177"/>
      <c r="O1481" s="169"/>
      <c r="P1481" s="169"/>
      <c r="Q1481" s="169"/>
      <c r="R1481" s="169"/>
      <c r="S1481" s="169"/>
      <c r="T1481" s="169"/>
      <c r="U1481" s="169"/>
      <c r="V1481" s="169"/>
      <c r="W1481" s="169"/>
      <c r="X1481" s="169"/>
      <c r="Y1481" s="169"/>
      <c r="Z1481" s="178"/>
      <c r="AA1481" s="167"/>
      <c r="AB1481" s="169"/>
      <c r="AC1481" s="169"/>
      <c r="AD1481" s="169"/>
      <c r="AE1481" s="169"/>
      <c r="AF1481" s="169"/>
      <c r="AG1481" s="179"/>
      <c r="AH1481" s="169"/>
      <c r="AI1481" s="168"/>
      <c r="AJ1481" s="167"/>
      <c r="AK1481" s="168"/>
      <c r="AL1481" s="169"/>
      <c r="AM1481" s="509"/>
      <c r="AN1481" s="510"/>
      <c r="AO1481" s="510"/>
    </row>
    <row r="1482" spans="1:41">
      <c r="A1482" s="177"/>
      <c r="B1482" s="169"/>
      <c r="C1482" s="169"/>
      <c r="D1482" s="169"/>
      <c r="E1482" s="169"/>
      <c r="F1482" s="169"/>
      <c r="G1482" s="169"/>
      <c r="H1482" s="169"/>
      <c r="I1482" s="169"/>
      <c r="J1482" s="169"/>
      <c r="K1482" s="169"/>
      <c r="L1482" s="169"/>
      <c r="M1482" s="169"/>
      <c r="N1482" s="177"/>
      <c r="O1482" s="169"/>
      <c r="P1482" s="169"/>
      <c r="Q1482" s="169"/>
      <c r="R1482" s="169"/>
      <c r="S1482" s="169"/>
      <c r="T1482" s="169"/>
      <c r="U1482" s="169"/>
      <c r="V1482" s="169"/>
      <c r="W1482" s="169"/>
      <c r="X1482" s="169"/>
      <c r="Y1482" s="169"/>
      <c r="Z1482" s="178"/>
      <c r="AA1482" s="167"/>
      <c r="AB1482" s="169"/>
      <c r="AC1482" s="169"/>
      <c r="AD1482" s="169"/>
      <c r="AE1482" s="169"/>
      <c r="AF1482" s="169"/>
      <c r="AG1482" s="179"/>
      <c r="AH1482" s="169"/>
      <c r="AI1482" s="168"/>
      <c r="AJ1482" s="167"/>
      <c r="AK1482" s="168"/>
      <c r="AL1482" s="169"/>
      <c r="AM1482" s="509"/>
      <c r="AN1482" s="510"/>
      <c r="AO1482" s="510"/>
    </row>
    <row r="1483" spans="1:41">
      <c r="A1483" s="177"/>
      <c r="B1483" s="169"/>
      <c r="C1483" s="169"/>
      <c r="D1483" s="169"/>
      <c r="E1483" s="169"/>
      <c r="F1483" s="169"/>
      <c r="G1483" s="169"/>
      <c r="H1483" s="169"/>
      <c r="I1483" s="169"/>
      <c r="J1483" s="169"/>
      <c r="K1483" s="169"/>
      <c r="L1483" s="169"/>
      <c r="M1483" s="169"/>
      <c r="N1483" s="177"/>
      <c r="O1483" s="169"/>
      <c r="P1483" s="169"/>
      <c r="Q1483" s="169"/>
      <c r="R1483" s="169"/>
      <c r="S1483" s="169"/>
      <c r="T1483" s="169"/>
      <c r="U1483" s="169"/>
      <c r="V1483" s="169"/>
      <c r="W1483" s="169"/>
      <c r="X1483" s="169"/>
      <c r="Y1483" s="169"/>
      <c r="Z1483" s="178"/>
      <c r="AA1483" s="167"/>
      <c r="AB1483" s="169"/>
      <c r="AC1483" s="169"/>
      <c r="AD1483" s="169"/>
      <c r="AE1483" s="169"/>
      <c r="AF1483" s="169"/>
      <c r="AG1483" s="179"/>
      <c r="AH1483" s="169"/>
      <c r="AI1483" s="168"/>
      <c r="AJ1483" s="167"/>
      <c r="AK1483" s="168"/>
      <c r="AL1483" s="169"/>
      <c r="AM1483" s="509"/>
      <c r="AN1483" s="510"/>
      <c r="AO1483" s="510"/>
    </row>
    <row r="1484" spans="1:41">
      <c r="A1484" s="177"/>
      <c r="B1484" s="169"/>
      <c r="C1484" s="169"/>
      <c r="D1484" s="169"/>
      <c r="E1484" s="169"/>
      <c r="F1484" s="169"/>
      <c r="G1484" s="169"/>
      <c r="H1484" s="169"/>
      <c r="I1484" s="169"/>
      <c r="J1484" s="169"/>
      <c r="K1484" s="169"/>
      <c r="L1484" s="169"/>
      <c r="M1484" s="169"/>
      <c r="N1484" s="177"/>
      <c r="O1484" s="169"/>
      <c r="P1484" s="169"/>
      <c r="Q1484" s="169"/>
      <c r="R1484" s="169"/>
      <c r="S1484" s="169"/>
      <c r="T1484" s="169"/>
      <c r="U1484" s="169"/>
      <c r="V1484" s="169"/>
      <c r="W1484" s="169"/>
      <c r="X1484" s="169"/>
      <c r="Y1484" s="169"/>
      <c r="Z1484" s="178"/>
      <c r="AA1484" s="167"/>
      <c r="AB1484" s="169"/>
      <c r="AC1484" s="169"/>
      <c r="AD1484" s="169"/>
      <c r="AE1484" s="169"/>
      <c r="AF1484" s="169"/>
      <c r="AG1484" s="179"/>
      <c r="AH1484" s="169"/>
      <c r="AI1484" s="168"/>
      <c r="AJ1484" s="167"/>
      <c r="AK1484" s="168"/>
      <c r="AL1484" s="169"/>
      <c r="AM1484" s="509"/>
      <c r="AN1484" s="510"/>
      <c r="AO1484" s="510"/>
    </row>
    <row r="1485" spans="1:41">
      <c r="A1485" s="177"/>
      <c r="B1485" s="169"/>
      <c r="C1485" s="169"/>
      <c r="D1485" s="169"/>
      <c r="E1485" s="169"/>
      <c r="F1485" s="169"/>
      <c r="G1485" s="169"/>
      <c r="H1485" s="169"/>
      <c r="I1485" s="169"/>
      <c r="J1485" s="169"/>
      <c r="K1485" s="169"/>
      <c r="L1485" s="169"/>
      <c r="M1485" s="169"/>
      <c r="N1485" s="177"/>
      <c r="O1485" s="169"/>
      <c r="P1485" s="169"/>
      <c r="Q1485" s="169"/>
      <c r="R1485" s="169"/>
      <c r="S1485" s="169"/>
      <c r="T1485" s="169"/>
      <c r="U1485" s="169"/>
      <c r="V1485" s="169"/>
      <c r="W1485" s="169"/>
      <c r="X1485" s="169"/>
      <c r="Y1485" s="169"/>
      <c r="Z1485" s="178"/>
      <c r="AA1485" s="167"/>
      <c r="AB1485" s="169"/>
      <c r="AC1485" s="169"/>
      <c r="AD1485" s="169"/>
      <c r="AE1485" s="169"/>
      <c r="AF1485" s="169"/>
      <c r="AG1485" s="179"/>
      <c r="AH1485" s="169"/>
      <c r="AI1485" s="168"/>
      <c r="AJ1485" s="167"/>
      <c r="AK1485" s="168"/>
      <c r="AL1485" s="169"/>
      <c r="AM1485" s="509"/>
      <c r="AN1485" s="510"/>
      <c r="AO1485" s="510"/>
    </row>
    <row r="1486" spans="1:41">
      <c r="A1486" s="177"/>
      <c r="B1486" s="169"/>
      <c r="C1486" s="169"/>
      <c r="D1486" s="169"/>
      <c r="E1486" s="169"/>
      <c r="F1486" s="169"/>
      <c r="G1486" s="169"/>
      <c r="H1486" s="169"/>
      <c r="I1486" s="169"/>
      <c r="J1486" s="169"/>
      <c r="K1486" s="169"/>
      <c r="L1486" s="169"/>
      <c r="M1486" s="169"/>
      <c r="N1486" s="177"/>
      <c r="O1486" s="169"/>
      <c r="P1486" s="169"/>
      <c r="Q1486" s="169"/>
      <c r="R1486" s="169"/>
      <c r="S1486" s="169"/>
      <c r="T1486" s="169"/>
      <c r="U1486" s="169"/>
      <c r="V1486" s="169"/>
      <c r="W1486" s="169"/>
      <c r="X1486" s="169"/>
      <c r="Y1486" s="169"/>
      <c r="Z1486" s="178"/>
      <c r="AA1486" s="167"/>
      <c r="AB1486" s="169"/>
      <c r="AC1486" s="169"/>
      <c r="AD1486" s="169"/>
      <c r="AE1486" s="169"/>
      <c r="AF1486" s="169"/>
      <c r="AG1486" s="179"/>
      <c r="AH1486" s="169"/>
      <c r="AI1486" s="168"/>
      <c r="AJ1486" s="167"/>
      <c r="AK1486" s="168"/>
      <c r="AL1486" s="169"/>
      <c r="AM1486" s="509"/>
      <c r="AN1486" s="510"/>
      <c r="AO1486" s="510"/>
    </row>
    <row r="1487" spans="1:41">
      <c r="A1487" s="177"/>
      <c r="B1487" s="169"/>
      <c r="C1487" s="169"/>
      <c r="D1487" s="169"/>
      <c r="E1487" s="169"/>
      <c r="F1487" s="169"/>
      <c r="G1487" s="169"/>
      <c r="H1487" s="169"/>
      <c r="I1487" s="169"/>
      <c r="J1487" s="169"/>
      <c r="K1487" s="169"/>
      <c r="L1487" s="169"/>
      <c r="M1487" s="169"/>
      <c r="N1487" s="177"/>
      <c r="O1487" s="169"/>
      <c r="P1487" s="169"/>
      <c r="Q1487" s="169"/>
      <c r="R1487" s="169"/>
      <c r="S1487" s="169"/>
      <c r="T1487" s="169"/>
      <c r="U1487" s="169"/>
      <c r="V1487" s="169"/>
      <c r="W1487" s="169"/>
      <c r="X1487" s="169"/>
      <c r="Y1487" s="169"/>
      <c r="Z1487" s="178"/>
      <c r="AA1487" s="167"/>
      <c r="AB1487" s="169"/>
      <c r="AC1487" s="169"/>
      <c r="AD1487" s="169"/>
      <c r="AE1487" s="169"/>
      <c r="AF1487" s="169"/>
      <c r="AG1487" s="179"/>
      <c r="AH1487" s="169"/>
      <c r="AI1487" s="168"/>
      <c r="AJ1487" s="167"/>
      <c r="AK1487" s="168"/>
      <c r="AL1487" s="169"/>
      <c r="AM1487" s="509"/>
      <c r="AN1487" s="510"/>
      <c r="AO1487" s="510"/>
    </row>
    <row r="1488" spans="1:41">
      <c r="A1488" s="177"/>
      <c r="B1488" s="169"/>
      <c r="C1488" s="169"/>
      <c r="D1488" s="169"/>
      <c r="E1488" s="169"/>
      <c r="F1488" s="169"/>
      <c r="G1488" s="169"/>
      <c r="H1488" s="169"/>
      <c r="I1488" s="169"/>
      <c r="J1488" s="169"/>
      <c r="K1488" s="169"/>
      <c r="L1488" s="169"/>
      <c r="M1488" s="169"/>
      <c r="N1488" s="177"/>
      <c r="O1488" s="169"/>
      <c r="P1488" s="169"/>
      <c r="Q1488" s="169"/>
      <c r="R1488" s="169"/>
      <c r="S1488" s="169"/>
      <c r="T1488" s="169"/>
      <c r="U1488" s="169"/>
      <c r="V1488" s="169"/>
      <c r="W1488" s="169"/>
      <c r="X1488" s="169"/>
      <c r="Y1488" s="169"/>
      <c r="Z1488" s="178"/>
      <c r="AA1488" s="167"/>
      <c r="AB1488" s="169"/>
      <c r="AC1488" s="169"/>
      <c r="AD1488" s="169"/>
      <c r="AE1488" s="169"/>
      <c r="AF1488" s="169"/>
      <c r="AG1488" s="179"/>
      <c r="AH1488" s="169"/>
      <c r="AI1488" s="168"/>
      <c r="AJ1488" s="167"/>
      <c r="AK1488" s="168"/>
      <c r="AL1488" s="169"/>
      <c r="AM1488" s="509"/>
      <c r="AN1488" s="510"/>
      <c r="AO1488" s="510"/>
    </row>
    <row r="1489" spans="1:41">
      <c r="A1489" s="177"/>
      <c r="B1489" s="169"/>
      <c r="C1489" s="169"/>
      <c r="D1489" s="169"/>
      <c r="E1489" s="169"/>
      <c r="F1489" s="169"/>
      <c r="G1489" s="169"/>
      <c r="H1489" s="169"/>
      <c r="I1489" s="169"/>
      <c r="J1489" s="169"/>
      <c r="K1489" s="169"/>
      <c r="L1489" s="169"/>
      <c r="M1489" s="169"/>
      <c r="N1489" s="177"/>
      <c r="O1489" s="169"/>
      <c r="P1489" s="169"/>
      <c r="Q1489" s="169"/>
      <c r="R1489" s="169"/>
      <c r="S1489" s="169"/>
      <c r="T1489" s="169"/>
      <c r="U1489" s="169"/>
      <c r="V1489" s="169"/>
      <c r="W1489" s="169"/>
      <c r="X1489" s="169"/>
      <c r="Y1489" s="169"/>
      <c r="Z1489" s="178"/>
      <c r="AA1489" s="167"/>
      <c r="AB1489" s="169"/>
      <c r="AC1489" s="169"/>
      <c r="AD1489" s="169"/>
      <c r="AE1489" s="169"/>
      <c r="AF1489" s="169"/>
      <c r="AG1489" s="179"/>
      <c r="AH1489" s="169"/>
      <c r="AI1489" s="168"/>
      <c r="AJ1489" s="167"/>
      <c r="AK1489" s="168"/>
      <c r="AL1489" s="169"/>
      <c r="AM1489" s="509"/>
      <c r="AN1489" s="510"/>
      <c r="AO1489" s="510"/>
    </row>
    <row r="1490" spans="1:41">
      <c r="A1490" s="177"/>
      <c r="B1490" s="169"/>
      <c r="C1490" s="169"/>
      <c r="D1490" s="169"/>
      <c r="E1490" s="169"/>
      <c r="F1490" s="169"/>
      <c r="G1490" s="169"/>
      <c r="H1490" s="169"/>
      <c r="I1490" s="169"/>
      <c r="J1490" s="169"/>
      <c r="K1490" s="169"/>
      <c r="L1490" s="169"/>
      <c r="M1490" s="169"/>
      <c r="N1490" s="177"/>
      <c r="O1490" s="169"/>
      <c r="P1490" s="169"/>
      <c r="Q1490" s="169"/>
      <c r="R1490" s="169"/>
      <c r="S1490" s="169"/>
      <c r="T1490" s="169"/>
      <c r="U1490" s="169"/>
      <c r="V1490" s="169"/>
      <c r="W1490" s="169"/>
      <c r="X1490" s="169"/>
      <c r="Y1490" s="169"/>
      <c r="Z1490" s="178"/>
      <c r="AA1490" s="167"/>
      <c r="AB1490" s="169"/>
      <c r="AC1490" s="169"/>
      <c r="AD1490" s="169"/>
      <c r="AE1490" s="169"/>
      <c r="AF1490" s="169"/>
      <c r="AG1490" s="179"/>
      <c r="AH1490" s="169"/>
      <c r="AI1490" s="168"/>
      <c r="AJ1490" s="167"/>
      <c r="AK1490" s="168"/>
      <c r="AL1490" s="169"/>
      <c r="AM1490" s="509"/>
      <c r="AN1490" s="510"/>
      <c r="AO1490" s="510"/>
    </row>
    <row r="1491" spans="1:41">
      <c r="A1491" s="177"/>
      <c r="B1491" s="169"/>
      <c r="C1491" s="169"/>
      <c r="D1491" s="169"/>
      <c r="E1491" s="169"/>
      <c r="F1491" s="169"/>
      <c r="G1491" s="169"/>
      <c r="H1491" s="169"/>
      <c r="I1491" s="169"/>
      <c r="J1491" s="169"/>
      <c r="K1491" s="169"/>
      <c r="L1491" s="169"/>
      <c r="M1491" s="169"/>
      <c r="N1491" s="177"/>
      <c r="O1491" s="169"/>
      <c r="P1491" s="169"/>
      <c r="Q1491" s="169"/>
      <c r="R1491" s="169"/>
      <c r="S1491" s="169"/>
      <c r="T1491" s="169"/>
      <c r="U1491" s="169"/>
      <c r="V1491" s="169"/>
      <c r="W1491" s="169"/>
      <c r="X1491" s="169"/>
      <c r="Y1491" s="169"/>
      <c r="Z1491" s="178"/>
      <c r="AA1491" s="167"/>
      <c r="AB1491" s="169"/>
      <c r="AC1491" s="169"/>
      <c r="AD1491" s="169"/>
      <c r="AE1491" s="169"/>
      <c r="AF1491" s="169"/>
      <c r="AG1491" s="179"/>
      <c r="AH1491" s="169"/>
      <c r="AI1491" s="168"/>
      <c r="AJ1491" s="167"/>
      <c r="AK1491" s="168"/>
      <c r="AL1491" s="169"/>
      <c r="AM1491" s="509"/>
      <c r="AN1491" s="510"/>
      <c r="AO1491" s="510"/>
    </row>
    <row r="1492" spans="1:41">
      <c r="A1492" s="177"/>
      <c r="B1492" s="169"/>
      <c r="C1492" s="169"/>
      <c r="D1492" s="169"/>
      <c r="E1492" s="169"/>
      <c r="F1492" s="169"/>
      <c r="G1492" s="169"/>
      <c r="H1492" s="169"/>
      <c r="I1492" s="169"/>
      <c r="J1492" s="169"/>
      <c r="K1492" s="169"/>
      <c r="L1492" s="169"/>
      <c r="M1492" s="169"/>
      <c r="N1492" s="177"/>
      <c r="O1492" s="169"/>
      <c r="P1492" s="169"/>
      <c r="Q1492" s="169"/>
      <c r="R1492" s="169"/>
      <c r="S1492" s="169"/>
      <c r="T1492" s="169"/>
      <c r="U1492" s="169"/>
      <c r="V1492" s="169"/>
      <c r="W1492" s="169"/>
      <c r="X1492" s="169"/>
      <c r="Y1492" s="169"/>
      <c r="Z1492" s="178"/>
      <c r="AA1492" s="167"/>
      <c r="AB1492" s="169"/>
      <c r="AC1492" s="169"/>
      <c r="AD1492" s="169"/>
      <c r="AE1492" s="169"/>
      <c r="AF1492" s="169"/>
      <c r="AG1492" s="179"/>
      <c r="AH1492" s="169"/>
      <c r="AI1492" s="168"/>
      <c r="AJ1492" s="167"/>
      <c r="AK1492" s="168"/>
      <c r="AL1492" s="169"/>
      <c r="AM1492" s="509"/>
      <c r="AN1492" s="510"/>
      <c r="AO1492" s="510"/>
    </row>
    <row r="1493" spans="1:41">
      <c r="A1493" s="177"/>
      <c r="B1493" s="169"/>
      <c r="C1493" s="169"/>
      <c r="D1493" s="169"/>
      <c r="E1493" s="169"/>
      <c r="F1493" s="169"/>
      <c r="G1493" s="169"/>
      <c r="H1493" s="169"/>
      <c r="I1493" s="169"/>
      <c r="J1493" s="169"/>
      <c r="K1493" s="169"/>
      <c r="L1493" s="169"/>
      <c r="M1493" s="169"/>
      <c r="N1493" s="177"/>
      <c r="O1493" s="169"/>
      <c r="P1493" s="169"/>
      <c r="Q1493" s="169"/>
      <c r="R1493" s="169"/>
      <c r="S1493" s="169"/>
      <c r="T1493" s="169"/>
      <c r="U1493" s="169"/>
      <c r="V1493" s="169"/>
      <c r="W1493" s="169"/>
      <c r="X1493" s="169"/>
      <c r="Y1493" s="169"/>
      <c r="Z1493" s="178"/>
      <c r="AA1493" s="167"/>
      <c r="AB1493" s="169"/>
      <c r="AC1493" s="169"/>
      <c r="AD1493" s="169"/>
      <c r="AE1493" s="169"/>
      <c r="AF1493" s="169"/>
      <c r="AG1493" s="179"/>
      <c r="AH1493" s="169"/>
      <c r="AI1493" s="168"/>
      <c r="AJ1493" s="167"/>
      <c r="AK1493" s="168"/>
      <c r="AL1493" s="169"/>
      <c r="AM1493" s="509"/>
      <c r="AN1493" s="510"/>
      <c r="AO1493" s="510"/>
    </row>
    <row r="1494" spans="1:41">
      <c r="A1494" s="177"/>
      <c r="B1494" s="169"/>
      <c r="C1494" s="169"/>
      <c r="D1494" s="169"/>
      <c r="E1494" s="169"/>
      <c r="F1494" s="169"/>
      <c r="G1494" s="169"/>
      <c r="H1494" s="169"/>
      <c r="I1494" s="169"/>
      <c r="J1494" s="169"/>
      <c r="K1494" s="169"/>
      <c r="L1494" s="169"/>
      <c r="M1494" s="169"/>
      <c r="N1494" s="177"/>
      <c r="O1494" s="169"/>
      <c r="P1494" s="169"/>
      <c r="Q1494" s="169"/>
      <c r="R1494" s="169"/>
      <c r="S1494" s="169"/>
      <c r="T1494" s="169"/>
      <c r="U1494" s="169"/>
      <c r="V1494" s="169"/>
      <c r="W1494" s="169"/>
      <c r="X1494" s="169"/>
      <c r="Y1494" s="169"/>
      <c r="Z1494" s="178"/>
      <c r="AA1494" s="167"/>
      <c r="AB1494" s="169"/>
      <c r="AC1494" s="169"/>
      <c r="AD1494" s="169"/>
      <c r="AE1494" s="169"/>
      <c r="AF1494" s="169"/>
      <c r="AG1494" s="179"/>
      <c r="AH1494" s="169"/>
      <c r="AI1494" s="168"/>
      <c r="AJ1494" s="167"/>
      <c r="AK1494" s="168"/>
      <c r="AL1494" s="169"/>
      <c r="AM1494" s="509"/>
      <c r="AN1494" s="510"/>
      <c r="AO1494" s="510"/>
    </row>
    <row r="1495" spans="1:41">
      <c r="A1495" s="177"/>
      <c r="B1495" s="169"/>
      <c r="C1495" s="169"/>
      <c r="D1495" s="169"/>
      <c r="E1495" s="169"/>
      <c r="F1495" s="169"/>
      <c r="G1495" s="169"/>
      <c r="H1495" s="169"/>
      <c r="I1495" s="169"/>
      <c r="J1495" s="169"/>
      <c r="K1495" s="169"/>
      <c r="L1495" s="169"/>
      <c r="M1495" s="169"/>
      <c r="N1495" s="177"/>
      <c r="O1495" s="169"/>
      <c r="P1495" s="169"/>
      <c r="Q1495" s="169"/>
      <c r="R1495" s="169"/>
      <c r="S1495" s="169"/>
      <c r="T1495" s="169"/>
      <c r="U1495" s="169"/>
      <c r="V1495" s="169"/>
      <c r="W1495" s="169"/>
      <c r="X1495" s="169"/>
      <c r="Y1495" s="169"/>
      <c r="Z1495" s="178"/>
      <c r="AA1495" s="167"/>
      <c r="AB1495" s="169"/>
      <c r="AC1495" s="169"/>
      <c r="AD1495" s="169"/>
      <c r="AE1495" s="169"/>
      <c r="AF1495" s="169"/>
      <c r="AG1495" s="179"/>
      <c r="AH1495" s="169"/>
      <c r="AI1495" s="168"/>
      <c r="AJ1495" s="167"/>
      <c r="AK1495" s="168"/>
      <c r="AL1495" s="169"/>
      <c r="AM1495" s="509"/>
      <c r="AN1495" s="510"/>
      <c r="AO1495" s="510"/>
    </row>
    <row r="1496" spans="1:41">
      <c r="A1496" s="177"/>
      <c r="B1496" s="169"/>
      <c r="C1496" s="169"/>
      <c r="D1496" s="169"/>
      <c r="E1496" s="169"/>
      <c r="F1496" s="169"/>
      <c r="G1496" s="169"/>
      <c r="H1496" s="169"/>
      <c r="I1496" s="169"/>
      <c r="J1496" s="169"/>
      <c r="K1496" s="169"/>
      <c r="L1496" s="169"/>
      <c r="M1496" s="169"/>
      <c r="N1496" s="177"/>
      <c r="O1496" s="169"/>
      <c r="P1496" s="169"/>
      <c r="Q1496" s="169"/>
      <c r="R1496" s="169"/>
      <c r="S1496" s="169"/>
      <c r="T1496" s="169"/>
      <c r="U1496" s="169"/>
      <c r="V1496" s="169"/>
      <c r="W1496" s="169"/>
      <c r="X1496" s="169"/>
      <c r="Y1496" s="169"/>
      <c r="Z1496" s="178"/>
      <c r="AA1496" s="167"/>
      <c r="AB1496" s="169"/>
      <c r="AC1496" s="169"/>
      <c r="AD1496" s="169"/>
      <c r="AE1496" s="169"/>
      <c r="AF1496" s="169"/>
      <c r="AG1496" s="179"/>
      <c r="AH1496" s="169"/>
      <c r="AI1496" s="168"/>
      <c r="AJ1496" s="167"/>
      <c r="AK1496" s="168"/>
      <c r="AL1496" s="169"/>
      <c r="AM1496" s="509"/>
      <c r="AN1496" s="510"/>
      <c r="AO1496" s="510"/>
    </row>
    <row r="1497" spans="1:41">
      <c r="A1497" s="177"/>
      <c r="B1497" s="169"/>
      <c r="C1497" s="169"/>
      <c r="D1497" s="169"/>
      <c r="E1497" s="169"/>
      <c r="F1497" s="169"/>
      <c r="G1497" s="169"/>
      <c r="H1497" s="169"/>
      <c r="I1497" s="169"/>
      <c r="J1497" s="169"/>
      <c r="K1497" s="169"/>
      <c r="L1497" s="169"/>
      <c r="M1497" s="169"/>
      <c r="N1497" s="177"/>
      <c r="O1497" s="169"/>
      <c r="P1497" s="169"/>
      <c r="Q1497" s="169"/>
      <c r="R1497" s="169"/>
      <c r="S1497" s="169"/>
      <c r="T1497" s="169"/>
      <c r="U1497" s="169"/>
      <c r="V1497" s="169"/>
      <c r="W1497" s="169"/>
      <c r="X1497" s="169"/>
      <c r="Y1497" s="169"/>
      <c r="Z1497" s="178"/>
      <c r="AA1497" s="167"/>
      <c r="AB1497" s="169"/>
      <c r="AC1497" s="169"/>
      <c r="AD1497" s="169"/>
      <c r="AE1497" s="169"/>
      <c r="AF1497" s="169"/>
      <c r="AG1497" s="179"/>
      <c r="AH1497" s="169"/>
      <c r="AI1497" s="168"/>
      <c r="AJ1497" s="167"/>
      <c r="AK1497" s="168"/>
      <c r="AL1497" s="169"/>
      <c r="AM1497" s="509"/>
      <c r="AN1497" s="510"/>
      <c r="AO1497" s="510"/>
    </row>
    <row r="1498" spans="1:41">
      <c r="A1498" s="177"/>
      <c r="B1498" s="169"/>
      <c r="C1498" s="169"/>
      <c r="D1498" s="169"/>
      <c r="E1498" s="169"/>
      <c r="F1498" s="169"/>
      <c r="G1498" s="169"/>
      <c r="H1498" s="169"/>
      <c r="I1498" s="169"/>
      <c r="J1498" s="169"/>
      <c r="K1498" s="169"/>
      <c r="L1498" s="169"/>
      <c r="M1498" s="169"/>
      <c r="N1498" s="177"/>
      <c r="O1498" s="169"/>
      <c r="P1498" s="169"/>
      <c r="Q1498" s="169"/>
      <c r="R1498" s="169"/>
      <c r="S1498" s="169"/>
      <c r="T1498" s="169"/>
      <c r="U1498" s="169"/>
      <c r="V1498" s="169"/>
      <c r="W1498" s="169"/>
      <c r="X1498" s="169"/>
      <c r="Y1498" s="169"/>
      <c r="Z1498" s="178"/>
      <c r="AA1498" s="167"/>
      <c r="AB1498" s="169"/>
      <c r="AC1498" s="169"/>
      <c r="AD1498" s="169"/>
      <c r="AE1498" s="169"/>
      <c r="AF1498" s="169"/>
      <c r="AG1498" s="179"/>
      <c r="AH1498" s="169"/>
      <c r="AI1498" s="168"/>
      <c r="AJ1498" s="167"/>
      <c r="AK1498" s="168"/>
      <c r="AL1498" s="169"/>
      <c r="AM1498" s="509"/>
      <c r="AN1498" s="510"/>
      <c r="AO1498" s="510"/>
    </row>
    <row r="1499" spans="1:41">
      <c r="A1499" s="177"/>
      <c r="B1499" s="169"/>
      <c r="C1499" s="169"/>
      <c r="D1499" s="169"/>
      <c r="E1499" s="169"/>
      <c r="F1499" s="169"/>
      <c r="G1499" s="169"/>
      <c r="H1499" s="169"/>
      <c r="I1499" s="169"/>
      <c r="J1499" s="169"/>
      <c r="K1499" s="169"/>
      <c r="L1499" s="169"/>
      <c r="M1499" s="169"/>
      <c r="N1499" s="177"/>
      <c r="O1499" s="169"/>
      <c r="P1499" s="169"/>
      <c r="Q1499" s="169"/>
      <c r="R1499" s="169"/>
      <c r="S1499" s="169"/>
      <c r="T1499" s="169"/>
      <c r="U1499" s="169"/>
      <c r="V1499" s="169"/>
      <c r="W1499" s="169"/>
      <c r="X1499" s="169"/>
      <c r="Y1499" s="169"/>
      <c r="Z1499" s="178"/>
      <c r="AA1499" s="167"/>
      <c r="AB1499" s="169"/>
      <c r="AC1499" s="169"/>
      <c r="AD1499" s="169"/>
      <c r="AE1499" s="169"/>
      <c r="AF1499" s="169"/>
      <c r="AG1499" s="179"/>
      <c r="AH1499" s="169"/>
      <c r="AI1499" s="168"/>
      <c r="AJ1499" s="167"/>
      <c r="AK1499" s="168"/>
      <c r="AL1499" s="169"/>
      <c r="AM1499" s="509"/>
      <c r="AN1499" s="510"/>
      <c r="AO1499" s="510"/>
    </row>
    <row r="1500" spans="1:41">
      <c r="A1500" s="177"/>
      <c r="B1500" s="169"/>
      <c r="C1500" s="169"/>
      <c r="D1500" s="169"/>
      <c r="E1500" s="169"/>
      <c r="F1500" s="169"/>
      <c r="G1500" s="169"/>
      <c r="H1500" s="169"/>
      <c r="I1500" s="169"/>
      <c r="J1500" s="169"/>
      <c r="K1500" s="169"/>
      <c r="L1500" s="169"/>
      <c r="M1500" s="169"/>
      <c r="N1500" s="177"/>
      <c r="O1500" s="169"/>
      <c r="P1500" s="169"/>
      <c r="Q1500" s="169"/>
      <c r="R1500" s="169"/>
      <c r="S1500" s="169"/>
      <c r="T1500" s="169"/>
      <c r="U1500" s="169"/>
      <c r="V1500" s="169"/>
      <c r="W1500" s="169"/>
      <c r="X1500" s="169"/>
      <c r="Y1500" s="169"/>
      <c r="Z1500" s="178"/>
      <c r="AA1500" s="167"/>
      <c r="AB1500" s="169"/>
      <c r="AC1500" s="169"/>
      <c r="AD1500" s="169"/>
      <c r="AE1500" s="169"/>
      <c r="AF1500" s="169"/>
      <c r="AG1500" s="179"/>
      <c r="AH1500" s="169"/>
      <c r="AI1500" s="168"/>
      <c r="AJ1500" s="167"/>
      <c r="AK1500" s="168"/>
      <c r="AL1500" s="169"/>
      <c r="AM1500" s="509"/>
      <c r="AN1500" s="510"/>
      <c r="AO1500" s="510"/>
    </row>
    <row r="1501" spans="1:41">
      <c r="A1501" s="177"/>
      <c r="B1501" s="169"/>
      <c r="C1501" s="169"/>
      <c r="D1501" s="169"/>
      <c r="E1501" s="169"/>
      <c r="F1501" s="169"/>
      <c r="G1501" s="169"/>
      <c r="H1501" s="169"/>
      <c r="I1501" s="169"/>
      <c r="J1501" s="169"/>
      <c r="K1501" s="169"/>
      <c r="L1501" s="169"/>
      <c r="M1501" s="169"/>
      <c r="N1501" s="177"/>
      <c r="O1501" s="169"/>
      <c r="P1501" s="169"/>
      <c r="Q1501" s="169"/>
      <c r="R1501" s="169"/>
      <c r="S1501" s="169"/>
      <c r="T1501" s="169"/>
      <c r="U1501" s="169"/>
      <c r="V1501" s="169"/>
      <c r="W1501" s="169"/>
      <c r="X1501" s="169"/>
      <c r="Y1501" s="169"/>
      <c r="Z1501" s="178"/>
      <c r="AA1501" s="167"/>
      <c r="AB1501" s="169"/>
      <c r="AC1501" s="169"/>
      <c r="AD1501" s="169"/>
      <c r="AE1501" s="169"/>
      <c r="AF1501" s="169"/>
      <c r="AG1501" s="179"/>
      <c r="AH1501" s="169"/>
      <c r="AI1501" s="168"/>
      <c r="AJ1501" s="167"/>
      <c r="AK1501" s="168"/>
      <c r="AL1501" s="169"/>
      <c r="AM1501" s="509"/>
      <c r="AN1501" s="510"/>
      <c r="AO1501" s="510"/>
    </row>
    <row r="1502" spans="1:41">
      <c r="A1502" s="177"/>
      <c r="B1502" s="169"/>
      <c r="C1502" s="169"/>
      <c r="D1502" s="169"/>
      <c r="E1502" s="169"/>
      <c r="F1502" s="169"/>
      <c r="G1502" s="169"/>
      <c r="H1502" s="169"/>
      <c r="I1502" s="169"/>
      <c r="J1502" s="169"/>
      <c r="K1502" s="169"/>
      <c r="L1502" s="169"/>
      <c r="M1502" s="169"/>
      <c r="N1502" s="177"/>
      <c r="O1502" s="169"/>
      <c r="P1502" s="169"/>
      <c r="Q1502" s="169"/>
      <c r="R1502" s="169"/>
      <c r="S1502" s="169"/>
      <c r="T1502" s="169"/>
      <c r="U1502" s="169"/>
      <c r="V1502" s="169"/>
      <c r="W1502" s="169"/>
      <c r="X1502" s="169"/>
      <c r="Y1502" s="169"/>
      <c r="Z1502" s="178"/>
      <c r="AA1502" s="167"/>
      <c r="AB1502" s="169"/>
      <c r="AC1502" s="169"/>
      <c r="AD1502" s="169"/>
      <c r="AE1502" s="169"/>
      <c r="AF1502" s="169"/>
      <c r="AG1502" s="179"/>
      <c r="AH1502" s="169"/>
      <c r="AI1502" s="168"/>
      <c r="AJ1502" s="167"/>
      <c r="AK1502" s="168"/>
      <c r="AL1502" s="169"/>
      <c r="AM1502" s="509"/>
      <c r="AN1502" s="510"/>
      <c r="AO1502" s="510"/>
    </row>
    <row r="1503" spans="1:41">
      <c r="A1503" s="177"/>
      <c r="B1503" s="169"/>
      <c r="C1503" s="169"/>
      <c r="D1503" s="169"/>
      <c r="E1503" s="169"/>
      <c r="F1503" s="169"/>
      <c r="G1503" s="169"/>
      <c r="H1503" s="169"/>
      <c r="I1503" s="169"/>
      <c r="J1503" s="169"/>
      <c r="K1503" s="169"/>
      <c r="L1503" s="169"/>
      <c r="M1503" s="169"/>
      <c r="N1503" s="177"/>
      <c r="O1503" s="169"/>
      <c r="P1503" s="169"/>
      <c r="Q1503" s="169"/>
      <c r="R1503" s="169"/>
      <c r="S1503" s="169"/>
      <c r="T1503" s="169"/>
      <c r="U1503" s="169"/>
      <c r="V1503" s="169"/>
      <c r="W1503" s="169"/>
      <c r="X1503" s="169"/>
      <c r="Y1503" s="169"/>
      <c r="Z1503" s="178"/>
      <c r="AA1503" s="167"/>
      <c r="AB1503" s="169"/>
      <c r="AC1503" s="169"/>
      <c r="AD1503" s="169"/>
      <c r="AE1503" s="169"/>
      <c r="AF1503" s="169"/>
      <c r="AG1503" s="179"/>
      <c r="AH1503" s="169"/>
      <c r="AI1503" s="168"/>
      <c r="AJ1503" s="167"/>
      <c r="AK1503" s="168"/>
      <c r="AL1503" s="169"/>
      <c r="AM1503" s="509"/>
      <c r="AN1503" s="510"/>
      <c r="AO1503" s="510"/>
    </row>
    <row r="1504" spans="1:41">
      <c r="A1504" s="177"/>
      <c r="B1504" s="169"/>
      <c r="C1504" s="169"/>
      <c r="D1504" s="169"/>
      <c r="E1504" s="169"/>
      <c r="F1504" s="169"/>
      <c r="G1504" s="169"/>
      <c r="H1504" s="169"/>
      <c r="I1504" s="169"/>
      <c r="J1504" s="169"/>
      <c r="K1504" s="169"/>
      <c r="L1504" s="169"/>
      <c r="M1504" s="169"/>
      <c r="N1504" s="177"/>
      <c r="O1504" s="169"/>
      <c r="P1504" s="169"/>
      <c r="Q1504" s="169"/>
      <c r="R1504" s="169"/>
      <c r="S1504" s="169"/>
      <c r="T1504" s="169"/>
      <c r="U1504" s="169"/>
      <c r="V1504" s="169"/>
      <c r="W1504" s="169"/>
      <c r="X1504" s="169"/>
      <c r="Y1504" s="169"/>
      <c r="Z1504" s="178"/>
      <c r="AA1504" s="167"/>
      <c r="AB1504" s="169"/>
      <c r="AC1504" s="169"/>
      <c r="AD1504" s="169"/>
      <c r="AE1504" s="169"/>
      <c r="AF1504" s="169"/>
      <c r="AG1504" s="179"/>
      <c r="AH1504" s="169"/>
      <c r="AI1504" s="168"/>
      <c r="AJ1504" s="167"/>
      <c r="AK1504" s="168"/>
      <c r="AL1504" s="169"/>
      <c r="AM1504" s="509"/>
      <c r="AN1504" s="510"/>
      <c r="AO1504" s="510"/>
    </row>
    <row r="1505" spans="1:41">
      <c r="A1505" s="177"/>
      <c r="B1505" s="169"/>
      <c r="C1505" s="169"/>
      <c r="D1505" s="169"/>
      <c r="E1505" s="169"/>
      <c r="F1505" s="169"/>
      <c r="G1505" s="169"/>
      <c r="H1505" s="169"/>
      <c r="I1505" s="169"/>
      <c r="J1505" s="169"/>
      <c r="K1505" s="169"/>
      <c r="L1505" s="169"/>
      <c r="M1505" s="169"/>
      <c r="N1505" s="177"/>
      <c r="O1505" s="169"/>
      <c r="P1505" s="169"/>
      <c r="Q1505" s="169"/>
      <c r="R1505" s="169"/>
      <c r="S1505" s="169"/>
      <c r="T1505" s="169"/>
      <c r="U1505" s="169"/>
      <c r="V1505" s="169"/>
      <c r="W1505" s="169"/>
      <c r="X1505" s="169"/>
      <c r="Y1505" s="169"/>
      <c r="Z1505" s="178"/>
      <c r="AA1505" s="167"/>
      <c r="AB1505" s="169"/>
      <c r="AC1505" s="169"/>
      <c r="AD1505" s="169"/>
      <c r="AE1505" s="169"/>
      <c r="AF1505" s="169"/>
      <c r="AG1505" s="179"/>
      <c r="AH1505" s="169"/>
      <c r="AI1505" s="168"/>
      <c r="AJ1505" s="167"/>
      <c r="AK1505" s="168"/>
      <c r="AL1505" s="169"/>
      <c r="AM1505" s="509"/>
      <c r="AN1505" s="510"/>
      <c r="AO1505" s="510"/>
    </row>
    <row r="1506" spans="1:41">
      <c r="A1506" s="177"/>
      <c r="B1506" s="169"/>
      <c r="C1506" s="169"/>
      <c r="D1506" s="169"/>
      <c r="E1506" s="169"/>
      <c r="F1506" s="169"/>
      <c r="G1506" s="169"/>
      <c r="H1506" s="169"/>
      <c r="I1506" s="169"/>
      <c r="J1506" s="169"/>
      <c r="K1506" s="169"/>
      <c r="L1506" s="169"/>
      <c r="M1506" s="169"/>
      <c r="N1506" s="177"/>
      <c r="O1506" s="169"/>
      <c r="P1506" s="169"/>
      <c r="Q1506" s="169"/>
      <c r="R1506" s="169"/>
      <c r="S1506" s="169"/>
      <c r="T1506" s="169"/>
      <c r="U1506" s="169"/>
      <c r="V1506" s="169"/>
      <c r="W1506" s="169"/>
      <c r="X1506" s="169"/>
      <c r="Y1506" s="169"/>
      <c r="Z1506" s="178"/>
      <c r="AA1506" s="167"/>
      <c r="AB1506" s="169"/>
      <c r="AC1506" s="169"/>
      <c r="AD1506" s="169"/>
      <c r="AE1506" s="169"/>
      <c r="AF1506" s="169"/>
      <c r="AG1506" s="179"/>
      <c r="AH1506" s="169"/>
      <c r="AI1506" s="168"/>
      <c r="AJ1506" s="167"/>
      <c r="AK1506" s="168"/>
      <c r="AL1506" s="169"/>
      <c r="AM1506" s="509"/>
      <c r="AN1506" s="510"/>
      <c r="AO1506" s="510"/>
    </row>
    <row r="1507" spans="1:41">
      <c r="A1507" s="177"/>
      <c r="B1507" s="169"/>
      <c r="C1507" s="169"/>
      <c r="D1507" s="169"/>
      <c r="E1507" s="169"/>
      <c r="F1507" s="169"/>
      <c r="G1507" s="169"/>
      <c r="H1507" s="169"/>
      <c r="I1507" s="169"/>
      <c r="J1507" s="169"/>
      <c r="K1507" s="169"/>
      <c r="L1507" s="169"/>
      <c r="M1507" s="169"/>
      <c r="N1507" s="177"/>
      <c r="O1507" s="169"/>
      <c r="P1507" s="169"/>
      <c r="Q1507" s="169"/>
      <c r="R1507" s="169"/>
      <c r="S1507" s="169"/>
      <c r="T1507" s="169"/>
      <c r="U1507" s="169"/>
      <c r="V1507" s="169"/>
      <c r="W1507" s="169"/>
      <c r="X1507" s="169"/>
      <c r="Y1507" s="169"/>
      <c r="Z1507" s="178"/>
      <c r="AA1507" s="167"/>
      <c r="AB1507" s="169"/>
      <c r="AC1507" s="169"/>
      <c r="AD1507" s="169"/>
      <c r="AE1507" s="169"/>
      <c r="AF1507" s="169"/>
      <c r="AG1507" s="179"/>
      <c r="AH1507" s="169"/>
      <c r="AI1507" s="168"/>
      <c r="AJ1507" s="167"/>
      <c r="AK1507" s="168"/>
      <c r="AL1507" s="169"/>
      <c r="AM1507" s="509"/>
      <c r="AN1507" s="510"/>
      <c r="AO1507" s="510"/>
    </row>
    <row r="1508" spans="1:41">
      <c r="A1508" s="177"/>
      <c r="B1508" s="169"/>
      <c r="C1508" s="169"/>
      <c r="D1508" s="169"/>
      <c r="E1508" s="169"/>
      <c r="F1508" s="169"/>
      <c r="G1508" s="169"/>
      <c r="H1508" s="169"/>
      <c r="I1508" s="169"/>
      <c r="J1508" s="169"/>
      <c r="K1508" s="169"/>
      <c r="L1508" s="169"/>
      <c r="M1508" s="169"/>
      <c r="N1508" s="177"/>
      <c r="O1508" s="169"/>
      <c r="P1508" s="169"/>
      <c r="Q1508" s="169"/>
      <c r="R1508" s="169"/>
      <c r="S1508" s="169"/>
      <c r="T1508" s="169"/>
      <c r="U1508" s="169"/>
      <c r="V1508" s="169"/>
      <c r="W1508" s="169"/>
      <c r="X1508" s="169"/>
      <c r="Y1508" s="169"/>
      <c r="Z1508" s="178"/>
      <c r="AA1508" s="167"/>
      <c r="AB1508" s="169"/>
      <c r="AC1508" s="169"/>
      <c r="AD1508" s="169"/>
      <c r="AE1508" s="169"/>
      <c r="AF1508" s="169"/>
      <c r="AG1508" s="179"/>
      <c r="AH1508" s="169"/>
      <c r="AI1508" s="168"/>
      <c r="AJ1508" s="167"/>
      <c r="AK1508" s="168"/>
      <c r="AL1508" s="169"/>
      <c r="AM1508" s="509"/>
      <c r="AN1508" s="510"/>
      <c r="AO1508" s="510"/>
    </row>
    <row r="1509" spans="1:41">
      <c r="A1509" s="177"/>
      <c r="B1509" s="169"/>
      <c r="C1509" s="169"/>
      <c r="D1509" s="169"/>
      <c r="E1509" s="169"/>
      <c r="F1509" s="169"/>
      <c r="G1509" s="169"/>
      <c r="H1509" s="169"/>
      <c r="I1509" s="169"/>
      <c r="J1509" s="169"/>
      <c r="K1509" s="169"/>
      <c r="L1509" s="169"/>
      <c r="M1509" s="169"/>
      <c r="N1509" s="177"/>
      <c r="O1509" s="169"/>
      <c r="P1509" s="169"/>
      <c r="Q1509" s="169"/>
      <c r="R1509" s="169"/>
      <c r="S1509" s="169"/>
      <c r="T1509" s="169"/>
      <c r="U1509" s="169"/>
      <c r="V1509" s="169"/>
      <c r="W1509" s="169"/>
      <c r="X1509" s="169"/>
      <c r="Y1509" s="169"/>
      <c r="Z1509" s="178"/>
      <c r="AA1509" s="167"/>
      <c r="AB1509" s="169"/>
      <c r="AC1509" s="169"/>
      <c r="AD1509" s="169"/>
      <c r="AE1509" s="169"/>
      <c r="AF1509" s="169"/>
      <c r="AG1509" s="179"/>
      <c r="AH1509" s="169"/>
      <c r="AI1509" s="168"/>
      <c r="AJ1509" s="167"/>
      <c r="AK1509" s="168"/>
      <c r="AL1509" s="169"/>
      <c r="AM1509" s="509"/>
      <c r="AN1509" s="510"/>
      <c r="AO1509" s="510"/>
    </row>
    <row r="1510" spans="1:41">
      <c r="A1510" s="177"/>
      <c r="B1510" s="169"/>
      <c r="C1510" s="169"/>
      <c r="D1510" s="169"/>
      <c r="E1510" s="169"/>
      <c r="F1510" s="169"/>
      <c r="G1510" s="169"/>
      <c r="H1510" s="169"/>
      <c r="I1510" s="169"/>
      <c r="J1510" s="169"/>
      <c r="K1510" s="169"/>
      <c r="L1510" s="169"/>
      <c r="M1510" s="169"/>
      <c r="N1510" s="177"/>
      <c r="O1510" s="169"/>
      <c r="P1510" s="169"/>
      <c r="Q1510" s="169"/>
      <c r="R1510" s="169"/>
      <c r="S1510" s="169"/>
      <c r="T1510" s="169"/>
      <c r="U1510" s="169"/>
      <c r="V1510" s="169"/>
      <c r="W1510" s="169"/>
      <c r="X1510" s="169"/>
      <c r="Y1510" s="169"/>
      <c r="Z1510" s="178"/>
      <c r="AA1510" s="167"/>
      <c r="AB1510" s="169"/>
      <c r="AC1510" s="169"/>
      <c r="AD1510" s="169"/>
      <c r="AE1510" s="169"/>
      <c r="AF1510" s="169"/>
      <c r="AG1510" s="179"/>
      <c r="AH1510" s="169"/>
      <c r="AI1510" s="168"/>
      <c r="AJ1510" s="167"/>
      <c r="AK1510" s="168"/>
      <c r="AL1510" s="169"/>
      <c r="AM1510" s="509"/>
      <c r="AN1510" s="510"/>
      <c r="AO1510" s="510"/>
    </row>
    <row r="1511" spans="1:41">
      <c r="A1511" s="177"/>
      <c r="B1511" s="169"/>
      <c r="C1511" s="169"/>
      <c r="D1511" s="169"/>
      <c r="E1511" s="169"/>
      <c r="F1511" s="169"/>
      <c r="G1511" s="169"/>
      <c r="H1511" s="169"/>
      <c r="I1511" s="169"/>
      <c r="J1511" s="169"/>
      <c r="K1511" s="169"/>
      <c r="L1511" s="169"/>
      <c r="M1511" s="169"/>
      <c r="N1511" s="177"/>
      <c r="O1511" s="169"/>
      <c r="P1511" s="169"/>
      <c r="Q1511" s="169"/>
      <c r="R1511" s="169"/>
      <c r="S1511" s="169"/>
      <c r="T1511" s="169"/>
      <c r="U1511" s="169"/>
      <c r="V1511" s="169"/>
      <c r="W1511" s="169"/>
      <c r="X1511" s="169"/>
      <c r="Y1511" s="169"/>
      <c r="Z1511" s="178"/>
      <c r="AA1511" s="167"/>
      <c r="AB1511" s="169"/>
      <c r="AC1511" s="169"/>
      <c r="AD1511" s="169"/>
      <c r="AE1511" s="169"/>
      <c r="AF1511" s="169"/>
      <c r="AG1511" s="179"/>
      <c r="AH1511" s="169"/>
      <c r="AI1511" s="168"/>
      <c r="AJ1511" s="167"/>
      <c r="AK1511" s="168"/>
      <c r="AL1511" s="169"/>
      <c r="AM1511" s="509"/>
      <c r="AN1511" s="510"/>
      <c r="AO1511" s="510"/>
    </row>
    <row r="1512" spans="1:41">
      <c r="A1512" s="177"/>
      <c r="B1512" s="169"/>
      <c r="C1512" s="169"/>
      <c r="D1512" s="169"/>
      <c r="E1512" s="169"/>
      <c r="F1512" s="169"/>
      <c r="G1512" s="169"/>
      <c r="H1512" s="169"/>
      <c r="I1512" s="169"/>
      <c r="J1512" s="169"/>
      <c r="K1512" s="169"/>
      <c r="L1512" s="169"/>
      <c r="M1512" s="169"/>
      <c r="N1512" s="177"/>
      <c r="O1512" s="169"/>
      <c r="P1512" s="169"/>
      <c r="Q1512" s="169"/>
      <c r="R1512" s="169"/>
      <c r="S1512" s="169"/>
      <c r="T1512" s="169"/>
      <c r="U1512" s="169"/>
      <c r="V1512" s="169"/>
      <c r="W1512" s="169"/>
      <c r="X1512" s="169"/>
      <c r="Y1512" s="169"/>
      <c r="Z1512" s="178"/>
      <c r="AA1512" s="167"/>
      <c r="AB1512" s="169"/>
      <c r="AC1512" s="169"/>
      <c r="AD1512" s="169"/>
      <c r="AE1512" s="169"/>
      <c r="AF1512" s="169"/>
      <c r="AG1512" s="179"/>
      <c r="AH1512" s="169"/>
      <c r="AI1512" s="168"/>
      <c r="AJ1512" s="167"/>
      <c r="AK1512" s="168"/>
      <c r="AL1512" s="169"/>
      <c r="AM1512" s="509"/>
      <c r="AN1512" s="510"/>
      <c r="AO1512" s="510"/>
    </row>
    <row r="1513" spans="1:41">
      <c r="A1513" s="177"/>
      <c r="B1513" s="169"/>
      <c r="C1513" s="169"/>
      <c r="D1513" s="169"/>
      <c r="E1513" s="169"/>
      <c r="F1513" s="169"/>
      <c r="G1513" s="169"/>
      <c r="H1513" s="169"/>
      <c r="I1513" s="169"/>
      <c r="J1513" s="169"/>
      <c r="K1513" s="169"/>
      <c r="L1513" s="169"/>
      <c r="M1513" s="169"/>
      <c r="N1513" s="177"/>
      <c r="O1513" s="169"/>
      <c r="P1513" s="169"/>
      <c r="Q1513" s="169"/>
      <c r="R1513" s="169"/>
      <c r="S1513" s="169"/>
      <c r="T1513" s="169"/>
      <c r="U1513" s="169"/>
      <c r="V1513" s="169"/>
      <c r="W1513" s="169"/>
      <c r="X1513" s="169"/>
      <c r="Y1513" s="169"/>
      <c r="Z1513" s="178"/>
      <c r="AA1513" s="167"/>
      <c r="AB1513" s="169"/>
      <c r="AC1513" s="169"/>
      <c r="AD1513" s="169"/>
      <c r="AE1513" s="169"/>
      <c r="AF1513" s="169"/>
      <c r="AG1513" s="179"/>
      <c r="AH1513" s="169"/>
      <c r="AI1513" s="168"/>
      <c r="AJ1513" s="167"/>
      <c r="AK1513" s="168"/>
      <c r="AL1513" s="169"/>
      <c r="AM1513" s="509"/>
      <c r="AN1513" s="510"/>
      <c r="AO1513" s="510"/>
    </row>
    <row r="1514" spans="1:41">
      <c r="A1514" s="177"/>
      <c r="B1514" s="169"/>
      <c r="C1514" s="169"/>
      <c r="D1514" s="169"/>
      <c r="E1514" s="169"/>
      <c r="F1514" s="169"/>
      <c r="G1514" s="169"/>
      <c r="H1514" s="169"/>
      <c r="I1514" s="169"/>
      <c r="J1514" s="169"/>
      <c r="K1514" s="169"/>
      <c r="L1514" s="169"/>
      <c r="M1514" s="169"/>
      <c r="N1514" s="177"/>
      <c r="O1514" s="169"/>
      <c r="P1514" s="169"/>
      <c r="Q1514" s="169"/>
      <c r="R1514" s="169"/>
      <c r="S1514" s="169"/>
      <c r="T1514" s="169"/>
      <c r="U1514" s="169"/>
      <c r="V1514" s="169"/>
      <c r="W1514" s="169"/>
      <c r="X1514" s="169"/>
      <c r="Y1514" s="169"/>
      <c r="Z1514" s="178"/>
      <c r="AA1514" s="167"/>
      <c r="AB1514" s="169"/>
      <c r="AC1514" s="169"/>
      <c r="AD1514" s="169"/>
      <c r="AE1514" s="169"/>
      <c r="AF1514" s="169"/>
      <c r="AG1514" s="179"/>
      <c r="AH1514" s="169"/>
      <c r="AI1514" s="168"/>
      <c r="AJ1514" s="167"/>
      <c r="AK1514" s="168"/>
      <c r="AL1514" s="169"/>
      <c r="AM1514" s="509"/>
      <c r="AN1514" s="510"/>
      <c r="AO1514" s="510"/>
    </row>
    <row r="1515" spans="1:41">
      <c r="A1515" s="177"/>
      <c r="B1515" s="169"/>
      <c r="C1515" s="169"/>
      <c r="D1515" s="169"/>
      <c r="E1515" s="169"/>
      <c r="F1515" s="169"/>
      <c r="G1515" s="169"/>
      <c r="H1515" s="169"/>
      <c r="I1515" s="169"/>
      <c r="J1515" s="169"/>
      <c r="K1515" s="169"/>
      <c r="L1515" s="169"/>
      <c r="M1515" s="169"/>
      <c r="N1515" s="177"/>
      <c r="O1515" s="169"/>
      <c r="P1515" s="169"/>
      <c r="Q1515" s="169"/>
      <c r="R1515" s="169"/>
      <c r="S1515" s="169"/>
      <c r="T1515" s="169"/>
      <c r="U1515" s="169"/>
      <c r="V1515" s="169"/>
      <c r="W1515" s="169"/>
      <c r="X1515" s="169"/>
      <c r="Y1515" s="169"/>
      <c r="Z1515" s="178"/>
      <c r="AA1515" s="167"/>
      <c r="AB1515" s="169"/>
      <c r="AC1515" s="169"/>
      <c r="AD1515" s="169"/>
      <c r="AE1515" s="169"/>
      <c r="AF1515" s="169"/>
      <c r="AG1515" s="179"/>
      <c r="AH1515" s="169"/>
      <c r="AI1515" s="168"/>
      <c r="AJ1515" s="167"/>
      <c r="AK1515" s="168"/>
      <c r="AL1515" s="169"/>
      <c r="AM1515" s="509"/>
      <c r="AN1515" s="510"/>
      <c r="AO1515" s="510"/>
    </row>
    <row r="1516" spans="1:41">
      <c r="A1516" s="177"/>
      <c r="B1516" s="169"/>
      <c r="C1516" s="169"/>
      <c r="D1516" s="169"/>
      <c r="E1516" s="169"/>
      <c r="F1516" s="169"/>
      <c r="G1516" s="169"/>
      <c r="H1516" s="169"/>
      <c r="I1516" s="169"/>
      <c r="J1516" s="169"/>
      <c r="K1516" s="169"/>
      <c r="L1516" s="169"/>
      <c r="M1516" s="169"/>
      <c r="N1516" s="177"/>
      <c r="O1516" s="169"/>
      <c r="P1516" s="169"/>
      <c r="Q1516" s="169"/>
      <c r="R1516" s="169"/>
      <c r="S1516" s="169"/>
      <c r="T1516" s="169"/>
      <c r="U1516" s="169"/>
      <c r="V1516" s="169"/>
      <c r="W1516" s="169"/>
      <c r="X1516" s="169"/>
      <c r="Y1516" s="169"/>
      <c r="Z1516" s="178"/>
      <c r="AA1516" s="167"/>
      <c r="AB1516" s="169"/>
      <c r="AC1516" s="169"/>
      <c r="AD1516" s="169"/>
      <c r="AE1516" s="169"/>
      <c r="AF1516" s="169"/>
      <c r="AG1516" s="179"/>
      <c r="AH1516" s="169"/>
      <c r="AI1516" s="168"/>
      <c r="AJ1516" s="167"/>
      <c r="AK1516" s="168"/>
      <c r="AL1516" s="169"/>
      <c r="AM1516" s="509"/>
      <c r="AN1516" s="510"/>
      <c r="AO1516" s="510"/>
    </row>
    <row r="1517" spans="1:41">
      <c r="A1517" s="177"/>
      <c r="B1517" s="169"/>
      <c r="C1517" s="169"/>
      <c r="D1517" s="169"/>
      <c r="E1517" s="169"/>
      <c r="F1517" s="169"/>
      <c r="G1517" s="169"/>
      <c r="H1517" s="169"/>
      <c r="I1517" s="169"/>
      <c r="J1517" s="169"/>
      <c r="K1517" s="169"/>
      <c r="L1517" s="169"/>
      <c r="M1517" s="169"/>
      <c r="N1517" s="177"/>
      <c r="O1517" s="169"/>
      <c r="P1517" s="169"/>
      <c r="Q1517" s="169"/>
      <c r="R1517" s="169"/>
      <c r="S1517" s="169"/>
      <c r="T1517" s="169"/>
      <c r="U1517" s="169"/>
      <c r="V1517" s="169"/>
      <c r="W1517" s="169"/>
      <c r="X1517" s="169"/>
      <c r="Y1517" s="169"/>
      <c r="Z1517" s="178"/>
      <c r="AA1517" s="167"/>
      <c r="AB1517" s="169"/>
      <c r="AC1517" s="169"/>
      <c r="AD1517" s="169"/>
      <c r="AE1517" s="169"/>
      <c r="AF1517" s="169"/>
      <c r="AG1517" s="179"/>
      <c r="AH1517" s="169"/>
      <c r="AI1517" s="168"/>
      <c r="AJ1517" s="167"/>
      <c r="AK1517" s="168"/>
      <c r="AL1517" s="169"/>
      <c r="AM1517" s="509"/>
      <c r="AN1517" s="510"/>
      <c r="AO1517" s="510"/>
    </row>
    <row r="1518" spans="1:41">
      <c r="A1518" s="177"/>
      <c r="B1518" s="169"/>
      <c r="C1518" s="169"/>
      <c r="D1518" s="169"/>
      <c r="E1518" s="169"/>
      <c r="F1518" s="169"/>
      <c r="G1518" s="169"/>
      <c r="H1518" s="169"/>
      <c r="I1518" s="169"/>
      <c r="J1518" s="169"/>
      <c r="K1518" s="169"/>
      <c r="L1518" s="169"/>
      <c r="M1518" s="169"/>
      <c r="N1518" s="177"/>
      <c r="O1518" s="169"/>
      <c r="P1518" s="169"/>
      <c r="Q1518" s="169"/>
      <c r="R1518" s="169"/>
      <c r="S1518" s="169"/>
      <c r="T1518" s="169"/>
      <c r="U1518" s="169"/>
      <c r="V1518" s="169"/>
      <c r="W1518" s="169"/>
      <c r="X1518" s="169"/>
      <c r="Y1518" s="169"/>
      <c r="Z1518" s="178"/>
      <c r="AA1518" s="167"/>
      <c r="AB1518" s="169"/>
      <c r="AC1518" s="169"/>
      <c r="AD1518" s="169"/>
      <c r="AE1518" s="169"/>
      <c r="AF1518" s="169"/>
      <c r="AG1518" s="179"/>
      <c r="AH1518" s="169"/>
      <c r="AI1518" s="168"/>
      <c r="AJ1518" s="167"/>
      <c r="AK1518" s="168"/>
      <c r="AL1518" s="169"/>
      <c r="AM1518" s="509"/>
      <c r="AN1518" s="510"/>
      <c r="AO1518" s="510"/>
    </row>
    <row r="1519" spans="1:41">
      <c r="A1519" s="177"/>
      <c r="B1519" s="169"/>
      <c r="C1519" s="169"/>
      <c r="D1519" s="169"/>
      <c r="E1519" s="169"/>
      <c r="F1519" s="169"/>
      <c r="G1519" s="169"/>
      <c r="H1519" s="169"/>
      <c r="I1519" s="169"/>
      <c r="J1519" s="169"/>
      <c r="K1519" s="169"/>
      <c r="L1519" s="169"/>
      <c r="M1519" s="169"/>
      <c r="N1519" s="177"/>
      <c r="O1519" s="169"/>
      <c r="P1519" s="169"/>
      <c r="Q1519" s="169"/>
      <c r="R1519" s="169"/>
      <c r="S1519" s="169"/>
      <c r="T1519" s="169"/>
      <c r="U1519" s="169"/>
      <c r="V1519" s="169"/>
      <c r="W1519" s="169"/>
      <c r="X1519" s="169"/>
      <c r="Y1519" s="169"/>
      <c r="Z1519" s="178"/>
      <c r="AA1519" s="167"/>
      <c r="AB1519" s="169"/>
      <c r="AC1519" s="169"/>
      <c r="AD1519" s="169"/>
      <c r="AE1519" s="169"/>
      <c r="AF1519" s="169"/>
      <c r="AG1519" s="179"/>
      <c r="AH1519" s="169"/>
      <c r="AI1519" s="168"/>
      <c r="AJ1519" s="167"/>
      <c r="AK1519" s="168"/>
      <c r="AL1519" s="169"/>
      <c r="AM1519" s="509"/>
      <c r="AN1519" s="510"/>
      <c r="AO1519" s="510"/>
    </row>
    <row r="1520" spans="1:41">
      <c r="A1520" s="177"/>
      <c r="B1520" s="169"/>
      <c r="C1520" s="169"/>
      <c r="D1520" s="169"/>
      <c r="E1520" s="169"/>
      <c r="F1520" s="169"/>
      <c r="G1520" s="169"/>
      <c r="H1520" s="169"/>
      <c r="I1520" s="169"/>
      <c r="J1520" s="169"/>
      <c r="K1520" s="169"/>
      <c r="L1520" s="169"/>
      <c r="M1520" s="169"/>
      <c r="N1520" s="177"/>
      <c r="O1520" s="169"/>
      <c r="P1520" s="169"/>
      <c r="Q1520" s="169"/>
      <c r="R1520" s="169"/>
      <c r="S1520" s="169"/>
      <c r="T1520" s="169"/>
      <c r="U1520" s="169"/>
      <c r="V1520" s="169"/>
      <c r="W1520" s="169"/>
      <c r="X1520" s="169"/>
      <c r="Y1520" s="169"/>
      <c r="Z1520" s="178"/>
      <c r="AA1520" s="167"/>
      <c r="AB1520" s="169"/>
      <c r="AC1520" s="169"/>
      <c r="AD1520" s="169"/>
      <c r="AE1520" s="169"/>
      <c r="AF1520" s="169"/>
      <c r="AG1520" s="179"/>
      <c r="AH1520" s="169"/>
      <c r="AI1520" s="168"/>
      <c r="AJ1520" s="167"/>
      <c r="AK1520" s="168"/>
      <c r="AL1520" s="169"/>
      <c r="AM1520" s="509"/>
      <c r="AN1520" s="510"/>
      <c r="AO1520" s="510"/>
    </row>
    <row r="1521" spans="1:41">
      <c r="A1521" s="177"/>
      <c r="B1521" s="169"/>
      <c r="C1521" s="169"/>
      <c r="D1521" s="169"/>
      <c r="E1521" s="169"/>
      <c r="F1521" s="169"/>
      <c r="G1521" s="169"/>
      <c r="H1521" s="169"/>
      <c r="I1521" s="169"/>
      <c r="J1521" s="169"/>
      <c r="K1521" s="169"/>
      <c r="L1521" s="169"/>
      <c r="M1521" s="169"/>
      <c r="N1521" s="177"/>
      <c r="O1521" s="169"/>
      <c r="P1521" s="169"/>
      <c r="Q1521" s="169"/>
      <c r="R1521" s="169"/>
      <c r="S1521" s="169"/>
      <c r="T1521" s="169"/>
      <c r="U1521" s="169"/>
      <c r="V1521" s="169"/>
      <c r="W1521" s="169"/>
      <c r="X1521" s="169"/>
      <c r="Y1521" s="169"/>
      <c r="Z1521" s="178"/>
      <c r="AA1521" s="167"/>
      <c r="AB1521" s="169"/>
      <c r="AC1521" s="169"/>
      <c r="AD1521" s="169"/>
      <c r="AE1521" s="169"/>
      <c r="AF1521" s="169"/>
      <c r="AG1521" s="179"/>
      <c r="AH1521" s="169"/>
      <c r="AI1521" s="168"/>
      <c r="AJ1521" s="167"/>
      <c r="AK1521" s="168"/>
      <c r="AL1521" s="169"/>
      <c r="AM1521" s="509"/>
      <c r="AN1521" s="510"/>
      <c r="AO1521" s="510"/>
    </row>
    <row r="1522" spans="1:41">
      <c r="A1522" s="177"/>
      <c r="B1522" s="169"/>
      <c r="C1522" s="169"/>
      <c r="D1522" s="169"/>
      <c r="E1522" s="169"/>
      <c r="F1522" s="169"/>
      <c r="G1522" s="169"/>
      <c r="H1522" s="169"/>
      <c r="I1522" s="169"/>
      <c r="J1522" s="169"/>
      <c r="K1522" s="169"/>
      <c r="L1522" s="169"/>
      <c r="M1522" s="169"/>
      <c r="N1522" s="177"/>
      <c r="O1522" s="169"/>
      <c r="P1522" s="169"/>
      <c r="Q1522" s="169"/>
      <c r="R1522" s="169"/>
      <c r="S1522" s="169"/>
      <c r="T1522" s="169"/>
      <c r="U1522" s="169"/>
      <c r="V1522" s="169"/>
      <c r="W1522" s="169"/>
      <c r="X1522" s="169"/>
      <c r="Y1522" s="169"/>
      <c r="Z1522" s="178"/>
      <c r="AA1522" s="167"/>
      <c r="AB1522" s="169"/>
      <c r="AC1522" s="169"/>
      <c r="AD1522" s="169"/>
      <c r="AE1522" s="169"/>
      <c r="AF1522" s="169"/>
      <c r="AG1522" s="179"/>
      <c r="AH1522" s="169"/>
      <c r="AI1522" s="168"/>
      <c r="AJ1522" s="167"/>
      <c r="AK1522" s="168"/>
      <c r="AL1522" s="169"/>
      <c r="AM1522" s="509"/>
      <c r="AN1522" s="510"/>
      <c r="AO1522" s="510"/>
    </row>
    <row r="1523" spans="1:41">
      <c r="A1523" s="177"/>
      <c r="B1523" s="169"/>
      <c r="C1523" s="169"/>
      <c r="D1523" s="169"/>
      <c r="E1523" s="169"/>
      <c r="F1523" s="169"/>
      <c r="G1523" s="169"/>
      <c r="H1523" s="169"/>
      <c r="I1523" s="169"/>
      <c r="J1523" s="169"/>
      <c r="K1523" s="169"/>
      <c r="L1523" s="169"/>
      <c r="M1523" s="169"/>
      <c r="N1523" s="177"/>
      <c r="O1523" s="169"/>
      <c r="P1523" s="169"/>
      <c r="Q1523" s="169"/>
      <c r="R1523" s="169"/>
      <c r="S1523" s="169"/>
      <c r="T1523" s="169"/>
      <c r="U1523" s="169"/>
      <c r="V1523" s="169"/>
      <c r="W1523" s="169"/>
      <c r="X1523" s="169"/>
      <c r="Y1523" s="169"/>
      <c r="Z1523" s="178"/>
      <c r="AA1523" s="167"/>
      <c r="AB1523" s="169"/>
      <c r="AC1523" s="169"/>
      <c r="AD1523" s="169"/>
      <c r="AE1523" s="169"/>
      <c r="AF1523" s="169"/>
      <c r="AG1523" s="179"/>
      <c r="AH1523" s="169"/>
      <c r="AI1523" s="168"/>
      <c r="AJ1523" s="167"/>
      <c r="AK1523" s="168"/>
      <c r="AL1523" s="169"/>
      <c r="AM1523" s="509"/>
      <c r="AN1523" s="510"/>
      <c r="AO1523" s="510"/>
    </row>
    <row r="1524" spans="1:41">
      <c r="A1524" s="177"/>
      <c r="B1524" s="169"/>
      <c r="C1524" s="169"/>
      <c r="D1524" s="169"/>
      <c r="E1524" s="169"/>
      <c r="F1524" s="169"/>
      <c r="G1524" s="169"/>
      <c r="H1524" s="169"/>
      <c r="I1524" s="169"/>
      <c r="J1524" s="169"/>
      <c r="K1524" s="169"/>
      <c r="L1524" s="169"/>
      <c r="M1524" s="169"/>
      <c r="N1524" s="177"/>
      <c r="O1524" s="169"/>
      <c r="P1524" s="169"/>
      <c r="Q1524" s="169"/>
      <c r="R1524" s="169"/>
      <c r="S1524" s="169"/>
      <c r="T1524" s="169"/>
      <c r="U1524" s="169"/>
      <c r="V1524" s="169"/>
      <c r="W1524" s="169"/>
      <c r="X1524" s="169"/>
      <c r="Y1524" s="169"/>
      <c r="Z1524" s="178"/>
      <c r="AA1524" s="167"/>
      <c r="AB1524" s="169"/>
      <c r="AC1524" s="169"/>
      <c r="AD1524" s="169"/>
      <c r="AE1524" s="169"/>
      <c r="AF1524" s="169"/>
      <c r="AG1524" s="179"/>
      <c r="AH1524" s="169"/>
      <c r="AI1524" s="168"/>
      <c r="AJ1524" s="167"/>
      <c r="AK1524" s="168"/>
      <c r="AL1524" s="169"/>
      <c r="AM1524" s="509"/>
      <c r="AN1524" s="510"/>
      <c r="AO1524" s="510"/>
    </row>
    <row r="1525" spans="1:41">
      <c r="A1525" s="177"/>
      <c r="B1525" s="169"/>
      <c r="C1525" s="169"/>
      <c r="D1525" s="169"/>
      <c r="E1525" s="169"/>
      <c r="F1525" s="169"/>
      <c r="G1525" s="169"/>
      <c r="H1525" s="169"/>
      <c r="I1525" s="169"/>
      <c r="J1525" s="169"/>
      <c r="K1525" s="169"/>
      <c r="L1525" s="169"/>
      <c r="M1525" s="169"/>
      <c r="N1525" s="177"/>
      <c r="O1525" s="169"/>
      <c r="P1525" s="169"/>
      <c r="Q1525" s="169"/>
      <c r="R1525" s="169"/>
      <c r="S1525" s="169"/>
      <c r="T1525" s="169"/>
      <c r="U1525" s="169"/>
      <c r="V1525" s="169"/>
      <c r="W1525" s="169"/>
      <c r="X1525" s="169"/>
      <c r="Y1525" s="169"/>
      <c r="Z1525" s="178"/>
      <c r="AA1525" s="167"/>
      <c r="AB1525" s="169"/>
      <c r="AC1525" s="169"/>
      <c r="AD1525" s="169"/>
      <c r="AE1525" s="169"/>
      <c r="AF1525" s="169"/>
      <c r="AG1525" s="179"/>
      <c r="AH1525" s="169"/>
      <c r="AI1525" s="168"/>
      <c r="AJ1525" s="167"/>
      <c r="AK1525" s="168"/>
      <c r="AL1525" s="169"/>
      <c r="AM1525" s="509"/>
      <c r="AN1525" s="510"/>
      <c r="AO1525" s="510"/>
    </row>
    <row r="1526" spans="1:41">
      <c r="A1526" s="177"/>
      <c r="B1526" s="169"/>
      <c r="C1526" s="169"/>
      <c r="D1526" s="169"/>
      <c r="E1526" s="169"/>
      <c r="F1526" s="169"/>
      <c r="G1526" s="169"/>
      <c r="H1526" s="169"/>
      <c r="I1526" s="169"/>
      <c r="J1526" s="169"/>
      <c r="K1526" s="169"/>
      <c r="L1526" s="169"/>
      <c r="M1526" s="169"/>
      <c r="N1526" s="177"/>
      <c r="O1526" s="169"/>
      <c r="P1526" s="169"/>
      <c r="Q1526" s="169"/>
      <c r="R1526" s="169"/>
      <c r="S1526" s="169"/>
      <c r="T1526" s="169"/>
      <c r="U1526" s="169"/>
      <c r="V1526" s="169"/>
      <c r="W1526" s="169"/>
      <c r="X1526" s="169"/>
      <c r="Y1526" s="169"/>
      <c r="Z1526" s="178"/>
      <c r="AA1526" s="167"/>
      <c r="AB1526" s="169"/>
      <c r="AC1526" s="169"/>
      <c r="AD1526" s="169"/>
      <c r="AE1526" s="169"/>
      <c r="AF1526" s="169"/>
      <c r="AG1526" s="179"/>
      <c r="AH1526" s="169"/>
      <c r="AI1526" s="168"/>
      <c r="AJ1526" s="167"/>
      <c r="AK1526" s="168"/>
      <c r="AL1526" s="169"/>
      <c r="AM1526" s="509"/>
      <c r="AN1526" s="510"/>
      <c r="AO1526" s="510"/>
    </row>
    <row r="1527" spans="1:41">
      <c r="A1527" s="177"/>
      <c r="B1527" s="169"/>
      <c r="C1527" s="169"/>
      <c r="D1527" s="169"/>
      <c r="E1527" s="169"/>
      <c r="F1527" s="169"/>
      <c r="G1527" s="169"/>
      <c r="H1527" s="169"/>
      <c r="I1527" s="169"/>
      <c r="J1527" s="169"/>
      <c r="K1527" s="169"/>
      <c r="L1527" s="169"/>
      <c r="M1527" s="169"/>
      <c r="N1527" s="177"/>
      <c r="O1527" s="169"/>
      <c r="P1527" s="169"/>
      <c r="Q1527" s="169"/>
      <c r="R1527" s="169"/>
      <c r="S1527" s="169"/>
      <c r="T1527" s="169"/>
      <c r="U1527" s="169"/>
      <c r="V1527" s="169"/>
      <c r="W1527" s="169"/>
      <c r="X1527" s="169"/>
      <c r="Y1527" s="169"/>
      <c r="Z1527" s="178"/>
      <c r="AA1527" s="167"/>
      <c r="AB1527" s="169"/>
      <c r="AC1527" s="169"/>
      <c r="AD1527" s="169"/>
      <c r="AE1527" s="169"/>
      <c r="AF1527" s="169"/>
      <c r="AG1527" s="179"/>
      <c r="AH1527" s="169"/>
      <c r="AI1527" s="168"/>
      <c r="AJ1527" s="167"/>
      <c r="AK1527" s="168"/>
      <c r="AL1527" s="169"/>
      <c r="AM1527" s="509"/>
      <c r="AN1527" s="510"/>
      <c r="AO1527" s="510"/>
    </row>
    <row r="1528" spans="1:41">
      <c r="A1528" s="177"/>
      <c r="B1528" s="169"/>
      <c r="C1528" s="169"/>
      <c r="D1528" s="169"/>
      <c r="E1528" s="169"/>
      <c r="F1528" s="169"/>
      <c r="G1528" s="169"/>
      <c r="H1528" s="169"/>
      <c r="I1528" s="169"/>
      <c r="J1528" s="169"/>
      <c r="K1528" s="169"/>
      <c r="L1528" s="169"/>
      <c r="M1528" s="169"/>
      <c r="N1528" s="177"/>
      <c r="O1528" s="169"/>
      <c r="P1528" s="169"/>
      <c r="Q1528" s="169"/>
      <c r="R1528" s="169"/>
      <c r="S1528" s="169"/>
      <c r="T1528" s="169"/>
      <c r="U1528" s="169"/>
      <c r="V1528" s="169"/>
      <c r="W1528" s="169"/>
      <c r="X1528" s="169"/>
      <c r="Y1528" s="169"/>
      <c r="Z1528" s="178"/>
      <c r="AA1528" s="167"/>
      <c r="AB1528" s="169"/>
      <c r="AC1528" s="169"/>
      <c r="AD1528" s="169"/>
      <c r="AE1528" s="169"/>
      <c r="AF1528" s="169"/>
      <c r="AG1528" s="179"/>
      <c r="AH1528" s="169"/>
      <c r="AI1528" s="168"/>
      <c r="AJ1528" s="167"/>
      <c r="AK1528" s="168"/>
      <c r="AL1528" s="169"/>
      <c r="AM1528" s="509"/>
      <c r="AN1528" s="510"/>
      <c r="AO1528" s="510"/>
    </row>
    <row r="1529" spans="1:41">
      <c r="A1529" s="177"/>
      <c r="B1529" s="169"/>
      <c r="C1529" s="169"/>
      <c r="D1529" s="169"/>
      <c r="E1529" s="169"/>
      <c r="F1529" s="169"/>
      <c r="G1529" s="169"/>
      <c r="H1529" s="169"/>
      <c r="I1529" s="169"/>
      <c r="J1529" s="169"/>
      <c r="K1529" s="169"/>
      <c r="L1529" s="169"/>
      <c r="M1529" s="169"/>
      <c r="N1529" s="177"/>
      <c r="O1529" s="169"/>
      <c r="P1529" s="169"/>
      <c r="Q1529" s="169"/>
      <c r="R1529" s="169"/>
      <c r="S1529" s="169"/>
      <c r="T1529" s="169"/>
      <c r="U1529" s="169"/>
      <c r="V1529" s="169"/>
      <c r="W1529" s="169"/>
      <c r="X1529" s="169"/>
      <c r="Y1529" s="169"/>
      <c r="Z1529" s="178"/>
      <c r="AA1529" s="167"/>
      <c r="AB1529" s="169"/>
      <c r="AC1529" s="169"/>
      <c r="AD1529" s="169"/>
      <c r="AE1529" s="169"/>
      <c r="AF1529" s="169"/>
      <c r="AG1529" s="179"/>
      <c r="AH1529" s="169"/>
      <c r="AI1529" s="168"/>
      <c r="AJ1529" s="167"/>
      <c r="AK1529" s="168"/>
      <c r="AL1529" s="169"/>
      <c r="AM1529" s="509"/>
      <c r="AN1529" s="510"/>
      <c r="AO1529" s="510"/>
    </row>
    <row r="1530" spans="1:41">
      <c r="A1530" s="177"/>
      <c r="B1530" s="169"/>
      <c r="C1530" s="169"/>
      <c r="D1530" s="169"/>
      <c r="E1530" s="169"/>
      <c r="F1530" s="169"/>
      <c r="G1530" s="169"/>
      <c r="H1530" s="169"/>
      <c r="I1530" s="169"/>
      <c r="J1530" s="169"/>
      <c r="K1530" s="169"/>
      <c r="L1530" s="169"/>
      <c r="M1530" s="169"/>
      <c r="N1530" s="177"/>
      <c r="O1530" s="169"/>
      <c r="P1530" s="169"/>
      <c r="Q1530" s="169"/>
      <c r="R1530" s="169"/>
      <c r="S1530" s="169"/>
      <c r="T1530" s="169"/>
      <c r="U1530" s="169"/>
      <c r="V1530" s="169"/>
      <c r="W1530" s="169"/>
      <c r="X1530" s="169"/>
      <c r="Y1530" s="169"/>
      <c r="Z1530" s="178"/>
      <c r="AA1530" s="167"/>
      <c r="AB1530" s="169"/>
      <c r="AC1530" s="169"/>
      <c r="AD1530" s="169"/>
      <c r="AE1530" s="169"/>
      <c r="AF1530" s="169"/>
      <c r="AG1530" s="179"/>
      <c r="AH1530" s="169"/>
      <c r="AI1530" s="168"/>
      <c r="AJ1530" s="167"/>
      <c r="AK1530" s="168"/>
      <c r="AL1530" s="169"/>
      <c r="AM1530" s="509"/>
      <c r="AN1530" s="510"/>
      <c r="AO1530" s="510"/>
    </row>
    <row r="1531" spans="1:41">
      <c r="A1531" s="177"/>
      <c r="B1531" s="169"/>
      <c r="C1531" s="169"/>
      <c r="D1531" s="169"/>
      <c r="E1531" s="169"/>
      <c r="F1531" s="169"/>
      <c r="G1531" s="169"/>
      <c r="H1531" s="169"/>
      <c r="I1531" s="169"/>
      <c r="J1531" s="169"/>
      <c r="K1531" s="169"/>
      <c r="L1531" s="169"/>
      <c r="M1531" s="169"/>
      <c r="N1531" s="177"/>
      <c r="O1531" s="169"/>
      <c r="P1531" s="169"/>
      <c r="Q1531" s="169"/>
      <c r="R1531" s="169"/>
      <c r="S1531" s="169"/>
      <c r="T1531" s="169"/>
      <c r="U1531" s="169"/>
      <c r="V1531" s="169"/>
      <c r="W1531" s="169"/>
      <c r="X1531" s="169"/>
      <c r="Y1531" s="169"/>
      <c r="Z1531" s="178"/>
      <c r="AA1531" s="167"/>
      <c r="AB1531" s="169"/>
      <c r="AC1531" s="169"/>
      <c r="AD1531" s="169"/>
      <c r="AE1531" s="169"/>
      <c r="AF1531" s="169"/>
      <c r="AG1531" s="179"/>
      <c r="AH1531" s="169"/>
      <c r="AI1531" s="168"/>
      <c r="AJ1531" s="167"/>
      <c r="AK1531" s="168"/>
      <c r="AL1531" s="169"/>
      <c r="AM1531" s="509"/>
      <c r="AN1531" s="510"/>
      <c r="AO1531" s="510"/>
    </row>
    <row r="1532" spans="1:41">
      <c r="A1532" s="177"/>
      <c r="B1532" s="169"/>
      <c r="C1532" s="169"/>
      <c r="D1532" s="169"/>
      <c r="E1532" s="169"/>
      <c r="F1532" s="169"/>
      <c r="G1532" s="169"/>
      <c r="H1532" s="169"/>
      <c r="I1532" s="169"/>
      <c r="J1532" s="169"/>
      <c r="K1532" s="169"/>
      <c r="L1532" s="169"/>
      <c r="M1532" s="169"/>
      <c r="N1532" s="177"/>
      <c r="O1532" s="169"/>
      <c r="P1532" s="169"/>
      <c r="Q1532" s="169"/>
      <c r="R1532" s="169"/>
      <c r="S1532" s="169"/>
      <c r="T1532" s="169"/>
      <c r="U1532" s="169"/>
      <c r="V1532" s="169"/>
      <c r="W1532" s="169"/>
      <c r="X1532" s="169"/>
      <c r="Y1532" s="169"/>
      <c r="Z1532" s="178"/>
      <c r="AA1532" s="167"/>
      <c r="AB1532" s="169"/>
      <c r="AC1532" s="169"/>
      <c r="AD1532" s="169"/>
      <c r="AE1532" s="169"/>
      <c r="AF1532" s="169"/>
      <c r="AG1532" s="179"/>
      <c r="AH1532" s="169"/>
      <c r="AI1532" s="168"/>
      <c r="AJ1532" s="167"/>
      <c r="AK1532" s="168"/>
      <c r="AL1532" s="169"/>
      <c r="AM1532" s="509"/>
      <c r="AN1532" s="510"/>
      <c r="AO1532" s="510"/>
    </row>
    <row r="1533" spans="1:41">
      <c r="A1533" s="177"/>
      <c r="B1533" s="169"/>
      <c r="C1533" s="169"/>
      <c r="D1533" s="169"/>
      <c r="E1533" s="169"/>
      <c r="F1533" s="169"/>
      <c r="G1533" s="169"/>
      <c r="H1533" s="169"/>
      <c r="I1533" s="169"/>
      <c r="J1533" s="169"/>
      <c r="K1533" s="169"/>
      <c r="L1533" s="169"/>
      <c r="M1533" s="169"/>
      <c r="N1533" s="177"/>
      <c r="O1533" s="169"/>
      <c r="P1533" s="169"/>
      <c r="Q1533" s="169"/>
      <c r="R1533" s="169"/>
      <c r="S1533" s="169"/>
      <c r="T1533" s="169"/>
      <c r="U1533" s="169"/>
      <c r="V1533" s="169"/>
      <c r="W1533" s="169"/>
      <c r="X1533" s="169"/>
      <c r="Y1533" s="169"/>
      <c r="Z1533" s="178"/>
      <c r="AA1533" s="167"/>
      <c r="AB1533" s="169"/>
      <c r="AC1533" s="169"/>
      <c r="AD1533" s="169"/>
      <c r="AE1533" s="169"/>
      <c r="AF1533" s="169"/>
      <c r="AG1533" s="179"/>
      <c r="AH1533" s="169"/>
      <c r="AI1533" s="168"/>
      <c r="AJ1533" s="167"/>
      <c r="AK1533" s="168"/>
      <c r="AL1533" s="169"/>
      <c r="AM1533" s="509"/>
      <c r="AN1533" s="510"/>
      <c r="AO1533" s="510"/>
    </row>
    <row r="1534" spans="1:41">
      <c r="A1534" s="177"/>
      <c r="B1534" s="169"/>
      <c r="C1534" s="169"/>
      <c r="D1534" s="169"/>
      <c r="E1534" s="169"/>
      <c r="F1534" s="169"/>
      <c r="G1534" s="169"/>
      <c r="H1534" s="169"/>
      <c r="I1534" s="169"/>
      <c r="J1534" s="169"/>
      <c r="K1534" s="169"/>
      <c r="L1534" s="169"/>
      <c r="M1534" s="169"/>
      <c r="N1534" s="177"/>
      <c r="O1534" s="169"/>
      <c r="P1534" s="169"/>
      <c r="Q1534" s="169"/>
      <c r="R1534" s="169"/>
      <c r="S1534" s="169"/>
      <c r="T1534" s="169"/>
      <c r="U1534" s="169"/>
      <c r="V1534" s="169"/>
      <c r="W1534" s="169"/>
      <c r="X1534" s="169"/>
      <c r="Y1534" s="169"/>
      <c r="Z1534" s="178"/>
      <c r="AA1534" s="167"/>
      <c r="AB1534" s="169"/>
      <c r="AC1534" s="169"/>
      <c r="AD1534" s="169"/>
      <c r="AE1534" s="169"/>
      <c r="AF1534" s="169"/>
      <c r="AG1534" s="179"/>
      <c r="AH1534" s="169"/>
      <c r="AI1534" s="168"/>
      <c r="AJ1534" s="167"/>
      <c r="AK1534" s="168"/>
      <c r="AL1534" s="169"/>
      <c r="AM1534" s="509"/>
      <c r="AN1534" s="510"/>
      <c r="AO1534" s="510"/>
    </row>
    <row r="1535" spans="1:41">
      <c r="A1535" s="177"/>
      <c r="B1535" s="169"/>
      <c r="C1535" s="169"/>
      <c r="D1535" s="169"/>
      <c r="E1535" s="169"/>
      <c r="F1535" s="169"/>
      <c r="G1535" s="169"/>
      <c r="H1535" s="169"/>
      <c r="I1535" s="169"/>
      <c r="J1535" s="169"/>
      <c r="K1535" s="169"/>
      <c r="L1535" s="169"/>
      <c r="M1535" s="169"/>
      <c r="N1535" s="177"/>
      <c r="O1535" s="169"/>
      <c r="P1535" s="169"/>
      <c r="Q1535" s="169"/>
      <c r="R1535" s="169"/>
      <c r="S1535" s="169"/>
      <c r="T1535" s="169"/>
      <c r="U1535" s="169"/>
      <c r="V1535" s="169"/>
      <c r="W1535" s="169"/>
      <c r="X1535" s="169"/>
      <c r="Y1535" s="169"/>
      <c r="Z1535" s="178"/>
      <c r="AA1535" s="167"/>
      <c r="AB1535" s="169"/>
      <c r="AC1535" s="169"/>
      <c r="AD1535" s="169"/>
      <c r="AE1535" s="169"/>
      <c r="AF1535" s="169"/>
      <c r="AG1535" s="179"/>
      <c r="AH1535" s="169"/>
      <c r="AI1535" s="168"/>
      <c r="AJ1535" s="167"/>
      <c r="AK1535" s="168"/>
      <c r="AL1535" s="169"/>
      <c r="AM1535" s="509"/>
      <c r="AN1535" s="510"/>
      <c r="AO1535" s="510"/>
    </row>
    <row r="1536" spans="1:41">
      <c r="A1536" s="177"/>
      <c r="B1536" s="169"/>
      <c r="C1536" s="169"/>
      <c r="D1536" s="169"/>
      <c r="E1536" s="169"/>
      <c r="F1536" s="169"/>
      <c r="G1536" s="169"/>
      <c r="H1536" s="169"/>
      <c r="I1536" s="169"/>
      <c r="J1536" s="169"/>
      <c r="K1536" s="169"/>
      <c r="L1536" s="169"/>
      <c r="M1536" s="169"/>
      <c r="N1536" s="177"/>
      <c r="O1536" s="169"/>
      <c r="P1536" s="169"/>
      <c r="Q1536" s="169"/>
      <c r="R1536" s="169"/>
      <c r="S1536" s="169"/>
      <c r="T1536" s="169"/>
      <c r="U1536" s="169"/>
      <c r="V1536" s="169"/>
      <c r="W1536" s="169"/>
      <c r="X1536" s="169"/>
      <c r="Y1536" s="169"/>
      <c r="Z1536" s="178"/>
      <c r="AA1536" s="167"/>
      <c r="AB1536" s="169"/>
      <c r="AC1536" s="169"/>
      <c r="AD1536" s="169"/>
      <c r="AE1536" s="169"/>
      <c r="AF1536" s="169"/>
      <c r="AG1536" s="179"/>
      <c r="AH1536" s="169"/>
      <c r="AI1536" s="168"/>
      <c r="AJ1536" s="167"/>
      <c r="AK1536" s="168"/>
      <c r="AL1536" s="169"/>
      <c r="AM1536" s="509"/>
      <c r="AN1536" s="510"/>
      <c r="AO1536" s="510"/>
    </row>
    <row r="1537" spans="1:41">
      <c r="A1537" s="177"/>
      <c r="B1537" s="169"/>
      <c r="C1537" s="169"/>
      <c r="D1537" s="169"/>
      <c r="E1537" s="169"/>
      <c r="F1537" s="169"/>
      <c r="G1537" s="169"/>
      <c r="H1537" s="169"/>
      <c r="I1537" s="169"/>
      <c r="J1537" s="169"/>
      <c r="K1537" s="169"/>
      <c r="L1537" s="169"/>
      <c r="M1537" s="169"/>
      <c r="N1537" s="177"/>
      <c r="O1537" s="169"/>
      <c r="P1537" s="169"/>
      <c r="Q1537" s="169"/>
      <c r="R1537" s="169"/>
      <c r="S1537" s="169"/>
      <c r="T1537" s="169"/>
      <c r="U1537" s="169"/>
      <c r="V1537" s="169"/>
      <c r="W1537" s="169"/>
      <c r="X1537" s="169"/>
      <c r="Y1537" s="169"/>
      <c r="Z1537" s="178"/>
      <c r="AA1537" s="167"/>
      <c r="AB1537" s="169"/>
      <c r="AC1537" s="169"/>
      <c r="AD1537" s="169"/>
      <c r="AE1537" s="169"/>
      <c r="AF1537" s="169"/>
      <c r="AG1537" s="179"/>
      <c r="AH1537" s="169"/>
      <c r="AI1537" s="168"/>
      <c r="AJ1537" s="167"/>
      <c r="AK1537" s="168"/>
      <c r="AL1537" s="169"/>
      <c r="AM1537" s="509"/>
      <c r="AN1537" s="510"/>
      <c r="AO1537" s="510"/>
    </row>
    <row r="1538" spans="1:41">
      <c r="A1538" s="177"/>
      <c r="B1538" s="169"/>
      <c r="C1538" s="169"/>
      <c r="D1538" s="169"/>
      <c r="E1538" s="169"/>
      <c r="F1538" s="169"/>
      <c r="G1538" s="169"/>
      <c r="H1538" s="169"/>
      <c r="I1538" s="169"/>
      <c r="J1538" s="169"/>
      <c r="K1538" s="169"/>
      <c r="L1538" s="169"/>
      <c r="M1538" s="169"/>
      <c r="N1538" s="177"/>
      <c r="O1538" s="169"/>
      <c r="P1538" s="169"/>
      <c r="Q1538" s="169"/>
      <c r="R1538" s="169"/>
      <c r="S1538" s="169"/>
      <c r="T1538" s="169"/>
      <c r="U1538" s="169"/>
      <c r="V1538" s="169"/>
      <c r="W1538" s="169"/>
      <c r="X1538" s="169"/>
      <c r="Y1538" s="169"/>
      <c r="Z1538" s="178"/>
      <c r="AA1538" s="167"/>
      <c r="AB1538" s="169"/>
      <c r="AC1538" s="169"/>
      <c r="AD1538" s="169"/>
      <c r="AE1538" s="169"/>
      <c r="AF1538" s="169"/>
      <c r="AG1538" s="179"/>
      <c r="AH1538" s="169"/>
      <c r="AI1538" s="168"/>
      <c r="AJ1538" s="167"/>
      <c r="AK1538" s="168"/>
      <c r="AL1538" s="169"/>
      <c r="AM1538" s="509"/>
      <c r="AN1538" s="510"/>
      <c r="AO1538" s="510"/>
    </row>
    <row r="1539" spans="1:41">
      <c r="A1539" s="177"/>
      <c r="B1539" s="169"/>
      <c r="C1539" s="169"/>
      <c r="D1539" s="169"/>
      <c r="E1539" s="169"/>
      <c r="F1539" s="169"/>
      <c r="G1539" s="169"/>
      <c r="H1539" s="169"/>
      <c r="I1539" s="169"/>
      <c r="J1539" s="169"/>
      <c r="K1539" s="169"/>
      <c r="L1539" s="169"/>
      <c r="M1539" s="169"/>
      <c r="N1539" s="177"/>
      <c r="O1539" s="169"/>
      <c r="P1539" s="169"/>
      <c r="Q1539" s="169"/>
      <c r="R1539" s="169"/>
      <c r="S1539" s="169"/>
      <c r="T1539" s="169"/>
      <c r="U1539" s="169"/>
      <c r="V1539" s="169"/>
      <c r="W1539" s="169"/>
      <c r="X1539" s="169"/>
      <c r="Y1539" s="169"/>
      <c r="Z1539" s="178"/>
      <c r="AA1539" s="167"/>
      <c r="AB1539" s="169"/>
      <c r="AC1539" s="169"/>
      <c r="AD1539" s="169"/>
      <c r="AE1539" s="169"/>
      <c r="AF1539" s="169"/>
      <c r="AG1539" s="179"/>
      <c r="AH1539" s="169"/>
      <c r="AI1539" s="168"/>
      <c r="AJ1539" s="167"/>
      <c r="AK1539" s="168"/>
      <c r="AL1539" s="169"/>
      <c r="AM1539" s="509"/>
      <c r="AN1539" s="510"/>
      <c r="AO1539" s="510"/>
    </row>
    <row r="1540" spans="1:41">
      <c r="A1540" s="177"/>
      <c r="B1540" s="169"/>
      <c r="C1540" s="169"/>
      <c r="D1540" s="169"/>
      <c r="E1540" s="169"/>
      <c r="F1540" s="169"/>
      <c r="G1540" s="169"/>
      <c r="H1540" s="169"/>
      <c r="I1540" s="169"/>
      <c r="J1540" s="169"/>
      <c r="K1540" s="169"/>
      <c r="L1540" s="169"/>
      <c r="M1540" s="169"/>
      <c r="N1540" s="177"/>
      <c r="O1540" s="169"/>
      <c r="P1540" s="169"/>
      <c r="Q1540" s="169"/>
      <c r="R1540" s="169"/>
      <c r="S1540" s="169"/>
      <c r="T1540" s="169"/>
      <c r="U1540" s="169"/>
      <c r="V1540" s="169"/>
      <c r="W1540" s="169"/>
      <c r="X1540" s="169"/>
      <c r="Y1540" s="169"/>
      <c r="Z1540" s="178"/>
      <c r="AA1540" s="167"/>
      <c r="AB1540" s="169"/>
      <c r="AC1540" s="169"/>
      <c r="AD1540" s="169"/>
      <c r="AE1540" s="169"/>
      <c r="AF1540" s="169"/>
      <c r="AG1540" s="179"/>
      <c r="AH1540" s="169"/>
      <c r="AI1540" s="168"/>
      <c r="AJ1540" s="167"/>
      <c r="AK1540" s="168"/>
      <c r="AL1540" s="169"/>
      <c r="AM1540" s="509"/>
      <c r="AN1540" s="510"/>
      <c r="AO1540" s="510"/>
    </row>
    <row r="1541" spans="1:41">
      <c r="A1541" s="177"/>
      <c r="B1541" s="169"/>
      <c r="C1541" s="169"/>
      <c r="D1541" s="169"/>
      <c r="E1541" s="169"/>
      <c r="F1541" s="169"/>
      <c r="G1541" s="169"/>
      <c r="H1541" s="169"/>
      <c r="I1541" s="169"/>
      <c r="J1541" s="169"/>
      <c r="K1541" s="169"/>
      <c r="L1541" s="169"/>
      <c r="M1541" s="169"/>
      <c r="N1541" s="177"/>
      <c r="O1541" s="169"/>
      <c r="P1541" s="169"/>
      <c r="Q1541" s="169"/>
      <c r="R1541" s="169"/>
      <c r="S1541" s="169"/>
      <c r="T1541" s="169"/>
      <c r="U1541" s="169"/>
      <c r="V1541" s="169"/>
      <c r="W1541" s="169"/>
      <c r="X1541" s="169"/>
      <c r="Y1541" s="169"/>
      <c r="Z1541" s="178"/>
      <c r="AA1541" s="167"/>
      <c r="AB1541" s="169"/>
      <c r="AC1541" s="169"/>
      <c r="AD1541" s="169"/>
      <c r="AE1541" s="169"/>
      <c r="AF1541" s="169"/>
      <c r="AG1541" s="179"/>
      <c r="AH1541" s="169"/>
      <c r="AI1541" s="168"/>
      <c r="AJ1541" s="167"/>
      <c r="AK1541" s="168"/>
      <c r="AL1541" s="169"/>
      <c r="AM1541" s="509"/>
      <c r="AN1541" s="510"/>
      <c r="AO1541" s="510"/>
    </row>
    <row r="1542" spans="1:41">
      <c r="A1542" s="177"/>
      <c r="B1542" s="169"/>
      <c r="C1542" s="169"/>
      <c r="D1542" s="169"/>
      <c r="E1542" s="169"/>
      <c r="F1542" s="169"/>
      <c r="G1542" s="169"/>
      <c r="H1542" s="169"/>
      <c r="I1542" s="169"/>
      <c r="J1542" s="169"/>
      <c r="K1542" s="169"/>
      <c r="L1542" s="169"/>
      <c r="M1542" s="169"/>
      <c r="N1542" s="177"/>
      <c r="O1542" s="169"/>
      <c r="P1542" s="169"/>
      <c r="Q1542" s="169"/>
      <c r="R1542" s="169"/>
      <c r="S1542" s="169"/>
      <c r="T1542" s="169"/>
      <c r="U1542" s="169"/>
      <c r="V1542" s="169"/>
      <c r="W1542" s="169"/>
      <c r="X1542" s="169"/>
      <c r="Y1542" s="169"/>
      <c r="Z1542" s="178"/>
      <c r="AA1542" s="167"/>
      <c r="AB1542" s="169"/>
      <c r="AC1542" s="169"/>
      <c r="AD1542" s="169"/>
      <c r="AE1542" s="169"/>
      <c r="AF1542" s="169"/>
      <c r="AG1542" s="179"/>
      <c r="AH1542" s="169"/>
      <c r="AI1542" s="168"/>
      <c r="AJ1542" s="167"/>
      <c r="AK1542" s="168"/>
      <c r="AL1542" s="169"/>
      <c r="AM1542" s="509"/>
      <c r="AN1542" s="510"/>
      <c r="AO1542" s="510"/>
    </row>
    <row r="1543" spans="1:41">
      <c r="A1543" s="177"/>
      <c r="B1543" s="169"/>
      <c r="C1543" s="169"/>
      <c r="D1543" s="169"/>
      <c r="E1543" s="169"/>
      <c r="F1543" s="169"/>
      <c r="G1543" s="169"/>
      <c r="H1543" s="169"/>
      <c r="I1543" s="169"/>
      <c r="J1543" s="169"/>
      <c r="K1543" s="169"/>
      <c r="L1543" s="169"/>
      <c r="M1543" s="169"/>
      <c r="N1543" s="177"/>
      <c r="O1543" s="169"/>
      <c r="P1543" s="169"/>
      <c r="Q1543" s="169"/>
      <c r="R1543" s="169"/>
      <c r="S1543" s="169"/>
      <c r="T1543" s="169"/>
      <c r="U1543" s="169"/>
      <c r="V1543" s="169"/>
      <c r="W1543" s="169"/>
      <c r="X1543" s="169"/>
      <c r="Y1543" s="169"/>
      <c r="Z1543" s="178"/>
      <c r="AA1543" s="167"/>
      <c r="AB1543" s="169"/>
      <c r="AC1543" s="169"/>
      <c r="AD1543" s="169"/>
      <c r="AE1543" s="169"/>
      <c r="AF1543" s="169"/>
      <c r="AG1543" s="179"/>
      <c r="AH1543" s="169"/>
      <c r="AI1543" s="168"/>
      <c r="AJ1543" s="167"/>
      <c r="AK1543" s="168"/>
      <c r="AL1543" s="169"/>
      <c r="AM1543" s="509"/>
      <c r="AN1543" s="510"/>
      <c r="AO1543" s="510"/>
    </row>
    <row r="1544" spans="1:41">
      <c r="A1544" s="177"/>
      <c r="B1544" s="169"/>
      <c r="C1544" s="169"/>
      <c r="D1544" s="169"/>
      <c r="E1544" s="169"/>
      <c r="F1544" s="169"/>
      <c r="G1544" s="169"/>
      <c r="H1544" s="169"/>
      <c r="I1544" s="169"/>
      <c r="J1544" s="169"/>
      <c r="K1544" s="169"/>
      <c r="L1544" s="169"/>
      <c r="M1544" s="169"/>
      <c r="N1544" s="177"/>
      <c r="O1544" s="169"/>
      <c r="P1544" s="169"/>
      <c r="Q1544" s="169"/>
      <c r="R1544" s="169"/>
      <c r="S1544" s="169"/>
      <c r="T1544" s="169"/>
      <c r="U1544" s="169"/>
      <c r="V1544" s="169"/>
      <c r="W1544" s="169"/>
      <c r="X1544" s="169"/>
      <c r="Y1544" s="169"/>
      <c r="Z1544" s="178"/>
      <c r="AA1544" s="167"/>
      <c r="AB1544" s="169"/>
      <c r="AC1544" s="169"/>
      <c r="AD1544" s="169"/>
      <c r="AE1544" s="169"/>
      <c r="AF1544" s="169"/>
      <c r="AG1544" s="179"/>
      <c r="AH1544" s="169"/>
      <c r="AI1544" s="168"/>
      <c r="AJ1544" s="167"/>
      <c r="AK1544" s="168"/>
      <c r="AL1544" s="169"/>
      <c r="AM1544" s="509"/>
      <c r="AN1544" s="510"/>
      <c r="AO1544" s="510"/>
    </row>
    <row r="1545" spans="1:41">
      <c r="A1545" s="177"/>
      <c r="B1545" s="169"/>
      <c r="C1545" s="169"/>
      <c r="D1545" s="169"/>
      <c r="E1545" s="169"/>
      <c r="F1545" s="169"/>
      <c r="G1545" s="169"/>
      <c r="H1545" s="169"/>
      <c r="I1545" s="169"/>
      <c r="J1545" s="169"/>
      <c r="K1545" s="169"/>
      <c r="L1545" s="169"/>
      <c r="M1545" s="169"/>
      <c r="N1545" s="177"/>
      <c r="O1545" s="169"/>
      <c r="P1545" s="169"/>
      <c r="Q1545" s="169"/>
      <c r="R1545" s="169"/>
      <c r="S1545" s="169"/>
      <c r="T1545" s="169"/>
      <c r="U1545" s="169"/>
      <c r="V1545" s="169"/>
      <c r="W1545" s="169"/>
      <c r="X1545" s="169"/>
      <c r="Y1545" s="169"/>
      <c r="Z1545" s="178"/>
      <c r="AA1545" s="167"/>
      <c r="AB1545" s="169"/>
      <c r="AC1545" s="169"/>
      <c r="AD1545" s="169"/>
      <c r="AE1545" s="169"/>
      <c r="AF1545" s="169"/>
      <c r="AG1545" s="179"/>
      <c r="AH1545" s="169"/>
      <c r="AI1545" s="168"/>
      <c r="AJ1545" s="167"/>
      <c r="AK1545" s="168"/>
      <c r="AL1545" s="169"/>
      <c r="AM1545" s="509"/>
      <c r="AN1545" s="510"/>
      <c r="AO1545" s="510"/>
    </row>
    <row r="1546" spans="1:41">
      <c r="A1546" s="177"/>
      <c r="B1546" s="169"/>
      <c r="C1546" s="169"/>
      <c r="D1546" s="169"/>
      <c r="E1546" s="169"/>
      <c r="F1546" s="169"/>
      <c r="G1546" s="169"/>
      <c r="H1546" s="169"/>
      <c r="I1546" s="169"/>
      <c r="J1546" s="169"/>
      <c r="K1546" s="169"/>
      <c r="L1546" s="169"/>
      <c r="M1546" s="169"/>
      <c r="N1546" s="177"/>
      <c r="O1546" s="169"/>
      <c r="P1546" s="169"/>
      <c r="Q1546" s="169"/>
      <c r="R1546" s="169"/>
      <c r="S1546" s="169"/>
      <c r="T1546" s="169"/>
      <c r="U1546" s="169"/>
      <c r="V1546" s="169"/>
      <c r="W1546" s="169"/>
      <c r="X1546" s="169"/>
      <c r="Y1546" s="169"/>
      <c r="Z1546" s="178"/>
      <c r="AA1546" s="167"/>
      <c r="AB1546" s="169"/>
      <c r="AC1546" s="169"/>
      <c r="AD1546" s="169"/>
      <c r="AE1546" s="169"/>
      <c r="AF1546" s="169"/>
      <c r="AG1546" s="179"/>
      <c r="AH1546" s="169"/>
      <c r="AI1546" s="168"/>
      <c r="AJ1546" s="167"/>
      <c r="AK1546" s="168"/>
      <c r="AL1546" s="169"/>
      <c r="AM1546" s="509"/>
      <c r="AN1546" s="510"/>
      <c r="AO1546" s="510"/>
    </row>
    <row r="1547" spans="1:41">
      <c r="A1547" s="177"/>
      <c r="B1547" s="169"/>
      <c r="C1547" s="169"/>
      <c r="D1547" s="169"/>
      <c r="E1547" s="169"/>
      <c r="F1547" s="169"/>
      <c r="G1547" s="169"/>
      <c r="H1547" s="169"/>
      <c r="I1547" s="169"/>
      <c r="J1547" s="169"/>
      <c r="K1547" s="169"/>
      <c r="L1547" s="169"/>
      <c r="M1547" s="169"/>
      <c r="N1547" s="177"/>
      <c r="O1547" s="169"/>
      <c r="P1547" s="169"/>
      <c r="Q1547" s="169"/>
      <c r="R1547" s="169"/>
      <c r="S1547" s="169"/>
      <c r="T1547" s="169"/>
      <c r="U1547" s="169"/>
      <c r="V1547" s="169"/>
      <c r="W1547" s="169"/>
      <c r="X1547" s="169"/>
      <c r="Y1547" s="169"/>
      <c r="Z1547" s="178"/>
      <c r="AA1547" s="167"/>
      <c r="AB1547" s="169"/>
      <c r="AC1547" s="169"/>
      <c r="AD1547" s="169"/>
      <c r="AE1547" s="169"/>
      <c r="AF1547" s="169"/>
      <c r="AG1547" s="179"/>
      <c r="AH1547" s="169"/>
      <c r="AI1547" s="168"/>
      <c r="AJ1547" s="167"/>
      <c r="AK1547" s="168"/>
      <c r="AL1547" s="169"/>
      <c r="AM1547" s="509"/>
      <c r="AN1547" s="510"/>
      <c r="AO1547" s="510"/>
    </row>
    <row r="1548" spans="1:41">
      <c r="A1548" s="177"/>
      <c r="B1548" s="169"/>
      <c r="C1548" s="169"/>
      <c r="D1548" s="169"/>
      <c r="E1548" s="169"/>
      <c r="F1548" s="169"/>
      <c r="G1548" s="169"/>
      <c r="H1548" s="169"/>
      <c r="I1548" s="169"/>
      <c r="J1548" s="169"/>
      <c r="K1548" s="169"/>
      <c r="L1548" s="169"/>
      <c r="M1548" s="169"/>
      <c r="N1548" s="177"/>
      <c r="O1548" s="169"/>
      <c r="P1548" s="169"/>
      <c r="Q1548" s="169"/>
      <c r="R1548" s="169"/>
      <c r="S1548" s="169"/>
      <c r="T1548" s="169"/>
      <c r="U1548" s="169"/>
      <c r="V1548" s="169"/>
      <c r="W1548" s="169"/>
      <c r="X1548" s="169"/>
      <c r="Y1548" s="169"/>
      <c r="Z1548" s="178"/>
      <c r="AA1548" s="167"/>
      <c r="AB1548" s="169"/>
      <c r="AC1548" s="169"/>
      <c r="AD1548" s="169"/>
      <c r="AE1548" s="169"/>
      <c r="AF1548" s="169"/>
      <c r="AG1548" s="179"/>
      <c r="AH1548" s="169"/>
      <c r="AI1548" s="168"/>
      <c r="AJ1548" s="167"/>
      <c r="AK1548" s="168"/>
      <c r="AL1548" s="169"/>
      <c r="AM1548" s="509"/>
      <c r="AN1548" s="510"/>
      <c r="AO1548" s="510"/>
    </row>
    <row r="1549" spans="1:41">
      <c r="A1549" s="177"/>
      <c r="B1549" s="169"/>
      <c r="C1549" s="169"/>
      <c r="D1549" s="169"/>
      <c r="E1549" s="169"/>
      <c r="F1549" s="169"/>
      <c r="G1549" s="169"/>
      <c r="H1549" s="169"/>
      <c r="I1549" s="169"/>
      <c r="J1549" s="169"/>
      <c r="K1549" s="169"/>
      <c r="L1549" s="169"/>
      <c r="M1549" s="169"/>
      <c r="N1549" s="177"/>
      <c r="O1549" s="169"/>
      <c r="P1549" s="169"/>
      <c r="Q1549" s="169"/>
      <c r="R1549" s="169"/>
      <c r="S1549" s="169"/>
      <c r="T1549" s="169"/>
      <c r="U1549" s="169"/>
      <c r="V1549" s="169"/>
      <c r="W1549" s="169"/>
      <c r="X1549" s="169"/>
      <c r="Y1549" s="169"/>
      <c r="Z1549" s="178"/>
      <c r="AA1549" s="167"/>
      <c r="AB1549" s="169"/>
      <c r="AC1549" s="169"/>
      <c r="AD1549" s="169"/>
      <c r="AE1549" s="169"/>
      <c r="AF1549" s="169"/>
      <c r="AG1549" s="179"/>
      <c r="AH1549" s="169"/>
      <c r="AI1549" s="168"/>
      <c r="AJ1549" s="167"/>
      <c r="AK1549" s="168"/>
      <c r="AL1549" s="169"/>
      <c r="AM1549" s="509"/>
      <c r="AN1549" s="510"/>
      <c r="AO1549" s="510"/>
    </row>
    <row r="1550" spans="1:41">
      <c r="A1550" s="177"/>
      <c r="B1550" s="169"/>
      <c r="C1550" s="169"/>
      <c r="D1550" s="169"/>
      <c r="E1550" s="169"/>
      <c r="F1550" s="169"/>
      <c r="G1550" s="169"/>
      <c r="H1550" s="169"/>
      <c r="I1550" s="169"/>
      <c r="J1550" s="169"/>
      <c r="K1550" s="169"/>
      <c r="L1550" s="169"/>
      <c r="M1550" s="169"/>
      <c r="N1550" s="177"/>
      <c r="O1550" s="169"/>
      <c r="P1550" s="169"/>
      <c r="Q1550" s="169"/>
      <c r="R1550" s="169"/>
      <c r="S1550" s="169"/>
      <c r="T1550" s="169"/>
      <c r="U1550" s="169"/>
      <c r="V1550" s="169"/>
      <c r="W1550" s="169"/>
      <c r="X1550" s="169"/>
      <c r="Y1550" s="169"/>
      <c r="Z1550" s="178"/>
      <c r="AA1550" s="167"/>
      <c r="AB1550" s="169"/>
      <c r="AC1550" s="169"/>
      <c r="AD1550" s="169"/>
      <c r="AE1550" s="169"/>
      <c r="AF1550" s="169"/>
      <c r="AG1550" s="179"/>
      <c r="AH1550" s="169"/>
      <c r="AI1550" s="168"/>
      <c r="AJ1550" s="167"/>
      <c r="AK1550" s="168"/>
      <c r="AL1550" s="169"/>
      <c r="AM1550" s="509"/>
      <c r="AN1550" s="510"/>
      <c r="AO1550" s="510"/>
    </row>
    <row r="1551" spans="1:41">
      <c r="A1551" s="177"/>
      <c r="B1551" s="169"/>
      <c r="C1551" s="169"/>
      <c r="D1551" s="169"/>
      <c r="E1551" s="169"/>
      <c r="F1551" s="169"/>
      <c r="G1551" s="169"/>
      <c r="H1551" s="169"/>
      <c r="I1551" s="169"/>
      <c r="J1551" s="169"/>
      <c r="K1551" s="169"/>
      <c r="L1551" s="169"/>
      <c r="M1551" s="169"/>
      <c r="N1551" s="177"/>
      <c r="O1551" s="169"/>
      <c r="P1551" s="169"/>
      <c r="Q1551" s="169"/>
      <c r="R1551" s="169"/>
      <c r="S1551" s="169"/>
      <c r="T1551" s="169"/>
      <c r="U1551" s="169"/>
      <c r="V1551" s="169"/>
      <c r="W1551" s="169"/>
      <c r="X1551" s="169"/>
      <c r="Y1551" s="169"/>
      <c r="Z1551" s="178"/>
      <c r="AA1551" s="167"/>
      <c r="AB1551" s="169"/>
      <c r="AC1551" s="169"/>
      <c r="AD1551" s="169"/>
      <c r="AE1551" s="169"/>
      <c r="AF1551" s="169"/>
      <c r="AG1551" s="179"/>
      <c r="AH1551" s="169"/>
      <c r="AI1551" s="168"/>
      <c r="AJ1551" s="167"/>
      <c r="AK1551" s="168"/>
      <c r="AL1551" s="169"/>
      <c r="AM1551" s="509"/>
      <c r="AN1551" s="510"/>
      <c r="AO1551" s="510"/>
    </row>
    <row r="1552" spans="1:41">
      <c r="A1552" s="177"/>
      <c r="B1552" s="169"/>
      <c r="C1552" s="169"/>
      <c r="D1552" s="169"/>
      <c r="E1552" s="169"/>
      <c r="F1552" s="169"/>
      <c r="G1552" s="169"/>
      <c r="H1552" s="169"/>
      <c r="I1552" s="169"/>
      <c r="J1552" s="169"/>
      <c r="K1552" s="169"/>
      <c r="L1552" s="169"/>
      <c r="M1552" s="169"/>
      <c r="N1552" s="177"/>
      <c r="O1552" s="169"/>
      <c r="P1552" s="169"/>
      <c r="Q1552" s="169"/>
      <c r="R1552" s="169"/>
      <c r="S1552" s="169"/>
      <c r="T1552" s="169"/>
      <c r="U1552" s="169"/>
      <c r="V1552" s="169"/>
      <c r="W1552" s="169"/>
      <c r="X1552" s="169"/>
      <c r="Y1552" s="169"/>
      <c r="Z1552" s="178"/>
      <c r="AA1552" s="167"/>
      <c r="AB1552" s="169"/>
      <c r="AC1552" s="169"/>
      <c r="AD1552" s="169"/>
      <c r="AE1552" s="169"/>
      <c r="AF1552" s="169"/>
      <c r="AG1552" s="179"/>
      <c r="AH1552" s="169"/>
      <c r="AI1552" s="168"/>
      <c r="AJ1552" s="167"/>
      <c r="AK1552" s="168"/>
      <c r="AL1552" s="169"/>
      <c r="AM1552" s="509"/>
      <c r="AN1552" s="510"/>
      <c r="AO1552" s="510"/>
    </row>
    <row r="1553" spans="1:41">
      <c r="A1553" s="177"/>
      <c r="B1553" s="169"/>
      <c r="C1553" s="169"/>
      <c r="D1553" s="169"/>
      <c r="E1553" s="169"/>
      <c r="F1553" s="169"/>
      <c r="G1553" s="169"/>
      <c r="H1553" s="169"/>
      <c r="I1553" s="169"/>
      <c r="J1553" s="169"/>
      <c r="K1553" s="169"/>
      <c r="L1553" s="169"/>
      <c r="M1553" s="169"/>
      <c r="N1553" s="177"/>
      <c r="O1553" s="169"/>
      <c r="P1553" s="169"/>
      <c r="Q1553" s="169"/>
      <c r="R1553" s="169"/>
      <c r="S1553" s="169"/>
      <c r="T1553" s="169"/>
      <c r="U1553" s="169"/>
      <c r="V1553" s="169"/>
      <c r="W1553" s="169"/>
      <c r="X1553" s="169"/>
      <c r="Y1553" s="169"/>
      <c r="Z1553" s="178"/>
      <c r="AA1553" s="167"/>
      <c r="AB1553" s="169"/>
      <c r="AC1553" s="169"/>
      <c r="AD1553" s="169"/>
      <c r="AE1553" s="169"/>
      <c r="AF1553" s="169"/>
      <c r="AG1553" s="179"/>
      <c r="AH1553" s="169"/>
      <c r="AI1553" s="168"/>
      <c r="AJ1553" s="167"/>
      <c r="AK1553" s="168"/>
      <c r="AL1553" s="169"/>
      <c r="AM1553" s="509"/>
      <c r="AN1553" s="510"/>
      <c r="AO1553" s="510"/>
    </row>
    <row r="1554" spans="1:41">
      <c r="A1554" s="177"/>
      <c r="B1554" s="169"/>
      <c r="C1554" s="169"/>
      <c r="D1554" s="169"/>
      <c r="E1554" s="169"/>
      <c r="F1554" s="169"/>
      <c r="G1554" s="169"/>
      <c r="H1554" s="169"/>
      <c r="I1554" s="169"/>
      <c r="J1554" s="169"/>
      <c r="K1554" s="169"/>
      <c r="L1554" s="169"/>
      <c r="M1554" s="169"/>
      <c r="N1554" s="177"/>
      <c r="O1554" s="169"/>
      <c r="P1554" s="169"/>
      <c r="Q1554" s="169"/>
      <c r="R1554" s="169"/>
      <c r="S1554" s="169"/>
      <c r="T1554" s="169"/>
      <c r="U1554" s="169"/>
      <c r="V1554" s="169"/>
      <c r="W1554" s="169"/>
      <c r="X1554" s="169"/>
      <c r="Y1554" s="169"/>
      <c r="Z1554" s="178"/>
      <c r="AA1554" s="167"/>
      <c r="AB1554" s="169"/>
      <c r="AC1554" s="169"/>
      <c r="AD1554" s="169"/>
      <c r="AE1554" s="169"/>
      <c r="AF1554" s="169"/>
      <c r="AG1554" s="179"/>
      <c r="AH1554" s="169"/>
      <c r="AI1554" s="168"/>
      <c r="AJ1554" s="167"/>
      <c r="AK1554" s="168"/>
      <c r="AL1554" s="169"/>
      <c r="AM1554" s="509"/>
      <c r="AN1554" s="510"/>
      <c r="AO1554" s="510"/>
    </row>
    <row r="1555" spans="1:41">
      <c r="A1555" s="177"/>
      <c r="B1555" s="169"/>
      <c r="C1555" s="169"/>
      <c r="D1555" s="169"/>
      <c r="E1555" s="169"/>
      <c r="F1555" s="169"/>
      <c r="G1555" s="169"/>
      <c r="H1555" s="169"/>
      <c r="I1555" s="169"/>
      <c r="J1555" s="169"/>
      <c r="K1555" s="169"/>
      <c r="L1555" s="169"/>
      <c r="M1555" s="169"/>
      <c r="N1555" s="177"/>
      <c r="O1555" s="169"/>
      <c r="P1555" s="169"/>
      <c r="Q1555" s="169"/>
      <c r="R1555" s="169"/>
      <c r="S1555" s="169"/>
      <c r="T1555" s="169"/>
      <c r="U1555" s="169"/>
      <c r="V1555" s="169"/>
      <c r="W1555" s="169"/>
      <c r="X1555" s="169"/>
      <c r="Y1555" s="169"/>
      <c r="Z1555" s="178"/>
      <c r="AA1555" s="167"/>
      <c r="AB1555" s="169"/>
      <c r="AC1555" s="169"/>
      <c r="AD1555" s="169"/>
      <c r="AE1555" s="169"/>
      <c r="AF1555" s="169"/>
      <c r="AG1555" s="179"/>
      <c r="AH1555" s="169"/>
      <c r="AI1555" s="168"/>
      <c r="AJ1555" s="167"/>
      <c r="AK1555" s="168"/>
      <c r="AL1555" s="169"/>
      <c r="AM1555" s="509"/>
      <c r="AN1555" s="510"/>
      <c r="AO1555" s="510"/>
    </row>
    <row r="1556" spans="1:41">
      <c r="A1556" s="177"/>
      <c r="B1556" s="169"/>
      <c r="C1556" s="169"/>
      <c r="D1556" s="169"/>
      <c r="E1556" s="169"/>
      <c r="F1556" s="169"/>
      <c r="G1556" s="169"/>
      <c r="H1556" s="169"/>
      <c r="I1556" s="169"/>
      <c r="J1556" s="169"/>
      <c r="K1556" s="169"/>
      <c r="L1556" s="169"/>
      <c r="M1556" s="169"/>
      <c r="N1556" s="177"/>
      <c r="O1556" s="169"/>
      <c r="P1556" s="169"/>
      <c r="Q1556" s="169"/>
      <c r="R1556" s="169"/>
      <c r="S1556" s="169"/>
      <c r="T1556" s="169"/>
      <c r="U1556" s="169"/>
      <c r="V1556" s="169"/>
      <c r="W1556" s="169"/>
      <c r="X1556" s="169"/>
      <c r="Y1556" s="169"/>
      <c r="Z1556" s="178"/>
      <c r="AA1556" s="167"/>
      <c r="AB1556" s="169"/>
      <c r="AC1556" s="169"/>
      <c r="AD1556" s="169"/>
      <c r="AE1556" s="169"/>
      <c r="AF1556" s="169"/>
      <c r="AG1556" s="179"/>
      <c r="AH1556" s="169"/>
      <c r="AI1556" s="168"/>
      <c r="AJ1556" s="167"/>
      <c r="AK1556" s="168"/>
      <c r="AL1556" s="169"/>
      <c r="AM1556" s="509"/>
      <c r="AN1556" s="510"/>
      <c r="AO1556" s="510"/>
    </row>
    <row r="1557" spans="1:41">
      <c r="A1557" s="177"/>
      <c r="B1557" s="169"/>
      <c r="C1557" s="169"/>
      <c r="D1557" s="169"/>
      <c r="E1557" s="169"/>
      <c r="F1557" s="169"/>
      <c r="G1557" s="169"/>
      <c r="H1557" s="169"/>
      <c r="I1557" s="169"/>
      <c r="J1557" s="169"/>
      <c r="K1557" s="169"/>
      <c r="L1557" s="169"/>
      <c r="M1557" s="169"/>
      <c r="N1557" s="177"/>
      <c r="O1557" s="169"/>
      <c r="P1557" s="169"/>
      <c r="Q1557" s="169"/>
      <c r="R1557" s="169"/>
      <c r="S1557" s="169"/>
      <c r="T1557" s="169"/>
      <c r="U1557" s="169"/>
      <c r="V1557" s="169"/>
      <c r="W1557" s="169"/>
      <c r="X1557" s="169"/>
      <c r="Y1557" s="169"/>
      <c r="Z1557" s="178"/>
      <c r="AA1557" s="167"/>
      <c r="AB1557" s="169"/>
      <c r="AC1557" s="169"/>
      <c r="AD1557" s="169"/>
      <c r="AE1557" s="169"/>
      <c r="AF1557" s="169"/>
      <c r="AG1557" s="179"/>
      <c r="AH1557" s="169"/>
      <c r="AI1557" s="168"/>
      <c r="AJ1557" s="167"/>
      <c r="AK1557" s="168"/>
      <c r="AL1557" s="169"/>
      <c r="AM1557" s="509"/>
      <c r="AN1557" s="510"/>
      <c r="AO1557" s="510"/>
    </row>
    <row r="1558" spans="1:41">
      <c r="A1558" s="177"/>
      <c r="B1558" s="169"/>
      <c r="C1558" s="169"/>
      <c r="D1558" s="169"/>
      <c r="E1558" s="169"/>
      <c r="F1558" s="169"/>
      <c r="G1558" s="169"/>
      <c r="H1558" s="169"/>
      <c r="I1558" s="169"/>
      <c r="J1558" s="169"/>
      <c r="K1558" s="169"/>
      <c r="L1558" s="169"/>
      <c r="M1558" s="169"/>
      <c r="N1558" s="177"/>
      <c r="O1558" s="169"/>
      <c r="P1558" s="169"/>
      <c r="Q1558" s="169"/>
      <c r="R1558" s="169"/>
      <c r="S1558" s="169"/>
      <c r="T1558" s="169"/>
      <c r="U1558" s="169"/>
      <c r="V1558" s="169"/>
      <c r="W1558" s="169"/>
      <c r="X1558" s="169"/>
      <c r="Y1558" s="169"/>
      <c r="Z1558" s="178"/>
      <c r="AA1558" s="167"/>
      <c r="AB1558" s="169"/>
      <c r="AC1558" s="169"/>
      <c r="AD1558" s="169"/>
      <c r="AE1558" s="169"/>
      <c r="AF1558" s="169"/>
      <c r="AG1558" s="179"/>
      <c r="AH1558" s="169"/>
      <c r="AI1558" s="168"/>
      <c r="AJ1558" s="167"/>
      <c r="AK1558" s="168"/>
      <c r="AL1558" s="169"/>
      <c r="AM1558" s="509"/>
      <c r="AN1558" s="510"/>
      <c r="AO1558" s="510"/>
    </row>
    <row r="1559" spans="1:41">
      <c r="A1559" s="177"/>
      <c r="B1559" s="169"/>
      <c r="C1559" s="169"/>
      <c r="D1559" s="169"/>
      <c r="E1559" s="169"/>
      <c r="F1559" s="169"/>
      <c r="G1559" s="169"/>
      <c r="H1559" s="169"/>
      <c r="I1559" s="169"/>
      <c r="J1559" s="169"/>
      <c r="K1559" s="169"/>
      <c r="L1559" s="169"/>
      <c r="M1559" s="169"/>
      <c r="N1559" s="177"/>
      <c r="O1559" s="169"/>
      <c r="P1559" s="169"/>
      <c r="Q1559" s="169"/>
      <c r="R1559" s="169"/>
      <c r="S1559" s="169"/>
      <c r="T1559" s="169"/>
      <c r="U1559" s="169"/>
      <c r="V1559" s="169"/>
      <c r="W1559" s="169"/>
      <c r="X1559" s="169"/>
      <c r="Y1559" s="169"/>
      <c r="Z1559" s="178"/>
      <c r="AA1559" s="167"/>
      <c r="AB1559" s="169"/>
      <c r="AC1559" s="169"/>
      <c r="AD1559" s="169"/>
      <c r="AE1559" s="169"/>
      <c r="AF1559" s="169"/>
      <c r="AG1559" s="179"/>
      <c r="AH1559" s="169"/>
      <c r="AI1559" s="168"/>
      <c r="AJ1559" s="167"/>
      <c r="AK1559" s="168"/>
      <c r="AL1559" s="169"/>
      <c r="AM1559" s="509"/>
      <c r="AN1559" s="510"/>
      <c r="AO1559" s="510"/>
    </row>
    <row r="1560" spans="1:41">
      <c r="A1560" s="177"/>
      <c r="B1560" s="169"/>
      <c r="C1560" s="169"/>
      <c r="D1560" s="169"/>
      <c r="E1560" s="169"/>
      <c r="F1560" s="169"/>
      <c r="G1560" s="169"/>
      <c r="H1560" s="169"/>
      <c r="I1560" s="169"/>
      <c r="J1560" s="169"/>
      <c r="K1560" s="169"/>
      <c r="L1560" s="169"/>
      <c r="M1560" s="169"/>
      <c r="N1560" s="177"/>
      <c r="O1560" s="169"/>
      <c r="P1560" s="169"/>
      <c r="Q1560" s="169"/>
      <c r="R1560" s="169"/>
      <c r="S1560" s="169"/>
      <c r="T1560" s="169"/>
      <c r="U1560" s="169"/>
      <c r="V1560" s="169"/>
      <c r="W1560" s="169"/>
      <c r="X1560" s="169"/>
      <c r="Y1560" s="169"/>
      <c r="Z1560" s="178"/>
      <c r="AA1560" s="167"/>
      <c r="AB1560" s="169"/>
      <c r="AC1560" s="169"/>
      <c r="AD1560" s="169"/>
      <c r="AE1560" s="169"/>
      <c r="AF1560" s="169"/>
      <c r="AG1560" s="179"/>
      <c r="AH1560" s="169"/>
      <c r="AI1560" s="168"/>
      <c r="AJ1560" s="167"/>
      <c r="AK1560" s="168"/>
      <c r="AL1560" s="169"/>
      <c r="AM1560" s="509"/>
      <c r="AN1560" s="510"/>
      <c r="AO1560" s="510"/>
    </row>
    <row r="1561" spans="1:41">
      <c r="A1561" s="177"/>
      <c r="B1561" s="169"/>
      <c r="C1561" s="169"/>
      <c r="D1561" s="169"/>
      <c r="E1561" s="169"/>
      <c r="F1561" s="169"/>
      <c r="G1561" s="169"/>
      <c r="H1561" s="169"/>
      <c r="I1561" s="169"/>
      <c r="J1561" s="169"/>
      <c r="K1561" s="169"/>
      <c r="L1561" s="169"/>
      <c r="M1561" s="169"/>
      <c r="N1561" s="177"/>
      <c r="O1561" s="169"/>
      <c r="P1561" s="169"/>
      <c r="Q1561" s="169"/>
      <c r="R1561" s="169"/>
      <c r="S1561" s="169"/>
      <c r="T1561" s="169"/>
      <c r="U1561" s="169"/>
      <c r="V1561" s="169"/>
      <c r="W1561" s="169"/>
      <c r="X1561" s="169"/>
      <c r="Y1561" s="169"/>
      <c r="Z1561" s="178"/>
      <c r="AA1561" s="167"/>
      <c r="AB1561" s="169"/>
      <c r="AC1561" s="169"/>
      <c r="AD1561" s="169"/>
      <c r="AE1561" s="169"/>
      <c r="AF1561" s="169"/>
      <c r="AG1561" s="179"/>
      <c r="AH1561" s="169"/>
      <c r="AI1561" s="168"/>
      <c r="AJ1561" s="167"/>
      <c r="AK1561" s="168"/>
      <c r="AL1561" s="169"/>
      <c r="AM1561" s="509"/>
      <c r="AN1561" s="510"/>
      <c r="AO1561" s="510"/>
    </row>
    <row r="1562" spans="1:41">
      <c r="A1562" s="177"/>
      <c r="B1562" s="169"/>
      <c r="C1562" s="169"/>
      <c r="D1562" s="169"/>
      <c r="E1562" s="169"/>
      <c r="F1562" s="169"/>
      <c r="G1562" s="169"/>
      <c r="H1562" s="169"/>
      <c r="I1562" s="169"/>
      <c r="J1562" s="169"/>
      <c r="K1562" s="169"/>
      <c r="L1562" s="169"/>
      <c r="M1562" s="169"/>
      <c r="N1562" s="177"/>
      <c r="O1562" s="169"/>
      <c r="P1562" s="169"/>
      <c r="Q1562" s="169"/>
      <c r="R1562" s="169"/>
      <c r="S1562" s="169"/>
      <c r="T1562" s="169"/>
      <c r="U1562" s="169"/>
      <c r="V1562" s="169"/>
      <c r="W1562" s="169"/>
      <c r="X1562" s="169"/>
      <c r="Y1562" s="169"/>
      <c r="Z1562" s="178"/>
      <c r="AA1562" s="167"/>
      <c r="AB1562" s="169"/>
      <c r="AC1562" s="169"/>
      <c r="AD1562" s="169"/>
      <c r="AE1562" s="169"/>
      <c r="AF1562" s="169"/>
      <c r="AG1562" s="179"/>
      <c r="AH1562" s="169"/>
      <c r="AI1562" s="168"/>
      <c r="AJ1562" s="167"/>
      <c r="AK1562" s="168"/>
      <c r="AL1562" s="169"/>
      <c r="AM1562" s="509"/>
      <c r="AN1562" s="510"/>
      <c r="AO1562" s="510"/>
    </row>
    <row r="1563" spans="1:41">
      <c r="A1563" s="177"/>
      <c r="B1563" s="169"/>
      <c r="C1563" s="169"/>
      <c r="D1563" s="169"/>
      <c r="E1563" s="169"/>
      <c r="F1563" s="169"/>
      <c r="G1563" s="169"/>
      <c r="H1563" s="169"/>
      <c r="I1563" s="169"/>
      <c r="J1563" s="169"/>
      <c r="K1563" s="169"/>
      <c r="L1563" s="169"/>
      <c r="M1563" s="169"/>
      <c r="N1563" s="177"/>
      <c r="O1563" s="169"/>
      <c r="P1563" s="169"/>
      <c r="Q1563" s="169"/>
      <c r="R1563" s="169"/>
      <c r="S1563" s="169"/>
      <c r="T1563" s="169"/>
      <c r="U1563" s="169"/>
      <c r="V1563" s="169"/>
      <c r="W1563" s="169"/>
      <c r="X1563" s="169"/>
      <c r="Y1563" s="169"/>
      <c r="Z1563" s="178"/>
      <c r="AA1563" s="167"/>
      <c r="AB1563" s="169"/>
      <c r="AC1563" s="169"/>
      <c r="AD1563" s="169"/>
      <c r="AE1563" s="169"/>
      <c r="AF1563" s="169"/>
      <c r="AG1563" s="179"/>
      <c r="AH1563" s="169"/>
      <c r="AI1563" s="168"/>
      <c r="AJ1563" s="167"/>
      <c r="AK1563" s="168"/>
      <c r="AL1563" s="169"/>
      <c r="AM1563" s="509"/>
      <c r="AN1563" s="510"/>
      <c r="AO1563" s="510"/>
    </row>
    <row r="1564" spans="1:41">
      <c r="A1564" s="177"/>
      <c r="B1564" s="169"/>
      <c r="C1564" s="169"/>
      <c r="D1564" s="169"/>
      <c r="E1564" s="169"/>
      <c r="F1564" s="169"/>
      <c r="G1564" s="169"/>
      <c r="H1564" s="169"/>
      <c r="I1564" s="169"/>
      <c r="J1564" s="169"/>
      <c r="K1564" s="169"/>
      <c r="L1564" s="169"/>
      <c r="M1564" s="169"/>
      <c r="N1564" s="177"/>
      <c r="O1564" s="169"/>
      <c r="P1564" s="169"/>
      <c r="Q1564" s="169"/>
      <c r="R1564" s="169"/>
      <c r="S1564" s="169"/>
      <c r="T1564" s="169"/>
      <c r="U1564" s="169"/>
      <c r="V1564" s="169"/>
      <c r="W1564" s="169"/>
      <c r="X1564" s="169"/>
      <c r="Y1564" s="169"/>
      <c r="Z1564" s="178"/>
      <c r="AA1564" s="167"/>
      <c r="AB1564" s="169"/>
      <c r="AC1564" s="169"/>
      <c r="AD1564" s="169"/>
      <c r="AE1564" s="169"/>
      <c r="AF1564" s="169"/>
      <c r="AG1564" s="179"/>
      <c r="AH1564" s="169"/>
      <c r="AI1564" s="168"/>
      <c r="AJ1564" s="167"/>
      <c r="AK1564" s="168"/>
      <c r="AL1564" s="169"/>
      <c r="AM1564" s="509"/>
      <c r="AN1564" s="510"/>
      <c r="AO1564" s="510"/>
    </row>
    <row r="1565" spans="1:41">
      <c r="A1565" s="177"/>
      <c r="B1565" s="169"/>
      <c r="C1565" s="169"/>
      <c r="D1565" s="169"/>
      <c r="E1565" s="169"/>
      <c r="F1565" s="169"/>
      <c r="G1565" s="169"/>
      <c r="H1565" s="169"/>
      <c r="I1565" s="169"/>
      <c r="J1565" s="169"/>
      <c r="K1565" s="169"/>
      <c r="L1565" s="169"/>
      <c r="M1565" s="169"/>
      <c r="N1565" s="177"/>
      <c r="O1565" s="169"/>
      <c r="P1565" s="169"/>
      <c r="Q1565" s="169"/>
      <c r="R1565" s="169"/>
      <c r="S1565" s="169"/>
      <c r="T1565" s="169"/>
      <c r="U1565" s="169"/>
      <c r="V1565" s="169"/>
      <c r="W1565" s="169"/>
      <c r="X1565" s="169"/>
      <c r="Y1565" s="169"/>
      <c r="Z1565" s="178"/>
      <c r="AA1565" s="167"/>
      <c r="AB1565" s="169"/>
      <c r="AC1565" s="169"/>
      <c r="AD1565" s="169"/>
      <c r="AE1565" s="169"/>
      <c r="AF1565" s="169"/>
      <c r="AG1565" s="179"/>
      <c r="AH1565" s="169"/>
      <c r="AI1565" s="168"/>
      <c r="AJ1565" s="167"/>
      <c r="AK1565" s="168"/>
      <c r="AL1565" s="169"/>
      <c r="AM1565" s="509"/>
      <c r="AN1565" s="510"/>
      <c r="AO1565" s="510"/>
    </row>
    <row r="1566" spans="1:41">
      <c r="A1566" s="177"/>
      <c r="B1566" s="169"/>
      <c r="C1566" s="169"/>
      <c r="D1566" s="169"/>
      <c r="E1566" s="169"/>
      <c r="F1566" s="169"/>
      <c r="G1566" s="169"/>
      <c r="H1566" s="169"/>
      <c r="I1566" s="169"/>
      <c r="J1566" s="169"/>
      <c r="K1566" s="169"/>
      <c r="L1566" s="169"/>
      <c r="M1566" s="169"/>
      <c r="N1566" s="177"/>
      <c r="O1566" s="169"/>
      <c r="P1566" s="169"/>
      <c r="Q1566" s="169"/>
      <c r="R1566" s="169"/>
      <c r="S1566" s="169"/>
      <c r="T1566" s="169"/>
      <c r="U1566" s="169"/>
      <c r="V1566" s="169"/>
      <c r="W1566" s="169"/>
      <c r="X1566" s="169"/>
      <c r="Y1566" s="169"/>
      <c r="Z1566" s="178"/>
      <c r="AA1566" s="167"/>
      <c r="AB1566" s="169"/>
      <c r="AC1566" s="169"/>
      <c r="AD1566" s="169"/>
      <c r="AE1566" s="169"/>
      <c r="AF1566" s="169"/>
      <c r="AG1566" s="179"/>
      <c r="AH1566" s="169"/>
      <c r="AI1566" s="168"/>
      <c r="AJ1566" s="167"/>
      <c r="AK1566" s="168"/>
      <c r="AL1566" s="169"/>
      <c r="AM1566" s="509"/>
      <c r="AN1566" s="510"/>
      <c r="AO1566" s="510"/>
    </row>
    <row r="1567" spans="1:41">
      <c r="A1567" s="177"/>
      <c r="B1567" s="169"/>
      <c r="C1567" s="169"/>
      <c r="D1567" s="169"/>
      <c r="E1567" s="169"/>
      <c r="F1567" s="169"/>
      <c r="G1567" s="169"/>
      <c r="H1567" s="169"/>
      <c r="I1567" s="169"/>
      <c r="J1567" s="169"/>
      <c r="K1567" s="169"/>
      <c r="L1567" s="169"/>
      <c r="M1567" s="169"/>
      <c r="N1567" s="177"/>
      <c r="O1567" s="169"/>
      <c r="P1567" s="169"/>
      <c r="Q1567" s="169"/>
      <c r="R1567" s="169"/>
      <c r="S1567" s="169"/>
      <c r="T1567" s="169"/>
      <c r="U1567" s="169"/>
      <c r="V1567" s="169"/>
      <c r="W1567" s="169"/>
      <c r="X1567" s="169"/>
      <c r="Y1567" s="169"/>
      <c r="Z1567" s="178"/>
      <c r="AA1567" s="167"/>
      <c r="AB1567" s="169"/>
      <c r="AC1567" s="169"/>
      <c r="AD1567" s="169"/>
      <c r="AE1567" s="169"/>
      <c r="AF1567" s="169"/>
      <c r="AG1567" s="179"/>
      <c r="AH1567" s="169"/>
      <c r="AI1567" s="168"/>
      <c r="AJ1567" s="167"/>
      <c r="AK1567" s="168"/>
      <c r="AL1567" s="169"/>
      <c r="AM1567" s="509"/>
      <c r="AN1567" s="510"/>
      <c r="AO1567" s="510"/>
    </row>
    <row r="1568" spans="1:41">
      <c r="A1568" s="177"/>
      <c r="B1568" s="169"/>
      <c r="C1568" s="169"/>
      <c r="D1568" s="169"/>
      <c r="E1568" s="169"/>
      <c r="F1568" s="169"/>
      <c r="G1568" s="169"/>
      <c r="H1568" s="169"/>
      <c r="I1568" s="169"/>
      <c r="J1568" s="169"/>
      <c r="K1568" s="169"/>
      <c r="L1568" s="169"/>
      <c r="M1568" s="169"/>
      <c r="N1568" s="177"/>
      <c r="O1568" s="169"/>
      <c r="P1568" s="169"/>
      <c r="Q1568" s="169"/>
      <c r="R1568" s="169"/>
      <c r="S1568" s="169"/>
      <c r="T1568" s="169"/>
      <c r="U1568" s="169"/>
      <c r="V1568" s="169"/>
      <c r="W1568" s="169"/>
      <c r="X1568" s="169"/>
      <c r="Y1568" s="169"/>
      <c r="Z1568" s="178"/>
      <c r="AA1568" s="167"/>
      <c r="AB1568" s="169"/>
      <c r="AC1568" s="169"/>
      <c r="AD1568" s="169"/>
      <c r="AE1568" s="169"/>
      <c r="AF1568" s="169"/>
      <c r="AG1568" s="179"/>
      <c r="AH1568" s="169"/>
      <c r="AI1568" s="168"/>
      <c r="AJ1568" s="167"/>
      <c r="AK1568" s="168"/>
      <c r="AL1568" s="169"/>
      <c r="AM1568" s="509"/>
      <c r="AN1568" s="510"/>
      <c r="AO1568" s="510"/>
    </row>
    <row r="1569" spans="1:41">
      <c r="A1569" s="177"/>
      <c r="B1569" s="169"/>
      <c r="C1569" s="169"/>
      <c r="D1569" s="169"/>
      <c r="E1569" s="169"/>
      <c r="F1569" s="169"/>
      <c r="G1569" s="169"/>
      <c r="H1569" s="169"/>
      <c r="I1569" s="169"/>
      <c r="J1569" s="169"/>
      <c r="K1569" s="169"/>
      <c r="L1569" s="169"/>
      <c r="M1569" s="169"/>
      <c r="N1569" s="177"/>
      <c r="O1569" s="169"/>
      <c r="P1569" s="169"/>
      <c r="Q1569" s="169"/>
      <c r="R1569" s="169"/>
      <c r="S1569" s="169"/>
      <c r="T1569" s="169"/>
      <c r="U1569" s="169"/>
      <c r="V1569" s="169"/>
      <c r="W1569" s="169"/>
      <c r="X1569" s="169"/>
      <c r="Y1569" s="169"/>
      <c r="Z1569" s="178"/>
      <c r="AA1569" s="167"/>
      <c r="AB1569" s="169"/>
      <c r="AC1569" s="169"/>
      <c r="AD1569" s="169"/>
      <c r="AE1569" s="169"/>
      <c r="AF1569" s="169"/>
      <c r="AG1569" s="179"/>
      <c r="AH1569" s="169"/>
      <c r="AI1569" s="168"/>
      <c r="AJ1569" s="167"/>
      <c r="AK1569" s="168"/>
      <c r="AL1569" s="169"/>
      <c r="AM1569" s="509"/>
      <c r="AN1569" s="510"/>
      <c r="AO1569" s="510"/>
    </row>
    <row r="1570" spans="1:41">
      <c r="A1570" s="177"/>
      <c r="B1570" s="169"/>
      <c r="C1570" s="169"/>
      <c r="D1570" s="169"/>
      <c r="E1570" s="169"/>
      <c r="F1570" s="169"/>
      <c r="G1570" s="169"/>
      <c r="H1570" s="169"/>
      <c r="I1570" s="169"/>
      <c r="J1570" s="169"/>
      <c r="K1570" s="169"/>
      <c r="L1570" s="169"/>
      <c r="M1570" s="169"/>
      <c r="N1570" s="177"/>
      <c r="O1570" s="169"/>
      <c r="P1570" s="169"/>
      <c r="Q1570" s="169"/>
      <c r="R1570" s="169"/>
      <c r="S1570" s="169"/>
      <c r="T1570" s="169"/>
      <c r="U1570" s="169"/>
      <c r="V1570" s="169"/>
      <c r="W1570" s="169"/>
      <c r="X1570" s="169"/>
      <c r="Y1570" s="169"/>
      <c r="Z1570" s="178"/>
      <c r="AA1570" s="167"/>
      <c r="AB1570" s="169"/>
      <c r="AC1570" s="169"/>
      <c r="AD1570" s="169"/>
      <c r="AE1570" s="169"/>
      <c r="AF1570" s="169"/>
      <c r="AG1570" s="179"/>
      <c r="AH1570" s="169"/>
      <c r="AI1570" s="168"/>
      <c r="AJ1570" s="167"/>
      <c r="AK1570" s="168"/>
      <c r="AL1570" s="169"/>
      <c r="AM1570" s="509"/>
      <c r="AN1570" s="510"/>
      <c r="AO1570" s="510"/>
    </row>
    <row r="1571" spans="1:41">
      <c r="A1571" s="177"/>
      <c r="B1571" s="169"/>
      <c r="C1571" s="169"/>
      <c r="D1571" s="169"/>
      <c r="E1571" s="169"/>
      <c r="F1571" s="169"/>
      <c r="G1571" s="169"/>
      <c r="H1571" s="169"/>
      <c r="I1571" s="169"/>
      <c r="J1571" s="169"/>
      <c r="K1571" s="169"/>
      <c r="L1571" s="169"/>
      <c r="M1571" s="169"/>
      <c r="N1571" s="177"/>
      <c r="O1571" s="169"/>
      <c r="P1571" s="169"/>
      <c r="Q1571" s="169"/>
      <c r="R1571" s="169"/>
      <c r="S1571" s="169"/>
      <c r="T1571" s="169"/>
      <c r="U1571" s="169"/>
      <c r="V1571" s="169"/>
      <c r="W1571" s="169"/>
      <c r="X1571" s="169"/>
      <c r="Y1571" s="169"/>
      <c r="Z1571" s="178"/>
      <c r="AA1571" s="167"/>
      <c r="AB1571" s="169"/>
      <c r="AC1571" s="169"/>
      <c r="AD1571" s="169"/>
      <c r="AE1571" s="169"/>
      <c r="AF1571" s="169"/>
      <c r="AG1571" s="179"/>
      <c r="AH1571" s="169"/>
      <c r="AI1571" s="168"/>
      <c r="AJ1571" s="167"/>
      <c r="AK1571" s="168"/>
      <c r="AL1571" s="169"/>
      <c r="AM1571" s="509"/>
      <c r="AN1571" s="510"/>
      <c r="AO1571" s="510"/>
    </row>
    <row r="1572" spans="1:41">
      <c r="A1572" s="177"/>
      <c r="B1572" s="169"/>
      <c r="C1572" s="169"/>
      <c r="D1572" s="169"/>
      <c r="E1572" s="169"/>
      <c r="F1572" s="169"/>
      <c r="G1572" s="169"/>
      <c r="H1572" s="169"/>
      <c r="I1572" s="169"/>
      <c r="J1572" s="169"/>
      <c r="K1572" s="169"/>
      <c r="L1572" s="169"/>
      <c r="M1572" s="169"/>
      <c r="N1572" s="177"/>
      <c r="O1572" s="169"/>
      <c r="P1572" s="169"/>
      <c r="Q1572" s="169"/>
      <c r="R1572" s="169"/>
      <c r="S1572" s="169"/>
      <c r="T1572" s="169"/>
      <c r="U1572" s="169"/>
      <c r="V1572" s="169"/>
      <c r="W1572" s="169"/>
      <c r="X1572" s="169"/>
      <c r="Y1572" s="169"/>
      <c r="Z1572" s="178"/>
      <c r="AA1572" s="167"/>
      <c r="AB1572" s="169"/>
      <c r="AC1572" s="169"/>
      <c r="AD1572" s="169"/>
      <c r="AE1572" s="169"/>
      <c r="AF1572" s="169"/>
      <c r="AG1572" s="179"/>
      <c r="AH1572" s="169"/>
      <c r="AI1572" s="168"/>
      <c r="AJ1572" s="167"/>
      <c r="AK1572" s="168"/>
      <c r="AL1572" s="169"/>
      <c r="AM1572" s="509"/>
      <c r="AN1572" s="510"/>
      <c r="AO1572" s="510"/>
    </row>
    <row r="1573" spans="1:41">
      <c r="A1573" s="177"/>
      <c r="B1573" s="169"/>
      <c r="C1573" s="169"/>
      <c r="D1573" s="169"/>
      <c r="E1573" s="169"/>
      <c r="F1573" s="169"/>
      <c r="G1573" s="169"/>
      <c r="H1573" s="169"/>
      <c r="I1573" s="169"/>
      <c r="J1573" s="169"/>
      <c r="K1573" s="169"/>
      <c r="L1573" s="169"/>
      <c r="M1573" s="169"/>
      <c r="N1573" s="177"/>
      <c r="O1573" s="169"/>
      <c r="P1573" s="169"/>
      <c r="Q1573" s="169"/>
      <c r="R1573" s="169"/>
      <c r="S1573" s="169"/>
      <c r="T1573" s="169"/>
      <c r="U1573" s="169"/>
      <c r="V1573" s="169"/>
      <c r="W1573" s="169"/>
      <c r="X1573" s="169"/>
      <c r="Y1573" s="169"/>
      <c r="Z1573" s="178"/>
      <c r="AA1573" s="167"/>
      <c r="AB1573" s="169"/>
      <c r="AC1573" s="169"/>
      <c r="AD1573" s="169"/>
      <c r="AE1573" s="169"/>
      <c r="AF1573" s="169"/>
      <c r="AG1573" s="179"/>
      <c r="AH1573" s="169"/>
      <c r="AI1573" s="168"/>
      <c r="AJ1573" s="167"/>
      <c r="AK1573" s="168"/>
      <c r="AL1573" s="169"/>
      <c r="AM1573" s="509"/>
      <c r="AN1573" s="510"/>
      <c r="AO1573" s="510"/>
    </row>
    <row r="1574" spans="1:41">
      <c r="A1574" s="177"/>
      <c r="B1574" s="169"/>
      <c r="C1574" s="169"/>
      <c r="D1574" s="169"/>
      <c r="E1574" s="169"/>
      <c r="F1574" s="169"/>
      <c r="G1574" s="169"/>
      <c r="H1574" s="169"/>
      <c r="I1574" s="169"/>
      <c r="J1574" s="169"/>
      <c r="K1574" s="169"/>
      <c r="L1574" s="169"/>
      <c r="M1574" s="169"/>
      <c r="N1574" s="177"/>
      <c r="O1574" s="169"/>
      <c r="P1574" s="169"/>
      <c r="Q1574" s="169"/>
      <c r="R1574" s="169"/>
      <c r="S1574" s="169"/>
      <c r="T1574" s="169"/>
      <c r="U1574" s="169"/>
      <c r="V1574" s="169"/>
      <c r="W1574" s="169"/>
      <c r="X1574" s="169"/>
      <c r="Y1574" s="169"/>
      <c r="Z1574" s="178"/>
      <c r="AA1574" s="167"/>
      <c r="AB1574" s="169"/>
      <c r="AC1574" s="169"/>
      <c r="AD1574" s="169"/>
      <c r="AE1574" s="169"/>
      <c r="AF1574" s="169"/>
      <c r="AG1574" s="179"/>
      <c r="AH1574" s="169"/>
      <c r="AI1574" s="168"/>
      <c r="AJ1574" s="167"/>
      <c r="AK1574" s="168"/>
      <c r="AL1574" s="169"/>
      <c r="AM1574" s="509"/>
      <c r="AN1574" s="510"/>
      <c r="AO1574" s="510"/>
    </row>
    <row r="1575" spans="1:41">
      <c r="A1575" s="177"/>
      <c r="B1575" s="169"/>
      <c r="C1575" s="169"/>
      <c r="D1575" s="169"/>
      <c r="E1575" s="169"/>
      <c r="F1575" s="169"/>
      <c r="G1575" s="169"/>
      <c r="H1575" s="169"/>
      <c r="I1575" s="169"/>
      <c r="J1575" s="169"/>
      <c r="K1575" s="169"/>
      <c r="L1575" s="169"/>
      <c r="M1575" s="169"/>
      <c r="N1575" s="177"/>
      <c r="O1575" s="169"/>
      <c r="P1575" s="169"/>
      <c r="Q1575" s="169"/>
      <c r="R1575" s="169"/>
      <c r="S1575" s="169"/>
      <c r="T1575" s="169"/>
      <c r="U1575" s="169"/>
      <c r="V1575" s="169"/>
      <c r="W1575" s="169"/>
      <c r="X1575" s="169"/>
      <c r="Y1575" s="169"/>
      <c r="Z1575" s="178"/>
      <c r="AA1575" s="167"/>
      <c r="AB1575" s="169"/>
      <c r="AC1575" s="169"/>
      <c r="AD1575" s="169"/>
      <c r="AE1575" s="169"/>
      <c r="AF1575" s="169"/>
      <c r="AG1575" s="179"/>
      <c r="AH1575" s="169"/>
      <c r="AI1575" s="168"/>
      <c r="AJ1575" s="167"/>
      <c r="AK1575" s="168"/>
      <c r="AL1575" s="169"/>
      <c r="AM1575" s="509"/>
      <c r="AN1575" s="510"/>
      <c r="AO1575" s="510"/>
    </row>
    <row r="1576" spans="1:41">
      <c r="A1576" s="177"/>
      <c r="B1576" s="169"/>
      <c r="C1576" s="169"/>
      <c r="D1576" s="169"/>
      <c r="E1576" s="169"/>
      <c r="F1576" s="169"/>
      <c r="G1576" s="169"/>
      <c r="H1576" s="169"/>
      <c r="I1576" s="169"/>
      <c r="J1576" s="169"/>
      <c r="K1576" s="169"/>
      <c r="L1576" s="169"/>
      <c r="M1576" s="169"/>
      <c r="N1576" s="177"/>
      <c r="O1576" s="169"/>
      <c r="P1576" s="169"/>
      <c r="Q1576" s="169"/>
      <c r="R1576" s="169"/>
      <c r="S1576" s="169"/>
      <c r="T1576" s="169"/>
      <c r="U1576" s="169"/>
      <c r="V1576" s="169"/>
      <c r="W1576" s="169"/>
      <c r="X1576" s="169"/>
      <c r="Y1576" s="169"/>
      <c r="Z1576" s="178"/>
      <c r="AA1576" s="167"/>
      <c r="AB1576" s="169"/>
      <c r="AC1576" s="169"/>
      <c r="AD1576" s="169"/>
      <c r="AE1576" s="169"/>
      <c r="AF1576" s="169"/>
      <c r="AG1576" s="179"/>
      <c r="AH1576" s="169"/>
      <c r="AI1576" s="168"/>
      <c r="AJ1576" s="167"/>
      <c r="AK1576" s="168"/>
      <c r="AL1576" s="169"/>
      <c r="AM1576" s="509"/>
      <c r="AN1576" s="510"/>
      <c r="AO1576" s="510"/>
    </row>
    <row r="1577" spans="1:41">
      <c r="A1577" s="177"/>
      <c r="B1577" s="169"/>
      <c r="C1577" s="169"/>
      <c r="D1577" s="169"/>
      <c r="E1577" s="169"/>
      <c r="F1577" s="169"/>
      <c r="G1577" s="169"/>
      <c r="H1577" s="169"/>
      <c r="I1577" s="169"/>
      <c r="J1577" s="169"/>
      <c r="K1577" s="169"/>
      <c r="L1577" s="169"/>
      <c r="M1577" s="169"/>
      <c r="N1577" s="177"/>
      <c r="O1577" s="169"/>
      <c r="P1577" s="169"/>
      <c r="Q1577" s="169"/>
      <c r="R1577" s="169"/>
      <c r="S1577" s="169"/>
      <c r="T1577" s="169"/>
      <c r="U1577" s="169"/>
      <c r="V1577" s="169"/>
      <c r="W1577" s="169"/>
      <c r="X1577" s="169"/>
      <c r="Y1577" s="169"/>
      <c r="Z1577" s="178"/>
      <c r="AA1577" s="167"/>
      <c r="AB1577" s="169"/>
      <c r="AC1577" s="169"/>
      <c r="AD1577" s="169"/>
      <c r="AE1577" s="169"/>
      <c r="AF1577" s="169"/>
      <c r="AG1577" s="179"/>
      <c r="AH1577" s="169"/>
      <c r="AI1577" s="168"/>
      <c r="AJ1577" s="167"/>
      <c r="AK1577" s="168"/>
      <c r="AL1577" s="169"/>
      <c r="AM1577" s="509"/>
      <c r="AN1577" s="510"/>
      <c r="AO1577" s="510"/>
    </row>
    <row r="1578" spans="1:41">
      <c r="A1578" s="177"/>
      <c r="B1578" s="169"/>
      <c r="C1578" s="169"/>
      <c r="D1578" s="169"/>
      <c r="E1578" s="169"/>
      <c r="F1578" s="169"/>
      <c r="G1578" s="169"/>
      <c r="H1578" s="169"/>
      <c r="I1578" s="169"/>
      <c r="J1578" s="169"/>
      <c r="K1578" s="169"/>
      <c r="L1578" s="169"/>
      <c r="M1578" s="169"/>
      <c r="N1578" s="177"/>
      <c r="O1578" s="169"/>
      <c r="P1578" s="169"/>
      <c r="Q1578" s="169"/>
      <c r="R1578" s="169"/>
      <c r="S1578" s="169"/>
      <c r="T1578" s="169"/>
      <c r="U1578" s="169"/>
      <c r="V1578" s="169"/>
      <c r="W1578" s="169"/>
      <c r="X1578" s="169"/>
      <c r="Y1578" s="169"/>
      <c r="Z1578" s="178"/>
      <c r="AA1578" s="167"/>
      <c r="AB1578" s="169"/>
      <c r="AC1578" s="169"/>
      <c r="AD1578" s="169"/>
      <c r="AE1578" s="169"/>
      <c r="AF1578" s="169"/>
      <c r="AG1578" s="179"/>
      <c r="AH1578" s="169"/>
      <c r="AI1578" s="168"/>
      <c r="AJ1578" s="167"/>
      <c r="AK1578" s="168"/>
      <c r="AL1578" s="169"/>
      <c r="AM1578" s="509"/>
      <c r="AN1578" s="510"/>
      <c r="AO1578" s="510"/>
    </row>
    <row r="1579" spans="1:41">
      <c r="A1579" s="177"/>
      <c r="B1579" s="169"/>
      <c r="C1579" s="169"/>
      <c r="D1579" s="169"/>
      <c r="E1579" s="169"/>
      <c r="F1579" s="169"/>
      <c r="G1579" s="169"/>
      <c r="H1579" s="169"/>
      <c r="I1579" s="169"/>
      <c r="J1579" s="169"/>
      <c r="K1579" s="169"/>
      <c r="L1579" s="169"/>
      <c r="M1579" s="169"/>
      <c r="N1579" s="177"/>
      <c r="O1579" s="169"/>
      <c r="P1579" s="169"/>
      <c r="Q1579" s="169"/>
      <c r="R1579" s="169"/>
      <c r="S1579" s="169"/>
      <c r="T1579" s="169"/>
      <c r="U1579" s="169"/>
      <c r="V1579" s="169"/>
      <c r="W1579" s="169"/>
      <c r="X1579" s="169"/>
      <c r="Y1579" s="169"/>
      <c r="Z1579" s="178"/>
      <c r="AA1579" s="167"/>
      <c r="AB1579" s="169"/>
      <c r="AC1579" s="169"/>
      <c r="AD1579" s="169"/>
      <c r="AE1579" s="169"/>
      <c r="AF1579" s="169"/>
      <c r="AG1579" s="179"/>
      <c r="AH1579" s="169"/>
      <c r="AI1579" s="168"/>
      <c r="AJ1579" s="167"/>
      <c r="AK1579" s="168"/>
      <c r="AL1579" s="169"/>
      <c r="AM1579" s="509"/>
      <c r="AN1579" s="510"/>
      <c r="AO1579" s="510"/>
    </row>
    <row r="1580" spans="1:41">
      <c r="A1580" s="177"/>
      <c r="B1580" s="169"/>
      <c r="C1580" s="169"/>
      <c r="D1580" s="169"/>
      <c r="E1580" s="169"/>
      <c r="F1580" s="169"/>
      <c r="G1580" s="169"/>
      <c r="H1580" s="169"/>
      <c r="I1580" s="169"/>
      <c r="J1580" s="169"/>
      <c r="K1580" s="169"/>
      <c r="L1580" s="169"/>
      <c r="M1580" s="169"/>
      <c r="N1580" s="177"/>
      <c r="O1580" s="169"/>
      <c r="P1580" s="169"/>
      <c r="Q1580" s="169"/>
      <c r="R1580" s="169"/>
      <c r="S1580" s="169"/>
      <c r="T1580" s="169"/>
      <c r="U1580" s="169"/>
      <c r="V1580" s="169"/>
      <c r="W1580" s="169"/>
      <c r="X1580" s="169"/>
      <c r="Y1580" s="169"/>
      <c r="Z1580" s="178"/>
      <c r="AA1580" s="167"/>
      <c r="AB1580" s="169"/>
      <c r="AC1580" s="169"/>
      <c r="AD1580" s="169"/>
      <c r="AE1580" s="169"/>
      <c r="AF1580" s="169"/>
      <c r="AG1580" s="179"/>
      <c r="AH1580" s="169"/>
      <c r="AI1580" s="168"/>
      <c r="AJ1580" s="167"/>
      <c r="AK1580" s="168"/>
      <c r="AL1580" s="169"/>
      <c r="AM1580" s="509"/>
      <c r="AN1580" s="510"/>
      <c r="AO1580" s="510"/>
    </row>
    <row r="1581" spans="1:41">
      <c r="A1581" s="177"/>
      <c r="B1581" s="169"/>
      <c r="C1581" s="169"/>
      <c r="D1581" s="169"/>
      <c r="E1581" s="169"/>
      <c r="F1581" s="169"/>
      <c r="G1581" s="169"/>
      <c r="H1581" s="169"/>
      <c r="I1581" s="169"/>
      <c r="J1581" s="169"/>
      <c r="K1581" s="169"/>
      <c r="L1581" s="169"/>
      <c r="M1581" s="169"/>
      <c r="N1581" s="177"/>
      <c r="O1581" s="169"/>
      <c r="P1581" s="169"/>
      <c r="Q1581" s="169"/>
      <c r="R1581" s="169"/>
      <c r="S1581" s="169"/>
      <c r="T1581" s="169"/>
      <c r="U1581" s="169"/>
      <c r="V1581" s="169"/>
      <c r="W1581" s="169"/>
      <c r="X1581" s="169"/>
      <c r="Y1581" s="169"/>
      <c r="Z1581" s="178"/>
      <c r="AA1581" s="167"/>
      <c r="AB1581" s="169"/>
      <c r="AC1581" s="169"/>
      <c r="AD1581" s="169"/>
      <c r="AE1581" s="169"/>
      <c r="AF1581" s="169"/>
      <c r="AG1581" s="179"/>
      <c r="AH1581" s="169"/>
      <c r="AI1581" s="168"/>
      <c r="AJ1581" s="167"/>
      <c r="AK1581" s="168"/>
      <c r="AL1581" s="169"/>
      <c r="AM1581" s="509"/>
      <c r="AN1581" s="510"/>
      <c r="AO1581" s="510"/>
    </row>
    <row r="1582" spans="1:41">
      <c r="A1582" s="177"/>
      <c r="B1582" s="169"/>
      <c r="C1582" s="169"/>
      <c r="D1582" s="169"/>
      <c r="E1582" s="169"/>
      <c r="F1582" s="169"/>
      <c r="G1582" s="169"/>
      <c r="H1582" s="169"/>
      <c r="I1582" s="169"/>
      <c r="J1582" s="169"/>
      <c r="K1582" s="169"/>
      <c r="L1582" s="169"/>
      <c r="M1582" s="169"/>
      <c r="N1582" s="177"/>
      <c r="O1582" s="169"/>
      <c r="P1582" s="169"/>
      <c r="Q1582" s="169"/>
      <c r="R1582" s="169"/>
      <c r="S1582" s="169"/>
      <c r="T1582" s="169"/>
      <c r="U1582" s="169"/>
      <c r="V1582" s="169"/>
      <c r="W1582" s="169"/>
      <c r="X1582" s="169"/>
      <c r="Y1582" s="169"/>
      <c r="Z1582" s="178"/>
      <c r="AA1582" s="167"/>
      <c r="AB1582" s="169"/>
      <c r="AC1582" s="169"/>
      <c r="AD1582" s="169"/>
      <c r="AE1582" s="169"/>
      <c r="AF1582" s="169"/>
      <c r="AG1582" s="179"/>
      <c r="AH1582" s="169"/>
      <c r="AI1582" s="168"/>
      <c r="AJ1582" s="167"/>
      <c r="AK1582" s="168"/>
      <c r="AL1582" s="169"/>
      <c r="AM1582" s="509"/>
      <c r="AN1582" s="510"/>
      <c r="AO1582" s="510"/>
    </row>
    <row r="1583" spans="1:41">
      <c r="A1583" s="177"/>
      <c r="B1583" s="169"/>
      <c r="C1583" s="169"/>
      <c r="D1583" s="169"/>
      <c r="E1583" s="169"/>
      <c r="F1583" s="169"/>
      <c r="G1583" s="169"/>
      <c r="H1583" s="169"/>
      <c r="I1583" s="169"/>
      <c r="J1583" s="169"/>
      <c r="K1583" s="169"/>
      <c r="L1583" s="169"/>
      <c r="M1583" s="169"/>
      <c r="N1583" s="177"/>
      <c r="O1583" s="169"/>
      <c r="P1583" s="169"/>
      <c r="Q1583" s="169"/>
      <c r="R1583" s="169"/>
      <c r="S1583" s="169"/>
      <c r="T1583" s="169"/>
      <c r="U1583" s="169"/>
      <c r="V1583" s="169"/>
      <c r="W1583" s="169"/>
      <c r="X1583" s="169"/>
      <c r="Y1583" s="169"/>
      <c r="Z1583" s="178"/>
      <c r="AA1583" s="167"/>
      <c r="AB1583" s="169"/>
      <c r="AC1583" s="169"/>
      <c r="AD1583" s="169"/>
      <c r="AE1583" s="169"/>
      <c r="AF1583" s="169"/>
      <c r="AG1583" s="179"/>
      <c r="AH1583" s="169"/>
      <c r="AI1583" s="168"/>
      <c r="AJ1583" s="167"/>
      <c r="AK1583" s="168"/>
      <c r="AL1583" s="169"/>
      <c r="AM1583" s="509"/>
      <c r="AN1583" s="510"/>
      <c r="AO1583" s="510"/>
    </row>
    <row r="1584" spans="1:41">
      <c r="A1584" s="177"/>
      <c r="B1584" s="169"/>
      <c r="C1584" s="169"/>
      <c r="D1584" s="169"/>
      <c r="E1584" s="169"/>
      <c r="F1584" s="169"/>
      <c r="G1584" s="169"/>
      <c r="H1584" s="169"/>
      <c r="I1584" s="169"/>
      <c r="J1584" s="169"/>
      <c r="K1584" s="169"/>
      <c r="L1584" s="169"/>
      <c r="M1584" s="169"/>
      <c r="N1584" s="177"/>
      <c r="O1584" s="169"/>
      <c r="P1584" s="169"/>
      <c r="Q1584" s="169"/>
      <c r="R1584" s="169"/>
      <c r="S1584" s="169"/>
      <c r="T1584" s="169"/>
      <c r="U1584" s="169"/>
      <c r="V1584" s="169"/>
      <c r="W1584" s="169"/>
      <c r="X1584" s="169"/>
      <c r="Y1584" s="169"/>
      <c r="Z1584" s="178"/>
      <c r="AA1584" s="167"/>
      <c r="AB1584" s="169"/>
      <c r="AC1584" s="169"/>
      <c r="AD1584" s="169"/>
      <c r="AE1584" s="169"/>
      <c r="AF1584" s="169"/>
      <c r="AG1584" s="179"/>
      <c r="AH1584" s="169"/>
      <c r="AI1584" s="168"/>
      <c r="AJ1584" s="167"/>
      <c r="AK1584" s="168"/>
      <c r="AL1584" s="169"/>
      <c r="AM1584" s="509"/>
      <c r="AN1584" s="510"/>
      <c r="AO1584" s="510"/>
    </row>
    <row r="1585" spans="1:41">
      <c r="A1585" s="177"/>
      <c r="B1585" s="169"/>
      <c r="C1585" s="169"/>
      <c r="D1585" s="169"/>
      <c r="E1585" s="169"/>
      <c r="F1585" s="169"/>
      <c r="G1585" s="169"/>
      <c r="H1585" s="169"/>
      <c r="I1585" s="169"/>
      <c r="J1585" s="169"/>
      <c r="K1585" s="169"/>
      <c r="L1585" s="169"/>
      <c r="M1585" s="169"/>
      <c r="N1585" s="177"/>
      <c r="O1585" s="169"/>
      <c r="P1585" s="169"/>
      <c r="Q1585" s="169"/>
      <c r="R1585" s="169"/>
      <c r="S1585" s="169"/>
      <c r="T1585" s="169"/>
      <c r="U1585" s="169"/>
      <c r="V1585" s="169"/>
      <c r="W1585" s="169"/>
      <c r="X1585" s="169"/>
      <c r="Y1585" s="169"/>
      <c r="Z1585" s="178"/>
      <c r="AA1585" s="167"/>
      <c r="AB1585" s="169"/>
      <c r="AC1585" s="169"/>
      <c r="AD1585" s="169"/>
      <c r="AE1585" s="169"/>
      <c r="AF1585" s="169"/>
      <c r="AG1585" s="179"/>
      <c r="AH1585" s="169"/>
      <c r="AI1585" s="168"/>
      <c r="AJ1585" s="167"/>
      <c r="AK1585" s="168"/>
      <c r="AL1585" s="169"/>
      <c r="AM1585" s="509"/>
      <c r="AN1585" s="510"/>
      <c r="AO1585" s="510"/>
    </row>
    <row r="1586" spans="1:41">
      <c r="A1586" s="177"/>
      <c r="B1586" s="169"/>
      <c r="C1586" s="169"/>
      <c r="D1586" s="169"/>
      <c r="E1586" s="169"/>
      <c r="F1586" s="169"/>
      <c r="G1586" s="169"/>
      <c r="H1586" s="169"/>
      <c r="I1586" s="169"/>
      <c r="J1586" s="169"/>
      <c r="K1586" s="169"/>
      <c r="L1586" s="169"/>
      <c r="M1586" s="169"/>
      <c r="N1586" s="177"/>
      <c r="O1586" s="169"/>
      <c r="P1586" s="169"/>
      <c r="Q1586" s="169"/>
      <c r="R1586" s="169"/>
      <c r="S1586" s="169"/>
      <c r="T1586" s="169"/>
      <c r="U1586" s="169"/>
      <c r="V1586" s="169"/>
      <c r="W1586" s="169"/>
      <c r="X1586" s="169"/>
      <c r="Y1586" s="169"/>
      <c r="Z1586" s="178"/>
      <c r="AA1586" s="167"/>
      <c r="AB1586" s="169"/>
      <c r="AC1586" s="169"/>
      <c r="AD1586" s="169"/>
      <c r="AE1586" s="169"/>
      <c r="AF1586" s="169"/>
      <c r="AG1586" s="179"/>
      <c r="AH1586" s="169"/>
      <c r="AI1586" s="168"/>
      <c r="AJ1586" s="167"/>
      <c r="AK1586" s="168"/>
      <c r="AL1586" s="169"/>
      <c r="AM1586" s="509"/>
      <c r="AN1586" s="510"/>
      <c r="AO1586" s="510"/>
    </row>
    <row r="1587" spans="1:41">
      <c r="A1587" s="177"/>
      <c r="B1587" s="169"/>
      <c r="C1587" s="169"/>
      <c r="D1587" s="169"/>
      <c r="E1587" s="169"/>
      <c r="F1587" s="169"/>
      <c r="G1587" s="169"/>
      <c r="H1587" s="169"/>
      <c r="I1587" s="169"/>
      <c r="J1587" s="169"/>
      <c r="K1587" s="169"/>
      <c r="L1587" s="169"/>
      <c r="M1587" s="169"/>
      <c r="N1587" s="177"/>
      <c r="O1587" s="169"/>
      <c r="P1587" s="169"/>
      <c r="Q1587" s="169"/>
      <c r="R1587" s="169"/>
      <c r="S1587" s="169"/>
      <c r="T1587" s="169"/>
      <c r="U1587" s="169"/>
      <c r="V1587" s="169"/>
      <c r="W1587" s="169"/>
      <c r="X1587" s="169"/>
      <c r="Y1587" s="169"/>
      <c r="Z1587" s="178"/>
      <c r="AA1587" s="167"/>
      <c r="AB1587" s="169"/>
      <c r="AC1587" s="169"/>
      <c r="AD1587" s="169"/>
      <c r="AE1587" s="169"/>
      <c r="AF1587" s="169"/>
      <c r="AG1587" s="179"/>
      <c r="AH1587" s="169"/>
      <c r="AI1587" s="168"/>
      <c r="AJ1587" s="167"/>
      <c r="AK1587" s="168"/>
      <c r="AL1587" s="169"/>
      <c r="AM1587" s="509"/>
      <c r="AN1587" s="510"/>
      <c r="AO1587" s="510"/>
    </row>
    <row r="1588" spans="1:41">
      <c r="A1588" s="177"/>
      <c r="B1588" s="169"/>
      <c r="C1588" s="169"/>
      <c r="D1588" s="169"/>
      <c r="E1588" s="169"/>
      <c r="F1588" s="169"/>
      <c r="G1588" s="169"/>
      <c r="H1588" s="169"/>
      <c r="I1588" s="169"/>
      <c r="J1588" s="169"/>
      <c r="K1588" s="169"/>
      <c r="L1588" s="169"/>
      <c r="M1588" s="169"/>
      <c r="N1588" s="177"/>
      <c r="O1588" s="169"/>
      <c r="P1588" s="169"/>
      <c r="Q1588" s="169"/>
      <c r="R1588" s="169"/>
      <c r="S1588" s="169"/>
      <c r="T1588" s="169"/>
      <c r="U1588" s="169"/>
      <c r="V1588" s="169"/>
      <c r="W1588" s="169"/>
      <c r="X1588" s="169"/>
      <c r="Y1588" s="169"/>
      <c r="Z1588" s="178"/>
      <c r="AA1588" s="167"/>
      <c r="AB1588" s="169"/>
      <c r="AC1588" s="169"/>
      <c r="AD1588" s="169"/>
      <c r="AE1588" s="169"/>
      <c r="AF1588" s="169"/>
      <c r="AG1588" s="179"/>
      <c r="AH1588" s="169"/>
      <c r="AI1588" s="168"/>
      <c r="AJ1588" s="167"/>
      <c r="AK1588" s="168"/>
      <c r="AL1588" s="169"/>
      <c r="AM1588" s="509"/>
      <c r="AN1588" s="510"/>
      <c r="AO1588" s="510"/>
    </row>
    <row r="1589" spans="1:41">
      <c r="A1589" s="177"/>
      <c r="B1589" s="169"/>
      <c r="C1589" s="169"/>
      <c r="D1589" s="169"/>
      <c r="E1589" s="169"/>
      <c r="F1589" s="169"/>
      <c r="G1589" s="169"/>
      <c r="H1589" s="169"/>
      <c r="I1589" s="169"/>
      <c r="J1589" s="169"/>
      <c r="K1589" s="169"/>
      <c r="L1589" s="169"/>
      <c r="M1589" s="169"/>
      <c r="N1589" s="177"/>
      <c r="O1589" s="169"/>
      <c r="P1589" s="169"/>
      <c r="Q1589" s="169"/>
      <c r="R1589" s="169"/>
      <c r="S1589" s="169"/>
      <c r="T1589" s="169"/>
      <c r="U1589" s="169"/>
      <c r="V1589" s="169"/>
      <c r="W1589" s="169"/>
      <c r="X1589" s="169"/>
      <c r="Y1589" s="169"/>
      <c r="Z1589" s="178"/>
      <c r="AA1589" s="167"/>
      <c r="AB1589" s="169"/>
      <c r="AC1589" s="169"/>
      <c r="AD1589" s="169"/>
      <c r="AE1589" s="169"/>
      <c r="AF1589" s="169"/>
      <c r="AG1589" s="179"/>
      <c r="AH1589" s="169"/>
      <c r="AI1589" s="168"/>
      <c r="AJ1589" s="167"/>
      <c r="AK1589" s="168"/>
      <c r="AL1589" s="169"/>
      <c r="AM1589" s="509"/>
      <c r="AN1589" s="510"/>
      <c r="AO1589" s="510"/>
    </row>
    <row r="1590" spans="1:41">
      <c r="A1590" s="177"/>
      <c r="B1590" s="169"/>
      <c r="C1590" s="169"/>
      <c r="D1590" s="169"/>
      <c r="E1590" s="169"/>
      <c r="F1590" s="169"/>
      <c r="G1590" s="169"/>
      <c r="H1590" s="169"/>
      <c r="I1590" s="169"/>
      <c r="J1590" s="169"/>
      <c r="K1590" s="169"/>
      <c r="L1590" s="169"/>
      <c r="M1590" s="169"/>
      <c r="N1590" s="177"/>
      <c r="O1590" s="169"/>
      <c r="P1590" s="169"/>
      <c r="Q1590" s="169"/>
      <c r="R1590" s="169"/>
      <c r="S1590" s="169"/>
      <c r="T1590" s="169"/>
      <c r="U1590" s="169"/>
      <c r="V1590" s="169"/>
      <c r="W1590" s="169"/>
      <c r="X1590" s="169"/>
      <c r="Y1590" s="169"/>
      <c r="Z1590" s="178"/>
      <c r="AA1590" s="167"/>
      <c r="AB1590" s="169"/>
      <c r="AC1590" s="169"/>
      <c r="AD1590" s="169"/>
      <c r="AE1590" s="169"/>
      <c r="AF1590" s="169"/>
      <c r="AG1590" s="179"/>
      <c r="AH1590" s="169"/>
      <c r="AI1590" s="168"/>
      <c r="AJ1590" s="167"/>
      <c r="AK1590" s="168"/>
      <c r="AL1590" s="169"/>
      <c r="AM1590" s="509"/>
      <c r="AN1590" s="510"/>
      <c r="AO1590" s="510"/>
    </row>
    <row r="1591" spans="1:41">
      <c r="A1591" s="177"/>
      <c r="B1591" s="169"/>
      <c r="C1591" s="169"/>
      <c r="D1591" s="169"/>
      <c r="E1591" s="169"/>
      <c r="F1591" s="169"/>
      <c r="G1591" s="169"/>
      <c r="H1591" s="169"/>
      <c r="I1591" s="169"/>
      <c r="J1591" s="169"/>
      <c r="K1591" s="169"/>
      <c r="L1591" s="169"/>
      <c r="M1591" s="169"/>
      <c r="N1591" s="177"/>
      <c r="O1591" s="169"/>
      <c r="P1591" s="169"/>
      <c r="Q1591" s="169"/>
      <c r="R1591" s="169"/>
      <c r="S1591" s="169"/>
      <c r="T1591" s="169"/>
      <c r="U1591" s="169"/>
      <c r="V1591" s="169"/>
      <c r="W1591" s="169"/>
      <c r="X1591" s="169"/>
      <c r="Y1591" s="169"/>
      <c r="Z1591" s="178"/>
      <c r="AA1591" s="167"/>
      <c r="AB1591" s="169"/>
      <c r="AC1591" s="169"/>
      <c r="AD1591" s="169"/>
      <c r="AE1591" s="169"/>
      <c r="AF1591" s="169"/>
      <c r="AG1591" s="179"/>
      <c r="AH1591" s="169"/>
      <c r="AI1591" s="168"/>
      <c r="AJ1591" s="167"/>
      <c r="AK1591" s="168"/>
      <c r="AL1591" s="169"/>
      <c r="AM1591" s="509"/>
      <c r="AN1591" s="510"/>
      <c r="AO1591" s="510"/>
    </row>
    <row r="1592" spans="1:41">
      <c r="A1592" s="177"/>
      <c r="B1592" s="169"/>
      <c r="C1592" s="169"/>
      <c r="D1592" s="169"/>
      <c r="E1592" s="169"/>
      <c r="F1592" s="169"/>
      <c r="G1592" s="169"/>
      <c r="H1592" s="169"/>
      <c r="I1592" s="169"/>
      <c r="J1592" s="169"/>
      <c r="K1592" s="169"/>
      <c r="L1592" s="169"/>
      <c r="M1592" s="169"/>
      <c r="N1592" s="177"/>
      <c r="O1592" s="169"/>
      <c r="P1592" s="169"/>
      <c r="Q1592" s="169"/>
      <c r="R1592" s="169"/>
      <c r="S1592" s="169"/>
      <c r="T1592" s="169"/>
      <c r="U1592" s="169"/>
      <c r="V1592" s="169"/>
      <c r="W1592" s="169"/>
      <c r="X1592" s="169"/>
      <c r="Y1592" s="169"/>
      <c r="Z1592" s="178"/>
      <c r="AA1592" s="167"/>
      <c r="AB1592" s="169"/>
      <c r="AC1592" s="169"/>
      <c r="AD1592" s="169"/>
      <c r="AE1592" s="169"/>
      <c r="AF1592" s="169"/>
      <c r="AG1592" s="179"/>
      <c r="AH1592" s="169"/>
      <c r="AI1592" s="168"/>
      <c r="AJ1592" s="167"/>
      <c r="AK1592" s="168"/>
      <c r="AL1592" s="169"/>
      <c r="AM1592" s="509"/>
      <c r="AN1592" s="510"/>
      <c r="AO1592" s="510"/>
    </row>
    <row r="1593" spans="1:41">
      <c r="A1593" s="177"/>
      <c r="B1593" s="169"/>
      <c r="C1593" s="169"/>
      <c r="D1593" s="169"/>
      <c r="E1593" s="169"/>
      <c r="F1593" s="169"/>
      <c r="G1593" s="169"/>
      <c r="H1593" s="169"/>
      <c r="I1593" s="169"/>
      <c r="J1593" s="169"/>
      <c r="K1593" s="169"/>
      <c r="L1593" s="169"/>
      <c r="M1593" s="169"/>
      <c r="N1593" s="177"/>
      <c r="O1593" s="169"/>
      <c r="P1593" s="169"/>
      <c r="Q1593" s="169"/>
      <c r="R1593" s="169"/>
      <c r="S1593" s="169"/>
      <c r="T1593" s="169"/>
      <c r="U1593" s="169"/>
      <c r="V1593" s="169"/>
      <c r="W1593" s="169"/>
      <c r="X1593" s="169"/>
      <c r="Y1593" s="169"/>
      <c r="Z1593" s="178"/>
      <c r="AA1593" s="167"/>
      <c r="AB1593" s="169"/>
      <c r="AC1593" s="169"/>
      <c r="AD1593" s="169"/>
      <c r="AE1593" s="169"/>
      <c r="AF1593" s="169"/>
      <c r="AG1593" s="179"/>
      <c r="AH1593" s="169"/>
      <c r="AI1593" s="168"/>
      <c r="AJ1593" s="167"/>
      <c r="AK1593" s="168"/>
      <c r="AL1593" s="169"/>
      <c r="AM1593" s="509"/>
      <c r="AN1593" s="510"/>
      <c r="AO1593" s="510"/>
    </row>
    <row r="1594" spans="1:41">
      <c r="A1594" s="177"/>
      <c r="B1594" s="169"/>
      <c r="C1594" s="169"/>
      <c r="D1594" s="169"/>
      <c r="E1594" s="169"/>
      <c r="F1594" s="169"/>
      <c r="G1594" s="169"/>
      <c r="H1594" s="169"/>
      <c r="I1594" s="169"/>
      <c r="J1594" s="169"/>
      <c r="K1594" s="169"/>
      <c r="L1594" s="169"/>
      <c r="M1594" s="169"/>
      <c r="N1594" s="177"/>
      <c r="O1594" s="169"/>
      <c r="P1594" s="169"/>
      <c r="Q1594" s="169"/>
      <c r="R1594" s="169"/>
      <c r="S1594" s="169"/>
      <c r="T1594" s="169"/>
      <c r="U1594" s="169"/>
      <c r="V1594" s="169"/>
      <c r="W1594" s="169"/>
      <c r="X1594" s="169"/>
      <c r="Y1594" s="169"/>
      <c r="Z1594" s="178"/>
      <c r="AA1594" s="167"/>
      <c r="AB1594" s="169"/>
      <c r="AC1594" s="169"/>
      <c r="AD1594" s="169"/>
      <c r="AE1594" s="169"/>
      <c r="AF1594" s="169"/>
      <c r="AG1594" s="179"/>
      <c r="AH1594" s="169"/>
      <c r="AI1594" s="168"/>
      <c r="AJ1594" s="167"/>
      <c r="AK1594" s="168"/>
      <c r="AL1594" s="169"/>
      <c r="AM1594" s="509"/>
      <c r="AN1594" s="510"/>
      <c r="AO1594" s="510"/>
    </row>
    <row r="1595" spans="1:41">
      <c r="A1595" s="177"/>
      <c r="B1595" s="169"/>
      <c r="C1595" s="169"/>
      <c r="D1595" s="169"/>
      <c r="E1595" s="169"/>
      <c r="F1595" s="169"/>
      <c r="G1595" s="169"/>
      <c r="H1595" s="169"/>
      <c r="I1595" s="169"/>
      <c r="J1595" s="169"/>
      <c r="K1595" s="169"/>
      <c r="L1595" s="169"/>
      <c r="M1595" s="169"/>
      <c r="N1595" s="177"/>
      <c r="O1595" s="169"/>
      <c r="P1595" s="169"/>
      <c r="Q1595" s="169"/>
      <c r="R1595" s="169"/>
      <c r="S1595" s="169"/>
      <c r="T1595" s="169"/>
      <c r="U1595" s="169"/>
      <c r="V1595" s="169"/>
      <c r="W1595" s="169"/>
      <c r="X1595" s="169"/>
      <c r="Y1595" s="169"/>
      <c r="Z1595" s="178"/>
      <c r="AA1595" s="167"/>
      <c r="AB1595" s="169"/>
      <c r="AC1595" s="169"/>
      <c r="AD1595" s="169"/>
      <c r="AE1595" s="169"/>
      <c r="AF1595" s="169"/>
      <c r="AG1595" s="179"/>
      <c r="AH1595" s="169"/>
      <c r="AI1595" s="168"/>
      <c r="AJ1595" s="167"/>
      <c r="AK1595" s="168"/>
      <c r="AL1595" s="169"/>
      <c r="AM1595" s="509"/>
      <c r="AN1595" s="510"/>
      <c r="AO1595" s="510"/>
    </row>
    <row r="1596" spans="1:41">
      <c r="A1596" s="177"/>
      <c r="B1596" s="169"/>
      <c r="C1596" s="169"/>
      <c r="D1596" s="169"/>
      <c r="E1596" s="169"/>
      <c r="F1596" s="169"/>
      <c r="G1596" s="169"/>
      <c r="H1596" s="169"/>
      <c r="I1596" s="169"/>
      <c r="J1596" s="169"/>
      <c r="K1596" s="169"/>
      <c r="L1596" s="169"/>
      <c r="M1596" s="169"/>
      <c r="N1596" s="177"/>
      <c r="O1596" s="169"/>
      <c r="P1596" s="169"/>
      <c r="Q1596" s="169"/>
      <c r="R1596" s="169"/>
      <c r="S1596" s="169"/>
      <c r="T1596" s="169"/>
      <c r="U1596" s="169"/>
      <c r="V1596" s="169"/>
      <c r="W1596" s="169"/>
      <c r="X1596" s="169"/>
      <c r="Y1596" s="169"/>
      <c r="Z1596" s="178"/>
      <c r="AA1596" s="167"/>
      <c r="AB1596" s="169"/>
      <c r="AC1596" s="169"/>
      <c r="AD1596" s="169"/>
      <c r="AE1596" s="169"/>
      <c r="AF1596" s="169"/>
      <c r="AG1596" s="179"/>
      <c r="AH1596" s="169"/>
      <c r="AI1596" s="168"/>
      <c r="AJ1596" s="167"/>
      <c r="AK1596" s="168"/>
      <c r="AL1596" s="169"/>
      <c r="AM1596" s="509"/>
      <c r="AN1596" s="510"/>
      <c r="AO1596" s="510"/>
    </row>
    <row r="1597" spans="1:41">
      <c r="A1597" s="177"/>
      <c r="B1597" s="169"/>
      <c r="C1597" s="169"/>
      <c r="D1597" s="169"/>
      <c r="E1597" s="169"/>
      <c r="F1597" s="169"/>
      <c r="G1597" s="169"/>
      <c r="H1597" s="169"/>
      <c r="I1597" s="169"/>
      <c r="J1597" s="169"/>
      <c r="K1597" s="169"/>
      <c r="L1597" s="169"/>
      <c r="M1597" s="169"/>
      <c r="N1597" s="177"/>
      <c r="O1597" s="169"/>
      <c r="P1597" s="169"/>
      <c r="Q1597" s="169"/>
      <c r="R1597" s="169"/>
      <c r="S1597" s="169"/>
      <c r="T1597" s="169"/>
      <c r="U1597" s="169"/>
      <c r="V1597" s="169"/>
      <c r="W1597" s="169"/>
      <c r="X1597" s="169"/>
      <c r="Y1597" s="169"/>
      <c r="Z1597" s="178"/>
      <c r="AA1597" s="167"/>
      <c r="AB1597" s="169"/>
      <c r="AC1597" s="169"/>
      <c r="AD1597" s="169"/>
      <c r="AE1597" s="169"/>
      <c r="AF1597" s="169"/>
      <c r="AG1597" s="179"/>
      <c r="AH1597" s="169"/>
      <c r="AI1597" s="168"/>
      <c r="AJ1597" s="167"/>
      <c r="AK1597" s="168"/>
      <c r="AL1597" s="169"/>
      <c r="AM1597" s="509"/>
      <c r="AN1597" s="510"/>
      <c r="AO1597" s="510"/>
    </row>
    <row r="1598" spans="1:41">
      <c r="A1598" s="177"/>
      <c r="B1598" s="169"/>
      <c r="C1598" s="169"/>
      <c r="D1598" s="169"/>
      <c r="E1598" s="169"/>
      <c r="F1598" s="169"/>
      <c r="G1598" s="169"/>
      <c r="H1598" s="169"/>
      <c r="I1598" s="169"/>
      <c r="J1598" s="169"/>
      <c r="K1598" s="169"/>
      <c r="L1598" s="169"/>
      <c r="M1598" s="169"/>
      <c r="N1598" s="177"/>
      <c r="O1598" s="169"/>
      <c r="P1598" s="169"/>
      <c r="Q1598" s="169"/>
      <c r="R1598" s="169"/>
      <c r="S1598" s="169"/>
      <c r="T1598" s="169"/>
      <c r="U1598" s="169"/>
      <c r="V1598" s="169"/>
      <c r="W1598" s="169"/>
      <c r="X1598" s="169"/>
      <c r="Y1598" s="169"/>
      <c r="Z1598" s="178"/>
      <c r="AA1598" s="167"/>
      <c r="AB1598" s="169"/>
      <c r="AC1598" s="169"/>
      <c r="AD1598" s="169"/>
      <c r="AE1598" s="169"/>
      <c r="AF1598" s="169"/>
      <c r="AG1598" s="179"/>
      <c r="AH1598" s="169"/>
      <c r="AI1598" s="168"/>
      <c r="AJ1598" s="167"/>
      <c r="AK1598" s="168"/>
      <c r="AL1598" s="169"/>
      <c r="AM1598" s="509"/>
      <c r="AN1598" s="510"/>
      <c r="AO1598" s="510"/>
    </row>
    <row r="1599" spans="1:41">
      <c r="A1599" s="177"/>
      <c r="B1599" s="169"/>
      <c r="C1599" s="169"/>
      <c r="D1599" s="169"/>
      <c r="E1599" s="169"/>
      <c r="F1599" s="169"/>
      <c r="G1599" s="169"/>
      <c r="H1599" s="169"/>
      <c r="I1599" s="169"/>
      <c r="J1599" s="169"/>
      <c r="K1599" s="169"/>
      <c r="L1599" s="169"/>
      <c r="M1599" s="169"/>
      <c r="N1599" s="177"/>
      <c r="O1599" s="169"/>
      <c r="P1599" s="169"/>
      <c r="Q1599" s="169"/>
      <c r="R1599" s="169"/>
      <c r="S1599" s="169"/>
      <c r="T1599" s="169"/>
      <c r="U1599" s="169"/>
      <c r="V1599" s="169"/>
      <c r="W1599" s="169"/>
      <c r="X1599" s="169"/>
      <c r="Y1599" s="169"/>
      <c r="Z1599" s="178"/>
      <c r="AA1599" s="167"/>
      <c r="AB1599" s="169"/>
      <c r="AC1599" s="169"/>
      <c r="AD1599" s="169"/>
      <c r="AE1599" s="169"/>
      <c r="AF1599" s="169"/>
      <c r="AG1599" s="179"/>
      <c r="AH1599" s="169"/>
      <c r="AI1599" s="168"/>
      <c r="AJ1599" s="167"/>
      <c r="AK1599" s="168"/>
      <c r="AL1599" s="169"/>
      <c r="AM1599" s="509"/>
      <c r="AN1599" s="510"/>
      <c r="AO1599" s="510"/>
    </row>
    <row r="1600" spans="1:41">
      <c r="A1600" s="177"/>
      <c r="B1600" s="169"/>
      <c r="C1600" s="169"/>
      <c r="D1600" s="169"/>
      <c r="E1600" s="169"/>
      <c r="F1600" s="169"/>
      <c r="G1600" s="169"/>
      <c r="H1600" s="169"/>
      <c r="I1600" s="169"/>
      <c r="J1600" s="169"/>
      <c r="K1600" s="169"/>
      <c r="L1600" s="169"/>
      <c r="M1600" s="169"/>
      <c r="N1600" s="177"/>
      <c r="O1600" s="169"/>
      <c r="P1600" s="169"/>
      <c r="Q1600" s="169"/>
      <c r="R1600" s="169"/>
      <c r="S1600" s="169"/>
      <c r="T1600" s="169"/>
      <c r="U1600" s="169"/>
      <c r="V1600" s="169"/>
      <c r="W1600" s="169"/>
      <c r="X1600" s="169"/>
      <c r="Y1600" s="169"/>
      <c r="Z1600" s="178"/>
      <c r="AA1600" s="167"/>
      <c r="AB1600" s="169"/>
      <c r="AC1600" s="169"/>
      <c r="AD1600" s="169"/>
      <c r="AE1600" s="169"/>
      <c r="AF1600" s="169"/>
      <c r="AG1600" s="179"/>
      <c r="AH1600" s="169"/>
      <c r="AI1600" s="168"/>
      <c r="AJ1600" s="167"/>
      <c r="AK1600" s="168"/>
      <c r="AL1600" s="169"/>
      <c r="AM1600" s="509"/>
      <c r="AN1600" s="510"/>
      <c r="AO1600" s="510"/>
    </row>
    <row r="1601" spans="1:41">
      <c r="A1601" s="177"/>
      <c r="B1601" s="169"/>
      <c r="C1601" s="169"/>
      <c r="D1601" s="169"/>
      <c r="E1601" s="169"/>
      <c r="F1601" s="169"/>
      <c r="G1601" s="169"/>
      <c r="H1601" s="169"/>
      <c r="I1601" s="169"/>
      <c r="J1601" s="169"/>
      <c r="K1601" s="169"/>
      <c r="L1601" s="169"/>
      <c r="M1601" s="169"/>
      <c r="N1601" s="177"/>
      <c r="O1601" s="169"/>
      <c r="P1601" s="169"/>
      <c r="Q1601" s="169"/>
      <c r="R1601" s="169"/>
      <c r="S1601" s="169"/>
      <c r="T1601" s="169"/>
      <c r="U1601" s="169"/>
      <c r="V1601" s="169"/>
      <c r="W1601" s="169"/>
      <c r="X1601" s="169"/>
      <c r="Y1601" s="169"/>
      <c r="Z1601" s="178"/>
      <c r="AA1601" s="167"/>
      <c r="AB1601" s="169"/>
      <c r="AC1601" s="169"/>
      <c r="AD1601" s="169"/>
      <c r="AE1601" s="169"/>
      <c r="AF1601" s="169"/>
      <c r="AG1601" s="179"/>
      <c r="AH1601" s="169"/>
      <c r="AI1601" s="168"/>
      <c r="AJ1601" s="167"/>
      <c r="AK1601" s="168"/>
      <c r="AL1601" s="169"/>
      <c r="AM1601" s="509"/>
      <c r="AN1601" s="510"/>
      <c r="AO1601" s="510"/>
    </row>
    <row r="1602" spans="1:41">
      <c r="A1602" s="177"/>
      <c r="B1602" s="169"/>
      <c r="C1602" s="169"/>
      <c r="D1602" s="169"/>
      <c r="E1602" s="169"/>
      <c r="F1602" s="169"/>
      <c r="G1602" s="169"/>
      <c r="H1602" s="169"/>
      <c r="I1602" s="169"/>
      <c r="J1602" s="169"/>
      <c r="K1602" s="169"/>
      <c r="L1602" s="169"/>
      <c r="M1602" s="169"/>
      <c r="N1602" s="177"/>
      <c r="O1602" s="169"/>
      <c r="P1602" s="169"/>
      <c r="Q1602" s="169"/>
      <c r="R1602" s="169"/>
      <c r="S1602" s="169"/>
      <c r="T1602" s="169"/>
      <c r="U1602" s="169"/>
      <c r="V1602" s="169"/>
      <c r="W1602" s="169"/>
      <c r="X1602" s="169"/>
      <c r="Y1602" s="169"/>
      <c r="Z1602" s="178"/>
      <c r="AA1602" s="167"/>
      <c r="AB1602" s="169"/>
      <c r="AC1602" s="169"/>
      <c r="AD1602" s="169"/>
      <c r="AE1602" s="169"/>
      <c r="AF1602" s="169"/>
      <c r="AG1602" s="179"/>
      <c r="AH1602" s="169"/>
      <c r="AI1602" s="168"/>
      <c r="AJ1602" s="167"/>
      <c r="AK1602" s="168"/>
      <c r="AL1602" s="169"/>
      <c r="AM1602" s="509"/>
      <c r="AN1602" s="510"/>
      <c r="AO1602" s="510"/>
    </row>
    <row r="1603" spans="1:41">
      <c r="A1603" s="177"/>
      <c r="B1603" s="169"/>
      <c r="C1603" s="169"/>
      <c r="D1603" s="169"/>
      <c r="E1603" s="169"/>
      <c r="F1603" s="169"/>
      <c r="G1603" s="169"/>
      <c r="H1603" s="169"/>
      <c r="I1603" s="169"/>
      <c r="J1603" s="169"/>
      <c r="K1603" s="169"/>
      <c r="L1603" s="169"/>
      <c r="M1603" s="169"/>
      <c r="N1603" s="177"/>
      <c r="O1603" s="169"/>
      <c r="P1603" s="169"/>
      <c r="Q1603" s="169"/>
      <c r="R1603" s="169"/>
      <c r="S1603" s="169"/>
      <c r="T1603" s="169"/>
      <c r="U1603" s="169"/>
      <c r="V1603" s="169"/>
      <c r="W1603" s="169"/>
      <c r="X1603" s="169"/>
      <c r="Y1603" s="169"/>
      <c r="Z1603" s="178"/>
      <c r="AA1603" s="167"/>
      <c r="AB1603" s="169"/>
      <c r="AC1603" s="169"/>
      <c r="AD1603" s="169"/>
      <c r="AE1603" s="169"/>
      <c r="AF1603" s="169"/>
      <c r="AG1603" s="179"/>
      <c r="AH1603" s="169"/>
      <c r="AI1603" s="168"/>
      <c r="AJ1603" s="167"/>
      <c r="AK1603" s="168"/>
      <c r="AL1603" s="169"/>
      <c r="AM1603" s="509"/>
      <c r="AN1603" s="510"/>
      <c r="AO1603" s="510"/>
    </row>
    <row r="1604" spans="1:41">
      <c r="A1604" s="177"/>
      <c r="B1604" s="169"/>
      <c r="C1604" s="169"/>
      <c r="D1604" s="169"/>
      <c r="E1604" s="169"/>
      <c r="F1604" s="169"/>
      <c r="G1604" s="169"/>
      <c r="H1604" s="169"/>
      <c r="I1604" s="169"/>
      <c r="J1604" s="169"/>
      <c r="K1604" s="169"/>
      <c r="L1604" s="169"/>
      <c r="M1604" s="169"/>
      <c r="N1604" s="177"/>
      <c r="O1604" s="169"/>
      <c r="P1604" s="169"/>
      <c r="Q1604" s="169"/>
      <c r="R1604" s="169"/>
      <c r="S1604" s="169"/>
      <c r="T1604" s="169"/>
      <c r="U1604" s="169"/>
      <c r="V1604" s="169"/>
      <c r="W1604" s="169"/>
      <c r="X1604" s="169"/>
      <c r="Y1604" s="169"/>
      <c r="Z1604" s="178"/>
      <c r="AA1604" s="167"/>
      <c r="AB1604" s="169"/>
      <c r="AC1604" s="169"/>
      <c r="AD1604" s="169"/>
      <c r="AE1604" s="169"/>
      <c r="AF1604" s="169"/>
      <c r="AG1604" s="179"/>
      <c r="AH1604" s="169"/>
      <c r="AI1604" s="168"/>
      <c r="AJ1604" s="167"/>
      <c r="AK1604" s="168"/>
      <c r="AL1604" s="169"/>
      <c r="AM1604" s="509"/>
      <c r="AN1604" s="510"/>
      <c r="AO1604" s="510"/>
    </row>
    <row r="1605" spans="1:41">
      <c r="A1605" s="177"/>
      <c r="B1605" s="169"/>
      <c r="C1605" s="169"/>
      <c r="D1605" s="169"/>
      <c r="E1605" s="169"/>
      <c r="F1605" s="169"/>
      <c r="G1605" s="169"/>
      <c r="H1605" s="169"/>
      <c r="I1605" s="169"/>
      <c r="J1605" s="169"/>
      <c r="K1605" s="169"/>
      <c r="L1605" s="169"/>
      <c r="M1605" s="169"/>
      <c r="N1605" s="177"/>
      <c r="O1605" s="169"/>
      <c r="P1605" s="169"/>
      <c r="Q1605" s="169"/>
      <c r="R1605" s="169"/>
      <c r="S1605" s="169"/>
      <c r="T1605" s="169"/>
      <c r="U1605" s="169"/>
      <c r="V1605" s="169"/>
      <c r="W1605" s="169"/>
      <c r="X1605" s="169"/>
      <c r="Y1605" s="169"/>
      <c r="Z1605" s="178"/>
      <c r="AA1605" s="167"/>
      <c r="AB1605" s="169"/>
      <c r="AC1605" s="169"/>
      <c r="AD1605" s="169"/>
      <c r="AE1605" s="169"/>
      <c r="AF1605" s="169"/>
      <c r="AG1605" s="179"/>
      <c r="AH1605" s="169"/>
      <c r="AI1605" s="168"/>
      <c r="AJ1605" s="167"/>
      <c r="AK1605" s="168"/>
      <c r="AL1605" s="169"/>
      <c r="AM1605" s="509"/>
      <c r="AN1605" s="510"/>
      <c r="AO1605" s="510"/>
    </row>
    <row r="1606" spans="1:41">
      <c r="A1606" s="177"/>
      <c r="B1606" s="169"/>
      <c r="C1606" s="169"/>
      <c r="D1606" s="169"/>
      <c r="E1606" s="169"/>
      <c r="F1606" s="169"/>
      <c r="G1606" s="169"/>
      <c r="H1606" s="169"/>
      <c r="I1606" s="169"/>
      <c r="J1606" s="169"/>
      <c r="K1606" s="169"/>
      <c r="L1606" s="169"/>
      <c r="M1606" s="169"/>
      <c r="N1606" s="177"/>
      <c r="O1606" s="169"/>
      <c r="P1606" s="169"/>
      <c r="Q1606" s="169"/>
      <c r="R1606" s="169"/>
      <c r="S1606" s="169"/>
      <c r="T1606" s="169"/>
      <c r="U1606" s="169"/>
      <c r="V1606" s="169"/>
      <c r="W1606" s="169"/>
      <c r="X1606" s="169"/>
      <c r="Y1606" s="169"/>
      <c r="Z1606" s="178"/>
      <c r="AA1606" s="167"/>
      <c r="AB1606" s="169"/>
      <c r="AC1606" s="169"/>
      <c r="AD1606" s="169"/>
      <c r="AE1606" s="169"/>
      <c r="AF1606" s="169"/>
      <c r="AG1606" s="179"/>
      <c r="AH1606" s="169"/>
      <c r="AI1606" s="168"/>
      <c r="AJ1606" s="167"/>
      <c r="AK1606" s="168"/>
      <c r="AL1606" s="169"/>
      <c r="AM1606" s="509"/>
      <c r="AN1606" s="510"/>
      <c r="AO1606" s="510"/>
    </row>
    <row r="1607" spans="1:41">
      <c r="A1607" s="177"/>
      <c r="B1607" s="169"/>
      <c r="C1607" s="169"/>
      <c r="D1607" s="169"/>
      <c r="E1607" s="169"/>
      <c r="F1607" s="169"/>
      <c r="G1607" s="169"/>
      <c r="H1607" s="169"/>
      <c r="I1607" s="169"/>
      <c r="J1607" s="169"/>
      <c r="K1607" s="169"/>
      <c r="L1607" s="169"/>
      <c r="M1607" s="169"/>
      <c r="N1607" s="177"/>
      <c r="O1607" s="169"/>
      <c r="P1607" s="169"/>
      <c r="Q1607" s="169"/>
      <c r="R1607" s="169"/>
      <c r="S1607" s="169"/>
      <c r="T1607" s="169"/>
      <c r="U1607" s="169"/>
      <c r="V1607" s="169"/>
      <c r="W1607" s="169"/>
      <c r="X1607" s="169"/>
      <c r="Y1607" s="169"/>
      <c r="Z1607" s="178"/>
      <c r="AA1607" s="167"/>
      <c r="AB1607" s="169"/>
      <c r="AC1607" s="169"/>
      <c r="AD1607" s="169"/>
      <c r="AE1607" s="169"/>
      <c r="AF1607" s="169"/>
      <c r="AG1607" s="179"/>
      <c r="AH1607" s="169"/>
      <c r="AI1607" s="168"/>
      <c r="AJ1607" s="167"/>
      <c r="AK1607" s="168"/>
      <c r="AL1607" s="169"/>
      <c r="AM1607" s="509"/>
      <c r="AN1607" s="510"/>
      <c r="AO1607" s="510"/>
    </row>
    <row r="1608" spans="1:41">
      <c r="A1608" s="177"/>
      <c r="B1608" s="169"/>
      <c r="C1608" s="169"/>
      <c r="D1608" s="169"/>
      <c r="E1608" s="169"/>
      <c r="F1608" s="169"/>
      <c r="G1608" s="169"/>
      <c r="H1608" s="169"/>
      <c r="I1608" s="169"/>
      <c r="J1608" s="169"/>
      <c r="K1608" s="169"/>
      <c r="L1608" s="169"/>
      <c r="M1608" s="169"/>
      <c r="N1608" s="177"/>
      <c r="O1608" s="169"/>
      <c r="P1608" s="169"/>
      <c r="Q1608" s="169"/>
      <c r="R1608" s="169"/>
      <c r="S1608" s="169"/>
      <c r="T1608" s="169"/>
      <c r="U1608" s="169"/>
      <c r="V1608" s="169"/>
      <c r="W1608" s="169"/>
      <c r="X1608" s="169"/>
      <c r="Y1608" s="169"/>
      <c r="Z1608" s="178"/>
      <c r="AA1608" s="167"/>
      <c r="AB1608" s="169"/>
      <c r="AC1608" s="169"/>
      <c r="AD1608" s="169"/>
      <c r="AE1608" s="169"/>
      <c r="AF1608" s="169"/>
      <c r="AG1608" s="179"/>
      <c r="AH1608" s="169"/>
      <c r="AI1608" s="168"/>
      <c r="AJ1608" s="167"/>
      <c r="AK1608" s="168"/>
      <c r="AL1608" s="169"/>
      <c r="AM1608" s="509"/>
      <c r="AN1608" s="510"/>
      <c r="AO1608" s="510"/>
    </row>
    <row r="1609" spans="1:41">
      <c r="A1609" s="177"/>
      <c r="B1609" s="169"/>
      <c r="C1609" s="169"/>
      <c r="D1609" s="169"/>
      <c r="E1609" s="169"/>
      <c r="F1609" s="169"/>
      <c r="G1609" s="169"/>
      <c r="H1609" s="169"/>
      <c r="I1609" s="169"/>
      <c r="J1609" s="169"/>
      <c r="K1609" s="169"/>
      <c r="L1609" s="169"/>
      <c r="M1609" s="169"/>
      <c r="N1609" s="177"/>
      <c r="O1609" s="169"/>
      <c r="P1609" s="169"/>
      <c r="Q1609" s="169"/>
      <c r="R1609" s="169"/>
      <c r="S1609" s="169"/>
      <c r="T1609" s="169"/>
      <c r="U1609" s="169"/>
      <c r="V1609" s="169"/>
      <c r="W1609" s="169"/>
      <c r="X1609" s="169"/>
      <c r="Y1609" s="169"/>
      <c r="Z1609" s="178"/>
      <c r="AA1609" s="167"/>
      <c r="AB1609" s="169"/>
      <c r="AC1609" s="169"/>
      <c r="AD1609" s="169"/>
      <c r="AE1609" s="169"/>
      <c r="AF1609" s="169"/>
      <c r="AG1609" s="179"/>
      <c r="AH1609" s="169"/>
      <c r="AI1609" s="168"/>
      <c r="AJ1609" s="167"/>
      <c r="AK1609" s="168"/>
      <c r="AL1609" s="169"/>
      <c r="AM1609" s="509"/>
      <c r="AN1609" s="510"/>
      <c r="AO1609" s="510"/>
    </row>
    <row r="1610" spans="1:41">
      <c r="A1610" s="177"/>
      <c r="B1610" s="169"/>
      <c r="C1610" s="169"/>
      <c r="D1610" s="169"/>
      <c r="E1610" s="169"/>
      <c r="F1610" s="169"/>
      <c r="G1610" s="169"/>
      <c r="H1610" s="169"/>
      <c r="I1610" s="169"/>
      <c r="J1610" s="169"/>
      <c r="K1610" s="169"/>
      <c r="L1610" s="169"/>
      <c r="M1610" s="169"/>
      <c r="N1610" s="177"/>
      <c r="O1610" s="169"/>
      <c r="P1610" s="169"/>
      <c r="Q1610" s="169"/>
      <c r="R1610" s="169"/>
      <c r="S1610" s="169"/>
      <c r="T1610" s="169"/>
      <c r="U1610" s="169"/>
      <c r="V1610" s="169"/>
      <c r="W1610" s="169"/>
      <c r="X1610" s="169"/>
      <c r="Y1610" s="169"/>
      <c r="Z1610" s="178"/>
      <c r="AA1610" s="167"/>
      <c r="AB1610" s="169"/>
      <c r="AC1610" s="169"/>
      <c r="AD1610" s="169"/>
      <c r="AE1610" s="169"/>
      <c r="AF1610" s="169"/>
      <c r="AG1610" s="179"/>
      <c r="AH1610" s="169"/>
      <c r="AI1610" s="168"/>
      <c r="AJ1610" s="167"/>
      <c r="AK1610" s="168"/>
      <c r="AL1610" s="169"/>
      <c r="AM1610" s="509"/>
      <c r="AN1610" s="510"/>
      <c r="AO1610" s="510"/>
    </row>
    <row r="1611" spans="1:41">
      <c r="A1611" s="177"/>
      <c r="B1611" s="169"/>
      <c r="C1611" s="169"/>
      <c r="D1611" s="169"/>
      <c r="E1611" s="169"/>
      <c r="F1611" s="169"/>
      <c r="G1611" s="169"/>
      <c r="H1611" s="169"/>
      <c r="I1611" s="169"/>
      <c r="J1611" s="169"/>
      <c r="K1611" s="169"/>
      <c r="L1611" s="169"/>
      <c r="M1611" s="169"/>
      <c r="N1611" s="177"/>
      <c r="O1611" s="169"/>
      <c r="P1611" s="169"/>
      <c r="Q1611" s="169"/>
      <c r="R1611" s="169"/>
      <c r="S1611" s="169"/>
      <c r="T1611" s="169"/>
      <c r="U1611" s="169"/>
      <c r="V1611" s="169"/>
      <c r="W1611" s="169"/>
      <c r="X1611" s="169"/>
      <c r="Y1611" s="169"/>
      <c r="Z1611" s="178"/>
      <c r="AA1611" s="167"/>
      <c r="AB1611" s="169"/>
      <c r="AC1611" s="169"/>
      <c r="AD1611" s="169"/>
      <c r="AE1611" s="169"/>
      <c r="AF1611" s="169"/>
      <c r="AG1611" s="179"/>
      <c r="AH1611" s="169"/>
      <c r="AI1611" s="168"/>
      <c r="AJ1611" s="167"/>
      <c r="AK1611" s="168"/>
      <c r="AL1611" s="169"/>
      <c r="AM1611" s="509"/>
      <c r="AN1611" s="510"/>
      <c r="AO1611" s="510"/>
    </row>
    <row r="1612" spans="1:41">
      <c r="A1612" s="177"/>
      <c r="B1612" s="169"/>
      <c r="C1612" s="169"/>
      <c r="D1612" s="169"/>
      <c r="E1612" s="169"/>
      <c r="F1612" s="169"/>
      <c r="G1612" s="169"/>
      <c r="H1612" s="169"/>
      <c r="I1612" s="169"/>
      <c r="J1612" s="169"/>
      <c r="K1612" s="169"/>
      <c r="L1612" s="169"/>
      <c r="M1612" s="169"/>
      <c r="N1612" s="177"/>
      <c r="O1612" s="169"/>
      <c r="P1612" s="169"/>
      <c r="Q1612" s="169"/>
      <c r="R1612" s="169"/>
      <c r="S1612" s="169"/>
      <c r="T1612" s="169"/>
      <c r="U1612" s="169"/>
      <c r="V1612" s="169"/>
      <c r="W1612" s="169"/>
      <c r="X1612" s="169"/>
      <c r="Y1612" s="169"/>
      <c r="Z1612" s="178"/>
      <c r="AA1612" s="167"/>
      <c r="AB1612" s="169"/>
      <c r="AC1612" s="169"/>
      <c r="AD1612" s="169"/>
      <c r="AE1612" s="169"/>
      <c r="AF1612" s="169"/>
      <c r="AG1612" s="179"/>
      <c r="AH1612" s="169"/>
      <c r="AI1612" s="168"/>
      <c r="AJ1612" s="167"/>
      <c r="AK1612" s="168"/>
      <c r="AL1612" s="169"/>
      <c r="AM1612" s="509"/>
      <c r="AN1612" s="510"/>
      <c r="AO1612" s="510"/>
    </row>
    <row r="1613" spans="1:41">
      <c r="A1613" s="177"/>
      <c r="B1613" s="169"/>
      <c r="C1613" s="169"/>
      <c r="D1613" s="169"/>
      <c r="E1613" s="169"/>
      <c r="F1613" s="169"/>
      <c r="G1613" s="169"/>
      <c r="H1613" s="169"/>
      <c r="I1613" s="169"/>
      <c r="J1613" s="169"/>
      <c r="K1613" s="169"/>
      <c r="L1613" s="169"/>
      <c r="M1613" s="169"/>
      <c r="N1613" s="177"/>
      <c r="O1613" s="169"/>
      <c r="P1613" s="169"/>
      <c r="Q1613" s="169"/>
      <c r="R1613" s="169"/>
      <c r="S1613" s="169"/>
      <c r="T1613" s="169"/>
      <c r="U1613" s="169"/>
      <c r="V1613" s="169"/>
      <c r="W1613" s="169"/>
      <c r="X1613" s="169"/>
      <c r="Y1613" s="169"/>
      <c r="Z1613" s="178"/>
      <c r="AA1613" s="167"/>
      <c r="AB1613" s="169"/>
      <c r="AC1613" s="169"/>
      <c r="AD1613" s="169"/>
      <c r="AE1613" s="169"/>
      <c r="AF1613" s="169"/>
      <c r="AG1613" s="179"/>
      <c r="AH1613" s="169"/>
      <c r="AI1613" s="168"/>
      <c r="AJ1613" s="167"/>
      <c r="AK1613" s="168"/>
      <c r="AL1613" s="169"/>
      <c r="AM1613" s="509"/>
      <c r="AN1613" s="510"/>
      <c r="AO1613" s="510"/>
    </row>
    <row r="1614" spans="1:41">
      <c r="A1614" s="177"/>
      <c r="B1614" s="169"/>
      <c r="C1614" s="169"/>
      <c r="D1614" s="169"/>
      <c r="E1614" s="169"/>
      <c r="F1614" s="169"/>
      <c r="G1614" s="169"/>
      <c r="H1614" s="169"/>
      <c r="I1614" s="169"/>
      <c r="J1614" s="169"/>
      <c r="K1614" s="169"/>
      <c r="L1614" s="169"/>
      <c r="M1614" s="169"/>
      <c r="N1614" s="177"/>
      <c r="O1614" s="169"/>
      <c r="P1614" s="169"/>
      <c r="Q1614" s="169"/>
      <c r="R1614" s="169"/>
      <c r="S1614" s="169"/>
      <c r="T1614" s="169"/>
      <c r="U1614" s="169"/>
      <c r="V1614" s="169"/>
      <c r="W1614" s="169"/>
      <c r="X1614" s="169"/>
      <c r="Y1614" s="169"/>
      <c r="Z1614" s="178"/>
      <c r="AA1614" s="167"/>
      <c r="AB1614" s="169"/>
      <c r="AC1614" s="169"/>
      <c r="AD1614" s="169"/>
      <c r="AE1614" s="169"/>
      <c r="AF1614" s="169"/>
      <c r="AG1614" s="179"/>
      <c r="AH1614" s="169"/>
      <c r="AI1614" s="168"/>
      <c r="AJ1614" s="167"/>
      <c r="AK1614" s="168"/>
      <c r="AL1614" s="169"/>
      <c r="AM1614" s="509"/>
      <c r="AN1614" s="510"/>
      <c r="AO1614" s="510"/>
    </row>
    <row r="1615" spans="1:41">
      <c r="A1615" s="177"/>
      <c r="B1615" s="169"/>
      <c r="C1615" s="169"/>
      <c r="D1615" s="169"/>
      <c r="E1615" s="169"/>
      <c r="F1615" s="169"/>
      <c r="G1615" s="169"/>
      <c r="H1615" s="169"/>
      <c r="I1615" s="169"/>
      <c r="J1615" s="169"/>
      <c r="K1615" s="169"/>
      <c r="L1615" s="169"/>
      <c r="M1615" s="169"/>
      <c r="N1615" s="177"/>
      <c r="O1615" s="169"/>
      <c r="P1615" s="169"/>
      <c r="Q1615" s="169"/>
      <c r="R1615" s="169"/>
      <c r="S1615" s="169"/>
      <c r="T1615" s="169"/>
      <c r="U1615" s="169"/>
      <c r="V1615" s="169"/>
      <c r="W1615" s="169"/>
      <c r="X1615" s="169"/>
      <c r="Y1615" s="169"/>
      <c r="Z1615" s="178"/>
      <c r="AA1615" s="167"/>
      <c r="AB1615" s="169"/>
      <c r="AC1615" s="169"/>
      <c r="AD1615" s="169"/>
      <c r="AE1615" s="169"/>
      <c r="AF1615" s="169"/>
      <c r="AG1615" s="179"/>
      <c r="AH1615" s="169"/>
      <c r="AI1615" s="168"/>
      <c r="AJ1615" s="167"/>
      <c r="AK1615" s="168"/>
      <c r="AL1615" s="169"/>
      <c r="AM1615" s="509"/>
      <c r="AN1615" s="510"/>
      <c r="AO1615" s="510"/>
    </row>
    <row r="1616" spans="1:41">
      <c r="A1616" s="177"/>
      <c r="B1616" s="169"/>
      <c r="C1616" s="169"/>
      <c r="D1616" s="169"/>
      <c r="E1616" s="169"/>
      <c r="F1616" s="169"/>
      <c r="G1616" s="169"/>
      <c r="H1616" s="169"/>
      <c r="I1616" s="169"/>
      <c r="J1616" s="169"/>
      <c r="K1616" s="169"/>
      <c r="L1616" s="169"/>
      <c r="M1616" s="169"/>
      <c r="N1616" s="177"/>
      <c r="O1616" s="169"/>
      <c r="P1616" s="169"/>
      <c r="Q1616" s="169"/>
      <c r="R1616" s="169"/>
      <c r="S1616" s="169"/>
      <c r="T1616" s="169"/>
      <c r="U1616" s="169"/>
      <c r="V1616" s="169"/>
      <c r="W1616" s="169"/>
      <c r="X1616" s="169"/>
      <c r="Y1616" s="169"/>
      <c r="Z1616" s="178"/>
      <c r="AA1616" s="167"/>
      <c r="AB1616" s="169"/>
      <c r="AC1616" s="169"/>
      <c r="AD1616" s="169"/>
      <c r="AE1616" s="169"/>
      <c r="AF1616" s="169"/>
      <c r="AG1616" s="179"/>
      <c r="AH1616" s="169"/>
      <c r="AI1616" s="168"/>
      <c r="AJ1616" s="167"/>
      <c r="AK1616" s="168"/>
      <c r="AL1616" s="169"/>
      <c r="AM1616" s="509"/>
      <c r="AN1616" s="510"/>
      <c r="AO1616" s="510"/>
    </row>
    <row r="1617" spans="1:41">
      <c r="A1617" s="177"/>
      <c r="B1617" s="169"/>
      <c r="C1617" s="169"/>
      <c r="D1617" s="169"/>
      <c r="E1617" s="169"/>
      <c r="F1617" s="169"/>
      <c r="G1617" s="169"/>
      <c r="H1617" s="169"/>
      <c r="I1617" s="169"/>
      <c r="J1617" s="169"/>
      <c r="K1617" s="169"/>
      <c r="L1617" s="169"/>
      <c r="M1617" s="169"/>
      <c r="N1617" s="177"/>
      <c r="O1617" s="169"/>
      <c r="P1617" s="169"/>
      <c r="Q1617" s="169"/>
      <c r="R1617" s="169"/>
      <c r="S1617" s="169"/>
      <c r="T1617" s="169"/>
      <c r="U1617" s="169"/>
      <c r="V1617" s="169"/>
      <c r="W1617" s="169"/>
      <c r="X1617" s="169"/>
      <c r="Y1617" s="169"/>
      <c r="Z1617" s="178"/>
      <c r="AA1617" s="167"/>
      <c r="AB1617" s="169"/>
      <c r="AC1617" s="169"/>
      <c r="AD1617" s="169"/>
      <c r="AE1617" s="169"/>
      <c r="AF1617" s="169"/>
      <c r="AG1617" s="179"/>
      <c r="AH1617" s="169"/>
      <c r="AI1617" s="168"/>
      <c r="AJ1617" s="167"/>
      <c r="AK1617" s="168"/>
      <c r="AL1617" s="169"/>
      <c r="AM1617" s="509"/>
      <c r="AN1617" s="510"/>
      <c r="AO1617" s="510"/>
    </row>
    <row r="1618" spans="1:41">
      <c r="A1618" s="177"/>
      <c r="B1618" s="169"/>
      <c r="C1618" s="169"/>
      <c r="D1618" s="169"/>
      <c r="E1618" s="169"/>
      <c r="F1618" s="169"/>
      <c r="G1618" s="169"/>
      <c r="H1618" s="169"/>
      <c r="I1618" s="169"/>
      <c r="J1618" s="169"/>
      <c r="K1618" s="169"/>
      <c r="L1618" s="169"/>
      <c r="M1618" s="169"/>
      <c r="N1618" s="177"/>
      <c r="O1618" s="169"/>
      <c r="P1618" s="169"/>
      <c r="Q1618" s="169"/>
      <c r="R1618" s="169"/>
      <c r="S1618" s="169"/>
      <c r="T1618" s="169"/>
      <c r="U1618" s="169"/>
      <c r="V1618" s="169"/>
      <c r="W1618" s="169"/>
      <c r="X1618" s="169"/>
      <c r="Y1618" s="169"/>
      <c r="Z1618" s="178"/>
      <c r="AA1618" s="167"/>
      <c r="AB1618" s="169"/>
      <c r="AC1618" s="169"/>
      <c r="AD1618" s="169"/>
      <c r="AE1618" s="169"/>
      <c r="AF1618" s="169"/>
      <c r="AG1618" s="179"/>
      <c r="AH1618" s="169"/>
      <c r="AI1618" s="168"/>
      <c r="AJ1618" s="167"/>
      <c r="AK1618" s="168"/>
      <c r="AL1618" s="169"/>
      <c r="AM1618" s="509"/>
      <c r="AN1618" s="510"/>
      <c r="AO1618" s="510"/>
    </row>
    <row r="1619" spans="1:41">
      <c r="A1619" s="177"/>
      <c r="B1619" s="169"/>
      <c r="C1619" s="169"/>
      <c r="D1619" s="169"/>
      <c r="E1619" s="169"/>
      <c r="F1619" s="169"/>
      <c r="G1619" s="169"/>
      <c r="H1619" s="169"/>
      <c r="I1619" s="169"/>
      <c r="J1619" s="169"/>
      <c r="K1619" s="169"/>
      <c r="L1619" s="169"/>
      <c r="M1619" s="169"/>
      <c r="N1619" s="177"/>
      <c r="O1619" s="169"/>
      <c r="P1619" s="169"/>
      <c r="Q1619" s="169"/>
      <c r="R1619" s="169"/>
      <c r="S1619" s="169"/>
      <c r="T1619" s="169"/>
      <c r="U1619" s="169"/>
      <c r="V1619" s="169"/>
      <c r="W1619" s="169"/>
      <c r="X1619" s="169"/>
      <c r="Y1619" s="169"/>
      <c r="Z1619" s="178"/>
      <c r="AA1619" s="167"/>
      <c r="AB1619" s="169"/>
      <c r="AC1619" s="169"/>
      <c r="AD1619" s="169"/>
      <c r="AE1619" s="169"/>
      <c r="AF1619" s="169"/>
      <c r="AG1619" s="179"/>
      <c r="AH1619" s="169"/>
      <c r="AI1619" s="168"/>
      <c r="AJ1619" s="167"/>
      <c r="AK1619" s="168"/>
      <c r="AL1619" s="169"/>
      <c r="AM1619" s="509"/>
      <c r="AN1619" s="510"/>
      <c r="AO1619" s="510"/>
    </row>
    <row r="1620" spans="1:41">
      <c r="A1620" s="177"/>
      <c r="B1620" s="169"/>
      <c r="C1620" s="169"/>
      <c r="D1620" s="169"/>
      <c r="E1620" s="169"/>
      <c r="F1620" s="169"/>
      <c r="G1620" s="169"/>
      <c r="H1620" s="169"/>
      <c r="I1620" s="169"/>
      <c r="J1620" s="169"/>
      <c r="K1620" s="169"/>
      <c r="L1620" s="169"/>
      <c r="M1620" s="169"/>
      <c r="N1620" s="177"/>
      <c r="O1620" s="169"/>
      <c r="P1620" s="169"/>
      <c r="Q1620" s="169"/>
      <c r="R1620" s="169"/>
      <c r="S1620" s="169"/>
      <c r="T1620" s="169"/>
      <c r="U1620" s="169"/>
      <c r="V1620" s="169"/>
      <c r="W1620" s="169"/>
      <c r="X1620" s="169"/>
      <c r="Y1620" s="169"/>
      <c r="Z1620" s="178"/>
      <c r="AA1620" s="167"/>
      <c r="AB1620" s="169"/>
      <c r="AC1620" s="169"/>
      <c r="AD1620" s="169"/>
      <c r="AE1620" s="169"/>
      <c r="AF1620" s="169"/>
      <c r="AG1620" s="179"/>
      <c r="AH1620" s="169"/>
      <c r="AI1620" s="168"/>
      <c r="AJ1620" s="167"/>
      <c r="AK1620" s="168"/>
      <c r="AL1620" s="169"/>
      <c r="AM1620" s="509"/>
      <c r="AN1620" s="510"/>
      <c r="AO1620" s="510"/>
    </row>
    <row r="1621" spans="1:41">
      <c r="A1621" s="177"/>
      <c r="B1621" s="169"/>
      <c r="C1621" s="169"/>
      <c r="D1621" s="169"/>
      <c r="E1621" s="169"/>
      <c r="F1621" s="169"/>
      <c r="G1621" s="169"/>
      <c r="H1621" s="169"/>
      <c r="I1621" s="169"/>
      <c r="J1621" s="169"/>
      <c r="K1621" s="169"/>
      <c r="L1621" s="169"/>
      <c r="M1621" s="169"/>
      <c r="N1621" s="177"/>
      <c r="O1621" s="169"/>
      <c r="P1621" s="169"/>
      <c r="Q1621" s="169"/>
      <c r="R1621" s="169"/>
      <c r="S1621" s="169"/>
      <c r="T1621" s="169"/>
      <c r="U1621" s="169"/>
      <c r="V1621" s="169"/>
      <c r="W1621" s="169"/>
      <c r="X1621" s="169"/>
      <c r="Y1621" s="169"/>
      <c r="Z1621" s="178"/>
      <c r="AA1621" s="167"/>
      <c r="AB1621" s="169"/>
      <c r="AC1621" s="169"/>
      <c r="AD1621" s="169"/>
      <c r="AE1621" s="169"/>
      <c r="AF1621" s="169"/>
      <c r="AG1621" s="179"/>
      <c r="AH1621" s="169"/>
      <c r="AI1621" s="168"/>
      <c r="AJ1621" s="167"/>
      <c r="AK1621" s="168"/>
      <c r="AL1621" s="169"/>
      <c r="AM1621" s="509"/>
      <c r="AN1621" s="510"/>
      <c r="AO1621" s="510"/>
    </row>
    <row r="1622" spans="1:41">
      <c r="A1622" s="177"/>
      <c r="B1622" s="169"/>
      <c r="C1622" s="169"/>
      <c r="D1622" s="169"/>
      <c r="E1622" s="169"/>
      <c r="F1622" s="169"/>
      <c r="G1622" s="169"/>
      <c r="H1622" s="169"/>
      <c r="I1622" s="169"/>
      <c r="J1622" s="169"/>
      <c r="K1622" s="169"/>
      <c r="L1622" s="169"/>
      <c r="M1622" s="169"/>
      <c r="N1622" s="177"/>
      <c r="O1622" s="169"/>
      <c r="P1622" s="169"/>
      <c r="Q1622" s="169"/>
      <c r="R1622" s="169"/>
      <c r="S1622" s="169"/>
      <c r="T1622" s="169"/>
      <c r="U1622" s="169"/>
      <c r="V1622" s="169"/>
      <c r="W1622" s="169"/>
      <c r="X1622" s="169"/>
      <c r="Y1622" s="169"/>
      <c r="Z1622" s="178"/>
      <c r="AA1622" s="167"/>
      <c r="AB1622" s="169"/>
      <c r="AC1622" s="169"/>
      <c r="AD1622" s="169"/>
      <c r="AE1622" s="169"/>
      <c r="AF1622" s="169"/>
      <c r="AG1622" s="179"/>
      <c r="AH1622" s="169"/>
      <c r="AI1622" s="168"/>
      <c r="AJ1622" s="167"/>
      <c r="AK1622" s="168"/>
      <c r="AL1622" s="169"/>
      <c r="AM1622" s="509"/>
      <c r="AN1622" s="510"/>
      <c r="AO1622" s="510"/>
    </row>
    <row r="1623" spans="1:41">
      <c r="A1623" s="177"/>
      <c r="B1623" s="169"/>
      <c r="C1623" s="169"/>
      <c r="D1623" s="169"/>
      <c r="E1623" s="169"/>
      <c r="F1623" s="169"/>
      <c r="G1623" s="169"/>
      <c r="H1623" s="169"/>
      <c r="I1623" s="169"/>
      <c r="J1623" s="169"/>
      <c r="K1623" s="169"/>
      <c r="L1623" s="169"/>
      <c r="M1623" s="169"/>
      <c r="N1623" s="177"/>
      <c r="O1623" s="169"/>
      <c r="P1623" s="169"/>
      <c r="Q1623" s="169"/>
      <c r="R1623" s="169"/>
      <c r="S1623" s="169"/>
      <c r="T1623" s="169"/>
      <c r="U1623" s="169"/>
      <c r="V1623" s="169"/>
      <c r="W1623" s="169"/>
      <c r="X1623" s="169"/>
      <c r="Y1623" s="169"/>
      <c r="Z1623" s="178"/>
      <c r="AA1623" s="167"/>
      <c r="AB1623" s="169"/>
      <c r="AC1623" s="169"/>
      <c r="AD1623" s="169"/>
      <c r="AE1623" s="169"/>
      <c r="AF1623" s="169"/>
      <c r="AG1623" s="179"/>
      <c r="AH1623" s="169"/>
      <c r="AI1623" s="168"/>
      <c r="AJ1623" s="167"/>
      <c r="AK1623" s="168"/>
      <c r="AL1623" s="169"/>
      <c r="AM1623" s="509"/>
      <c r="AN1623" s="510"/>
      <c r="AO1623" s="510"/>
    </row>
    <row r="1624" spans="1:41">
      <c r="A1624" s="177"/>
      <c r="B1624" s="169"/>
      <c r="C1624" s="169"/>
      <c r="D1624" s="169"/>
      <c r="E1624" s="169"/>
      <c r="F1624" s="169"/>
      <c r="G1624" s="169"/>
      <c r="H1624" s="169"/>
      <c r="I1624" s="169"/>
      <c r="J1624" s="169"/>
      <c r="K1624" s="169"/>
      <c r="L1624" s="169"/>
      <c r="M1624" s="169"/>
      <c r="N1624" s="177"/>
      <c r="O1624" s="169"/>
      <c r="P1624" s="169"/>
      <c r="Q1624" s="169"/>
      <c r="R1624" s="169"/>
      <c r="S1624" s="169"/>
      <c r="T1624" s="169"/>
      <c r="U1624" s="169"/>
      <c r="V1624" s="169"/>
      <c r="W1624" s="169"/>
      <c r="X1624" s="169"/>
      <c r="Y1624" s="169"/>
      <c r="Z1624" s="178"/>
      <c r="AA1624" s="167"/>
      <c r="AB1624" s="169"/>
      <c r="AC1624" s="169"/>
      <c r="AD1624" s="169"/>
      <c r="AE1624" s="169"/>
      <c r="AF1624" s="169"/>
      <c r="AG1624" s="179"/>
      <c r="AH1624" s="169"/>
      <c r="AI1624" s="168"/>
      <c r="AJ1624" s="167"/>
      <c r="AK1624" s="168"/>
      <c r="AL1624" s="169"/>
      <c r="AM1624" s="509"/>
      <c r="AN1624" s="510"/>
      <c r="AO1624" s="510"/>
    </row>
    <row r="1625" spans="1:41">
      <c r="A1625" s="177"/>
      <c r="B1625" s="169"/>
      <c r="C1625" s="169"/>
      <c r="D1625" s="169"/>
      <c r="E1625" s="169"/>
      <c r="F1625" s="169"/>
      <c r="G1625" s="169"/>
      <c r="H1625" s="169"/>
      <c r="I1625" s="169"/>
      <c r="J1625" s="169"/>
      <c r="K1625" s="169"/>
      <c r="L1625" s="169"/>
      <c r="M1625" s="169"/>
      <c r="N1625" s="177"/>
      <c r="O1625" s="169"/>
      <c r="P1625" s="169"/>
      <c r="Q1625" s="169"/>
      <c r="R1625" s="169"/>
      <c r="S1625" s="169"/>
      <c r="T1625" s="169"/>
      <c r="U1625" s="169"/>
      <c r="V1625" s="169"/>
      <c r="W1625" s="169"/>
      <c r="X1625" s="169"/>
      <c r="Y1625" s="169"/>
      <c r="Z1625" s="178"/>
      <c r="AA1625" s="167"/>
      <c r="AB1625" s="169"/>
      <c r="AC1625" s="169"/>
      <c r="AD1625" s="169"/>
      <c r="AE1625" s="169"/>
      <c r="AF1625" s="169"/>
      <c r="AG1625" s="179"/>
      <c r="AH1625" s="169"/>
      <c r="AI1625" s="168"/>
      <c r="AJ1625" s="167"/>
      <c r="AK1625" s="168"/>
      <c r="AL1625" s="169"/>
      <c r="AM1625" s="509"/>
      <c r="AN1625" s="510"/>
      <c r="AO1625" s="510"/>
    </row>
    <row r="1626" spans="1:41">
      <c r="A1626" s="177"/>
      <c r="B1626" s="169"/>
      <c r="C1626" s="169"/>
      <c r="D1626" s="169"/>
      <c r="E1626" s="169"/>
      <c r="F1626" s="169"/>
      <c r="G1626" s="169"/>
      <c r="H1626" s="169"/>
      <c r="I1626" s="169"/>
      <c r="J1626" s="169"/>
      <c r="K1626" s="169"/>
      <c r="L1626" s="169"/>
      <c r="M1626" s="169"/>
      <c r="N1626" s="177"/>
      <c r="O1626" s="169"/>
      <c r="P1626" s="169"/>
      <c r="Q1626" s="169"/>
      <c r="R1626" s="169"/>
      <c r="S1626" s="169"/>
      <c r="T1626" s="169"/>
      <c r="U1626" s="169"/>
      <c r="V1626" s="169"/>
      <c r="W1626" s="169"/>
      <c r="X1626" s="169"/>
      <c r="Y1626" s="169"/>
      <c r="Z1626" s="178"/>
      <c r="AA1626" s="167"/>
      <c r="AB1626" s="169"/>
      <c r="AC1626" s="169"/>
      <c r="AD1626" s="169"/>
      <c r="AE1626" s="169"/>
      <c r="AF1626" s="169"/>
      <c r="AG1626" s="179"/>
      <c r="AH1626" s="169"/>
      <c r="AI1626" s="168"/>
      <c r="AJ1626" s="167"/>
      <c r="AK1626" s="168"/>
      <c r="AL1626" s="169"/>
      <c r="AM1626" s="509"/>
      <c r="AN1626" s="510"/>
      <c r="AO1626" s="510"/>
    </row>
    <row r="1627" spans="1:41">
      <c r="A1627" s="177"/>
      <c r="B1627" s="169"/>
      <c r="C1627" s="169"/>
      <c r="D1627" s="169"/>
      <c r="E1627" s="169"/>
      <c r="F1627" s="169"/>
      <c r="G1627" s="169"/>
      <c r="H1627" s="169"/>
      <c r="I1627" s="169"/>
      <c r="J1627" s="169"/>
      <c r="K1627" s="169"/>
      <c r="L1627" s="169"/>
      <c r="M1627" s="169"/>
      <c r="N1627" s="177"/>
      <c r="O1627" s="169"/>
      <c r="P1627" s="169"/>
      <c r="Q1627" s="169"/>
      <c r="R1627" s="169"/>
      <c r="S1627" s="169"/>
      <c r="T1627" s="169"/>
      <c r="U1627" s="169"/>
      <c r="V1627" s="169"/>
      <c r="W1627" s="169"/>
      <c r="X1627" s="169"/>
      <c r="Y1627" s="169"/>
      <c r="Z1627" s="178"/>
      <c r="AA1627" s="167"/>
      <c r="AB1627" s="169"/>
      <c r="AC1627" s="169"/>
      <c r="AD1627" s="169"/>
      <c r="AE1627" s="169"/>
      <c r="AF1627" s="169"/>
      <c r="AG1627" s="179"/>
      <c r="AH1627" s="169"/>
      <c r="AI1627" s="168"/>
      <c r="AJ1627" s="167"/>
      <c r="AK1627" s="168"/>
      <c r="AL1627" s="169"/>
      <c r="AM1627" s="509"/>
      <c r="AN1627" s="510"/>
      <c r="AO1627" s="510"/>
    </row>
    <row r="1628" spans="1:41">
      <c r="A1628" s="177"/>
      <c r="B1628" s="169"/>
      <c r="C1628" s="169"/>
      <c r="D1628" s="169"/>
      <c r="E1628" s="169"/>
      <c r="F1628" s="169"/>
      <c r="G1628" s="169"/>
      <c r="H1628" s="169"/>
      <c r="I1628" s="169"/>
      <c r="J1628" s="169"/>
      <c r="K1628" s="169"/>
      <c r="L1628" s="169"/>
      <c r="M1628" s="169"/>
      <c r="N1628" s="177"/>
      <c r="O1628" s="169"/>
      <c r="P1628" s="169"/>
      <c r="Q1628" s="169"/>
      <c r="R1628" s="169"/>
      <c r="S1628" s="169"/>
      <c r="T1628" s="169"/>
      <c r="U1628" s="169"/>
      <c r="V1628" s="169"/>
      <c r="W1628" s="169"/>
      <c r="X1628" s="169"/>
      <c r="Y1628" s="169"/>
      <c r="Z1628" s="178"/>
      <c r="AA1628" s="167"/>
      <c r="AB1628" s="169"/>
      <c r="AC1628" s="169"/>
      <c r="AD1628" s="169"/>
      <c r="AE1628" s="169"/>
      <c r="AF1628" s="169"/>
      <c r="AG1628" s="179"/>
      <c r="AH1628" s="169"/>
      <c r="AI1628" s="168"/>
      <c r="AJ1628" s="167"/>
      <c r="AK1628" s="168"/>
      <c r="AL1628" s="169"/>
      <c r="AM1628" s="509"/>
      <c r="AN1628" s="510"/>
      <c r="AO1628" s="510"/>
    </row>
    <row r="1629" spans="1:41">
      <c r="A1629" s="177"/>
      <c r="B1629" s="169"/>
      <c r="C1629" s="169"/>
      <c r="D1629" s="169"/>
      <c r="E1629" s="169"/>
      <c r="F1629" s="169"/>
      <c r="G1629" s="169"/>
      <c r="H1629" s="169"/>
      <c r="I1629" s="169"/>
      <c r="J1629" s="169"/>
      <c r="K1629" s="169"/>
      <c r="L1629" s="169"/>
      <c r="M1629" s="169"/>
      <c r="N1629" s="177"/>
      <c r="O1629" s="169"/>
      <c r="P1629" s="169"/>
      <c r="Q1629" s="169"/>
      <c r="R1629" s="169"/>
      <c r="S1629" s="169"/>
      <c r="T1629" s="169"/>
      <c r="U1629" s="169"/>
      <c r="V1629" s="169"/>
      <c r="W1629" s="169"/>
      <c r="X1629" s="169"/>
      <c r="Y1629" s="169"/>
      <c r="Z1629" s="178"/>
      <c r="AA1629" s="167"/>
      <c r="AB1629" s="169"/>
      <c r="AC1629" s="169"/>
      <c r="AD1629" s="169"/>
      <c r="AE1629" s="169"/>
      <c r="AF1629" s="169"/>
      <c r="AG1629" s="179"/>
      <c r="AH1629" s="169"/>
      <c r="AI1629" s="168"/>
      <c r="AJ1629" s="167"/>
      <c r="AK1629" s="168"/>
      <c r="AL1629" s="169"/>
      <c r="AM1629" s="509"/>
      <c r="AN1629" s="510"/>
      <c r="AO1629" s="510"/>
    </row>
    <row r="1630" spans="1:41">
      <c r="A1630" s="177"/>
      <c r="B1630" s="169"/>
      <c r="C1630" s="169"/>
      <c r="D1630" s="169"/>
      <c r="E1630" s="169"/>
      <c r="F1630" s="169"/>
      <c r="G1630" s="169"/>
      <c r="H1630" s="169"/>
      <c r="I1630" s="169"/>
      <c r="J1630" s="169"/>
      <c r="K1630" s="169"/>
      <c r="L1630" s="169"/>
      <c r="M1630" s="169"/>
      <c r="N1630" s="177"/>
      <c r="O1630" s="169"/>
      <c r="P1630" s="169"/>
      <c r="Q1630" s="169"/>
      <c r="R1630" s="169"/>
      <c r="S1630" s="169"/>
      <c r="T1630" s="169"/>
      <c r="U1630" s="169"/>
      <c r="V1630" s="169"/>
      <c r="W1630" s="169"/>
      <c r="X1630" s="169"/>
      <c r="Y1630" s="169"/>
      <c r="Z1630" s="178"/>
      <c r="AA1630" s="167"/>
      <c r="AB1630" s="169"/>
      <c r="AC1630" s="169"/>
      <c r="AD1630" s="169"/>
      <c r="AE1630" s="169"/>
      <c r="AF1630" s="169"/>
      <c r="AG1630" s="179"/>
      <c r="AH1630" s="169"/>
      <c r="AI1630" s="168"/>
      <c r="AJ1630" s="167"/>
      <c r="AK1630" s="168"/>
      <c r="AL1630" s="169"/>
      <c r="AM1630" s="509"/>
      <c r="AN1630" s="510"/>
      <c r="AO1630" s="510"/>
    </row>
    <row r="1631" spans="1:41">
      <c r="A1631" s="177"/>
      <c r="B1631" s="169"/>
      <c r="C1631" s="169"/>
      <c r="D1631" s="169"/>
      <c r="E1631" s="169"/>
      <c r="F1631" s="169"/>
      <c r="G1631" s="169"/>
      <c r="H1631" s="169"/>
      <c r="I1631" s="169"/>
      <c r="J1631" s="169"/>
      <c r="K1631" s="169"/>
      <c r="L1631" s="169"/>
      <c r="M1631" s="169"/>
      <c r="N1631" s="177"/>
      <c r="O1631" s="169"/>
      <c r="P1631" s="169"/>
      <c r="Q1631" s="169"/>
      <c r="R1631" s="169"/>
      <c r="S1631" s="169"/>
      <c r="T1631" s="169"/>
      <c r="U1631" s="169"/>
      <c r="V1631" s="169"/>
      <c r="W1631" s="169"/>
      <c r="X1631" s="169"/>
      <c r="Y1631" s="169"/>
      <c r="Z1631" s="178"/>
      <c r="AA1631" s="167"/>
      <c r="AB1631" s="169"/>
      <c r="AC1631" s="169"/>
      <c r="AD1631" s="169"/>
      <c r="AE1631" s="169"/>
      <c r="AF1631" s="169"/>
      <c r="AG1631" s="179"/>
      <c r="AH1631" s="169"/>
      <c r="AI1631" s="168"/>
      <c r="AJ1631" s="167"/>
      <c r="AK1631" s="168"/>
      <c r="AL1631" s="169"/>
      <c r="AM1631" s="509"/>
      <c r="AN1631" s="510"/>
      <c r="AO1631" s="510"/>
    </row>
    <row r="1632" spans="1:41">
      <c r="A1632" s="177"/>
      <c r="B1632" s="169"/>
      <c r="C1632" s="169"/>
      <c r="D1632" s="169"/>
      <c r="E1632" s="169"/>
      <c r="F1632" s="169"/>
      <c r="G1632" s="169"/>
      <c r="H1632" s="169"/>
      <c r="I1632" s="169"/>
      <c r="J1632" s="169"/>
      <c r="K1632" s="169"/>
      <c r="L1632" s="169"/>
      <c r="M1632" s="169"/>
      <c r="N1632" s="177"/>
      <c r="O1632" s="169"/>
      <c r="P1632" s="169"/>
      <c r="Q1632" s="169"/>
      <c r="R1632" s="169"/>
      <c r="S1632" s="169"/>
      <c r="T1632" s="169"/>
      <c r="U1632" s="169"/>
      <c r="V1632" s="169"/>
      <c r="W1632" s="169"/>
      <c r="X1632" s="169"/>
      <c r="Y1632" s="169"/>
      <c r="Z1632" s="178"/>
      <c r="AA1632" s="167"/>
      <c r="AB1632" s="169"/>
      <c r="AC1632" s="169"/>
      <c r="AD1632" s="169"/>
      <c r="AE1632" s="169"/>
      <c r="AF1632" s="169"/>
      <c r="AG1632" s="179"/>
      <c r="AH1632" s="169"/>
      <c r="AI1632" s="168"/>
      <c r="AJ1632" s="167"/>
      <c r="AK1632" s="168"/>
      <c r="AL1632" s="169"/>
      <c r="AM1632" s="509"/>
      <c r="AN1632" s="510"/>
      <c r="AO1632" s="510"/>
    </row>
    <row r="1633" spans="1:41">
      <c r="A1633" s="177"/>
      <c r="B1633" s="169"/>
      <c r="C1633" s="169"/>
      <c r="D1633" s="169"/>
      <c r="E1633" s="169"/>
      <c r="F1633" s="169"/>
      <c r="G1633" s="169"/>
      <c r="H1633" s="169"/>
      <c r="I1633" s="169"/>
      <c r="J1633" s="169"/>
      <c r="K1633" s="169"/>
      <c r="L1633" s="169"/>
      <c r="M1633" s="169"/>
      <c r="N1633" s="177"/>
      <c r="O1633" s="169"/>
      <c r="P1633" s="169"/>
      <c r="Q1633" s="169"/>
      <c r="R1633" s="169"/>
      <c r="S1633" s="169"/>
      <c r="T1633" s="169"/>
      <c r="U1633" s="169"/>
      <c r="V1633" s="169"/>
      <c r="W1633" s="169"/>
      <c r="X1633" s="169"/>
      <c r="Y1633" s="169"/>
      <c r="Z1633" s="178"/>
      <c r="AA1633" s="167"/>
      <c r="AB1633" s="169"/>
      <c r="AC1633" s="169"/>
      <c r="AD1633" s="169"/>
      <c r="AE1633" s="169"/>
      <c r="AF1633" s="169"/>
      <c r="AG1633" s="179"/>
      <c r="AH1633" s="169"/>
      <c r="AI1633" s="168"/>
      <c r="AJ1633" s="167"/>
      <c r="AK1633" s="168"/>
      <c r="AL1633" s="169"/>
      <c r="AM1633" s="509"/>
      <c r="AN1633" s="510"/>
      <c r="AO1633" s="510"/>
    </row>
    <row r="1634" spans="1:41">
      <c r="A1634" s="177"/>
      <c r="B1634" s="169"/>
      <c r="C1634" s="169"/>
      <c r="D1634" s="169"/>
      <c r="E1634" s="169"/>
      <c r="F1634" s="169"/>
      <c r="G1634" s="169"/>
      <c r="H1634" s="169"/>
      <c r="I1634" s="169"/>
      <c r="J1634" s="169"/>
      <c r="K1634" s="169"/>
      <c r="L1634" s="169"/>
      <c r="M1634" s="169"/>
      <c r="N1634" s="177"/>
      <c r="O1634" s="169"/>
      <c r="P1634" s="169"/>
      <c r="Q1634" s="169"/>
      <c r="R1634" s="169"/>
      <c r="S1634" s="169"/>
      <c r="T1634" s="169"/>
      <c r="U1634" s="169"/>
      <c r="V1634" s="169"/>
      <c r="W1634" s="169"/>
      <c r="X1634" s="169"/>
      <c r="Y1634" s="169"/>
      <c r="Z1634" s="178"/>
      <c r="AA1634" s="167"/>
      <c r="AB1634" s="169"/>
      <c r="AC1634" s="169"/>
      <c r="AD1634" s="169"/>
      <c r="AE1634" s="169"/>
      <c r="AF1634" s="169"/>
      <c r="AG1634" s="179"/>
      <c r="AH1634" s="169"/>
      <c r="AI1634" s="168"/>
      <c r="AJ1634" s="167"/>
      <c r="AK1634" s="168"/>
      <c r="AL1634" s="169"/>
      <c r="AM1634" s="509"/>
      <c r="AN1634" s="510"/>
      <c r="AO1634" s="510"/>
    </row>
    <row r="1635" spans="1:41">
      <c r="A1635" s="177"/>
      <c r="B1635" s="169"/>
      <c r="C1635" s="169"/>
      <c r="D1635" s="169"/>
      <c r="E1635" s="169"/>
      <c r="F1635" s="169"/>
      <c r="G1635" s="169"/>
      <c r="H1635" s="169"/>
      <c r="I1635" s="169"/>
      <c r="J1635" s="169"/>
      <c r="K1635" s="169"/>
      <c r="L1635" s="169"/>
      <c r="M1635" s="169"/>
      <c r="N1635" s="177"/>
      <c r="O1635" s="169"/>
      <c r="P1635" s="169"/>
      <c r="Q1635" s="169"/>
      <c r="R1635" s="169"/>
      <c r="S1635" s="169"/>
      <c r="T1635" s="169"/>
      <c r="U1635" s="169"/>
      <c r="V1635" s="169"/>
      <c r="W1635" s="169"/>
      <c r="X1635" s="169"/>
      <c r="Y1635" s="169"/>
      <c r="Z1635" s="178"/>
      <c r="AA1635" s="167"/>
      <c r="AB1635" s="169"/>
      <c r="AC1635" s="169"/>
      <c r="AD1635" s="169"/>
      <c r="AE1635" s="169"/>
      <c r="AF1635" s="169"/>
      <c r="AG1635" s="179"/>
      <c r="AH1635" s="169"/>
      <c r="AI1635" s="168"/>
      <c r="AJ1635" s="167"/>
      <c r="AK1635" s="168"/>
      <c r="AL1635" s="169"/>
      <c r="AM1635" s="509"/>
      <c r="AN1635" s="510"/>
      <c r="AO1635" s="510"/>
    </row>
    <row r="1636" spans="1:41">
      <c r="A1636" s="177"/>
      <c r="B1636" s="169"/>
      <c r="C1636" s="169"/>
      <c r="D1636" s="169"/>
      <c r="E1636" s="169"/>
      <c r="F1636" s="169"/>
      <c r="G1636" s="169"/>
      <c r="H1636" s="169"/>
      <c r="I1636" s="169"/>
      <c r="J1636" s="169"/>
      <c r="K1636" s="169"/>
      <c r="L1636" s="169"/>
      <c r="M1636" s="169"/>
      <c r="N1636" s="177"/>
      <c r="O1636" s="169"/>
      <c r="P1636" s="169"/>
      <c r="Q1636" s="169"/>
      <c r="R1636" s="169"/>
      <c r="S1636" s="169"/>
      <c r="T1636" s="169"/>
      <c r="U1636" s="169"/>
      <c r="V1636" s="169"/>
      <c r="W1636" s="169"/>
      <c r="X1636" s="169"/>
      <c r="Y1636" s="169"/>
      <c r="Z1636" s="178"/>
      <c r="AA1636" s="167"/>
      <c r="AB1636" s="169"/>
      <c r="AC1636" s="169"/>
      <c r="AD1636" s="169"/>
      <c r="AE1636" s="169"/>
      <c r="AF1636" s="169"/>
      <c r="AG1636" s="179"/>
      <c r="AH1636" s="169"/>
      <c r="AI1636" s="168"/>
      <c r="AJ1636" s="167"/>
      <c r="AK1636" s="168"/>
      <c r="AL1636" s="169"/>
      <c r="AM1636" s="509"/>
      <c r="AN1636" s="510"/>
      <c r="AO1636" s="510"/>
    </row>
    <row r="1637" spans="1:41">
      <c r="A1637" s="177"/>
      <c r="B1637" s="169"/>
      <c r="C1637" s="169"/>
      <c r="D1637" s="169"/>
      <c r="E1637" s="169"/>
      <c r="F1637" s="169"/>
      <c r="G1637" s="169"/>
      <c r="H1637" s="169"/>
      <c r="I1637" s="169"/>
      <c r="J1637" s="169"/>
      <c r="K1637" s="169"/>
      <c r="L1637" s="169"/>
      <c r="M1637" s="169"/>
      <c r="N1637" s="177"/>
      <c r="O1637" s="169"/>
      <c r="P1637" s="169"/>
      <c r="Q1637" s="169"/>
      <c r="R1637" s="169"/>
      <c r="S1637" s="169"/>
      <c r="T1637" s="169"/>
      <c r="U1637" s="169"/>
      <c r="V1637" s="169"/>
      <c r="W1637" s="169"/>
      <c r="X1637" s="169"/>
      <c r="Y1637" s="169"/>
      <c r="Z1637" s="178"/>
      <c r="AA1637" s="167"/>
      <c r="AB1637" s="169"/>
      <c r="AC1637" s="169"/>
      <c r="AD1637" s="169"/>
      <c r="AE1637" s="169"/>
      <c r="AF1637" s="169"/>
      <c r="AG1637" s="179"/>
      <c r="AH1637" s="169"/>
      <c r="AI1637" s="168"/>
      <c r="AJ1637" s="167"/>
      <c r="AK1637" s="168"/>
      <c r="AL1637" s="169"/>
      <c r="AM1637" s="509"/>
      <c r="AN1637" s="510"/>
      <c r="AO1637" s="510"/>
    </row>
    <row r="1638" spans="1:41">
      <c r="A1638" s="177"/>
      <c r="B1638" s="169"/>
      <c r="C1638" s="169"/>
      <c r="D1638" s="169"/>
      <c r="E1638" s="169"/>
      <c r="F1638" s="169"/>
      <c r="G1638" s="169"/>
      <c r="H1638" s="169"/>
      <c r="I1638" s="169"/>
      <c r="J1638" s="169"/>
      <c r="K1638" s="169"/>
      <c r="L1638" s="169"/>
      <c r="M1638" s="169"/>
      <c r="N1638" s="177"/>
      <c r="O1638" s="169"/>
      <c r="P1638" s="169"/>
      <c r="Q1638" s="169"/>
      <c r="R1638" s="169"/>
      <c r="S1638" s="169"/>
      <c r="T1638" s="169"/>
      <c r="U1638" s="169"/>
      <c r="V1638" s="169"/>
      <c r="W1638" s="169"/>
      <c r="X1638" s="169"/>
      <c r="Y1638" s="169"/>
      <c r="Z1638" s="178"/>
      <c r="AA1638" s="167"/>
      <c r="AB1638" s="169"/>
      <c r="AC1638" s="169"/>
      <c r="AD1638" s="169"/>
      <c r="AE1638" s="169"/>
      <c r="AF1638" s="169"/>
      <c r="AG1638" s="179"/>
      <c r="AH1638" s="169"/>
      <c r="AI1638" s="168"/>
      <c r="AJ1638" s="167"/>
      <c r="AK1638" s="168"/>
      <c r="AL1638" s="169"/>
      <c r="AM1638" s="509"/>
      <c r="AN1638" s="510"/>
      <c r="AO1638" s="510"/>
    </row>
    <row r="1639" spans="1:41">
      <c r="A1639" s="177"/>
      <c r="B1639" s="169"/>
      <c r="C1639" s="169"/>
      <c r="D1639" s="169"/>
      <c r="E1639" s="169"/>
      <c r="F1639" s="169"/>
      <c r="G1639" s="169"/>
      <c r="H1639" s="169"/>
      <c r="I1639" s="169"/>
      <c r="J1639" s="169"/>
      <c r="K1639" s="169"/>
      <c r="L1639" s="169"/>
      <c r="M1639" s="169"/>
      <c r="N1639" s="177"/>
      <c r="O1639" s="169"/>
      <c r="P1639" s="169"/>
      <c r="Q1639" s="169"/>
      <c r="R1639" s="169"/>
      <c r="S1639" s="169"/>
      <c r="T1639" s="169"/>
      <c r="U1639" s="169"/>
      <c r="V1639" s="169"/>
      <c r="W1639" s="169"/>
      <c r="X1639" s="169"/>
      <c r="Y1639" s="169"/>
      <c r="Z1639" s="178"/>
      <c r="AA1639" s="167"/>
      <c r="AB1639" s="169"/>
      <c r="AC1639" s="169"/>
      <c r="AD1639" s="169"/>
      <c r="AE1639" s="169"/>
      <c r="AF1639" s="169"/>
      <c r="AG1639" s="179"/>
      <c r="AH1639" s="169"/>
      <c r="AI1639" s="168"/>
      <c r="AJ1639" s="167"/>
      <c r="AK1639" s="168"/>
      <c r="AL1639" s="169"/>
      <c r="AM1639" s="509"/>
      <c r="AN1639" s="510"/>
      <c r="AO1639" s="510"/>
    </row>
    <row r="1640" spans="1:41">
      <c r="A1640" s="177"/>
      <c r="B1640" s="169"/>
      <c r="C1640" s="169"/>
      <c r="D1640" s="169"/>
      <c r="E1640" s="169"/>
      <c r="F1640" s="169"/>
      <c r="G1640" s="169"/>
      <c r="H1640" s="169"/>
      <c r="I1640" s="169"/>
      <c r="J1640" s="169"/>
      <c r="K1640" s="169"/>
      <c r="L1640" s="169"/>
      <c r="M1640" s="169"/>
      <c r="N1640" s="177"/>
      <c r="O1640" s="169"/>
      <c r="P1640" s="169"/>
      <c r="Q1640" s="169"/>
      <c r="R1640" s="169"/>
      <c r="S1640" s="169"/>
      <c r="T1640" s="169"/>
      <c r="U1640" s="169"/>
      <c r="V1640" s="169"/>
      <c r="W1640" s="169"/>
      <c r="X1640" s="169"/>
      <c r="Y1640" s="169"/>
      <c r="Z1640" s="178"/>
      <c r="AA1640" s="167"/>
      <c r="AB1640" s="169"/>
      <c r="AC1640" s="169"/>
      <c r="AD1640" s="169"/>
      <c r="AE1640" s="169"/>
      <c r="AF1640" s="169"/>
      <c r="AG1640" s="179"/>
      <c r="AH1640" s="169"/>
      <c r="AI1640" s="168"/>
      <c r="AJ1640" s="167"/>
      <c r="AK1640" s="168"/>
      <c r="AL1640" s="169"/>
      <c r="AM1640" s="509"/>
      <c r="AN1640" s="510"/>
      <c r="AO1640" s="510"/>
    </row>
    <row r="1641" spans="1:41">
      <c r="A1641" s="177"/>
      <c r="B1641" s="169"/>
      <c r="C1641" s="169"/>
      <c r="D1641" s="169"/>
      <c r="E1641" s="169"/>
      <c r="F1641" s="169"/>
      <c r="G1641" s="169"/>
      <c r="H1641" s="169"/>
      <c r="I1641" s="169"/>
      <c r="J1641" s="169"/>
      <c r="K1641" s="169"/>
      <c r="L1641" s="169"/>
      <c r="M1641" s="169"/>
      <c r="N1641" s="177"/>
      <c r="O1641" s="169"/>
      <c r="P1641" s="169"/>
      <c r="Q1641" s="169"/>
      <c r="R1641" s="169"/>
      <c r="S1641" s="169"/>
      <c r="T1641" s="169"/>
      <c r="U1641" s="169"/>
      <c r="V1641" s="169"/>
      <c r="W1641" s="169"/>
      <c r="X1641" s="169"/>
      <c r="Y1641" s="169"/>
      <c r="Z1641" s="178"/>
      <c r="AA1641" s="167"/>
      <c r="AB1641" s="169"/>
      <c r="AC1641" s="169"/>
      <c r="AD1641" s="169"/>
      <c r="AE1641" s="169"/>
      <c r="AF1641" s="169"/>
      <c r="AG1641" s="179"/>
      <c r="AH1641" s="169"/>
      <c r="AI1641" s="168"/>
      <c r="AJ1641" s="167"/>
      <c r="AK1641" s="168"/>
      <c r="AL1641" s="169"/>
      <c r="AM1641" s="509"/>
      <c r="AN1641" s="510"/>
      <c r="AO1641" s="510"/>
    </row>
    <row r="1642" spans="1:41">
      <c r="A1642" s="177"/>
      <c r="B1642" s="169"/>
      <c r="C1642" s="169"/>
      <c r="D1642" s="169"/>
      <c r="E1642" s="169"/>
      <c r="F1642" s="169"/>
      <c r="G1642" s="169"/>
      <c r="H1642" s="169"/>
      <c r="I1642" s="169"/>
      <c r="J1642" s="169"/>
      <c r="K1642" s="169"/>
      <c r="L1642" s="169"/>
      <c r="M1642" s="169"/>
      <c r="N1642" s="177"/>
      <c r="O1642" s="169"/>
      <c r="P1642" s="169"/>
      <c r="Q1642" s="169"/>
      <c r="R1642" s="169"/>
      <c r="S1642" s="169"/>
      <c r="T1642" s="169"/>
      <c r="U1642" s="169"/>
      <c r="V1642" s="169"/>
      <c r="W1642" s="169"/>
      <c r="X1642" s="169"/>
      <c r="Y1642" s="169"/>
      <c r="Z1642" s="178"/>
      <c r="AA1642" s="167"/>
      <c r="AB1642" s="169"/>
      <c r="AC1642" s="169"/>
      <c r="AD1642" s="169"/>
      <c r="AE1642" s="169"/>
      <c r="AF1642" s="169"/>
      <c r="AG1642" s="179"/>
      <c r="AH1642" s="169"/>
      <c r="AI1642" s="168"/>
      <c r="AJ1642" s="167"/>
      <c r="AK1642" s="168"/>
      <c r="AL1642" s="169"/>
      <c r="AM1642" s="509"/>
      <c r="AN1642" s="510"/>
      <c r="AO1642" s="510"/>
    </row>
    <row r="1643" spans="1:41">
      <c r="A1643" s="177"/>
      <c r="B1643" s="169"/>
      <c r="C1643" s="169"/>
      <c r="D1643" s="169"/>
      <c r="E1643" s="169"/>
      <c r="F1643" s="169"/>
      <c r="G1643" s="169"/>
      <c r="H1643" s="169"/>
      <c r="I1643" s="169"/>
      <c r="J1643" s="169"/>
      <c r="K1643" s="169"/>
      <c r="L1643" s="169"/>
      <c r="M1643" s="169"/>
      <c r="N1643" s="177"/>
      <c r="O1643" s="169"/>
      <c r="P1643" s="169"/>
      <c r="Q1643" s="169"/>
      <c r="R1643" s="169"/>
      <c r="S1643" s="169"/>
      <c r="T1643" s="169"/>
      <c r="U1643" s="169"/>
      <c r="V1643" s="169"/>
      <c r="W1643" s="169"/>
      <c r="X1643" s="169"/>
      <c r="Y1643" s="169"/>
      <c r="Z1643" s="178"/>
      <c r="AA1643" s="167"/>
      <c r="AB1643" s="169"/>
      <c r="AC1643" s="169"/>
      <c r="AD1643" s="169"/>
      <c r="AE1643" s="169"/>
      <c r="AF1643" s="169"/>
      <c r="AG1643" s="179"/>
      <c r="AH1643" s="169"/>
      <c r="AI1643" s="168"/>
      <c r="AJ1643" s="167"/>
      <c r="AK1643" s="168"/>
      <c r="AL1643" s="169"/>
      <c r="AM1643" s="509"/>
      <c r="AN1643" s="510"/>
      <c r="AO1643" s="510"/>
    </row>
    <row r="1644" spans="1:41">
      <c r="A1644" s="177"/>
      <c r="B1644" s="169"/>
      <c r="C1644" s="169"/>
      <c r="D1644" s="169"/>
      <c r="E1644" s="169"/>
      <c r="F1644" s="169"/>
      <c r="G1644" s="169"/>
      <c r="H1644" s="169"/>
      <c r="I1644" s="169"/>
      <c r="J1644" s="169"/>
      <c r="K1644" s="169"/>
      <c r="L1644" s="169"/>
      <c r="M1644" s="169"/>
      <c r="N1644" s="177"/>
      <c r="O1644" s="169"/>
      <c r="P1644" s="169"/>
      <c r="Q1644" s="169"/>
      <c r="R1644" s="169"/>
      <c r="S1644" s="169"/>
      <c r="T1644" s="169"/>
      <c r="U1644" s="169"/>
      <c r="V1644" s="169"/>
      <c r="W1644" s="169"/>
      <c r="X1644" s="169"/>
      <c r="Y1644" s="169"/>
      <c r="Z1644" s="178"/>
      <c r="AA1644" s="167"/>
      <c r="AB1644" s="169"/>
      <c r="AC1644" s="169"/>
      <c r="AD1644" s="169"/>
      <c r="AE1644" s="169"/>
      <c r="AF1644" s="169"/>
      <c r="AG1644" s="179"/>
      <c r="AH1644" s="169"/>
      <c r="AI1644" s="168"/>
      <c r="AJ1644" s="167"/>
      <c r="AK1644" s="168"/>
      <c r="AL1644" s="169"/>
      <c r="AM1644" s="509"/>
      <c r="AN1644" s="510"/>
      <c r="AO1644" s="510"/>
    </row>
    <row r="1645" spans="1:41">
      <c r="A1645" s="177"/>
      <c r="B1645" s="169"/>
      <c r="C1645" s="169"/>
      <c r="D1645" s="169"/>
      <c r="E1645" s="169"/>
      <c r="F1645" s="169"/>
      <c r="G1645" s="169"/>
      <c r="H1645" s="169"/>
      <c r="I1645" s="169"/>
      <c r="J1645" s="169"/>
      <c r="K1645" s="169"/>
      <c r="L1645" s="169"/>
      <c r="M1645" s="169"/>
      <c r="N1645" s="177"/>
      <c r="O1645" s="169"/>
      <c r="P1645" s="169"/>
      <c r="Q1645" s="169"/>
      <c r="R1645" s="169"/>
      <c r="S1645" s="169"/>
      <c r="T1645" s="169"/>
      <c r="U1645" s="169"/>
      <c r="V1645" s="169"/>
      <c r="W1645" s="169"/>
      <c r="X1645" s="169"/>
      <c r="Y1645" s="169"/>
      <c r="Z1645" s="178"/>
      <c r="AA1645" s="167"/>
      <c r="AB1645" s="169"/>
      <c r="AC1645" s="169"/>
      <c r="AD1645" s="169"/>
      <c r="AE1645" s="169"/>
      <c r="AF1645" s="169"/>
      <c r="AG1645" s="179"/>
      <c r="AH1645" s="169"/>
      <c r="AI1645" s="168"/>
      <c r="AJ1645" s="167"/>
      <c r="AK1645" s="168"/>
      <c r="AL1645" s="169"/>
      <c r="AM1645" s="509"/>
      <c r="AN1645" s="510"/>
      <c r="AO1645" s="510"/>
    </row>
    <row r="1646" spans="1:41">
      <c r="A1646" s="177"/>
      <c r="B1646" s="169"/>
      <c r="C1646" s="169"/>
      <c r="D1646" s="169"/>
      <c r="E1646" s="169"/>
      <c r="F1646" s="169"/>
      <c r="G1646" s="169"/>
      <c r="H1646" s="169"/>
      <c r="I1646" s="169"/>
      <c r="J1646" s="169"/>
      <c r="K1646" s="169"/>
      <c r="L1646" s="169"/>
      <c r="M1646" s="169"/>
      <c r="N1646" s="177"/>
      <c r="O1646" s="169"/>
      <c r="P1646" s="169"/>
      <c r="Q1646" s="169"/>
      <c r="R1646" s="169"/>
      <c r="S1646" s="169"/>
      <c r="T1646" s="169"/>
      <c r="U1646" s="169"/>
      <c r="V1646" s="169"/>
      <c r="W1646" s="169"/>
      <c r="X1646" s="169"/>
      <c r="Y1646" s="169"/>
      <c r="Z1646" s="178"/>
      <c r="AA1646" s="167"/>
      <c r="AB1646" s="169"/>
      <c r="AC1646" s="169"/>
      <c r="AD1646" s="169"/>
      <c r="AE1646" s="169"/>
      <c r="AF1646" s="169"/>
      <c r="AG1646" s="179"/>
      <c r="AH1646" s="169"/>
      <c r="AI1646" s="168"/>
      <c r="AJ1646" s="167"/>
      <c r="AK1646" s="168"/>
      <c r="AL1646" s="169"/>
      <c r="AM1646" s="509"/>
      <c r="AN1646" s="510"/>
      <c r="AO1646" s="510"/>
    </row>
    <row r="1647" spans="1:41">
      <c r="A1647" s="177"/>
      <c r="B1647" s="169"/>
      <c r="C1647" s="169"/>
      <c r="D1647" s="169"/>
      <c r="E1647" s="169"/>
      <c r="F1647" s="169"/>
      <c r="G1647" s="169"/>
      <c r="H1647" s="169"/>
      <c r="I1647" s="169"/>
      <c r="J1647" s="169"/>
      <c r="K1647" s="169"/>
      <c r="L1647" s="169"/>
      <c r="M1647" s="169"/>
      <c r="N1647" s="177"/>
      <c r="O1647" s="169"/>
      <c r="P1647" s="169"/>
      <c r="Q1647" s="169"/>
      <c r="R1647" s="169"/>
      <c r="S1647" s="169"/>
      <c r="T1647" s="169"/>
      <c r="U1647" s="169"/>
      <c r="V1647" s="169"/>
      <c r="W1647" s="169"/>
      <c r="X1647" s="169"/>
      <c r="Y1647" s="169"/>
      <c r="Z1647" s="178"/>
      <c r="AA1647" s="167"/>
      <c r="AB1647" s="169"/>
      <c r="AC1647" s="169"/>
      <c r="AD1647" s="169"/>
      <c r="AE1647" s="169"/>
      <c r="AF1647" s="169"/>
      <c r="AG1647" s="179"/>
      <c r="AH1647" s="169"/>
      <c r="AI1647" s="168"/>
      <c r="AJ1647" s="167"/>
      <c r="AK1647" s="168"/>
      <c r="AL1647" s="169"/>
      <c r="AM1647" s="509"/>
      <c r="AN1647" s="510"/>
      <c r="AO1647" s="510"/>
    </row>
    <row r="1648" spans="1:41">
      <c r="A1648" s="177"/>
      <c r="B1648" s="169"/>
      <c r="C1648" s="169"/>
      <c r="D1648" s="169"/>
      <c r="E1648" s="169"/>
      <c r="F1648" s="169"/>
      <c r="G1648" s="169"/>
      <c r="H1648" s="169"/>
      <c r="I1648" s="169"/>
      <c r="J1648" s="169"/>
      <c r="K1648" s="169"/>
      <c r="L1648" s="169"/>
      <c r="M1648" s="169"/>
      <c r="N1648" s="177"/>
      <c r="O1648" s="169"/>
      <c r="P1648" s="169"/>
      <c r="Q1648" s="169"/>
      <c r="R1648" s="169"/>
      <c r="S1648" s="169"/>
      <c r="T1648" s="169"/>
      <c r="U1648" s="169"/>
      <c r="V1648" s="169"/>
      <c r="W1648" s="169"/>
      <c r="X1648" s="169"/>
      <c r="Y1648" s="169"/>
      <c r="Z1648" s="178"/>
      <c r="AA1648" s="167"/>
      <c r="AB1648" s="169"/>
      <c r="AC1648" s="169"/>
      <c r="AD1648" s="169"/>
      <c r="AE1648" s="169"/>
      <c r="AF1648" s="169"/>
      <c r="AG1648" s="179"/>
      <c r="AH1648" s="169"/>
      <c r="AI1648" s="168"/>
      <c r="AJ1648" s="167"/>
      <c r="AK1648" s="168"/>
      <c r="AL1648" s="169"/>
      <c r="AM1648" s="509"/>
      <c r="AN1648" s="510"/>
      <c r="AO1648" s="510"/>
    </row>
    <row r="1649" spans="1:41">
      <c r="A1649" s="177"/>
      <c r="B1649" s="169"/>
      <c r="C1649" s="169"/>
      <c r="D1649" s="169"/>
      <c r="E1649" s="169"/>
      <c r="F1649" s="169"/>
      <c r="G1649" s="169"/>
      <c r="H1649" s="169"/>
      <c r="I1649" s="169"/>
      <c r="J1649" s="169"/>
      <c r="K1649" s="169"/>
      <c r="L1649" s="169"/>
      <c r="M1649" s="169"/>
      <c r="N1649" s="177"/>
      <c r="O1649" s="169"/>
      <c r="P1649" s="169"/>
      <c r="Q1649" s="169"/>
      <c r="R1649" s="169"/>
      <c r="S1649" s="169"/>
      <c r="T1649" s="169"/>
      <c r="U1649" s="169"/>
      <c r="V1649" s="169"/>
      <c r="W1649" s="169"/>
      <c r="X1649" s="169"/>
      <c r="Y1649" s="169"/>
      <c r="Z1649" s="178"/>
      <c r="AA1649" s="167"/>
      <c r="AB1649" s="169"/>
      <c r="AC1649" s="169"/>
      <c r="AD1649" s="169"/>
      <c r="AE1649" s="169"/>
      <c r="AF1649" s="169"/>
      <c r="AG1649" s="179"/>
      <c r="AH1649" s="169"/>
      <c r="AI1649" s="168"/>
      <c r="AJ1649" s="167"/>
      <c r="AK1649" s="168"/>
      <c r="AL1649" s="169"/>
      <c r="AM1649" s="509"/>
      <c r="AN1649" s="510"/>
      <c r="AO1649" s="510"/>
    </row>
    <row r="1650" spans="1:41">
      <c r="A1650" s="177"/>
      <c r="B1650" s="169"/>
      <c r="C1650" s="169"/>
      <c r="D1650" s="169"/>
      <c r="E1650" s="169"/>
      <c r="F1650" s="169"/>
      <c r="G1650" s="169"/>
      <c r="H1650" s="169"/>
      <c r="I1650" s="169"/>
      <c r="J1650" s="169"/>
      <c r="K1650" s="169"/>
      <c r="L1650" s="169"/>
      <c r="M1650" s="169"/>
      <c r="N1650" s="177"/>
      <c r="O1650" s="169"/>
      <c r="P1650" s="169"/>
      <c r="Q1650" s="169"/>
      <c r="R1650" s="169"/>
      <c r="S1650" s="169"/>
      <c r="T1650" s="169"/>
      <c r="U1650" s="169"/>
      <c r="V1650" s="169"/>
      <c r="W1650" s="169"/>
      <c r="X1650" s="169"/>
      <c r="Y1650" s="169"/>
      <c r="Z1650" s="178"/>
      <c r="AA1650" s="167"/>
      <c r="AB1650" s="169"/>
      <c r="AC1650" s="169"/>
      <c r="AD1650" s="169"/>
      <c r="AE1650" s="169"/>
      <c r="AF1650" s="169"/>
      <c r="AG1650" s="179"/>
      <c r="AH1650" s="169"/>
      <c r="AI1650" s="168"/>
      <c r="AJ1650" s="167"/>
      <c r="AK1650" s="168"/>
      <c r="AL1650" s="169"/>
      <c r="AM1650" s="509"/>
      <c r="AN1650" s="510"/>
      <c r="AO1650" s="510"/>
    </row>
    <row r="1651" spans="1:41">
      <c r="A1651" s="177"/>
      <c r="B1651" s="169"/>
      <c r="C1651" s="169"/>
      <c r="D1651" s="169"/>
      <c r="E1651" s="169"/>
      <c r="F1651" s="169"/>
      <c r="G1651" s="169"/>
      <c r="H1651" s="169"/>
      <c r="I1651" s="169"/>
      <c r="J1651" s="169"/>
      <c r="K1651" s="169"/>
      <c r="L1651" s="169"/>
      <c r="M1651" s="169"/>
      <c r="N1651" s="177"/>
      <c r="O1651" s="169"/>
      <c r="P1651" s="169"/>
      <c r="Q1651" s="169"/>
      <c r="R1651" s="169"/>
      <c r="S1651" s="169"/>
      <c r="T1651" s="169"/>
      <c r="U1651" s="169"/>
      <c r="V1651" s="169"/>
      <c r="W1651" s="169"/>
      <c r="X1651" s="169"/>
      <c r="Y1651" s="169"/>
      <c r="Z1651" s="178"/>
      <c r="AA1651" s="167"/>
      <c r="AB1651" s="169"/>
      <c r="AC1651" s="169"/>
      <c r="AD1651" s="169"/>
      <c r="AE1651" s="169"/>
      <c r="AF1651" s="169"/>
      <c r="AG1651" s="179"/>
      <c r="AH1651" s="169"/>
      <c r="AI1651" s="168"/>
      <c r="AJ1651" s="167"/>
      <c r="AK1651" s="168"/>
      <c r="AL1651" s="169"/>
      <c r="AM1651" s="509"/>
      <c r="AN1651" s="510"/>
      <c r="AO1651" s="510"/>
    </row>
    <row r="1652" spans="1:41">
      <c r="A1652" s="177"/>
      <c r="B1652" s="169"/>
      <c r="C1652" s="169"/>
      <c r="D1652" s="169"/>
      <c r="E1652" s="169"/>
      <c r="F1652" s="169"/>
      <c r="G1652" s="169"/>
      <c r="H1652" s="169"/>
      <c r="I1652" s="169"/>
      <c r="J1652" s="169"/>
      <c r="K1652" s="169"/>
      <c r="L1652" s="169"/>
      <c r="M1652" s="169"/>
      <c r="N1652" s="177"/>
      <c r="O1652" s="169"/>
      <c r="P1652" s="169"/>
      <c r="Q1652" s="169"/>
      <c r="R1652" s="169"/>
      <c r="S1652" s="169"/>
      <c r="T1652" s="169"/>
      <c r="U1652" s="169"/>
      <c r="V1652" s="169"/>
      <c r="W1652" s="169"/>
      <c r="X1652" s="169"/>
      <c r="Y1652" s="169"/>
      <c r="Z1652" s="178"/>
      <c r="AA1652" s="167"/>
      <c r="AB1652" s="169"/>
      <c r="AC1652" s="169"/>
      <c r="AD1652" s="169"/>
      <c r="AE1652" s="169"/>
      <c r="AF1652" s="169"/>
      <c r="AG1652" s="179"/>
      <c r="AH1652" s="169"/>
      <c r="AI1652" s="168"/>
      <c r="AJ1652" s="167"/>
      <c r="AK1652" s="168"/>
      <c r="AL1652" s="169"/>
      <c r="AM1652" s="509"/>
      <c r="AN1652" s="510"/>
      <c r="AO1652" s="510"/>
    </row>
    <row r="1653" spans="1:41">
      <c r="A1653" s="177"/>
      <c r="B1653" s="169"/>
      <c r="C1653" s="169"/>
      <c r="D1653" s="169"/>
      <c r="E1653" s="169"/>
      <c r="F1653" s="169"/>
      <c r="G1653" s="169"/>
      <c r="H1653" s="169"/>
      <c r="I1653" s="169"/>
      <c r="J1653" s="169"/>
      <c r="K1653" s="169"/>
      <c r="L1653" s="169"/>
      <c r="M1653" s="169"/>
      <c r="N1653" s="177"/>
      <c r="O1653" s="169"/>
      <c r="P1653" s="169"/>
      <c r="Q1653" s="169"/>
      <c r="R1653" s="169"/>
      <c r="S1653" s="169"/>
      <c r="T1653" s="169"/>
      <c r="U1653" s="169"/>
      <c r="V1653" s="169"/>
      <c r="W1653" s="169"/>
      <c r="X1653" s="169"/>
      <c r="Y1653" s="169"/>
      <c r="Z1653" s="178"/>
      <c r="AA1653" s="167"/>
      <c r="AB1653" s="169"/>
      <c r="AC1653" s="169"/>
      <c r="AD1653" s="169"/>
      <c r="AE1653" s="169"/>
      <c r="AF1653" s="169"/>
      <c r="AG1653" s="179"/>
      <c r="AH1653" s="169"/>
      <c r="AI1653" s="168"/>
      <c r="AJ1653" s="167"/>
      <c r="AK1653" s="168"/>
      <c r="AL1653" s="169"/>
      <c r="AM1653" s="509"/>
      <c r="AN1653" s="510"/>
      <c r="AO1653" s="510"/>
    </row>
    <row r="1654" spans="1:41">
      <c r="A1654" s="177"/>
      <c r="B1654" s="169"/>
      <c r="C1654" s="169"/>
      <c r="D1654" s="169"/>
      <c r="E1654" s="169"/>
      <c r="F1654" s="169"/>
      <c r="G1654" s="169"/>
      <c r="H1654" s="169"/>
      <c r="I1654" s="169"/>
      <c r="J1654" s="169"/>
      <c r="K1654" s="169"/>
      <c r="L1654" s="169"/>
      <c r="M1654" s="169"/>
      <c r="N1654" s="177"/>
      <c r="O1654" s="169"/>
      <c r="P1654" s="169"/>
      <c r="Q1654" s="169"/>
      <c r="R1654" s="169"/>
      <c r="S1654" s="169"/>
      <c r="T1654" s="169"/>
      <c r="U1654" s="169"/>
      <c r="V1654" s="169"/>
      <c r="W1654" s="169"/>
      <c r="X1654" s="169"/>
      <c r="Y1654" s="169"/>
      <c r="Z1654" s="178"/>
      <c r="AA1654" s="167"/>
      <c r="AB1654" s="169"/>
      <c r="AC1654" s="169"/>
      <c r="AD1654" s="169"/>
      <c r="AE1654" s="169"/>
      <c r="AF1654" s="169"/>
      <c r="AG1654" s="179"/>
      <c r="AH1654" s="169"/>
      <c r="AI1654" s="168"/>
      <c r="AJ1654" s="167"/>
      <c r="AK1654" s="168"/>
      <c r="AL1654" s="169"/>
      <c r="AM1654" s="509"/>
      <c r="AN1654" s="510"/>
      <c r="AO1654" s="510"/>
    </row>
    <row r="1655" spans="1:41">
      <c r="A1655" s="177"/>
      <c r="B1655" s="169"/>
      <c r="C1655" s="169"/>
      <c r="D1655" s="169"/>
      <c r="E1655" s="169"/>
      <c r="F1655" s="169"/>
      <c r="G1655" s="169"/>
      <c r="H1655" s="169"/>
      <c r="I1655" s="169"/>
      <c r="J1655" s="169"/>
      <c r="K1655" s="169"/>
      <c r="L1655" s="169"/>
      <c r="M1655" s="169"/>
      <c r="N1655" s="177"/>
      <c r="O1655" s="169"/>
      <c r="P1655" s="169"/>
      <c r="Q1655" s="169"/>
      <c r="R1655" s="169"/>
      <c r="S1655" s="169"/>
      <c r="T1655" s="169"/>
      <c r="U1655" s="169"/>
      <c r="V1655" s="169"/>
      <c r="W1655" s="169"/>
      <c r="X1655" s="169"/>
      <c r="Y1655" s="169"/>
      <c r="Z1655" s="178"/>
      <c r="AA1655" s="167"/>
      <c r="AB1655" s="169"/>
      <c r="AC1655" s="169"/>
      <c r="AD1655" s="169"/>
      <c r="AE1655" s="169"/>
      <c r="AF1655" s="169"/>
      <c r="AG1655" s="179"/>
      <c r="AH1655" s="169"/>
      <c r="AI1655" s="168"/>
      <c r="AJ1655" s="167"/>
      <c r="AK1655" s="168"/>
      <c r="AL1655" s="169"/>
      <c r="AM1655" s="509"/>
      <c r="AN1655" s="510"/>
      <c r="AO1655" s="510"/>
    </row>
    <row r="1656" spans="1:41">
      <c r="A1656" s="177"/>
      <c r="B1656" s="169"/>
      <c r="C1656" s="169"/>
      <c r="D1656" s="169"/>
      <c r="E1656" s="169"/>
      <c r="F1656" s="169"/>
      <c r="G1656" s="169"/>
      <c r="H1656" s="169"/>
      <c r="I1656" s="169"/>
      <c r="J1656" s="169"/>
      <c r="K1656" s="169"/>
      <c r="L1656" s="169"/>
      <c r="M1656" s="169"/>
      <c r="N1656" s="177"/>
      <c r="O1656" s="169"/>
      <c r="P1656" s="169"/>
      <c r="Q1656" s="169"/>
      <c r="R1656" s="169"/>
      <c r="S1656" s="169"/>
      <c r="T1656" s="169"/>
      <c r="U1656" s="169"/>
      <c r="V1656" s="169"/>
      <c r="W1656" s="169"/>
      <c r="X1656" s="169"/>
      <c r="Y1656" s="169"/>
      <c r="Z1656" s="178"/>
      <c r="AA1656" s="167"/>
      <c r="AB1656" s="169"/>
      <c r="AC1656" s="169"/>
      <c r="AD1656" s="169"/>
      <c r="AE1656" s="169"/>
      <c r="AF1656" s="169"/>
      <c r="AG1656" s="179"/>
      <c r="AH1656" s="169"/>
      <c r="AI1656" s="168"/>
      <c r="AJ1656" s="167"/>
      <c r="AK1656" s="168"/>
      <c r="AL1656" s="169"/>
      <c r="AM1656" s="509"/>
      <c r="AN1656" s="510"/>
      <c r="AO1656" s="510"/>
    </row>
    <row r="1657" spans="1:41">
      <c r="A1657" s="177"/>
      <c r="B1657" s="169"/>
      <c r="C1657" s="169"/>
      <c r="D1657" s="169"/>
      <c r="E1657" s="169"/>
      <c r="F1657" s="169"/>
      <c r="G1657" s="169"/>
      <c r="H1657" s="169"/>
      <c r="I1657" s="169"/>
      <c r="J1657" s="169"/>
      <c r="K1657" s="169"/>
      <c r="L1657" s="169"/>
      <c r="M1657" s="169"/>
      <c r="N1657" s="177"/>
      <c r="O1657" s="169"/>
      <c r="P1657" s="169"/>
      <c r="Q1657" s="169"/>
      <c r="R1657" s="169"/>
      <c r="S1657" s="169"/>
      <c r="T1657" s="169"/>
      <c r="U1657" s="169"/>
      <c r="V1657" s="169"/>
      <c r="W1657" s="169"/>
      <c r="X1657" s="169"/>
      <c r="Y1657" s="169"/>
      <c r="Z1657" s="178"/>
      <c r="AA1657" s="167"/>
      <c r="AB1657" s="169"/>
      <c r="AC1657" s="169"/>
      <c r="AD1657" s="169"/>
      <c r="AE1657" s="169"/>
      <c r="AF1657" s="169"/>
      <c r="AG1657" s="179"/>
      <c r="AH1657" s="169"/>
      <c r="AI1657" s="168"/>
      <c r="AJ1657" s="167"/>
      <c r="AK1657" s="168"/>
      <c r="AL1657" s="169"/>
      <c r="AM1657" s="509"/>
      <c r="AN1657" s="510"/>
      <c r="AO1657" s="510"/>
    </row>
    <row r="1658" spans="1:41">
      <c r="A1658" s="177"/>
      <c r="B1658" s="169"/>
      <c r="C1658" s="169"/>
      <c r="D1658" s="169"/>
      <c r="E1658" s="169"/>
      <c r="F1658" s="169"/>
      <c r="G1658" s="169"/>
      <c r="H1658" s="169"/>
      <c r="I1658" s="169"/>
      <c r="J1658" s="169"/>
      <c r="K1658" s="169"/>
      <c r="L1658" s="169"/>
      <c r="M1658" s="169"/>
      <c r="N1658" s="177"/>
      <c r="O1658" s="169"/>
      <c r="P1658" s="169"/>
      <c r="Q1658" s="169"/>
      <c r="R1658" s="169"/>
      <c r="S1658" s="169"/>
      <c r="T1658" s="169"/>
      <c r="U1658" s="169"/>
      <c r="V1658" s="169"/>
      <c r="W1658" s="169"/>
      <c r="X1658" s="169"/>
      <c r="Y1658" s="169"/>
      <c r="Z1658" s="178"/>
      <c r="AA1658" s="167"/>
      <c r="AB1658" s="169"/>
      <c r="AC1658" s="169"/>
      <c r="AD1658" s="169"/>
      <c r="AE1658" s="169"/>
      <c r="AF1658" s="169"/>
      <c r="AG1658" s="179"/>
      <c r="AH1658" s="169"/>
      <c r="AI1658" s="168"/>
      <c r="AJ1658" s="167"/>
      <c r="AK1658" s="168"/>
      <c r="AL1658" s="169"/>
      <c r="AM1658" s="509"/>
      <c r="AN1658" s="510"/>
      <c r="AO1658" s="510"/>
    </row>
    <row r="1659" spans="1:41">
      <c r="A1659" s="177"/>
      <c r="B1659" s="169"/>
      <c r="C1659" s="169"/>
      <c r="D1659" s="169"/>
      <c r="E1659" s="169"/>
      <c r="F1659" s="169"/>
      <c r="G1659" s="169"/>
      <c r="H1659" s="169"/>
      <c r="I1659" s="169"/>
      <c r="J1659" s="169"/>
      <c r="K1659" s="169"/>
      <c r="L1659" s="169"/>
      <c r="M1659" s="169"/>
      <c r="N1659" s="177"/>
      <c r="O1659" s="169"/>
      <c r="P1659" s="169"/>
      <c r="Q1659" s="169"/>
      <c r="R1659" s="169"/>
      <c r="S1659" s="169"/>
      <c r="T1659" s="169"/>
      <c r="U1659" s="169"/>
      <c r="V1659" s="169"/>
      <c r="W1659" s="169"/>
      <c r="X1659" s="169"/>
      <c r="Y1659" s="169"/>
      <c r="Z1659" s="178"/>
      <c r="AA1659" s="167"/>
      <c r="AB1659" s="169"/>
      <c r="AC1659" s="169"/>
      <c r="AD1659" s="169"/>
      <c r="AE1659" s="169"/>
      <c r="AF1659" s="169"/>
      <c r="AG1659" s="179"/>
      <c r="AH1659" s="169"/>
      <c r="AI1659" s="168"/>
      <c r="AJ1659" s="167"/>
      <c r="AK1659" s="168"/>
      <c r="AL1659" s="169"/>
      <c r="AM1659" s="509"/>
      <c r="AN1659" s="510"/>
      <c r="AO1659" s="510"/>
    </row>
    <row r="1660" spans="1:41">
      <c r="A1660" s="177"/>
      <c r="B1660" s="169"/>
      <c r="C1660" s="169"/>
      <c r="D1660" s="169"/>
      <c r="E1660" s="169"/>
      <c r="F1660" s="169"/>
      <c r="G1660" s="169"/>
      <c r="H1660" s="169"/>
      <c r="I1660" s="169"/>
      <c r="J1660" s="169"/>
      <c r="K1660" s="169"/>
      <c r="L1660" s="169"/>
      <c r="M1660" s="169"/>
      <c r="N1660" s="177"/>
      <c r="O1660" s="169"/>
      <c r="P1660" s="169"/>
      <c r="Q1660" s="169"/>
      <c r="R1660" s="169"/>
      <c r="S1660" s="169"/>
      <c r="T1660" s="169"/>
      <c r="U1660" s="169"/>
      <c r="V1660" s="169"/>
      <c r="W1660" s="169"/>
      <c r="X1660" s="169"/>
      <c r="Y1660" s="169"/>
      <c r="Z1660" s="178"/>
      <c r="AA1660" s="167"/>
      <c r="AB1660" s="169"/>
      <c r="AC1660" s="169"/>
      <c r="AD1660" s="169"/>
      <c r="AE1660" s="169"/>
      <c r="AF1660" s="169"/>
      <c r="AG1660" s="179"/>
      <c r="AH1660" s="169"/>
      <c r="AI1660" s="168"/>
      <c r="AJ1660" s="167"/>
      <c r="AK1660" s="168"/>
      <c r="AL1660" s="169"/>
      <c r="AM1660" s="509"/>
      <c r="AN1660" s="510"/>
      <c r="AO1660" s="510"/>
    </row>
    <row r="1661" spans="1:41">
      <c r="A1661" s="177"/>
      <c r="B1661" s="169"/>
      <c r="C1661" s="169"/>
      <c r="D1661" s="169"/>
      <c r="E1661" s="169"/>
      <c r="F1661" s="169"/>
      <c r="G1661" s="169"/>
      <c r="H1661" s="169"/>
      <c r="I1661" s="169"/>
      <c r="J1661" s="169"/>
      <c r="K1661" s="169"/>
      <c r="L1661" s="169"/>
      <c r="M1661" s="169"/>
      <c r="N1661" s="177"/>
      <c r="O1661" s="169"/>
      <c r="P1661" s="169"/>
      <c r="Q1661" s="169"/>
      <c r="R1661" s="169"/>
      <c r="S1661" s="169"/>
      <c r="T1661" s="169"/>
      <c r="U1661" s="169"/>
      <c r="V1661" s="169"/>
      <c r="W1661" s="169"/>
      <c r="X1661" s="169"/>
      <c r="Y1661" s="169"/>
      <c r="Z1661" s="178"/>
      <c r="AA1661" s="167"/>
      <c r="AB1661" s="169"/>
      <c r="AC1661" s="169"/>
      <c r="AD1661" s="169"/>
      <c r="AE1661" s="169"/>
      <c r="AF1661" s="169"/>
      <c r="AG1661" s="179"/>
      <c r="AH1661" s="169"/>
      <c r="AI1661" s="168"/>
      <c r="AJ1661" s="167"/>
      <c r="AK1661" s="168"/>
      <c r="AL1661" s="169"/>
      <c r="AM1661" s="509"/>
      <c r="AN1661" s="510"/>
      <c r="AO1661" s="510"/>
    </row>
    <row r="1662" spans="1:41">
      <c r="A1662" s="177"/>
      <c r="B1662" s="169"/>
      <c r="C1662" s="169"/>
      <c r="D1662" s="169"/>
      <c r="E1662" s="169"/>
      <c r="F1662" s="169"/>
      <c r="G1662" s="169"/>
      <c r="H1662" s="169"/>
      <c r="I1662" s="169"/>
      <c r="J1662" s="169"/>
      <c r="K1662" s="169"/>
      <c r="L1662" s="169"/>
      <c r="M1662" s="169"/>
      <c r="N1662" s="177"/>
      <c r="O1662" s="169"/>
      <c r="P1662" s="169"/>
      <c r="Q1662" s="169"/>
      <c r="R1662" s="169"/>
      <c r="S1662" s="169"/>
      <c r="T1662" s="169"/>
      <c r="U1662" s="169"/>
      <c r="V1662" s="169"/>
      <c r="W1662" s="169"/>
      <c r="X1662" s="169"/>
      <c r="Y1662" s="169"/>
      <c r="Z1662" s="178"/>
      <c r="AA1662" s="167"/>
      <c r="AB1662" s="169"/>
      <c r="AC1662" s="169"/>
      <c r="AD1662" s="169"/>
      <c r="AE1662" s="169"/>
      <c r="AF1662" s="169"/>
      <c r="AG1662" s="179"/>
      <c r="AH1662" s="169"/>
      <c r="AI1662" s="168"/>
      <c r="AJ1662" s="167"/>
      <c r="AK1662" s="168"/>
      <c r="AL1662" s="169"/>
      <c r="AM1662" s="509"/>
      <c r="AN1662" s="510"/>
      <c r="AO1662" s="510"/>
    </row>
    <row r="1663" spans="1:41">
      <c r="A1663" s="177"/>
      <c r="B1663" s="169"/>
      <c r="C1663" s="169"/>
      <c r="D1663" s="169"/>
      <c r="E1663" s="169"/>
      <c r="F1663" s="169"/>
      <c r="G1663" s="169"/>
      <c r="H1663" s="169"/>
      <c r="I1663" s="169"/>
      <c r="J1663" s="169"/>
      <c r="K1663" s="169"/>
      <c r="L1663" s="169"/>
      <c r="M1663" s="169"/>
      <c r="N1663" s="177"/>
      <c r="O1663" s="169"/>
      <c r="P1663" s="169"/>
      <c r="Q1663" s="169"/>
      <c r="R1663" s="169"/>
      <c r="S1663" s="169"/>
      <c r="T1663" s="169"/>
      <c r="U1663" s="169"/>
      <c r="V1663" s="169"/>
      <c r="W1663" s="169"/>
      <c r="X1663" s="169"/>
      <c r="Y1663" s="169"/>
      <c r="Z1663" s="178"/>
      <c r="AA1663" s="167"/>
      <c r="AB1663" s="169"/>
      <c r="AC1663" s="169"/>
      <c r="AD1663" s="169"/>
      <c r="AE1663" s="169"/>
      <c r="AF1663" s="169"/>
      <c r="AG1663" s="179"/>
      <c r="AH1663" s="169"/>
      <c r="AI1663" s="168"/>
      <c r="AJ1663" s="167"/>
      <c r="AK1663" s="168"/>
      <c r="AL1663" s="169"/>
      <c r="AM1663" s="509"/>
      <c r="AN1663" s="510"/>
      <c r="AO1663" s="510"/>
    </row>
    <row r="1664" spans="1:41">
      <c r="A1664" s="177"/>
      <c r="B1664" s="169"/>
      <c r="C1664" s="169"/>
      <c r="D1664" s="169"/>
      <c r="E1664" s="169"/>
      <c r="F1664" s="169"/>
      <c r="G1664" s="169"/>
      <c r="H1664" s="169"/>
      <c r="I1664" s="169"/>
      <c r="J1664" s="169"/>
      <c r="K1664" s="169"/>
      <c r="L1664" s="169"/>
      <c r="M1664" s="169"/>
      <c r="N1664" s="177"/>
      <c r="O1664" s="169"/>
      <c r="P1664" s="169"/>
      <c r="Q1664" s="169"/>
      <c r="R1664" s="169"/>
      <c r="S1664" s="169"/>
      <c r="T1664" s="169"/>
      <c r="U1664" s="169"/>
      <c r="V1664" s="169"/>
      <c r="W1664" s="169"/>
      <c r="X1664" s="169"/>
      <c r="Y1664" s="169"/>
      <c r="Z1664" s="178"/>
      <c r="AA1664" s="167"/>
      <c r="AB1664" s="169"/>
      <c r="AC1664" s="169"/>
      <c r="AD1664" s="169"/>
      <c r="AE1664" s="169"/>
      <c r="AF1664" s="169"/>
      <c r="AG1664" s="179"/>
      <c r="AH1664" s="169"/>
      <c r="AI1664" s="168"/>
      <c r="AJ1664" s="167"/>
      <c r="AK1664" s="168"/>
      <c r="AL1664" s="169"/>
      <c r="AM1664" s="509"/>
      <c r="AN1664" s="510"/>
      <c r="AO1664" s="510"/>
    </row>
    <row r="1665" spans="1:41">
      <c r="A1665" s="177"/>
      <c r="B1665" s="169"/>
      <c r="C1665" s="169"/>
      <c r="D1665" s="169"/>
      <c r="E1665" s="169"/>
      <c r="F1665" s="169"/>
      <c r="G1665" s="169"/>
      <c r="H1665" s="169"/>
      <c r="I1665" s="169"/>
      <c r="J1665" s="169"/>
      <c r="K1665" s="169"/>
      <c r="L1665" s="169"/>
      <c r="M1665" s="169"/>
      <c r="N1665" s="177"/>
      <c r="O1665" s="169"/>
      <c r="P1665" s="169"/>
      <c r="Q1665" s="169"/>
      <c r="R1665" s="169"/>
      <c r="S1665" s="169"/>
      <c r="T1665" s="169"/>
      <c r="U1665" s="169"/>
      <c r="V1665" s="169"/>
      <c r="W1665" s="169"/>
      <c r="X1665" s="169"/>
      <c r="Y1665" s="169"/>
      <c r="Z1665" s="178"/>
      <c r="AA1665" s="167"/>
      <c r="AB1665" s="169"/>
      <c r="AC1665" s="169"/>
      <c r="AD1665" s="169"/>
      <c r="AE1665" s="169"/>
      <c r="AF1665" s="169"/>
      <c r="AG1665" s="179"/>
      <c r="AH1665" s="169"/>
      <c r="AI1665" s="168"/>
      <c r="AJ1665" s="167"/>
      <c r="AK1665" s="168"/>
      <c r="AL1665" s="169"/>
      <c r="AM1665" s="509"/>
      <c r="AN1665" s="510"/>
      <c r="AO1665" s="510"/>
    </row>
    <row r="1666" spans="1:41">
      <c r="A1666" s="177"/>
      <c r="B1666" s="169"/>
      <c r="C1666" s="169"/>
      <c r="D1666" s="169"/>
      <c r="E1666" s="169"/>
      <c r="F1666" s="169"/>
      <c r="G1666" s="169"/>
      <c r="H1666" s="169"/>
      <c r="I1666" s="169"/>
      <c r="J1666" s="169"/>
      <c r="K1666" s="169"/>
      <c r="L1666" s="169"/>
      <c r="M1666" s="169"/>
      <c r="N1666" s="177"/>
      <c r="O1666" s="169"/>
      <c r="P1666" s="169"/>
      <c r="Q1666" s="169"/>
      <c r="R1666" s="169"/>
      <c r="S1666" s="169"/>
      <c r="T1666" s="169"/>
      <c r="U1666" s="169"/>
      <c r="V1666" s="169"/>
      <c r="W1666" s="169"/>
      <c r="X1666" s="169"/>
      <c r="Y1666" s="169"/>
      <c r="Z1666" s="178"/>
      <c r="AA1666" s="167"/>
      <c r="AB1666" s="169"/>
      <c r="AC1666" s="169"/>
      <c r="AD1666" s="169"/>
      <c r="AE1666" s="169"/>
      <c r="AF1666" s="169"/>
      <c r="AG1666" s="179"/>
      <c r="AH1666" s="169"/>
      <c r="AI1666" s="168"/>
      <c r="AJ1666" s="167"/>
      <c r="AK1666" s="168"/>
      <c r="AL1666" s="169"/>
      <c r="AM1666" s="509"/>
      <c r="AN1666" s="510"/>
      <c r="AO1666" s="510"/>
    </row>
    <row r="1667" spans="1:41">
      <c r="A1667" s="177"/>
      <c r="B1667" s="169"/>
      <c r="C1667" s="169"/>
      <c r="D1667" s="169"/>
      <c r="E1667" s="169"/>
      <c r="F1667" s="169"/>
      <c r="G1667" s="169"/>
      <c r="H1667" s="169"/>
      <c r="I1667" s="169"/>
      <c r="J1667" s="169"/>
      <c r="K1667" s="169"/>
      <c r="L1667" s="169"/>
      <c r="M1667" s="169"/>
      <c r="N1667" s="177"/>
      <c r="O1667" s="169"/>
      <c r="P1667" s="169"/>
      <c r="Q1667" s="169"/>
      <c r="R1667" s="169"/>
      <c r="S1667" s="169"/>
      <c r="T1667" s="169"/>
      <c r="U1667" s="169"/>
      <c r="V1667" s="169"/>
      <c r="W1667" s="169"/>
      <c r="X1667" s="169"/>
      <c r="Y1667" s="169"/>
      <c r="Z1667" s="178"/>
      <c r="AA1667" s="167"/>
      <c r="AB1667" s="169"/>
      <c r="AC1667" s="169"/>
      <c r="AD1667" s="169"/>
      <c r="AE1667" s="169"/>
      <c r="AF1667" s="169"/>
      <c r="AG1667" s="179"/>
      <c r="AH1667" s="169"/>
      <c r="AI1667" s="168"/>
      <c r="AJ1667" s="167"/>
      <c r="AK1667" s="168"/>
      <c r="AL1667" s="169"/>
      <c r="AM1667" s="509"/>
      <c r="AN1667" s="510"/>
      <c r="AO1667" s="510"/>
    </row>
    <row r="1668" spans="1:41">
      <c r="A1668" s="177"/>
      <c r="B1668" s="169"/>
      <c r="C1668" s="169"/>
      <c r="D1668" s="169"/>
      <c r="E1668" s="169"/>
      <c r="F1668" s="169"/>
      <c r="G1668" s="169"/>
      <c r="H1668" s="169"/>
      <c r="I1668" s="169"/>
      <c r="J1668" s="169"/>
      <c r="K1668" s="169"/>
      <c r="L1668" s="169"/>
      <c r="M1668" s="169"/>
      <c r="N1668" s="177"/>
      <c r="O1668" s="169"/>
      <c r="P1668" s="169"/>
      <c r="Q1668" s="169"/>
      <c r="R1668" s="169"/>
      <c r="S1668" s="169"/>
      <c r="T1668" s="169"/>
      <c r="U1668" s="169"/>
      <c r="V1668" s="169"/>
      <c r="W1668" s="169"/>
      <c r="X1668" s="169"/>
      <c r="Y1668" s="169"/>
      <c r="Z1668" s="178"/>
      <c r="AA1668" s="167"/>
      <c r="AB1668" s="169"/>
      <c r="AC1668" s="169"/>
      <c r="AD1668" s="169"/>
      <c r="AE1668" s="169"/>
      <c r="AF1668" s="169"/>
      <c r="AG1668" s="179"/>
      <c r="AH1668" s="169"/>
      <c r="AI1668" s="168"/>
      <c r="AJ1668" s="167"/>
      <c r="AK1668" s="168"/>
      <c r="AL1668" s="169"/>
      <c r="AM1668" s="509"/>
      <c r="AN1668" s="510"/>
      <c r="AO1668" s="510"/>
    </row>
    <row r="1669" spans="1:41">
      <c r="A1669" s="177"/>
      <c r="B1669" s="169"/>
      <c r="C1669" s="169"/>
      <c r="D1669" s="169"/>
      <c r="E1669" s="169"/>
      <c r="F1669" s="169"/>
      <c r="G1669" s="169"/>
      <c r="H1669" s="169"/>
      <c r="I1669" s="169"/>
      <c r="J1669" s="169"/>
      <c r="K1669" s="169"/>
      <c r="L1669" s="169"/>
      <c r="M1669" s="169"/>
      <c r="N1669" s="177"/>
      <c r="O1669" s="169"/>
      <c r="P1669" s="169"/>
      <c r="Q1669" s="169"/>
      <c r="R1669" s="169"/>
      <c r="S1669" s="169"/>
      <c r="T1669" s="169"/>
      <c r="U1669" s="169"/>
      <c r="V1669" s="169"/>
      <c r="W1669" s="169"/>
      <c r="X1669" s="169"/>
      <c r="Y1669" s="169"/>
      <c r="Z1669" s="178"/>
      <c r="AA1669" s="167"/>
      <c r="AB1669" s="169"/>
      <c r="AC1669" s="169"/>
      <c r="AD1669" s="169"/>
      <c r="AE1669" s="169"/>
      <c r="AF1669" s="169"/>
      <c r="AG1669" s="179"/>
      <c r="AH1669" s="169"/>
      <c r="AI1669" s="168"/>
      <c r="AJ1669" s="167"/>
      <c r="AK1669" s="168"/>
      <c r="AL1669" s="169"/>
      <c r="AM1669" s="509"/>
      <c r="AN1669" s="510"/>
      <c r="AO1669" s="510"/>
    </row>
    <row r="1670" spans="1:41">
      <c r="A1670" s="177"/>
      <c r="B1670" s="169"/>
      <c r="C1670" s="169"/>
      <c r="D1670" s="169"/>
      <c r="E1670" s="169"/>
      <c r="F1670" s="169"/>
      <c r="G1670" s="169"/>
      <c r="H1670" s="169"/>
      <c r="I1670" s="169"/>
      <c r="J1670" s="169"/>
      <c r="K1670" s="169"/>
      <c r="L1670" s="169"/>
      <c r="M1670" s="169"/>
      <c r="N1670" s="177"/>
      <c r="O1670" s="169"/>
      <c r="P1670" s="169"/>
      <c r="Q1670" s="169"/>
      <c r="R1670" s="169"/>
      <c r="S1670" s="169"/>
      <c r="T1670" s="169"/>
      <c r="U1670" s="169"/>
      <c r="V1670" s="169"/>
      <c r="W1670" s="169"/>
      <c r="X1670" s="169"/>
      <c r="Y1670" s="169"/>
      <c r="Z1670" s="178"/>
      <c r="AA1670" s="167"/>
      <c r="AB1670" s="169"/>
      <c r="AC1670" s="169"/>
      <c r="AD1670" s="169"/>
      <c r="AE1670" s="169"/>
      <c r="AF1670" s="169"/>
      <c r="AG1670" s="179"/>
      <c r="AH1670" s="169"/>
      <c r="AI1670" s="168"/>
      <c r="AJ1670" s="167"/>
      <c r="AK1670" s="168"/>
      <c r="AL1670" s="169"/>
      <c r="AM1670" s="509"/>
      <c r="AN1670" s="510"/>
      <c r="AO1670" s="510"/>
    </row>
    <row r="1671" spans="1:41">
      <c r="A1671" s="177"/>
      <c r="B1671" s="169"/>
      <c r="C1671" s="169"/>
      <c r="D1671" s="169"/>
      <c r="E1671" s="169"/>
      <c r="F1671" s="169"/>
      <c r="G1671" s="169"/>
      <c r="H1671" s="169"/>
      <c r="I1671" s="169"/>
      <c r="J1671" s="169"/>
      <c r="K1671" s="169"/>
      <c r="L1671" s="169"/>
      <c r="M1671" s="169"/>
      <c r="N1671" s="177"/>
      <c r="O1671" s="169"/>
      <c r="P1671" s="169"/>
      <c r="Q1671" s="169"/>
      <c r="R1671" s="169"/>
      <c r="S1671" s="169"/>
      <c r="T1671" s="169"/>
      <c r="U1671" s="169"/>
      <c r="V1671" s="169"/>
      <c r="W1671" s="169"/>
      <c r="X1671" s="169"/>
      <c r="Y1671" s="169"/>
      <c r="Z1671" s="178"/>
      <c r="AA1671" s="167"/>
      <c r="AB1671" s="169"/>
      <c r="AC1671" s="169"/>
      <c r="AD1671" s="169"/>
      <c r="AE1671" s="169"/>
      <c r="AF1671" s="169"/>
      <c r="AG1671" s="179"/>
      <c r="AH1671" s="169"/>
      <c r="AI1671" s="168"/>
      <c r="AJ1671" s="167"/>
      <c r="AK1671" s="168"/>
      <c r="AL1671" s="169"/>
      <c r="AM1671" s="509"/>
      <c r="AN1671" s="510"/>
      <c r="AO1671" s="510"/>
    </row>
    <row r="1672" spans="1:41">
      <c r="A1672" s="177"/>
      <c r="B1672" s="169"/>
      <c r="C1672" s="169"/>
      <c r="D1672" s="169"/>
      <c r="E1672" s="169"/>
      <c r="F1672" s="169"/>
      <c r="G1672" s="169"/>
      <c r="H1672" s="169"/>
      <c r="I1672" s="169"/>
      <c r="J1672" s="169"/>
      <c r="K1672" s="169"/>
      <c r="L1672" s="169"/>
      <c r="M1672" s="169"/>
      <c r="N1672" s="177"/>
      <c r="O1672" s="169"/>
      <c r="P1672" s="169"/>
      <c r="Q1672" s="169"/>
      <c r="R1672" s="169"/>
      <c r="S1672" s="169"/>
      <c r="T1672" s="169"/>
      <c r="U1672" s="169"/>
      <c r="V1672" s="169"/>
      <c r="W1672" s="169"/>
      <c r="X1672" s="169"/>
      <c r="Y1672" s="169"/>
      <c r="Z1672" s="178"/>
      <c r="AA1672" s="167"/>
      <c r="AB1672" s="169"/>
      <c r="AC1672" s="169"/>
      <c r="AD1672" s="169"/>
      <c r="AE1672" s="169"/>
      <c r="AF1672" s="169"/>
      <c r="AG1672" s="179"/>
      <c r="AH1672" s="169"/>
      <c r="AI1672" s="168"/>
      <c r="AJ1672" s="167"/>
      <c r="AK1672" s="168"/>
      <c r="AL1672" s="169"/>
      <c r="AM1672" s="509"/>
      <c r="AN1672" s="510"/>
      <c r="AO1672" s="510"/>
    </row>
    <row r="1673" spans="1:41">
      <c r="A1673" s="177"/>
      <c r="B1673" s="169"/>
      <c r="C1673" s="169"/>
      <c r="D1673" s="169"/>
      <c r="E1673" s="169"/>
      <c r="F1673" s="169"/>
      <c r="G1673" s="169"/>
      <c r="H1673" s="169"/>
      <c r="I1673" s="169"/>
      <c r="J1673" s="169"/>
      <c r="K1673" s="169"/>
      <c r="L1673" s="169"/>
      <c r="M1673" s="169"/>
      <c r="N1673" s="177"/>
      <c r="O1673" s="169"/>
      <c r="P1673" s="169"/>
      <c r="Q1673" s="169"/>
      <c r="R1673" s="169"/>
      <c r="S1673" s="169"/>
      <c r="T1673" s="169"/>
      <c r="U1673" s="169"/>
      <c r="V1673" s="169"/>
      <c r="W1673" s="169"/>
      <c r="X1673" s="169"/>
      <c r="Y1673" s="169"/>
      <c r="Z1673" s="178"/>
      <c r="AA1673" s="167"/>
      <c r="AB1673" s="169"/>
      <c r="AC1673" s="169"/>
      <c r="AD1673" s="169"/>
      <c r="AE1673" s="169"/>
      <c r="AF1673" s="169"/>
      <c r="AG1673" s="179"/>
      <c r="AH1673" s="169"/>
      <c r="AI1673" s="168"/>
      <c r="AJ1673" s="167"/>
      <c r="AK1673" s="168"/>
      <c r="AL1673" s="169"/>
      <c r="AM1673" s="509"/>
      <c r="AN1673" s="510"/>
      <c r="AO1673" s="510"/>
    </row>
    <row r="1674" spans="1:41">
      <c r="A1674" s="177"/>
      <c r="B1674" s="169"/>
      <c r="C1674" s="169"/>
      <c r="D1674" s="169"/>
      <c r="E1674" s="169"/>
      <c r="F1674" s="169"/>
      <c r="G1674" s="169"/>
      <c r="H1674" s="169"/>
      <c r="I1674" s="169"/>
      <c r="J1674" s="169"/>
      <c r="K1674" s="169"/>
      <c r="L1674" s="169"/>
      <c r="M1674" s="169"/>
      <c r="N1674" s="177"/>
      <c r="O1674" s="169"/>
      <c r="P1674" s="169"/>
      <c r="Q1674" s="169"/>
      <c r="R1674" s="169"/>
      <c r="S1674" s="169"/>
      <c r="T1674" s="169"/>
      <c r="U1674" s="169"/>
      <c r="V1674" s="169"/>
      <c r="W1674" s="169"/>
      <c r="X1674" s="169"/>
      <c r="Y1674" s="169"/>
      <c r="Z1674" s="178"/>
      <c r="AA1674" s="167"/>
      <c r="AB1674" s="169"/>
      <c r="AC1674" s="169"/>
      <c r="AD1674" s="169"/>
      <c r="AE1674" s="169"/>
      <c r="AF1674" s="169"/>
      <c r="AG1674" s="179"/>
      <c r="AH1674" s="169"/>
      <c r="AI1674" s="168"/>
      <c r="AJ1674" s="167"/>
      <c r="AK1674" s="168"/>
      <c r="AL1674" s="169"/>
      <c r="AM1674" s="509"/>
      <c r="AN1674" s="510"/>
      <c r="AO1674" s="510"/>
    </row>
    <row r="1675" spans="1:41">
      <c r="A1675" s="177"/>
      <c r="B1675" s="169"/>
      <c r="C1675" s="169"/>
      <c r="D1675" s="169"/>
      <c r="E1675" s="169"/>
      <c r="F1675" s="169"/>
      <c r="G1675" s="169"/>
      <c r="H1675" s="169"/>
      <c r="I1675" s="169"/>
      <c r="J1675" s="169"/>
      <c r="K1675" s="169"/>
      <c r="L1675" s="169"/>
      <c r="M1675" s="169"/>
      <c r="N1675" s="177"/>
      <c r="O1675" s="169"/>
      <c r="P1675" s="169"/>
      <c r="Q1675" s="169"/>
      <c r="R1675" s="169"/>
      <c r="S1675" s="169"/>
      <c r="T1675" s="169"/>
      <c r="U1675" s="169"/>
      <c r="V1675" s="169"/>
      <c r="W1675" s="169"/>
      <c r="X1675" s="169"/>
      <c r="Y1675" s="169"/>
      <c r="Z1675" s="178"/>
      <c r="AA1675" s="167"/>
      <c r="AB1675" s="169"/>
      <c r="AC1675" s="169"/>
      <c r="AD1675" s="169"/>
      <c r="AE1675" s="169"/>
      <c r="AF1675" s="169"/>
      <c r="AG1675" s="179"/>
      <c r="AH1675" s="169"/>
      <c r="AI1675" s="168"/>
      <c r="AJ1675" s="167"/>
      <c r="AK1675" s="168"/>
      <c r="AL1675" s="169"/>
      <c r="AM1675" s="509"/>
      <c r="AN1675" s="510"/>
      <c r="AO1675" s="510"/>
    </row>
    <row r="1676" spans="1:41">
      <c r="A1676" s="177"/>
      <c r="B1676" s="169"/>
      <c r="C1676" s="169"/>
      <c r="D1676" s="169"/>
      <c r="E1676" s="169"/>
      <c r="F1676" s="169"/>
      <c r="G1676" s="169"/>
      <c r="H1676" s="169"/>
      <c r="I1676" s="169"/>
      <c r="J1676" s="169"/>
      <c r="K1676" s="169"/>
      <c r="L1676" s="169"/>
      <c r="M1676" s="169"/>
      <c r="N1676" s="177"/>
      <c r="O1676" s="169"/>
      <c r="P1676" s="169"/>
      <c r="Q1676" s="169"/>
      <c r="R1676" s="169"/>
      <c r="S1676" s="169"/>
      <c r="T1676" s="169"/>
      <c r="U1676" s="169"/>
      <c r="V1676" s="169"/>
      <c r="W1676" s="169"/>
      <c r="X1676" s="169"/>
      <c r="Y1676" s="169"/>
      <c r="Z1676" s="178"/>
      <c r="AA1676" s="167"/>
      <c r="AB1676" s="169"/>
      <c r="AC1676" s="169"/>
      <c r="AD1676" s="169"/>
      <c r="AE1676" s="169"/>
      <c r="AF1676" s="169"/>
      <c r="AG1676" s="179"/>
      <c r="AH1676" s="169"/>
      <c r="AI1676" s="168"/>
      <c r="AJ1676" s="167"/>
      <c r="AK1676" s="168"/>
      <c r="AL1676" s="169"/>
      <c r="AM1676" s="509"/>
      <c r="AN1676" s="510"/>
      <c r="AO1676" s="510"/>
    </row>
    <row r="1677" spans="1:41">
      <c r="A1677" s="177"/>
      <c r="B1677" s="169"/>
      <c r="C1677" s="169"/>
      <c r="D1677" s="169"/>
      <c r="E1677" s="169"/>
      <c r="F1677" s="169"/>
      <c r="G1677" s="169"/>
      <c r="H1677" s="169"/>
      <c r="I1677" s="169"/>
      <c r="J1677" s="169"/>
      <c r="K1677" s="169"/>
      <c r="L1677" s="169"/>
      <c r="M1677" s="169"/>
      <c r="N1677" s="177"/>
      <c r="O1677" s="169"/>
      <c r="P1677" s="169"/>
      <c r="Q1677" s="169"/>
      <c r="R1677" s="169"/>
      <c r="S1677" s="169"/>
      <c r="T1677" s="169"/>
      <c r="U1677" s="169"/>
      <c r="V1677" s="169"/>
      <c r="W1677" s="169"/>
      <c r="X1677" s="169"/>
      <c r="Y1677" s="169"/>
      <c r="Z1677" s="178"/>
      <c r="AA1677" s="167"/>
      <c r="AB1677" s="169"/>
      <c r="AC1677" s="169"/>
      <c r="AD1677" s="169"/>
      <c r="AE1677" s="169"/>
      <c r="AF1677" s="169"/>
      <c r="AG1677" s="179"/>
      <c r="AH1677" s="169"/>
      <c r="AI1677" s="168"/>
      <c r="AJ1677" s="167"/>
      <c r="AK1677" s="168"/>
      <c r="AL1677" s="169"/>
      <c r="AM1677" s="509"/>
      <c r="AN1677" s="510"/>
      <c r="AO1677" s="510"/>
    </row>
    <row r="1678" spans="1:41">
      <c r="A1678" s="177"/>
      <c r="B1678" s="169"/>
      <c r="C1678" s="169"/>
      <c r="D1678" s="169"/>
      <c r="E1678" s="169"/>
      <c r="F1678" s="169"/>
      <c r="G1678" s="169"/>
      <c r="H1678" s="169"/>
      <c r="I1678" s="169"/>
      <c r="J1678" s="169"/>
      <c r="K1678" s="169"/>
      <c r="L1678" s="169"/>
      <c r="M1678" s="169"/>
      <c r="N1678" s="177"/>
      <c r="O1678" s="169"/>
      <c r="P1678" s="169"/>
      <c r="Q1678" s="169"/>
      <c r="R1678" s="169"/>
      <c r="S1678" s="169"/>
      <c r="T1678" s="169"/>
      <c r="U1678" s="169"/>
      <c r="V1678" s="169"/>
      <c r="W1678" s="169"/>
      <c r="X1678" s="169"/>
      <c r="Y1678" s="169"/>
      <c r="Z1678" s="178"/>
      <c r="AA1678" s="167"/>
      <c r="AB1678" s="169"/>
      <c r="AC1678" s="169"/>
      <c r="AD1678" s="169"/>
      <c r="AE1678" s="169"/>
      <c r="AF1678" s="169"/>
      <c r="AG1678" s="179"/>
      <c r="AH1678" s="169"/>
      <c r="AI1678" s="168"/>
      <c r="AJ1678" s="167"/>
      <c r="AK1678" s="168"/>
      <c r="AL1678" s="169"/>
      <c r="AM1678" s="509"/>
      <c r="AN1678" s="510"/>
      <c r="AO1678" s="510"/>
    </row>
    <row r="1679" spans="1:41">
      <c r="A1679" s="177"/>
      <c r="B1679" s="169"/>
      <c r="C1679" s="169"/>
      <c r="D1679" s="169"/>
      <c r="E1679" s="169"/>
      <c r="F1679" s="169"/>
      <c r="G1679" s="169"/>
      <c r="H1679" s="169"/>
      <c r="I1679" s="169"/>
      <c r="J1679" s="169"/>
      <c r="K1679" s="169"/>
      <c r="L1679" s="169"/>
      <c r="M1679" s="169"/>
      <c r="N1679" s="177"/>
      <c r="O1679" s="169"/>
      <c r="P1679" s="169"/>
      <c r="Q1679" s="169"/>
      <c r="R1679" s="169"/>
      <c r="S1679" s="169"/>
      <c r="T1679" s="169"/>
      <c r="U1679" s="169"/>
      <c r="V1679" s="169"/>
      <c r="W1679" s="169"/>
      <c r="X1679" s="169"/>
      <c r="Y1679" s="169"/>
      <c r="Z1679" s="178"/>
      <c r="AA1679" s="167"/>
      <c r="AB1679" s="169"/>
      <c r="AC1679" s="169"/>
      <c r="AD1679" s="169"/>
      <c r="AE1679" s="169"/>
      <c r="AF1679" s="169"/>
      <c r="AG1679" s="179"/>
      <c r="AH1679" s="169"/>
      <c r="AI1679" s="168"/>
      <c r="AJ1679" s="167"/>
      <c r="AK1679" s="168"/>
      <c r="AL1679" s="169"/>
      <c r="AM1679" s="509"/>
      <c r="AN1679" s="510"/>
      <c r="AO1679" s="510"/>
    </row>
    <row r="1680" spans="1:41">
      <c r="A1680" s="177"/>
      <c r="B1680" s="169"/>
      <c r="C1680" s="169"/>
      <c r="D1680" s="169"/>
      <c r="E1680" s="169"/>
      <c r="F1680" s="169"/>
      <c r="G1680" s="169"/>
      <c r="H1680" s="169"/>
      <c r="I1680" s="169"/>
      <c r="J1680" s="169"/>
      <c r="K1680" s="169"/>
      <c r="L1680" s="169"/>
      <c r="M1680" s="169"/>
      <c r="N1680" s="177"/>
      <c r="O1680" s="169"/>
      <c r="P1680" s="169"/>
      <c r="Q1680" s="169"/>
      <c r="R1680" s="169"/>
      <c r="S1680" s="169"/>
      <c r="T1680" s="169"/>
      <c r="U1680" s="169"/>
      <c r="V1680" s="169"/>
      <c r="W1680" s="169"/>
      <c r="X1680" s="169"/>
      <c r="Y1680" s="169"/>
      <c r="Z1680" s="178"/>
      <c r="AA1680" s="167"/>
      <c r="AB1680" s="169"/>
      <c r="AC1680" s="169"/>
      <c r="AD1680" s="169"/>
      <c r="AE1680" s="169"/>
      <c r="AF1680" s="169"/>
      <c r="AG1680" s="179"/>
      <c r="AH1680" s="169"/>
      <c r="AI1680" s="168"/>
      <c r="AJ1680" s="167"/>
      <c r="AK1680" s="168"/>
      <c r="AL1680" s="169"/>
      <c r="AM1680" s="509"/>
      <c r="AN1680" s="510"/>
      <c r="AO1680" s="510"/>
    </row>
    <row r="1681" spans="1:41">
      <c r="A1681" s="177"/>
      <c r="B1681" s="169"/>
      <c r="C1681" s="169"/>
      <c r="D1681" s="169"/>
      <c r="E1681" s="169"/>
      <c r="F1681" s="169"/>
      <c r="G1681" s="169"/>
      <c r="H1681" s="169"/>
      <c r="I1681" s="169"/>
      <c r="J1681" s="169"/>
      <c r="K1681" s="169"/>
      <c r="L1681" s="169"/>
      <c r="M1681" s="169"/>
      <c r="N1681" s="177"/>
      <c r="O1681" s="169"/>
      <c r="P1681" s="169"/>
      <c r="Q1681" s="169"/>
      <c r="R1681" s="169"/>
      <c r="S1681" s="169"/>
      <c r="T1681" s="169"/>
      <c r="U1681" s="169"/>
      <c r="V1681" s="169"/>
      <c r="W1681" s="169"/>
      <c r="X1681" s="169"/>
      <c r="Y1681" s="169"/>
      <c r="Z1681" s="178"/>
      <c r="AA1681" s="167"/>
      <c r="AB1681" s="169"/>
      <c r="AC1681" s="169"/>
      <c r="AD1681" s="169"/>
      <c r="AE1681" s="169"/>
      <c r="AF1681" s="169"/>
      <c r="AG1681" s="179"/>
      <c r="AH1681" s="169"/>
      <c r="AI1681" s="168"/>
      <c r="AJ1681" s="167"/>
      <c r="AK1681" s="168"/>
      <c r="AL1681" s="169"/>
      <c r="AM1681" s="509"/>
      <c r="AN1681" s="510"/>
      <c r="AO1681" s="510"/>
    </row>
    <row r="1682" spans="1:41">
      <c r="A1682" s="177"/>
      <c r="B1682" s="169"/>
      <c r="C1682" s="169"/>
      <c r="D1682" s="169"/>
      <c r="E1682" s="169"/>
      <c r="F1682" s="169"/>
      <c r="G1682" s="169"/>
      <c r="H1682" s="169"/>
      <c r="I1682" s="169"/>
      <c r="J1682" s="169"/>
      <c r="K1682" s="169"/>
      <c r="L1682" s="169"/>
      <c r="M1682" s="169"/>
      <c r="N1682" s="177"/>
      <c r="O1682" s="169"/>
      <c r="P1682" s="169"/>
      <c r="Q1682" s="169"/>
      <c r="R1682" s="169"/>
      <c r="S1682" s="169"/>
      <c r="T1682" s="169"/>
      <c r="U1682" s="169"/>
      <c r="V1682" s="169"/>
      <c r="W1682" s="169"/>
      <c r="X1682" s="169"/>
      <c r="Y1682" s="169"/>
      <c r="Z1682" s="178"/>
      <c r="AA1682" s="167"/>
      <c r="AB1682" s="169"/>
      <c r="AC1682" s="169"/>
      <c r="AD1682" s="169"/>
      <c r="AE1682" s="169"/>
      <c r="AF1682" s="169"/>
      <c r="AG1682" s="179"/>
      <c r="AH1682" s="169"/>
      <c r="AI1682" s="168"/>
      <c r="AJ1682" s="167"/>
      <c r="AK1682" s="168"/>
      <c r="AL1682" s="169"/>
      <c r="AM1682" s="509"/>
      <c r="AN1682" s="510"/>
      <c r="AO1682" s="510"/>
    </row>
    <row r="1683" spans="1:41">
      <c r="A1683" s="177"/>
      <c r="B1683" s="169"/>
      <c r="C1683" s="169"/>
      <c r="D1683" s="169"/>
      <c r="E1683" s="169"/>
      <c r="F1683" s="169"/>
      <c r="G1683" s="169"/>
      <c r="H1683" s="169"/>
      <c r="I1683" s="169"/>
      <c r="J1683" s="169"/>
      <c r="K1683" s="169"/>
      <c r="L1683" s="169"/>
      <c r="M1683" s="169"/>
      <c r="N1683" s="177"/>
      <c r="O1683" s="169"/>
      <c r="P1683" s="169"/>
      <c r="Q1683" s="169"/>
      <c r="R1683" s="169"/>
      <c r="S1683" s="169"/>
      <c r="T1683" s="169"/>
      <c r="U1683" s="169"/>
      <c r="V1683" s="169"/>
      <c r="W1683" s="169"/>
      <c r="X1683" s="169"/>
      <c r="Y1683" s="169"/>
      <c r="Z1683" s="178"/>
      <c r="AA1683" s="167"/>
      <c r="AB1683" s="169"/>
      <c r="AC1683" s="169"/>
      <c r="AD1683" s="169"/>
      <c r="AE1683" s="169"/>
      <c r="AF1683" s="169"/>
      <c r="AG1683" s="179"/>
      <c r="AH1683" s="169"/>
      <c r="AI1683" s="168"/>
      <c r="AJ1683" s="167"/>
      <c r="AK1683" s="168"/>
      <c r="AL1683" s="169"/>
      <c r="AM1683" s="509"/>
      <c r="AN1683" s="510"/>
      <c r="AO1683" s="510"/>
    </row>
    <row r="1684" spans="1:41">
      <c r="A1684" s="177"/>
      <c r="B1684" s="169"/>
      <c r="C1684" s="169"/>
      <c r="D1684" s="169"/>
      <c r="E1684" s="169"/>
      <c r="F1684" s="169"/>
      <c r="G1684" s="169"/>
      <c r="H1684" s="169"/>
      <c r="I1684" s="169"/>
      <c r="J1684" s="169"/>
      <c r="K1684" s="169"/>
      <c r="L1684" s="169"/>
      <c r="M1684" s="169"/>
      <c r="N1684" s="177"/>
      <c r="O1684" s="169"/>
      <c r="P1684" s="169"/>
      <c r="Q1684" s="169"/>
      <c r="R1684" s="169"/>
      <c r="S1684" s="169"/>
      <c r="T1684" s="169"/>
      <c r="U1684" s="169"/>
      <c r="V1684" s="169"/>
      <c r="W1684" s="169"/>
      <c r="X1684" s="169"/>
      <c r="Y1684" s="169"/>
      <c r="Z1684" s="178"/>
      <c r="AA1684" s="167"/>
      <c r="AB1684" s="169"/>
      <c r="AC1684" s="169"/>
      <c r="AD1684" s="169"/>
      <c r="AE1684" s="169"/>
      <c r="AF1684" s="169"/>
      <c r="AG1684" s="179"/>
      <c r="AH1684" s="169"/>
      <c r="AI1684" s="168"/>
      <c r="AJ1684" s="167"/>
      <c r="AK1684" s="168"/>
      <c r="AL1684" s="169"/>
      <c r="AM1684" s="509"/>
      <c r="AN1684" s="510"/>
      <c r="AO1684" s="510"/>
    </row>
    <row r="1685" spans="1:41">
      <c r="A1685" s="177"/>
      <c r="B1685" s="169"/>
      <c r="C1685" s="169"/>
      <c r="D1685" s="169"/>
      <c r="E1685" s="169"/>
      <c r="F1685" s="169"/>
      <c r="G1685" s="169"/>
      <c r="H1685" s="169"/>
      <c r="I1685" s="169"/>
      <c r="J1685" s="169"/>
      <c r="K1685" s="169"/>
      <c r="L1685" s="169"/>
      <c r="M1685" s="169"/>
      <c r="N1685" s="177"/>
      <c r="O1685" s="169"/>
      <c r="P1685" s="169"/>
      <c r="Q1685" s="169"/>
      <c r="R1685" s="169"/>
      <c r="S1685" s="169"/>
      <c r="T1685" s="169"/>
      <c r="U1685" s="169"/>
      <c r="V1685" s="169"/>
      <c r="W1685" s="169"/>
      <c r="X1685" s="169"/>
      <c r="Y1685" s="169"/>
      <c r="Z1685" s="178"/>
      <c r="AA1685" s="167"/>
      <c r="AB1685" s="169"/>
      <c r="AC1685" s="169"/>
      <c r="AD1685" s="169"/>
      <c r="AE1685" s="169"/>
      <c r="AF1685" s="169"/>
      <c r="AG1685" s="179"/>
      <c r="AH1685" s="169"/>
      <c r="AI1685" s="168"/>
      <c r="AJ1685" s="167"/>
      <c r="AK1685" s="168"/>
      <c r="AL1685" s="169"/>
      <c r="AM1685" s="509"/>
      <c r="AN1685" s="510"/>
      <c r="AO1685" s="510"/>
    </row>
    <row r="1686" spans="1:41">
      <c r="A1686" s="177"/>
      <c r="B1686" s="169"/>
      <c r="C1686" s="169"/>
      <c r="D1686" s="169"/>
      <c r="E1686" s="169"/>
      <c r="F1686" s="169"/>
      <c r="G1686" s="169"/>
      <c r="H1686" s="169"/>
      <c r="I1686" s="169"/>
      <c r="J1686" s="169"/>
      <c r="K1686" s="169"/>
      <c r="L1686" s="169"/>
      <c r="M1686" s="169"/>
      <c r="N1686" s="177"/>
      <c r="O1686" s="169"/>
      <c r="P1686" s="169"/>
      <c r="Q1686" s="169"/>
      <c r="R1686" s="169"/>
      <c r="S1686" s="169"/>
      <c r="T1686" s="169"/>
      <c r="U1686" s="169"/>
      <c r="V1686" s="169"/>
      <c r="W1686" s="169"/>
      <c r="X1686" s="169"/>
      <c r="Y1686" s="169"/>
      <c r="Z1686" s="178"/>
      <c r="AA1686" s="167"/>
      <c r="AB1686" s="169"/>
      <c r="AC1686" s="169"/>
      <c r="AD1686" s="169"/>
      <c r="AE1686" s="169"/>
      <c r="AF1686" s="169"/>
      <c r="AG1686" s="179"/>
      <c r="AH1686" s="169"/>
      <c r="AI1686" s="168"/>
      <c r="AJ1686" s="167"/>
      <c r="AK1686" s="168"/>
      <c r="AL1686" s="169"/>
      <c r="AM1686" s="509"/>
      <c r="AN1686" s="510"/>
      <c r="AO1686" s="510"/>
    </row>
    <row r="1687" spans="1:41">
      <c r="A1687" s="177"/>
      <c r="B1687" s="169"/>
      <c r="C1687" s="169"/>
      <c r="D1687" s="169"/>
      <c r="E1687" s="169"/>
      <c r="F1687" s="169"/>
      <c r="G1687" s="169"/>
      <c r="H1687" s="169"/>
      <c r="I1687" s="169"/>
      <c r="J1687" s="169"/>
      <c r="K1687" s="169"/>
      <c r="L1687" s="169"/>
      <c r="M1687" s="169"/>
      <c r="N1687" s="177"/>
      <c r="O1687" s="169"/>
      <c r="P1687" s="169"/>
      <c r="Q1687" s="169"/>
      <c r="R1687" s="169"/>
      <c r="S1687" s="169"/>
      <c r="T1687" s="169"/>
      <c r="U1687" s="169"/>
      <c r="V1687" s="169"/>
      <c r="W1687" s="169"/>
      <c r="X1687" s="169"/>
      <c r="Y1687" s="169"/>
      <c r="Z1687" s="178"/>
      <c r="AA1687" s="167"/>
      <c r="AB1687" s="169"/>
      <c r="AC1687" s="169"/>
      <c r="AD1687" s="169"/>
      <c r="AE1687" s="169"/>
      <c r="AF1687" s="169"/>
      <c r="AG1687" s="179"/>
      <c r="AH1687" s="169"/>
      <c r="AI1687" s="168"/>
      <c r="AJ1687" s="167"/>
      <c r="AK1687" s="168"/>
      <c r="AL1687" s="169"/>
      <c r="AM1687" s="509"/>
      <c r="AN1687" s="510"/>
      <c r="AO1687" s="510"/>
    </row>
    <row r="1688" spans="1:41">
      <c r="A1688" s="177"/>
      <c r="B1688" s="169"/>
      <c r="C1688" s="169"/>
      <c r="D1688" s="169"/>
      <c r="E1688" s="169"/>
      <c r="F1688" s="169"/>
      <c r="G1688" s="169"/>
      <c r="H1688" s="169"/>
      <c r="I1688" s="169"/>
      <c r="J1688" s="169"/>
      <c r="K1688" s="169"/>
      <c r="L1688" s="169"/>
      <c r="M1688" s="169"/>
      <c r="N1688" s="177"/>
      <c r="O1688" s="169"/>
      <c r="P1688" s="169"/>
      <c r="Q1688" s="169"/>
      <c r="R1688" s="169"/>
      <c r="S1688" s="169"/>
      <c r="T1688" s="169"/>
      <c r="U1688" s="169"/>
      <c r="V1688" s="169"/>
      <c r="W1688" s="169"/>
      <c r="X1688" s="169"/>
      <c r="Y1688" s="169"/>
      <c r="Z1688" s="178"/>
      <c r="AA1688" s="167"/>
      <c r="AB1688" s="169"/>
      <c r="AC1688" s="169"/>
      <c r="AD1688" s="169"/>
      <c r="AE1688" s="169"/>
      <c r="AF1688" s="169"/>
      <c r="AG1688" s="179"/>
      <c r="AH1688" s="169"/>
      <c r="AI1688" s="168"/>
      <c r="AJ1688" s="167"/>
      <c r="AK1688" s="168"/>
      <c r="AL1688" s="169"/>
      <c r="AM1688" s="509"/>
      <c r="AN1688" s="510"/>
      <c r="AO1688" s="510"/>
    </row>
    <row r="1689" spans="1:41">
      <c r="A1689" s="177"/>
      <c r="B1689" s="169"/>
      <c r="C1689" s="169"/>
      <c r="D1689" s="169"/>
      <c r="E1689" s="169"/>
      <c r="F1689" s="169"/>
      <c r="G1689" s="169"/>
      <c r="H1689" s="169"/>
      <c r="I1689" s="169"/>
      <c r="J1689" s="169"/>
      <c r="K1689" s="169"/>
      <c r="L1689" s="169"/>
      <c r="M1689" s="169"/>
      <c r="N1689" s="177"/>
      <c r="O1689" s="169"/>
      <c r="P1689" s="169"/>
      <c r="Q1689" s="169"/>
      <c r="R1689" s="169"/>
      <c r="S1689" s="169"/>
      <c r="T1689" s="169"/>
      <c r="U1689" s="169"/>
      <c r="V1689" s="169"/>
      <c r="W1689" s="169"/>
      <c r="X1689" s="169"/>
      <c r="Y1689" s="169"/>
      <c r="Z1689" s="178"/>
      <c r="AA1689" s="167"/>
      <c r="AB1689" s="169"/>
      <c r="AC1689" s="169"/>
      <c r="AD1689" s="169"/>
      <c r="AE1689" s="169"/>
      <c r="AF1689" s="169"/>
      <c r="AG1689" s="179"/>
      <c r="AH1689" s="169"/>
      <c r="AI1689" s="168"/>
      <c r="AJ1689" s="167"/>
      <c r="AK1689" s="168"/>
      <c r="AL1689" s="169"/>
      <c r="AM1689" s="509"/>
      <c r="AN1689" s="510"/>
      <c r="AO1689" s="510"/>
    </row>
    <row r="1690" spans="1:41">
      <c r="A1690" s="177"/>
      <c r="B1690" s="169"/>
      <c r="C1690" s="169"/>
      <c r="D1690" s="169"/>
      <c r="E1690" s="169"/>
      <c r="F1690" s="169"/>
      <c r="G1690" s="169"/>
      <c r="H1690" s="169"/>
      <c r="I1690" s="169"/>
      <c r="J1690" s="169"/>
      <c r="K1690" s="169"/>
      <c r="L1690" s="169"/>
      <c r="M1690" s="169"/>
      <c r="N1690" s="177"/>
      <c r="O1690" s="169"/>
      <c r="P1690" s="169"/>
      <c r="Q1690" s="169"/>
      <c r="R1690" s="169"/>
      <c r="S1690" s="169"/>
      <c r="T1690" s="169"/>
      <c r="U1690" s="169"/>
      <c r="V1690" s="169"/>
      <c r="W1690" s="169"/>
      <c r="X1690" s="169"/>
      <c r="Y1690" s="169"/>
      <c r="Z1690" s="178"/>
      <c r="AA1690" s="167"/>
      <c r="AB1690" s="169"/>
      <c r="AC1690" s="169"/>
      <c r="AD1690" s="169"/>
      <c r="AE1690" s="169"/>
      <c r="AF1690" s="169"/>
      <c r="AG1690" s="179"/>
      <c r="AH1690" s="169"/>
      <c r="AI1690" s="168"/>
      <c r="AJ1690" s="167"/>
      <c r="AK1690" s="168"/>
      <c r="AL1690" s="169"/>
      <c r="AM1690" s="509"/>
      <c r="AN1690" s="510"/>
      <c r="AO1690" s="510"/>
    </row>
    <row r="1691" spans="1:41">
      <c r="A1691" s="177"/>
      <c r="B1691" s="169"/>
      <c r="C1691" s="169"/>
      <c r="D1691" s="169"/>
      <c r="E1691" s="169"/>
      <c r="F1691" s="169"/>
      <c r="G1691" s="169"/>
      <c r="H1691" s="169"/>
      <c r="I1691" s="169"/>
      <c r="J1691" s="169"/>
      <c r="K1691" s="169"/>
      <c r="L1691" s="169"/>
      <c r="M1691" s="169"/>
      <c r="N1691" s="177"/>
      <c r="O1691" s="169"/>
      <c r="P1691" s="169"/>
      <c r="Q1691" s="169"/>
      <c r="R1691" s="169"/>
      <c r="S1691" s="169"/>
      <c r="T1691" s="169"/>
      <c r="U1691" s="169"/>
      <c r="V1691" s="169"/>
      <c r="W1691" s="169"/>
      <c r="X1691" s="169"/>
      <c r="Y1691" s="169"/>
      <c r="Z1691" s="178"/>
      <c r="AA1691" s="167"/>
      <c r="AB1691" s="169"/>
      <c r="AC1691" s="169"/>
      <c r="AD1691" s="169"/>
      <c r="AE1691" s="169"/>
      <c r="AF1691" s="169"/>
      <c r="AG1691" s="179"/>
      <c r="AH1691" s="169"/>
      <c r="AI1691" s="168"/>
      <c r="AJ1691" s="167"/>
      <c r="AK1691" s="168"/>
      <c r="AL1691" s="169"/>
      <c r="AM1691" s="509"/>
      <c r="AN1691" s="510"/>
      <c r="AO1691" s="510"/>
    </row>
    <row r="1692" spans="1:41">
      <c r="A1692" s="177"/>
      <c r="B1692" s="169"/>
      <c r="C1692" s="169"/>
      <c r="D1692" s="169"/>
      <c r="E1692" s="169"/>
      <c r="F1692" s="169"/>
      <c r="G1692" s="169"/>
      <c r="H1692" s="169"/>
      <c r="I1692" s="169"/>
      <c r="J1692" s="169"/>
      <c r="K1692" s="169"/>
      <c r="L1692" s="169"/>
      <c r="M1692" s="169"/>
      <c r="N1692" s="177"/>
      <c r="O1692" s="169"/>
      <c r="P1692" s="169"/>
      <c r="Q1692" s="169"/>
      <c r="R1692" s="169"/>
      <c r="S1692" s="169"/>
      <c r="T1692" s="169"/>
      <c r="U1692" s="169"/>
      <c r="V1692" s="169"/>
      <c r="W1692" s="169"/>
      <c r="X1692" s="169"/>
      <c r="Y1692" s="169"/>
      <c r="Z1692" s="178"/>
      <c r="AA1692" s="167"/>
      <c r="AB1692" s="169"/>
      <c r="AC1692" s="169"/>
      <c r="AD1692" s="169"/>
      <c r="AE1692" s="169"/>
      <c r="AF1692" s="169"/>
      <c r="AG1692" s="179"/>
      <c r="AH1692" s="169"/>
      <c r="AI1692" s="168"/>
      <c r="AJ1692" s="167"/>
      <c r="AK1692" s="168"/>
      <c r="AL1692" s="169"/>
      <c r="AM1692" s="509"/>
      <c r="AN1692" s="510"/>
      <c r="AO1692" s="510"/>
    </row>
    <row r="1693" spans="1:41">
      <c r="A1693" s="177"/>
      <c r="B1693" s="169"/>
      <c r="C1693" s="169"/>
      <c r="D1693" s="169"/>
      <c r="E1693" s="169"/>
      <c r="F1693" s="169"/>
      <c r="G1693" s="169"/>
      <c r="H1693" s="169"/>
      <c r="I1693" s="169"/>
      <c r="J1693" s="169"/>
      <c r="K1693" s="169"/>
      <c r="L1693" s="169"/>
      <c r="M1693" s="169"/>
      <c r="N1693" s="177"/>
      <c r="O1693" s="169"/>
      <c r="P1693" s="169"/>
      <c r="Q1693" s="169"/>
      <c r="R1693" s="169"/>
      <c r="S1693" s="169"/>
      <c r="T1693" s="169"/>
      <c r="U1693" s="169"/>
      <c r="V1693" s="169"/>
      <c r="W1693" s="169"/>
      <c r="X1693" s="169"/>
      <c r="Y1693" s="169"/>
      <c r="Z1693" s="178"/>
      <c r="AA1693" s="167"/>
      <c r="AB1693" s="169"/>
      <c r="AC1693" s="169"/>
      <c r="AD1693" s="169"/>
      <c r="AE1693" s="169"/>
      <c r="AF1693" s="169"/>
      <c r="AG1693" s="179"/>
      <c r="AH1693" s="169"/>
      <c r="AI1693" s="168"/>
      <c r="AJ1693" s="167"/>
      <c r="AK1693" s="168"/>
      <c r="AL1693" s="169"/>
      <c r="AM1693" s="509"/>
      <c r="AN1693" s="510"/>
      <c r="AO1693" s="510"/>
    </row>
    <row r="1694" spans="1:41">
      <c r="A1694" s="177"/>
      <c r="B1694" s="169"/>
      <c r="C1694" s="169"/>
      <c r="D1694" s="169"/>
      <c r="E1694" s="169"/>
      <c r="F1694" s="169"/>
      <c r="G1694" s="169"/>
      <c r="H1694" s="169"/>
      <c r="I1694" s="169"/>
      <c r="J1694" s="169"/>
      <c r="K1694" s="169"/>
      <c r="L1694" s="169"/>
      <c r="M1694" s="169"/>
      <c r="N1694" s="177"/>
      <c r="O1694" s="169"/>
      <c r="P1694" s="169"/>
      <c r="Q1694" s="169"/>
      <c r="R1694" s="169"/>
      <c r="S1694" s="169"/>
      <c r="T1694" s="169"/>
      <c r="U1694" s="169"/>
      <c r="V1694" s="169"/>
      <c r="W1694" s="169"/>
      <c r="X1694" s="169"/>
      <c r="Y1694" s="169"/>
      <c r="Z1694" s="178"/>
      <c r="AA1694" s="167"/>
      <c r="AB1694" s="169"/>
      <c r="AC1694" s="169"/>
      <c r="AD1694" s="169"/>
      <c r="AE1694" s="169"/>
      <c r="AF1694" s="169"/>
      <c r="AG1694" s="179"/>
      <c r="AH1694" s="169"/>
      <c r="AI1694" s="168"/>
      <c r="AJ1694" s="167"/>
      <c r="AK1694" s="168"/>
      <c r="AL1694" s="169"/>
      <c r="AM1694" s="509"/>
      <c r="AN1694" s="510"/>
      <c r="AO1694" s="510"/>
    </row>
    <row r="1695" spans="1:41">
      <c r="A1695" s="177"/>
      <c r="B1695" s="169"/>
      <c r="C1695" s="169"/>
      <c r="D1695" s="169"/>
      <c r="E1695" s="169"/>
      <c r="F1695" s="169"/>
      <c r="G1695" s="169"/>
      <c r="H1695" s="169"/>
      <c r="I1695" s="169"/>
      <c r="J1695" s="169"/>
      <c r="K1695" s="169"/>
      <c r="L1695" s="169"/>
      <c r="M1695" s="169"/>
      <c r="N1695" s="177"/>
      <c r="O1695" s="169"/>
      <c r="P1695" s="169"/>
      <c r="Q1695" s="169"/>
      <c r="R1695" s="169"/>
      <c r="S1695" s="169"/>
      <c r="T1695" s="169"/>
      <c r="U1695" s="169"/>
      <c r="V1695" s="169"/>
      <c r="W1695" s="169"/>
      <c r="X1695" s="169"/>
      <c r="Y1695" s="169"/>
      <c r="Z1695" s="178"/>
      <c r="AA1695" s="167"/>
      <c r="AB1695" s="169"/>
      <c r="AC1695" s="169"/>
      <c r="AD1695" s="169"/>
      <c r="AE1695" s="169"/>
      <c r="AF1695" s="169"/>
      <c r="AG1695" s="179"/>
      <c r="AH1695" s="169"/>
      <c r="AI1695" s="168"/>
      <c r="AJ1695" s="167"/>
      <c r="AK1695" s="168"/>
      <c r="AL1695" s="169"/>
      <c r="AM1695" s="509"/>
      <c r="AN1695" s="510"/>
      <c r="AO1695" s="510"/>
    </row>
    <row r="1696" spans="1:41">
      <c r="A1696" s="177"/>
      <c r="B1696" s="169"/>
      <c r="C1696" s="169"/>
      <c r="D1696" s="169"/>
      <c r="E1696" s="169"/>
      <c r="F1696" s="169"/>
      <c r="G1696" s="169"/>
      <c r="H1696" s="169"/>
      <c r="I1696" s="169"/>
      <c r="J1696" s="169"/>
      <c r="K1696" s="169"/>
      <c r="L1696" s="169"/>
      <c r="M1696" s="169"/>
      <c r="N1696" s="177"/>
      <c r="O1696" s="169"/>
      <c r="P1696" s="169"/>
      <c r="Q1696" s="169"/>
      <c r="R1696" s="169"/>
      <c r="S1696" s="169"/>
      <c r="T1696" s="169"/>
      <c r="U1696" s="169"/>
      <c r="V1696" s="169"/>
      <c r="W1696" s="169"/>
      <c r="X1696" s="169"/>
      <c r="Y1696" s="169"/>
      <c r="Z1696" s="178"/>
      <c r="AA1696" s="167"/>
      <c r="AB1696" s="169"/>
      <c r="AC1696" s="169"/>
      <c r="AD1696" s="169"/>
      <c r="AE1696" s="169"/>
      <c r="AF1696" s="169"/>
      <c r="AG1696" s="179"/>
      <c r="AH1696" s="169"/>
      <c r="AI1696" s="168"/>
      <c r="AJ1696" s="167"/>
      <c r="AK1696" s="168"/>
      <c r="AL1696" s="169"/>
      <c r="AM1696" s="509"/>
      <c r="AN1696" s="510"/>
      <c r="AO1696" s="510"/>
    </row>
    <row r="1697" spans="1:41">
      <c r="A1697" s="177"/>
      <c r="B1697" s="169"/>
      <c r="C1697" s="169"/>
      <c r="D1697" s="169"/>
      <c r="E1697" s="169"/>
      <c r="F1697" s="169"/>
      <c r="G1697" s="169"/>
      <c r="H1697" s="169"/>
      <c r="I1697" s="169"/>
      <c r="J1697" s="169"/>
      <c r="K1697" s="169"/>
      <c r="L1697" s="169"/>
      <c r="M1697" s="169"/>
      <c r="N1697" s="177"/>
      <c r="O1697" s="169"/>
      <c r="P1697" s="169"/>
      <c r="Q1697" s="169"/>
      <c r="R1697" s="169"/>
      <c r="S1697" s="169"/>
      <c r="T1697" s="169"/>
      <c r="U1697" s="169"/>
      <c r="V1697" s="169"/>
      <c r="W1697" s="169"/>
      <c r="X1697" s="169"/>
      <c r="Y1697" s="169"/>
      <c r="Z1697" s="178"/>
      <c r="AA1697" s="167"/>
      <c r="AB1697" s="169"/>
      <c r="AC1697" s="169"/>
      <c r="AD1697" s="169"/>
      <c r="AE1697" s="169"/>
      <c r="AF1697" s="169"/>
      <c r="AG1697" s="179"/>
      <c r="AH1697" s="169"/>
      <c r="AI1697" s="168"/>
      <c r="AJ1697" s="167"/>
      <c r="AK1697" s="168"/>
      <c r="AL1697" s="169"/>
      <c r="AM1697" s="509"/>
      <c r="AN1697" s="510"/>
      <c r="AO1697" s="510"/>
    </row>
    <row r="1698" spans="1:41">
      <c r="A1698" s="177"/>
      <c r="B1698" s="169"/>
      <c r="C1698" s="169"/>
      <c r="D1698" s="169"/>
      <c r="E1698" s="169"/>
      <c r="F1698" s="169"/>
      <c r="G1698" s="169"/>
      <c r="H1698" s="169"/>
      <c r="I1698" s="169"/>
      <c r="J1698" s="169"/>
      <c r="K1698" s="169"/>
      <c r="L1698" s="169"/>
      <c r="M1698" s="169"/>
      <c r="N1698" s="177"/>
      <c r="O1698" s="169"/>
      <c r="P1698" s="169"/>
      <c r="Q1698" s="169"/>
      <c r="R1698" s="169"/>
      <c r="S1698" s="169"/>
      <c r="T1698" s="169"/>
      <c r="U1698" s="169"/>
      <c r="V1698" s="169"/>
      <c r="W1698" s="169"/>
      <c r="X1698" s="169"/>
      <c r="Y1698" s="169"/>
      <c r="Z1698" s="178"/>
      <c r="AA1698" s="167"/>
      <c r="AB1698" s="169"/>
      <c r="AC1698" s="169"/>
      <c r="AD1698" s="169"/>
      <c r="AE1698" s="169"/>
      <c r="AF1698" s="169"/>
      <c r="AG1698" s="179"/>
      <c r="AH1698" s="169"/>
      <c r="AI1698" s="168"/>
      <c r="AJ1698" s="167"/>
      <c r="AK1698" s="168"/>
      <c r="AL1698" s="169"/>
      <c r="AM1698" s="509"/>
      <c r="AN1698" s="510"/>
      <c r="AO1698" s="510"/>
    </row>
    <row r="1699" spans="1:41">
      <c r="A1699" s="177"/>
      <c r="B1699" s="169"/>
      <c r="C1699" s="169"/>
      <c r="D1699" s="169"/>
      <c r="E1699" s="169"/>
      <c r="F1699" s="169"/>
      <c r="G1699" s="169"/>
      <c r="H1699" s="169"/>
      <c r="I1699" s="169"/>
      <c r="J1699" s="169"/>
      <c r="K1699" s="169"/>
      <c r="L1699" s="169"/>
      <c r="M1699" s="169"/>
      <c r="N1699" s="177"/>
      <c r="O1699" s="169"/>
      <c r="P1699" s="169"/>
      <c r="Q1699" s="169"/>
      <c r="R1699" s="169"/>
      <c r="S1699" s="169"/>
      <c r="T1699" s="169"/>
      <c r="U1699" s="169"/>
      <c r="V1699" s="169"/>
      <c r="W1699" s="169"/>
      <c r="X1699" s="169"/>
      <c r="Y1699" s="169"/>
      <c r="Z1699" s="178"/>
      <c r="AA1699" s="167"/>
      <c r="AB1699" s="169"/>
      <c r="AC1699" s="169"/>
      <c r="AD1699" s="169"/>
      <c r="AE1699" s="169"/>
      <c r="AF1699" s="169"/>
      <c r="AG1699" s="179"/>
      <c r="AH1699" s="169"/>
      <c r="AI1699" s="168"/>
      <c r="AJ1699" s="167"/>
      <c r="AK1699" s="168"/>
      <c r="AL1699" s="169"/>
      <c r="AM1699" s="509"/>
      <c r="AN1699" s="510"/>
      <c r="AO1699" s="510"/>
    </row>
    <row r="1700" spans="1:41">
      <c r="A1700" s="177"/>
      <c r="B1700" s="169"/>
      <c r="C1700" s="169"/>
      <c r="D1700" s="169"/>
      <c r="E1700" s="169"/>
      <c r="F1700" s="169"/>
      <c r="G1700" s="169"/>
      <c r="H1700" s="169"/>
      <c r="I1700" s="169"/>
      <c r="J1700" s="169"/>
      <c r="K1700" s="169"/>
      <c r="L1700" s="169"/>
      <c r="M1700" s="169"/>
      <c r="N1700" s="177"/>
      <c r="O1700" s="169"/>
      <c r="P1700" s="169"/>
      <c r="Q1700" s="169"/>
      <c r="R1700" s="169"/>
      <c r="S1700" s="169"/>
      <c r="T1700" s="169"/>
      <c r="U1700" s="169"/>
      <c r="V1700" s="169"/>
      <c r="W1700" s="169"/>
      <c r="X1700" s="169"/>
      <c r="Y1700" s="169"/>
      <c r="Z1700" s="178"/>
      <c r="AA1700" s="167"/>
      <c r="AB1700" s="169"/>
      <c r="AC1700" s="169"/>
      <c r="AD1700" s="169"/>
      <c r="AE1700" s="169"/>
      <c r="AF1700" s="169"/>
      <c r="AG1700" s="179"/>
      <c r="AH1700" s="169"/>
      <c r="AI1700" s="168"/>
      <c r="AJ1700" s="167"/>
      <c r="AK1700" s="168"/>
      <c r="AL1700" s="169"/>
      <c r="AM1700" s="509"/>
      <c r="AN1700" s="510"/>
      <c r="AO1700" s="510"/>
    </row>
    <row r="1701" spans="1:41">
      <c r="A1701" s="180"/>
      <c r="B1701" s="181"/>
      <c r="C1701" s="181"/>
      <c r="D1701" s="181"/>
      <c r="E1701" s="181"/>
      <c r="F1701" s="181"/>
      <c r="G1701" s="181"/>
      <c r="H1701" s="181"/>
      <c r="I1701" s="181"/>
      <c r="J1701" s="181"/>
      <c r="K1701" s="181"/>
      <c r="L1701" s="181"/>
      <c r="M1701" s="181"/>
      <c r="N1701" s="180"/>
      <c r="O1701" s="181"/>
      <c r="P1701" s="181"/>
      <c r="Q1701" s="181"/>
      <c r="R1701" s="181"/>
      <c r="S1701" s="181"/>
      <c r="T1701" s="181"/>
      <c r="U1701" s="181"/>
      <c r="V1701" s="181"/>
      <c r="W1701" s="181"/>
      <c r="X1701" s="181"/>
      <c r="Y1701" s="181"/>
      <c r="Z1701" s="182"/>
      <c r="AA1701" s="183"/>
      <c r="AB1701" s="181"/>
      <c r="AC1701" s="181"/>
      <c r="AD1701" s="181"/>
      <c r="AE1701" s="181"/>
      <c r="AF1701" s="181"/>
      <c r="AG1701" s="184"/>
      <c r="AH1701" s="181"/>
      <c r="AI1701" s="185"/>
      <c r="AJ1701" s="183"/>
      <c r="AK1701" s="185"/>
      <c r="AL1701" s="169"/>
      <c r="AM1701" s="509"/>
      <c r="AN1701" s="510"/>
      <c r="AO1701" s="5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30.54296875" customWidth="1"/>
    <col min="2" max="2" width="9.453125" customWidth="1"/>
    <col min="3" max="3" width="8.453125" customWidth="1"/>
    <col min="4" max="4" width="8.81640625" customWidth="1"/>
    <col min="5" max="5" width="10.26953125" customWidth="1"/>
    <col min="6" max="7" width="10" customWidth="1"/>
    <col min="10" max="10" width="6.81640625" customWidth="1"/>
    <col min="11" max="13" width="9.26953125" customWidth="1"/>
    <col min="14" max="14" width="10.54296875" customWidth="1"/>
    <col min="15" max="15" width="7.26953125" customWidth="1"/>
    <col min="16" max="16" width="8.26953125" customWidth="1"/>
    <col min="21" max="21" width="13.453125" customWidth="1"/>
  </cols>
  <sheetData>
    <row r="1" spans="1:44" ht="15" customHeight="1">
      <c r="A1" s="169" t="str">
        <f ca="1">COUNTA(A2:A999)&amp;" Unique Players"</f>
        <v>457 Unique Players</v>
      </c>
      <c r="B1" s="186" t="s">
        <v>1321</v>
      </c>
      <c r="C1" s="186" t="s">
        <v>1322</v>
      </c>
      <c r="D1" s="187" t="s">
        <v>1323</v>
      </c>
      <c r="E1" s="6" t="s">
        <v>1324</v>
      </c>
      <c r="F1" s="6" t="s">
        <v>1325</v>
      </c>
      <c r="G1" s="6" t="s">
        <v>1326</v>
      </c>
      <c r="H1" s="169"/>
      <c r="I1" s="169"/>
      <c r="J1" s="6" t="s">
        <v>171</v>
      </c>
      <c r="K1" s="188" t="s">
        <v>1327</v>
      </c>
      <c r="L1" s="189" t="s">
        <v>1328</v>
      </c>
      <c r="M1" s="189" t="s">
        <v>1323</v>
      </c>
      <c r="N1" s="6" t="s">
        <v>1329</v>
      </c>
      <c r="O1" s="6" t="s">
        <v>1330</v>
      </c>
      <c r="P1" s="6" t="s">
        <v>1331</v>
      </c>
      <c r="Q1" s="169"/>
      <c r="R1" s="6" t="s">
        <v>1328</v>
      </c>
      <c r="S1" s="6" t="s">
        <v>1332</v>
      </c>
      <c r="T1" s="169"/>
      <c r="U1" s="169" t="str">
        <f ca="1">COUNTA(U2:U999)&amp;" Tournaments"</f>
        <v>38 Tournaments</v>
      </c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</row>
    <row r="2" spans="1:44" ht="15" customHeight="1">
      <c r="A2" s="169" t="str">
        <f ca="1">IFERROR(__xludf.DUMMYFUNCTION("SORT(UNIQUE(FLATTEN({'All Scores'!AJ2:AJ1024; 'All Scores'!AK2:AK1024})))"),"Agne Kozlovskaja-Gumbriene")</f>
        <v>Agne Kozlovskaja-Gumbriene</v>
      </c>
      <c r="B2" s="186">
        <f ca="1">COUNTIF('All Scores'!AJ:AK,A2)</f>
        <v>1</v>
      </c>
      <c r="C2" s="186">
        <f ca="1">IFERROR(__xludf.DUMMYFUNCTION("MIN(FILTER('All Scores'!AI$2:AI$1024, ('All Scores'!AJ$2:AJ$1024 = A2) + ('All Scores'!AK$2:AK$1024 = A2)))"),9)</f>
        <v>9</v>
      </c>
      <c r="D2" s="187">
        <f ca="1">IFERROR(__xludf.DUMMYFUNCTION("AVERAGE(FILTER('All Scores'!AI$2:AI$1024, ('All Scores'!AJ$2:AJ$1024 = A2) + ('All Scores'!AK$2:AK$1024 = A2))
)
"),9)</f>
        <v>9</v>
      </c>
      <c r="E2" s="6">
        <f ca="1">IFERROR(__xludf.DUMMYFUNCTION("SUM(FILTER('All Scores'!AF$2:AF$1024, ('All Scores'!AJ$2:AJ$1024 = A2) + ('All Scores'!AK$2:AK$1024 = A2)))
"),51)</f>
        <v>51</v>
      </c>
      <c r="F2" s="6">
        <f ca="1">IFERROR(__xludf.DUMMYFUNCTION("SUM(FILTER('All Scores'!AD$2:AD$1024, ('All Scores'!AJ$2:AJ$1024 = A2) + ('All Scores'!AK$2:AK$1024 = A2)))
"),26)</f>
        <v>26</v>
      </c>
      <c r="G2" s="21">
        <f t="shared" ref="G2:G256" ca="1" si="0">F2/E2</f>
        <v>0.50980392156862742</v>
      </c>
      <c r="H2" s="169"/>
      <c r="I2" s="169"/>
      <c r="J2" s="6" t="s">
        <v>205</v>
      </c>
      <c r="K2" s="188">
        <v>1</v>
      </c>
      <c r="L2" s="189" t="s">
        <v>1333</v>
      </c>
      <c r="M2" s="189">
        <f ca="1">IFERROR(__xludf.DUMMYFUNCTION("AVERAGE(FILTER('All Scores'!AI$2:AI$1024, 'All Scores'!AA$2:AA$1024 = J2))"),8.78947368421052)</f>
        <v>8.7894736842105203</v>
      </c>
      <c r="N2" s="6">
        <f>COUNTIF('All Scores'!AA:AA,J2)</f>
        <v>38</v>
      </c>
      <c r="O2" s="6">
        <f>COUNTIFS('All Scores'!$AA$2:$AA$1000, J2, 'All Scores'!$AI$2:$AI$1000, 1)</f>
        <v>2</v>
      </c>
      <c r="P2" s="6"/>
      <c r="Q2" s="169"/>
      <c r="R2" s="6" t="s">
        <v>1333</v>
      </c>
      <c r="S2" s="6">
        <f t="shared" ref="S2:S3" si="1">SUMIF($L:$L, R2, $O:$O)</f>
        <v>16</v>
      </c>
      <c r="T2" s="169"/>
      <c r="U2" s="12">
        <f ca="1">IFERROR(__xludf.DUMMYFUNCTION("ArrayFormula(SORT(UNIQUE(FLATTEN({'All Scores'!A2:A1024}))))"),40104)</f>
        <v>40104</v>
      </c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</row>
    <row r="3" spans="1:44" ht="15" customHeight="1">
      <c r="A3" s="169" t="str">
        <f ca="1">IFERROR(__xludf.DUMMYFUNCTION("""COMPUTED_VALUE"""),"Alex Pangilinan")</f>
        <v>Alex Pangilinan</v>
      </c>
      <c r="B3" s="186">
        <f ca="1">COUNTIF('All Scores'!AJ:AK,A3)</f>
        <v>5</v>
      </c>
      <c r="C3" s="186">
        <f ca="1">IFERROR(__xludf.DUMMYFUNCTION("MIN(FILTER('All Scores'!AI$2:AI$1024, ('All Scores'!AJ$2:AJ$1024 = A3) + ('All Scores'!AK$2:AK$1024 = A3)))"),5)</f>
        <v>5</v>
      </c>
      <c r="D3" s="187">
        <f ca="1">IFERROR(__xludf.DUMMYFUNCTION("AVERAGE(FILTER('All Scores'!AI$2:AI$1024, ('All Scores'!AJ$2:AJ$1024 = A3) + ('All Scores'!AK$2:AK$1024 = A3))
)
"),10.8)</f>
        <v>10.8</v>
      </c>
      <c r="E3" s="6">
        <f ca="1">IFERROR(__xludf.DUMMYFUNCTION("SUM(FILTER('All Scores'!AF$2:AF$1024, ('All Scores'!AJ$2:AJ$1024 = A3) + ('All Scores'!AK$2:AK$1024 = A3)))
"),278)</f>
        <v>278</v>
      </c>
      <c r="F3" s="6">
        <f ca="1">IFERROR(__xludf.DUMMYFUNCTION("SUM(FILTER('All Scores'!AD$2:AD$1024, ('All Scores'!AJ$2:AJ$1024 = A3) + ('All Scores'!AK$2:AK$1024 = A3)))
"),129)</f>
        <v>129</v>
      </c>
      <c r="G3" s="21">
        <f t="shared" ca="1" si="0"/>
        <v>0.46402877697841727</v>
      </c>
      <c r="H3" s="169"/>
      <c r="I3" s="169"/>
      <c r="J3" s="6" t="s">
        <v>211</v>
      </c>
      <c r="K3" s="188">
        <v>15</v>
      </c>
      <c r="L3" s="189" t="s">
        <v>1334</v>
      </c>
      <c r="M3" s="189">
        <f ca="1">IFERROR(__xludf.DUMMYFUNCTION("AVERAGE(FILTER('All Scores'!AI$2:AI$1024, 'All Scores'!AA$2:AA$1024 = J3))"),9.63157894736842)</f>
        <v>9.6315789473684195</v>
      </c>
      <c r="N3" s="6">
        <f>COUNTIF('All Scores'!AA:AA,J3)</f>
        <v>38</v>
      </c>
      <c r="O3" s="6">
        <f>COUNTIFS('All Scores'!$AA$2:$AA$1000, J3, 'All Scores'!$AI$2:$AI$1000, 1)</f>
        <v>1</v>
      </c>
      <c r="P3" s="6">
        <f>SUM(O2:O5)</f>
        <v>7</v>
      </c>
      <c r="Q3" s="169"/>
      <c r="R3" s="6" t="s">
        <v>1334</v>
      </c>
      <c r="S3" s="6">
        <f t="shared" si="1"/>
        <v>22</v>
      </c>
      <c r="T3" s="169"/>
      <c r="U3" s="12">
        <f ca="1">IFERROR(__xludf.DUMMYFUNCTION("""COMPUTED_VALUE"""),40313)</f>
        <v>40313</v>
      </c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</row>
    <row r="4" spans="1:44" ht="15" customHeight="1">
      <c r="A4" s="169" t="str">
        <f ca="1">IFERROR(__xludf.DUMMYFUNCTION("""COMPUTED_VALUE"""),"Alex True")</f>
        <v>Alex True</v>
      </c>
      <c r="B4" s="186">
        <f ca="1">COUNTIF('All Scores'!AJ:AK,A4)</f>
        <v>2</v>
      </c>
      <c r="C4" s="186">
        <f ca="1">IFERROR(__xludf.DUMMYFUNCTION("MIN(FILTER('All Scores'!AI$2:AI$1024, ('All Scores'!AJ$2:AJ$1024 = A4) + ('All Scores'!AK$2:AK$1024 = A4)))"),4)</f>
        <v>4</v>
      </c>
      <c r="D4" s="187">
        <f ca="1">IFERROR(__xludf.DUMMYFUNCTION("AVERAGE(FILTER('All Scores'!AI$2:AI$1024, ('All Scores'!AJ$2:AJ$1024 = A4) + ('All Scores'!AK$2:AK$1024 = A4))
)
"),6)</f>
        <v>6</v>
      </c>
      <c r="E4" s="6">
        <f ca="1">IFERROR(__xludf.DUMMYFUNCTION("SUM(FILTER('All Scores'!AF$2:AF$1024, ('All Scores'!AJ$2:AJ$1024 = A4) + ('All Scores'!AK$2:AK$1024 = A4)))
"),169)</f>
        <v>169</v>
      </c>
      <c r="F4" s="6">
        <f ca="1">IFERROR(__xludf.DUMMYFUNCTION("SUM(FILTER('All Scores'!AD$2:AD$1024, ('All Scores'!AJ$2:AJ$1024 = A4) + ('All Scores'!AK$2:AK$1024 = A4)))
"),96)</f>
        <v>96</v>
      </c>
      <c r="G4" s="21">
        <f t="shared" ca="1" si="0"/>
        <v>0.56804733727810652</v>
      </c>
      <c r="H4" s="169"/>
      <c r="I4" s="169"/>
      <c r="J4" s="6" t="s">
        <v>216</v>
      </c>
      <c r="K4" s="188">
        <v>10</v>
      </c>
      <c r="L4" s="189" t="s">
        <v>1334</v>
      </c>
      <c r="M4" s="189">
        <f ca="1">IFERROR(__xludf.DUMMYFUNCTION("AVERAGE(FILTER('All Scores'!AI$2:AI$1024, 'All Scores'!AA$2:AA$1024 = J4))"),8.78947368421052)</f>
        <v>8.7894736842105203</v>
      </c>
      <c r="N4" s="6">
        <f>COUNTIF('All Scores'!AA:AA,J4)</f>
        <v>38</v>
      </c>
      <c r="O4" s="6">
        <f>COUNTIFS('All Scores'!$AA$2:$AA$1000, J4, 'All Scores'!$AI$2:$AI$1000, 1)</f>
        <v>3</v>
      </c>
      <c r="P4" s="6"/>
      <c r="Q4" s="169"/>
      <c r="R4" s="6"/>
      <c r="S4" s="6"/>
      <c r="T4" s="169"/>
      <c r="U4" s="12">
        <f ca="1">IFERROR(__xludf.DUMMYFUNCTION("""COMPUTED_VALUE"""),40454)</f>
        <v>40454</v>
      </c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</row>
    <row r="5" spans="1:44" ht="15" customHeight="1">
      <c r="A5" s="169" t="str">
        <f ca="1">IFERROR(__xludf.DUMMYFUNCTION("""COMPUTED_VALUE"""),"Alice Edwards")</f>
        <v>Alice Edwards</v>
      </c>
      <c r="B5" s="186">
        <f ca="1">COUNTIF('All Scores'!AJ:AK,A5)</f>
        <v>6</v>
      </c>
      <c r="C5" s="186">
        <f ca="1">IFERROR(__xludf.DUMMYFUNCTION("MIN(FILTER('All Scores'!AI$2:AI$1024, ('All Scores'!AJ$2:AJ$1024 = A5) + ('All Scores'!AK$2:AK$1024 = A5)))"),4)</f>
        <v>4</v>
      </c>
      <c r="D5" s="187">
        <f ca="1">IFERROR(__xludf.DUMMYFUNCTION("AVERAGE(FILTER('All Scores'!AI$2:AI$1024, ('All Scores'!AJ$2:AJ$1024 = A5) + ('All Scores'!AK$2:AK$1024 = A5))
)
"),10)</f>
        <v>10</v>
      </c>
      <c r="E5" s="6">
        <f ca="1">IFERROR(__xludf.DUMMYFUNCTION("SUM(FILTER('All Scores'!AF$2:AF$1024, ('All Scores'!AJ$2:AJ$1024 = A5) + ('All Scores'!AK$2:AK$1024 = A5)))
"),441)</f>
        <v>441</v>
      </c>
      <c r="F5" s="6">
        <f ca="1">IFERROR(__xludf.DUMMYFUNCTION("SUM(FILTER('All Scores'!AD$2:AD$1024, ('All Scores'!AJ$2:AJ$1024 = A5) + ('All Scores'!AK$2:AK$1024 = A5)))
"),201)</f>
        <v>201</v>
      </c>
      <c r="G5" s="21">
        <f t="shared" ca="1" si="0"/>
        <v>0.45578231292517007</v>
      </c>
      <c r="H5" s="169"/>
      <c r="I5" s="169"/>
      <c r="J5" s="16" t="s">
        <v>221</v>
      </c>
      <c r="K5" s="190">
        <v>8</v>
      </c>
      <c r="L5" s="191" t="s">
        <v>1333</v>
      </c>
      <c r="M5" s="191">
        <f ca="1">IFERROR(__xludf.DUMMYFUNCTION("AVERAGE(FILTER('All Scores'!AI$2:AI$1024, 'All Scores'!AA$2:AA$1024 = J5))"),8.55263157894736)</f>
        <v>8.5526315789473593</v>
      </c>
      <c r="N5" s="16">
        <f>COUNTIF('All Scores'!AA:AA,J5)</f>
        <v>38</v>
      </c>
      <c r="O5" s="16">
        <f>COUNTIFS('All Scores'!$AA$2:$AA$1000, J5, 'All Scores'!$AI$2:$AI$1000, 1)</f>
        <v>1</v>
      </c>
      <c r="P5" s="16"/>
      <c r="Q5" s="169"/>
      <c r="R5" s="6"/>
      <c r="S5" s="6"/>
      <c r="T5" s="169"/>
      <c r="U5" s="12">
        <f ca="1">IFERROR(__xludf.DUMMYFUNCTION("""COMPUTED_VALUE"""),40639)</f>
        <v>40639</v>
      </c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</row>
    <row r="6" spans="1:44" ht="15" customHeight="1">
      <c r="A6" s="169" t="str">
        <f ca="1">IFERROR(__xludf.DUMMYFUNCTION("""COMPUTED_VALUE"""),"Alicia Howe")</f>
        <v>Alicia Howe</v>
      </c>
      <c r="B6" s="186">
        <f ca="1">COUNTIF('All Scores'!AJ:AK,A6)</f>
        <v>1</v>
      </c>
      <c r="C6" s="186">
        <f ca="1">IFERROR(__xludf.DUMMYFUNCTION("MIN(FILTER('All Scores'!AI$2:AI$1024, ('All Scores'!AJ$2:AJ$1024 = A6) + ('All Scores'!AK$2:AK$1024 = A6)))"),8)</f>
        <v>8</v>
      </c>
      <c r="D6" s="187">
        <f ca="1">IFERROR(__xludf.DUMMYFUNCTION("AVERAGE(FILTER('All Scores'!AI$2:AI$1024, ('All Scores'!AJ$2:AJ$1024 = A6) + ('All Scores'!AK$2:AK$1024 = A6))
)
"),8)</f>
        <v>8</v>
      </c>
      <c r="E6" s="6">
        <f ca="1">IFERROR(__xludf.DUMMYFUNCTION("SUM(FILTER('All Scores'!AF$2:AF$1024, ('All Scores'!AJ$2:AJ$1024 = A6) + ('All Scores'!AK$2:AK$1024 = A6)))
"),66)</f>
        <v>66</v>
      </c>
      <c r="F6" s="6">
        <f ca="1">IFERROR(__xludf.DUMMYFUNCTION("SUM(FILTER('All Scores'!AD$2:AD$1024, ('All Scores'!AJ$2:AJ$1024 = A6) + ('All Scores'!AK$2:AK$1024 = A6)))
"),38)</f>
        <v>38</v>
      </c>
      <c r="G6" s="21">
        <f t="shared" ca="1" si="0"/>
        <v>0.5757575757575758</v>
      </c>
      <c r="H6" s="169"/>
      <c r="I6" s="169"/>
      <c r="J6" s="6" t="s">
        <v>224</v>
      </c>
      <c r="K6" s="188">
        <v>16</v>
      </c>
      <c r="L6" s="189" t="s">
        <v>1334</v>
      </c>
      <c r="M6" s="189">
        <f ca="1">IFERROR(__xludf.DUMMYFUNCTION("AVERAGE(FILTER('All Scores'!AI$2:AI$1024, 'All Scores'!AA$2:AA$1024 = J6))"),10.3421052631578)</f>
        <v>10.3421052631578</v>
      </c>
      <c r="N6" s="6">
        <f>COUNTIF('All Scores'!AA:AA,J6)</f>
        <v>38</v>
      </c>
      <c r="O6" s="6">
        <f>COUNTIFS('All Scores'!$AA$2:$AA$1000, J6, 'All Scores'!$AI$2:$AI$1000, 1)</f>
        <v>3</v>
      </c>
      <c r="P6" s="6"/>
      <c r="Q6" s="169"/>
      <c r="R6" s="6"/>
      <c r="S6" s="6"/>
      <c r="T6" s="169"/>
      <c r="U6" s="12">
        <f ca="1">IFERROR(__xludf.DUMMYFUNCTION("""COMPUTED_VALUE"""),41076)</f>
        <v>41076</v>
      </c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</row>
    <row r="7" spans="1:44" ht="15" customHeight="1">
      <c r="A7" s="169" t="str">
        <f ca="1">IFERROR(__xludf.DUMMYFUNCTION("""COMPUTED_VALUE"""),"Allen Meyer")</f>
        <v>Allen Meyer</v>
      </c>
      <c r="B7" s="186">
        <f ca="1">COUNTIF('All Scores'!AJ:AK,A7)</f>
        <v>17</v>
      </c>
      <c r="C7" s="186">
        <f ca="1">IFERROR(__xludf.DUMMYFUNCTION("MIN(FILTER('All Scores'!AI$2:AI$1024, ('All Scores'!AJ$2:AJ$1024 = A7) + ('All Scores'!AK$2:AK$1024 = A7)))"),2)</f>
        <v>2</v>
      </c>
      <c r="D7" s="187">
        <f ca="1">IFERROR(__xludf.DUMMYFUNCTION("AVERAGE(FILTER('All Scores'!AI$2:AI$1024, ('All Scores'!AJ$2:AJ$1024 = A7) + ('All Scores'!AK$2:AK$1024 = A7))
)
"),11.3529411764705)</f>
        <v>11.3529411764705</v>
      </c>
      <c r="E7" s="6">
        <f ca="1">IFERROR(__xludf.DUMMYFUNCTION("SUM(FILTER('All Scores'!AF$2:AF$1024, ('All Scores'!AJ$2:AJ$1024 = A7) + ('All Scores'!AK$2:AK$1024 = A7)))
"),1063)</f>
        <v>1063</v>
      </c>
      <c r="F7" s="6">
        <f ca="1">IFERROR(__xludf.DUMMYFUNCTION("SUM(FILTER('All Scores'!AD$2:AD$1024, ('All Scores'!AJ$2:AJ$1024 = A7) + ('All Scores'!AK$2:AK$1024 = A7)))
"),464)</f>
        <v>464</v>
      </c>
      <c r="G7" s="21">
        <f t="shared" ca="1" si="0"/>
        <v>0.43650047036688616</v>
      </c>
      <c r="H7" s="169"/>
      <c r="I7" s="169"/>
      <c r="J7" s="6" t="s">
        <v>228</v>
      </c>
      <c r="K7" s="188">
        <v>2</v>
      </c>
      <c r="L7" s="189" t="s">
        <v>1333</v>
      </c>
      <c r="M7" s="189">
        <f ca="1">IFERROR(__xludf.DUMMYFUNCTION("AVERAGE(FILTER('All Scores'!AI$2:AI$1024, 'All Scores'!AA$2:AA$1024 = J7))"),9.44736842105263)</f>
        <v>9.4473684210526301</v>
      </c>
      <c r="N7" s="6">
        <f>COUNTIF('All Scores'!AA:AA,J7)</f>
        <v>38</v>
      </c>
      <c r="O7" s="6">
        <f>COUNTIFS('All Scores'!$AA$2:$AA$1000, J7, 'All Scores'!$AI$2:$AI$1000, 1)</f>
        <v>1</v>
      </c>
      <c r="P7" s="6">
        <f>SUM(O6:O9)</f>
        <v>10</v>
      </c>
      <c r="Q7" s="169"/>
      <c r="R7" s="6"/>
      <c r="S7" s="6"/>
      <c r="T7" s="169"/>
      <c r="U7" s="12">
        <f ca="1">IFERROR(__xludf.DUMMYFUNCTION("""COMPUTED_VALUE"""),41196)</f>
        <v>41196</v>
      </c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</row>
    <row r="8" spans="1:44" ht="15" customHeight="1">
      <c r="A8" s="169" t="str">
        <f ca="1">IFERROR(__xludf.DUMMYFUNCTION("""COMPUTED_VALUE"""),"Alli Hiatt")</f>
        <v>Alli Hiatt</v>
      </c>
      <c r="B8" s="186">
        <f ca="1">COUNTIF('All Scores'!AJ:AK,A8)</f>
        <v>3</v>
      </c>
      <c r="C8" s="186">
        <f ca="1">IFERROR(__xludf.DUMMYFUNCTION("MIN(FILTER('All Scores'!AI$2:AI$1024, ('All Scores'!AJ$2:AJ$1024 = A8) + ('All Scores'!AK$2:AK$1024 = A8)))"),2)</f>
        <v>2</v>
      </c>
      <c r="D8" s="187">
        <f ca="1">IFERROR(__xludf.DUMMYFUNCTION("AVERAGE(FILTER('All Scores'!AI$2:AI$1024, ('All Scores'!AJ$2:AJ$1024 = A8) + ('All Scores'!AK$2:AK$1024 = A8))
)
"),7.33333333333333)</f>
        <v>7.3333333333333304</v>
      </c>
      <c r="E8" s="6">
        <f ca="1">IFERROR(__xludf.DUMMYFUNCTION("SUM(FILTER('All Scores'!AF$2:AF$1024, ('All Scores'!AJ$2:AJ$1024 = A8) + ('All Scores'!AK$2:AK$1024 = A8)))
"),294)</f>
        <v>294</v>
      </c>
      <c r="F8" s="6">
        <f ca="1">IFERROR(__xludf.DUMMYFUNCTION("SUM(FILTER('All Scores'!AD$2:AD$1024, ('All Scores'!AJ$2:AJ$1024 = A8) + ('All Scores'!AK$2:AK$1024 = A8)))
"),145)</f>
        <v>145</v>
      </c>
      <c r="G8" s="21">
        <f t="shared" ca="1" si="0"/>
        <v>0.49319727891156462</v>
      </c>
      <c r="H8" s="169"/>
      <c r="I8" s="169"/>
      <c r="J8" s="6" t="s">
        <v>232</v>
      </c>
      <c r="K8" s="188">
        <v>7</v>
      </c>
      <c r="L8" s="189" t="s">
        <v>1333</v>
      </c>
      <c r="M8" s="189">
        <f ca="1">IFERROR(__xludf.DUMMYFUNCTION("AVERAGE(FILTER('All Scores'!AI$2:AI$1024, 'All Scores'!AA$2:AA$1024 = J8))"),8.28947368421052)</f>
        <v>8.2894736842105203</v>
      </c>
      <c r="N8" s="6">
        <f>COUNTIF('All Scores'!AA:AA,J8)</f>
        <v>38</v>
      </c>
      <c r="O8" s="6">
        <f>COUNTIFS('All Scores'!$AA$2:$AA$1000, J8, 'All Scores'!$AI$2:$AI$1000, 1)</f>
        <v>3</v>
      </c>
      <c r="P8" s="6"/>
      <c r="Q8" s="169"/>
      <c r="R8" s="6"/>
      <c r="S8" s="6"/>
      <c r="T8" s="169"/>
      <c r="U8" s="12">
        <f ca="1">IFERROR(__xludf.DUMMYFUNCTION("""COMPUTED_VALUE"""),41440)</f>
        <v>41440</v>
      </c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</row>
    <row r="9" spans="1:44" ht="15" customHeight="1">
      <c r="A9" s="169" t="str">
        <f ca="1">IFERROR(__xludf.DUMMYFUNCTION("""COMPUTED_VALUE"""),"Allyson Braun")</f>
        <v>Allyson Braun</v>
      </c>
      <c r="B9" s="186">
        <f ca="1">COUNTIF('All Scores'!AJ:AK,A9)</f>
        <v>1</v>
      </c>
      <c r="C9" s="186">
        <f ca="1">IFERROR(__xludf.DUMMYFUNCTION("MIN(FILTER('All Scores'!AI$2:AI$1024, ('All Scores'!AJ$2:AJ$1024 = A9) + ('All Scores'!AK$2:AK$1024 = A9)))"),28)</f>
        <v>28</v>
      </c>
      <c r="D9" s="187">
        <f ca="1">IFERROR(__xludf.DUMMYFUNCTION("AVERAGE(FILTER('All Scores'!AI$2:AI$1024, ('All Scores'!AJ$2:AJ$1024 = A9) + ('All Scores'!AK$2:AK$1024 = A9))
)
"),28)</f>
        <v>28</v>
      </c>
      <c r="E9" s="6">
        <f ca="1">IFERROR(__xludf.DUMMYFUNCTION("SUM(FILTER('All Scores'!AF$2:AF$1024, ('All Scores'!AJ$2:AJ$1024 = A9) + ('All Scores'!AK$2:AK$1024 = A9)))
"),53)</f>
        <v>53</v>
      </c>
      <c r="F9" s="6">
        <f ca="1">IFERROR(__xludf.DUMMYFUNCTION("SUM(FILTER('All Scores'!AD$2:AD$1024, ('All Scores'!AJ$2:AJ$1024 = A9) + ('All Scores'!AK$2:AK$1024 = A9)))
"),20)</f>
        <v>20</v>
      </c>
      <c r="G9" s="21">
        <f t="shared" ca="1" si="0"/>
        <v>0.37735849056603776</v>
      </c>
      <c r="H9" s="169"/>
      <c r="I9" s="169"/>
      <c r="J9" s="16" t="s">
        <v>237</v>
      </c>
      <c r="K9" s="190">
        <v>9</v>
      </c>
      <c r="L9" s="191" t="s">
        <v>1334</v>
      </c>
      <c r="M9" s="191">
        <f ca="1">IFERROR(__xludf.DUMMYFUNCTION("AVERAGE(FILTER('All Scores'!AI$2:AI$1024, 'All Scores'!AA$2:AA$1024 = J9))"),8.31578947368421)</f>
        <v>8.3157894736842106</v>
      </c>
      <c r="N9" s="16">
        <f>COUNTIF('All Scores'!AA:AA,J9)</f>
        <v>38</v>
      </c>
      <c r="O9" s="16">
        <f>COUNTIFS('All Scores'!$AA$2:$AA$1000, J9, 'All Scores'!$AI$2:$AI$1000, 1)</f>
        <v>3</v>
      </c>
      <c r="P9" s="16"/>
      <c r="Q9" s="169"/>
      <c r="R9" s="6"/>
      <c r="S9" s="6"/>
      <c r="T9" s="169"/>
      <c r="U9" s="12">
        <f ca="1">IFERROR(__xludf.DUMMYFUNCTION("""COMPUTED_VALUE"""),41560)</f>
        <v>41560</v>
      </c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</row>
    <row r="10" spans="1:44" ht="15" customHeight="1">
      <c r="A10" s="169" t="str">
        <f ca="1">IFERROR(__xludf.DUMMYFUNCTION("""COMPUTED_VALUE"""),"Alyson Bollinger")</f>
        <v>Alyson Bollinger</v>
      </c>
      <c r="B10" s="186">
        <f ca="1">COUNTIF('All Scores'!AJ:AK,A10)</f>
        <v>1</v>
      </c>
      <c r="C10" s="186">
        <f ca="1">IFERROR(__xludf.DUMMYFUNCTION("MIN(FILTER('All Scores'!AI$2:AI$1024, ('All Scores'!AJ$2:AJ$1024 = A10) + ('All Scores'!AK$2:AK$1024 = A10)))"),4)</f>
        <v>4</v>
      </c>
      <c r="D10" s="187">
        <f ca="1">IFERROR(__xludf.DUMMYFUNCTION("AVERAGE(FILTER('All Scores'!AI$2:AI$1024, ('All Scores'!AJ$2:AJ$1024 = A10) + ('All Scores'!AK$2:AK$1024 = A10))
)
"),4)</f>
        <v>4</v>
      </c>
      <c r="E10" s="6">
        <f ca="1">IFERROR(__xludf.DUMMYFUNCTION("SUM(FILTER('All Scores'!AF$2:AF$1024, ('All Scores'!AJ$2:AJ$1024 = A10) + ('All Scores'!AK$2:AK$1024 = A10)))
"),107)</f>
        <v>107</v>
      </c>
      <c r="F10" s="6">
        <f ca="1">IFERROR(__xludf.DUMMYFUNCTION("SUM(FILTER('All Scores'!AD$2:AD$1024, ('All Scores'!AJ$2:AJ$1024 = A10) + ('All Scores'!AK$2:AK$1024 = A10)))
"),57)</f>
        <v>57</v>
      </c>
      <c r="G10" s="21">
        <f t="shared" ca="1" si="0"/>
        <v>0.53271028037383172</v>
      </c>
      <c r="H10" s="169"/>
      <c r="I10" s="169"/>
      <c r="J10" s="192" t="s">
        <v>241</v>
      </c>
      <c r="K10" s="193">
        <v>12</v>
      </c>
      <c r="L10" s="194" t="s">
        <v>1334</v>
      </c>
      <c r="M10" s="194">
        <f ca="1">IFERROR(__xludf.DUMMYFUNCTION("AVERAGE(FILTER('All Scores'!AI$2:AI$1024, 'All Scores'!AA$2:AA$1024 = J10))"),11.2368421052631)</f>
        <v>11.236842105263101</v>
      </c>
      <c r="N10" s="192">
        <f>COUNTIF('All Scores'!AA:AA,J10)</f>
        <v>38</v>
      </c>
      <c r="O10" s="192">
        <f>COUNTIFS('All Scores'!$AA$2:$AA$1000, J10, 'All Scores'!$AI$2:$AI$1000, 1)</f>
        <v>0</v>
      </c>
      <c r="P10" s="6"/>
      <c r="Q10" s="169"/>
      <c r="R10" s="6"/>
      <c r="S10" s="6"/>
      <c r="T10" s="169"/>
      <c r="U10" s="12">
        <f ca="1">IFERROR(__xludf.DUMMYFUNCTION("""COMPUTED_VALUE"""),41790)</f>
        <v>41790</v>
      </c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</row>
    <row r="11" spans="1:44" ht="15" customHeight="1">
      <c r="A11" s="169" t="str">
        <f ca="1">IFERROR(__xludf.DUMMYFUNCTION("""COMPUTED_VALUE"""),"Amanda Miller")</f>
        <v>Amanda Miller</v>
      </c>
      <c r="B11" s="186">
        <f ca="1">COUNTIF('All Scores'!AJ:AK,A11)</f>
        <v>4</v>
      </c>
      <c r="C11" s="186">
        <f ca="1">IFERROR(__xludf.DUMMYFUNCTION("MIN(FILTER('All Scores'!AI$2:AI$1024, ('All Scores'!AJ$2:AJ$1024 = A11) + ('All Scores'!AK$2:AK$1024 = A11)))"),1)</f>
        <v>1</v>
      </c>
      <c r="D11" s="187">
        <f ca="1">IFERROR(__xludf.DUMMYFUNCTION("AVERAGE(FILTER('All Scores'!AI$2:AI$1024, ('All Scores'!AJ$2:AJ$1024 = A11) + ('All Scores'!AK$2:AK$1024 = A11))
)
"),7.25)</f>
        <v>7.25</v>
      </c>
      <c r="E11" s="6">
        <f ca="1">IFERROR(__xludf.DUMMYFUNCTION("SUM(FILTER('All Scores'!AF$2:AF$1024, ('All Scores'!AJ$2:AJ$1024 = A11) + ('All Scores'!AK$2:AK$1024 = A11)))
"),368)</f>
        <v>368</v>
      </c>
      <c r="F11" s="6">
        <f ca="1">IFERROR(__xludf.DUMMYFUNCTION("SUM(FILTER('All Scores'!AD$2:AD$1024, ('All Scores'!AJ$2:AJ$1024 = A11) + ('All Scores'!AK$2:AK$1024 = A11)))
"),198)</f>
        <v>198</v>
      </c>
      <c r="G11" s="21">
        <f t="shared" ca="1" si="0"/>
        <v>0.53804347826086951</v>
      </c>
      <c r="H11" s="169"/>
      <c r="I11" s="169"/>
      <c r="J11" s="6" t="s">
        <v>246</v>
      </c>
      <c r="K11" s="188">
        <v>6</v>
      </c>
      <c r="L11" s="189" t="s">
        <v>1333</v>
      </c>
      <c r="M11" s="189">
        <f ca="1">IFERROR(__xludf.DUMMYFUNCTION("AVERAGE(FILTER('All Scores'!AI$2:AI$1024, 'All Scores'!AA$2:AA$1024 = J11))"),9.28947368421052)</f>
        <v>9.2894736842105203</v>
      </c>
      <c r="N11" s="6">
        <f>COUNTIF('All Scores'!AA:AA,J11)</f>
        <v>38</v>
      </c>
      <c r="O11" s="6">
        <f>COUNTIFS('All Scores'!$AA$2:$AA$1000, J11, 'All Scores'!$AI$2:$AI$1000, 1)</f>
        <v>2</v>
      </c>
      <c r="P11" s="6">
        <f>SUM(O10:O13)</f>
        <v>8</v>
      </c>
      <c r="Q11" s="169"/>
      <c r="R11" s="6"/>
      <c r="S11" s="6"/>
      <c r="T11" s="169"/>
      <c r="U11" s="12">
        <f ca="1">IFERROR(__xludf.DUMMYFUNCTION("""COMPUTED_VALUE"""),41910)</f>
        <v>41910</v>
      </c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</row>
    <row r="12" spans="1:44" ht="15" customHeight="1">
      <c r="A12" s="169" t="str">
        <f ca="1">IFERROR(__xludf.DUMMYFUNCTION("""COMPUTED_VALUE"""),"Amelia Birchfield")</f>
        <v>Amelia Birchfield</v>
      </c>
      <c r="B12" s="186">
        <f ca="1">COUNTIF('All Scores'!AJ:AK,A12)</f>
        <v>1</v>
      </c>
      <c r="C12" s="186">
        <f ca="1">IFERROR(__xludf.DUMMYFUNCTION("MIN(FILTER('All Scores'!AI$2:AI$1024, ('All Scores'!AJ$2:AJ$1024 = A12) + ('All Scores'!AK$2:AK$1024 = A12)))"),16)</f>
        <v>16</v>
      </c>
      <c r="D12" s="187">
        <f ca="1">IFERROR(__xludf.DUMMYFUNCTION("AVERAGE(FILTER('All Scores'!AI$2:AI$1024, ('All Scores'!AJ$2:AJ$1024 = A12) + ('All Scores'!AK$2:AK$1024 = A12))
)
"),16)</f>
        <v>16</v>
      </c>
      <c r="E12" s="6">
        <f ca="1">IFERROR(__xludf.DUMMYFUNCTION("SUM(FILTER('All Scores'!AF$2:AF$1024, ('All Scores'!AJ$2:AJ$1024 = A12) + ('All Scores'!AK$2:AK$1024 = A12)))
"),59)</f>
        <v>59</v>
      </c>
      <c r="F12" s="6">
        <f ca="1">IFERROR(__xludf.DUMMYFUNCTION("SUM(FILTER('All Scores'!AD$2:AD$1024, ('All Scores'!AJ$2:AJ$1024 = A12) + ('All Scores'!AK$2:AK$1024 = A12)))
"),15)</f>
        <v>15</v>
      </c>
      <c r="G12" s="21">
        <f t="shared" ca="1" si="0"/>
        <v>0.25423728813559321</v>
      </c>
      <c r="H12" s="169"/>
      <c r="I12" s="169"/>
      <c r="J12" s="6" t="s">
        <v>251</v>
      </c>
      <c r="K12" s="188">
        <v>3</v>
      </c>
      <c r="L12" s="189" t="s">
        <v>1333</v>
      </c>
      <c r="M12" s="189">
        <f ca="1">IFERROR(__xludf.DUMMYFUNCTION("AVERAGE(FILTER('All Scores'!AI$2:AI$1024, 'All Scores'!AA$2:AA$1024 = J12))"),8.1578947368421)</f>
        <v>8.1578947368421009</v>
      </c>
      <c r="N12" s="6">
        <f>COUNTIF('All Scores'!AA:AA,J12)</f>
        <v>38</v>
      </c>
      <c r="O12" s="6">
        <f>COUNTIFS('All Scores'!$AA$2:$AA$1000, J12, 'All Scores'!$AI$2:$AI$1000, 1)</f>
        <v>1</v>
      </c>
      <c r="P12" s="6"/>
      <c r="Q12" s="169"/>
      <c r="R12" s="6"/>
      <c r="S12" s="6"/>
      <c r="T12" s="169"/>
      <c r="U12" s="12">
        <f ca="1">IFERROR(__xludf.DUMMYFUNCTION("""COMPUTED_VALUE"""),41923)</f>
        <v>41923</v>
      </c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</row>
    <row r="13" spans="1:44" ht="15" customHeight="1">
      <c r="A13" s="169" t="str">
        <f ca="1">IFERROR(__xludf.DUMMYFUNCTION("""COMPUTED_VALUE"""),"Amir Mohammed")</f>
        <v>Amir Mohammed</v>
      </c>
      <c r="B13" s="186">
        <f ca="1">COUNTIF('All Scores'!AJ:AK,A13)</f>
        <v>1</v>
      </c>
      <c r="C13" s="186">
        <f ca="1">IFERROR(__xludf.DUMMYFUNCTION("MIN(FILTER('All Scores'!AI$2:AI$1024, ('All Scores'!AJ$2:AJ$1024 = A13) + ('All Scores'!AK$2:AK$1024 = A13)))"),4)</f>
        <v>4</v>
      </c>
      <c r="D13" s="187">
        <f ca="1">IFERROR(__xludf.DUMMYFUNCTION("AVERAGE(FILTER('All Scores'!AI$2:AI$1024, ('All Scores'!AJ$2:AJ$1024 = A13) + ('All Scores'!AK$2:AK$1024 = A13))
)
"),4)</f>
        <v>4</v>
      </c>
      <c r="E13" s="6">
        <f ca="1">IFERROR(__xludf.DUMMYFUNCTION("SUM(FILTER('All Scores'!AF$2:AF$1024, ('All Scores'!AJ$2:AJ$1024 = A13) + ('All Scores'!AK$2:AK$1024 = A13)))
"),92)</f>
        <v>92</v>
      </c>
      <c r="F13" s="6">
        <f ca="1">IFERROR(__xludf.DUMMYFUNCTION("SUM(FILTER('All Scores'!AD$2:AD$1024, ('All Scores'!AJ$2:AJ$1024 = A13) + ('All Scores'!AK$2:AK$1024 = A13)))
"),51)</f>
        <v>51</v>
      </c>
      <c r="G13" s="21">
        <f t="shared" ca="1" si="0"/>
        <v>0.55434782608695654</v>
      </c>
      <c r="H13" s="169"/>
      <c r="I13" s="169"/>
      <c r="J13" s="16" t="s">
        <v>256</v>
      </c>
      <c r="K13" s="190">
        <v>13</v>
      </c>
      <c r="L13" s="191" t="s">
        <v>1334</v>
      </c>
      <c r="M13" s="191">
        <f ca="1">IFERROR(__xludf.DUMMYFUNCTION("AVERAGE(FILTER('All Scores'!AI$2:AI$1024, 'All Scores'!AA$2:AA$1024 = J13))"),8.18421052631579)</f>
        <v>8.1842105263157894</v>
      </c>
      <c r="N13" s="16">
        <f>COUNTIF('All Scores'!AA:AA,J13)</f>
        <v>38</v>
      </c>
      <c r="O13" s="16">
        <f>COUNTIFS('All Scores'!$AA$2:$AA$1000, J13, 'All Scores'!$AI$2:$AI$1000, 1)</f>
        <v>5</v>
      </c>
      <c r="P13" s="16"/>
      <c r="Q13" s="169"/>
      <c r="R13" s="6"/>
      <c r="S13" s="6"/>
      <c r="T13" s="169"/>
      <c r="U13" s="12">
        <f ca="1">IFERROR(__xludf.DUMMYFUNCTION("""COMPUTED_VALUE"""),42155)</f>
        <v>42155</v>
      </c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</row>
    <row r="14" spans="1:44" ht="15" customHeight="1">
      <c r="A14" s="169" t="str">
        <f ca="1">IFERROR(__xludf.DUMMYFUNCTION("""COMPUTED_VALUE"""),"Amy Ellzey")</f>
        <v>Amy Ellzey</v>
      </c>
      <c r="B14" s="186">
        <f ca="1">COUNTIF('All Scores'!AJ:AK,A14)</f>
        <v>1</v>
      </c>
      <c r="C14" s="186">
        <f ca="1">IFERROR(__xludf.DUMMYFUNCTION("MIN(FILTER('All Scores'!AI$2:AI$1024, ('All Scores'!AJ$2:AJ$1024 = A14) + ('All Scores'!AK$2:AK$1024 = A14)))"),9)</f>
        <v>9</v>
      </c>
      <c r="D14" s="187">
        <f ca="1">IFERROR(__xludf.DUMMYFUNCTION("AVERAGE(FILTER('All Scores'!AI$2:AI$1024, ('All Scores'!AJ$2:AJ$1024 = A14) + ('All Scores'!AK$2:AK$1024 = A14))
)
"),9)</f>
        <v>9</v>
      </c>
      <c r="E14" s="6">
        <f ca="1">IFERROR(__xludf.DUMMYFUNCTION("SUM(FILTER('All Scores'!AF$2:AF$1024, ('All Scores'!AJ$2:AJ$1024 = A14) + ('All Scores'!AK$2:AK$1024 = A14)))
"),76)</f>
        <v>76</v>
      </c>
      <c r="F14" s="6">
        <f ca="1">IFERROR(__xludf.DUMMYFUNCTION("SUM(FILTER('All Scores'!AD$2:AD$1024, ('All Scores'!AJ$2:AJ$1024 = A14) + ('All Scores'!AK$2:AK$1024 = A14)))
"),36)</f>
        <v>36</v>
      </c>
      <c r="G14" s="21">
        <f t="shared" ca="1" si="0"/>
        <v>0.47368421052631576</v>
      </c>
      <c r="H14" s="169"/>
      <c r="I14" s="169"/>
      <c r="J14" s="192" t="s">
        <v>261</v>
      </c>
      <c r="K14" s="193">
        <v>5</v>
      </c>
      <c r="L14" s="194" t="s">
        <v>1333</v>
      </c>
      <c r="M14" s="194">
        <f ca="1">IFERROR(__xludf.DUMMYFUNCTION("AVERAGE(FILTER('All Scores'!AI$2:AI$1024, 'All Scores'!AA$2:AA$1024 = J14))"),11.1052631578947)</f>
        <v>11.105263157894701</v>
      </c>
      <c r="N14" s="192">
        <f>COUNTIF('All Scores'!AA:AA,J14)</f>
        <v>38</v>
      </c>
      <c r="O14" s="192">
        <f>COUNTIFS('All Scores'!$AA$2:$AA$1000, J14, 'All Scores'!$AI$2:$AI$1000, 1)</f>
        <v>0</v>
      </c>
      <c r="P14" s="6"/>
      <c r="Q14" s="169"/>
      <c r="R14" s="6"/>
      <c r="S14" s="6"/>
      <c r="T14" s="169"/>
      <c r="U14" s="12">
        <f ca="1">IFERROR(__xludf.DUMMYFUNCTION("""COMPUTED_VALUE"""),42287)</f>
        <v>42287</v>
      </c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</row>
    <row r="15" spans="1:44" ht="15" customHeight="1">
      <c r="A15" s="169" t="str">
        <f ca="1">IFERROR(__xludf.DUMMYFUNCTION("""COMPUTED_VALUE"""),"Amy George")</f>
        <v>Amy George</v>
      </c>
      <c r="B15" s="186">
        <f ca="1">COUNTIF('All Scores'!AJ:AK,A15)</f>
        <v>5</v>
      </c>
      <c r="C15" s="186">
        <f ca="1">IFERROR(__xludf.DUMMYFUNCTION("MIN(FILTER('All Scores'!AI$2:AI$1024, ('All Scores'!AJ$2:AJ$1024 = A15) + ('All Scores'!AK$2:AK$1024 = A15)))"),4)</f>
        <v>4</v>
      </c>
      <c r="D15" s="187">
        <f ca="1">IFERROR(__xludf.DUMMYFUNCTION("AVERAGE(FILTER('All Scores'!AI$2:AI$1024, ('All Scores'!AJ$2:AJ$1024 = A15) + ('All Scores'!AK$2:AK$1024 = A15))
)
"),11.2)</f>
        <v>11.2</v>
      </c>
      <c r="E15" s="6">
        <f ca="1">IFERROR(__xludf.DUMMYFUNCTION("SUM(FILTER('All Scores'!AF$2:AF$1024, ('All Scores'!AJ$2:AJ$1024 = A15) + ('All Scores'!AK$2:AK$1024 = A15)))
"),344)</f>
        <v>344</v>
      </c>
      <c r="F15" s="6">
        <f ca="1">IFERROR(__xludf.DUMMYFUNCTION("SUM(FILTER('All Scores'!AD$2:AD$1024, ('All Scores'!AJ$2:AJ$1024 = A15) + ('All Scores'!AK$2:AK$1024 = A15)))
"),148)</f>
        <v>148</v>
      </c>
      <c r="G15" s="21">
        <f t="shared" ca="1" si="0"/>
        <v>0.43023255813953487</v>
      </c>
      <c r="H15" s="169"/>
      <c r="I15" s="169"/>
      <c r="J15" s="6" t="s">
        <v>268</v>
      </c>
      <c r="K15" s="188">
        <v>11</v>
      </c>
      <c r="L15" s="189" t="s">
        <v>1334</v>
      </c>
      <c r="M15" s="189">
        <f ca="1">IFERROR(__xludf.DUMMYFUNCTION("AVERAGE(FILTER('All Scores'!AI$2:AI$1024, 'All Scores'!AA$2:AA$1024 = J15))"),8.28947368421052)</f>
        <v>8.2894736842105203</v>
      </c>
      <c r="N15" s="6">
        <f>COUNTIF('All Scores'!AA:AA,J15)</f>
        <v>38</v>
      </c>
      <c r="O15" s="6">
        <f>COUNTIFS('All Scores'!$AA$2:$AA$1000, J15, 'All Scores'!$AI$2:$AI$1000, 1)</f>
        <v>4</v>
      </c>
      <c r="P15" s="6">
        <f>SUM(O14:O17)</f>
        <v>11</v>
      </c>
      <c r="Q15" s="169"/>
      <c r="R15" s="6"/>
      <c r="S15" s="6"/>
      <c r="T15" s="169"/>
      <c r="U15" s="12">
        <f ca="1">IFERROR(__xludf.DUMMYFUNCTION("""COMPUTED_VALUE"""),42553)</f>
        <v>42553</v>
      </c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</row>
    <row r="16" spans="1:44" ht="15" customHeight="1">
      <c r="A16" s="169" t="str">
        <f ca="1">IFERROR(__xludf.DUMMYFUNCTION("""COMPUTED_VALUE"""),"Anant Puri")</f>
        <v>Anant Puri</v>
      </c>
      <c r="B16" s="186">
        <f ca="1">COUNTIF('All Scores'!AJ:AK,A16)</f>
        <v>4</v>
      </c>
      <c r="C16" s="186">
        <f ca="1">IFERROR(__xludf.DUMMYFUNCTION("MIN(FILTER('All Scores'!AI$2:AI$1024, ('All Scores'!AJ$2:AJ$1024 = A16) + ('All Scores'!AK$2:AK$1024 = A16)))"),4)</f>
        <v>4</v>
      </c>
      <c r="D16" s="187">
        <f ca="1">IFERROR(__xludf.DUMMYFUNCTION("AVERAGE(FILTER('All Scores'!AI$2:AI$1024, ('All Scores'!AJ$2:AJ$1024 = A16) + ('All Scores'!AK$2:AK$1024 = A16))
)
"),11.5)</f>
        <v>11.5</v>
      </c>
      <c r="E16" s="6">
        <f ca="1">IFERROR(__xludf.DUMMYFUNCTION("SUM(FILTER('All Scores'!AF$2:AF$1024, ('All Scores'!AJ$2:AJ$1024 = A16) + ('All Scores'!AK$2:AK$1024 = A16)))
"),256)</f>
        <v>256</v>
      </c>
      <c r="F16" s="6">
        <f ca="1">IFERROR(__xludf.DUMMYFUNCTION("SUM(FILTER('All Scores'!AD$2:AD$1024, ('All Scores'!AJ$2:AJ$1024 = A16) + ('All Scores'!AK$2:AK$1024 = A16)))
"),127)</f>
        <v>127</v>
      </c>
      <c r="G16" s="21">
        <f t="shared" ca="1" si="0"/>
        <v>0.49609375</v>
      </c>
      <c r="H16" s="169"/>
      <c r="I16" s="169"/>
      <c r="J16" s="6" t="s">
        <v>271</v>
      </c>
      <c r="K16" s="188">
        <v>14</v>
      </c>
      <c r="L16" s="189" t="s">
        <v>1334</v>
      </c>
      <c r="M16" s="189">
        <f ca="1">IFERROR(__xludf.DUMMYFUNCTION("AVERAGE(FILTER('All Scores'!AI$2:AI$1024, 'All Scores'!AA$2:AA$1024 = J16))"),10.1578947368421)</f>
        <v>10.157894736842101</v>
      </c>
      <c r="N16" s="6">
        <f>COUNTIF('All Scores'!AA:AA,J16)</f>
        <v>38</v>
      </c>
      <c r="O16" s="6">
        <f>COUNTIFS('All Scores'!$AA$2:$AA$1000, J16, 'All Scores'!$AI$2:$AI$1000, 1)</f>
        <v>2</v>
      </c>
      <c r="P16" s="6"/>
      <c r="Q16" s="169"/>
      <c r="R16" s="6"/>
      <c r="S16" s="6"/>
      <c r="T16" s="169"/>
      <c r="U16" s="12">
        <f ca="1">IFERROR(__xludf.DUMMYFUNCTION("""COMPUTED_VALUE"""),42659)</f>
        <v>42659</v>
      </c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</row>
    <row r="17" spans="1:44" ht="15" customHeight="1">
      <c r="A17" s="169" t="str">
        <f ca="1">IFERROR(__xludf.DUMMYFUNCTION("""COMPUTED_VALUE"""),"Anchi Zwede")</f>
        <v>Anchi Zwede</v>
      </c>
      <c r="B17" s="186">
        <f ca="1">COUNTIF('All Scores'!AJ:AK,A17)</f>
        <v>1</v>
      </c>
      <c r="C17" s="186">
        <f ca="1">IFERROR(__xludf.DUMMYFUNCTION("MIN(FILTER('All Scores'!AI$2:AI$1024, ('All Scores'!AJ$2:AJ$1024 = A17) + ('All Scores'!AK$2:AK$1024 = A17)))"),16)</f>
        <v>16</v>
      </c>
      <c r="D17" s="187">
        <f ca="1">IFERROR(__xludf.DUMMYFUNCTION("AVERAGE(FILTER('All Scores'!AI$2:AI$1024, ('All Scores'!AJ$2:AJ$1024 = A17) + ('All Scores'!AK$2:AK$1024 = A17))
)
"),16)</f>
        <v>16</v>
      </c>
      <c r="E17" s="6">
        <f ca="1">IFERROR(__xludf.DUMMYFUNCTION("SUM(FILTER('All Scores'!AF$2:AF$1024, ('All Scores'!AJ$2:AJ$1024 = A17) + ('All Scores'!AK$2:AK$1024 = A17)))
"),59)</f>
        <v>59</v>
      </c>
      <c r="F17" s="6">
        <f ca="1">IFERROR(__xludf.DUMMYFUNCTION("SUM(FILTER('All Scores'!AD$2:AD$1024, ('All Scores'!AJ$2:AJ$1024 = A17) + ('All Scores'!AK$2:AK$1024 = A17)))
"),15)</f>
        <v>15</v>
      </c>
      <c r="G17" s="21">
        <f t="shared" ca="1" si="0"/>
        <v>0.25423728813559321</v>
      </c>
      <c r="H17" s="169"/>
      <c r="I17" s="169"/>
      <c r="J17" s="6" t="s">
        <v>276</v>
      </c>
      <c r="K17" s="188">
        <v>4</v>
      </c>
      <c r="L17" s="189" t="s">
        <v>1333</v>
      </c>
      <c r="M17" s="189">
        <f ca="1">IFERROR(__xludf.DUMMYFUNCTION("AVERAGE(FILTER('All Scores'!AI$2:AI$1024, 'All Scores'!AA$2:AA$1024 = J17))"),7.73684210526315)</f>
        <v>7.7368421052631504</v>
      </c>
      <c r="N17" s="6">
        <f>COUNTIF('All Scores'!AA:AA,J17)</f>
        <v>38</v>
      </c>
      <c r="O17" s="6">
        <f>COUNTIFS('All Scores'!$AA$2:$AA$1000, J17, 'All Scores'!$AI$2:$AI$1000, 1)</f>
        <v>5</v>
      </c>
      <c r="P17" s="6"/>
      <c r="Q17" s="169"/>
      <c r="R17" s="6"/>
      <c r="S17" s="6"/>
      <c r="T17" s="169"/>
      <c r="U17" s="12">
        <f ca="1">IFERROR(__xludf.DUMMYFUNCTION("""COMPUTED_VALUE"""),43001)</f>
        <v>43001</v>
      </c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</row>
    <row r="18" spans="1:44" ht="15" customHeight="1">
      <c r="A18" s="169" t="str">
        <f ca="1">IFERROR(__xludf.DUMMYFUNCTION("""COMPUTED_VALUE"""),"Andrea Root")</f>
        <v>Andrea Root</v>
      </c>
      <c r="B18" s="186">
        <f ca="1">COUNTIF('All Scores'!AJ:AK,A18)</f>
        <v>1</v>
      </c>
      <c r="C18" s="186">
        <f ca="1">IFERROR(__xludf.DUMMYFUNCTION("MIN(FILTER('All Scores'!AI$2:AI$1024, ('All Scores'!AJ$2:AJ$1024 = A18) + ('All Scores'!AK$2:AK$1024 = A18)))"),13)</f>
        <v>13</v>
      </c>
      <c r="D18" s="187">
        <f ca="1">IFERROR(__xludf.DUMMYFUNCTION("AVERAGE(FILTER('All Scores'!AI$2:AI$1024, ('All Scores'!AJ$2:AJ$1024 = A18) + ('All Scores'!AK$2:AK$1024 = A18))
)
"),13)</f>
        <v>13</v>
      </c>
      <c r="E18" s="6">
        <f ca="1">IFERROR(__xludf.DUMMYFUNCTION("SUM(FILTER('All Scores'!AF$2:AF$1024, ('All Scores'!AJ$2:AJ$1024 = A18) + ('All Scores'!AK$2:AK$1024 = A18)))
"),71)</f>
        <v>71</v>
      </c>
      <c r="F18" s="6">
        <f ca="1">IFERROR(__xludf.DUMMYFUNCTION("SUM(FILTER('All Scores'!AD$2:AD$1024, ('All Scores'!AJ$2:AJ$1024 = A18) + ('All Scores'!AK$2:AK$1024 = A18)))
"),34)</f>
        <v>34</v>
      </c>
      <c r="G18" s="21">
        <f t="shared" ca="1" si="0"/>
        <v>0.47887323943661969</v>
      </c>
      <c r="H18" s="169"/>
      <c r="I18" s="169"/>
      <c r="J18" s="6"/>
      <c r="K18" s="188"/>
      <c r="L18" s="189"/>
      <c r="M18" s="189"/>
      <c r="N18" s="6"/>
      <c r="O18" s="6"/>
      <c r="P18" s="6"/>
      <c r="Q18" s="169"/>
      <c r="R18" s="6"/>
      <c r="S18" s="6"/>
      <c r="T18" s="169"/>
      <c r="U18" s="12">
        <f ca="1">IFERROR(__xludf.DUMMYFUNCTION("""COMPUTED_VALUE"""),43002)</f>
        <v>43002</v>
      </c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</row>
    <row r="19" spans="1:44" ht="15" customHeight="1">
      <c r="A19" s="169" t="str">
        <f ca="1">IFERROR(__xludf.DUMMYFUNCTION("""COMPUTED_VALUE"""),"Andrew Abe")</f>
        <v>Andrew Abe</v>
      </c>
      <c r="B19" s="186">
        <f ca="1">COUNTIF('All Scores'!AJ:AK,A19)</f>
        <v>1</v>
      </c>
      <c r="C19" s="186">
        <f ca="1">IFERROR(__xludf.DUMMYFUNCTION("MIN(FILTER('All Scores'!AI$2:AI$1024, ('All Scores'!AJ$2:AJ$1024 = A19) + ('All Scores'!AK$2:AK$1024 = A19)))"),3)</f>
        <v>3</v>
      </c>
      <c r="D19" s="187">
        <f ca="1">IFERROR(__xludf.DUMMYFUNCTION("AVERAGE(FILTER('All Scores'!AI$2:AI$1024, ('All Scores'!AJ$2:AJ$1024 = A19) + ('All Scores'!AK$2:AK$1024 = A19))
)
"),3)</f>
        <v>3</v>
      </c>
      <c r="E19" s="6">
        <f ca="1">IFERROR(__xludf.DUMMYFUNCTION("SUM(FILTER('All Scores'!AF$2:AF$1024, ('All Scores'!AJ$2:AJ$1024 = A19) + ('All Scores'!AK$2:AK$1024 = A19)))
"),92)</f>
        <v>92</v>
      </c>
      <c r="F19" s="6">
        <f ca="1">IFERROR(__xludf.DUMMYFUNCTION("SUM(FILTER('All Scores'!AD$2:AD$1024, ('All Scores'!AJ$2:AJ$1024 = A19) + ('All Scores'!AK$2:AK$1024 = A19)))
"),47)</f>
        <v>47</v>
      </c>
      <c r="G19" s="21">
        <f t="shared" ca="1" si="0"/>
        <v>0.51086956521739135</v>
      </c>
      <c r="H19" s="169"/>
      <c r="I19" s="169"/>
      <c r="J19" s="6" t="s">
        <v>466</v>
      </c>
      <c r="K19" s="188"/>
      <c r="L19" s="189" t="s">
        <v>1333</v>
      </c>
      <c r="M19" s="189">
        <f ca="1">IFERROR(__xludf.DUMMYFUNCTION("AVERAGE(FILTER('All Scores'!AI$2:AI$1024, 'All Scores'!AA$2:AA$1024 = J19))"),11.6666666666666)</f>
        <v>11.6666666666666</v>
      </c>
      <c r="N19" s="6">
        <f>COUNTIF('All Scores'!AA:AA,J19)</f>
        <v>3</v>
      </c>
      <c r="O19" s="6">
        <f>COUNTIFS('All Scores'!$AA$2:$AA$1000, J19, 'All Scores'!$AI$2:$AI$1000, 1)</f>
        <v>1</v>
      </c>
      <c r="P19" s="6"/>
      <c r="Q19" s="169"/>
      <c r="R19" s="6"/>
      <c r="S19" s="6"/>
      <c r="T19" s="169"/>
      <c r="U19" s="12">
        <f ca="1">IFERROR(__xludf.DUMMYFUNCTION("""COMPUTED_VALUE"""),43023)</f>
        <v>43023</v>
      </c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</row>
    <row r="20" spans="1:44" ht="15" customHeight="1">
      <c r="A20" s="169" t="str">
        <f ca="1">IFERROR(__xludf.DUMMYFUNCTION("""COMPUTED_VALUE"""),"Andrew Gosnell")</f>
        <v>Andrew Gosnell</v>
      </c>
      <c r="B20" s="186">
        <f ca="1">COUNTIF('All Scores'!AJ:AK,A20)</f>
        <v>1</v>
      </c>
      <c r="C20" s="186">
        <f ca="1">IFERROR(__xludf.DUMMYFUNCTION("MIN(FILTER('All Scores'!AI$2:AI$1024, ('All Scores'!AJ$2:AJ$1024 = A20) + ('All Scores'!AK$2:AK$1024 = A20)))"),15)</f>
        <v>15</v>
      </c>
      <c r="D20" s="187">
        <f ca="1">IFERROR(__xludf.DUMMYFUNCTION("AVERAGE(FILTER('All Scores'!AI$2:AI$1024, ('All Scores'!AJ$2:AJ$1024 = A20) + ('All Scores'!AK$2:AK$1024 = A20))
)
"),15)</f>
        <v>15</v>
      </c>
      <c r="E20" s="6">
        <f ca="1">IFERROR(__xludf.DUMMYFUNCTION("SUM(FILTER('All Scores'!AF$2:AF$1024, ('All Scores'!AJ$2:AJ$1024 = A20) + ('All Scores'!AK$2:AK$1024 = A20)))
"),48)</f>
        <v>48</v>
      </c>
      <c r="F20" s="6">
        <f ca="1">IFERROR(__xludf.DUMMYFUNCTION("SUM(FILTER('All Scores'!AD$2:AD$1024, ('All Scores'!AJ$2:AJ$1024 = A20) + ('All Scores'!AK$2:AK$1024 = A20)))
"),15)</f>
        <v>15</v>
      </c>
      <c r="G20" s="21">
        <f t="shared" ca="1" si="0"/>
        <v>0.3125</v>
      </c>
      <c r="H20" s="169"/>
      <c r="I20" s="169"/>
      <c r="J20" s="6" t="s">
        <v>472</v>
      </c>
      <c r="K20" s="188"/>
      <c r="L20" s="189" t="s">
        <v>1334</v>
      </c>
      <c r="M20" s="189">
        <f ca="1">IFERROR(__xludf.DUMMYFUNCTION("AVERAGE(FILTER('All Scores'!AI$2:AI$1024, 'All Scores'!AA$2:AA$1024 = J20))"),25.3333333333333)</f>
        <v>25.3333333333333</v>
      </c>
      <c r="N20" s="6">
        <f>COUNTIF('All Scores'!AA:AA,J20)</f>
        <v>3</v>
      </c>
      <c r="O20" s="6">
        <f>COUNTIFS('All Scores'!$AA$2:$AA$1000, J20, 'All Scores'!$AI$2:$AI$1000, 1)</f>
        <v>0</v>
      </c>
      <c r="P20" s="6"/>
      <c r="Q20" s="169"/>
      <c r="R20" s="6"/>
      <c r="S20" s="6"/>
      <c r="T20" s="169"/>
      <c r="U20" s="12">
        <f ca="1">IFERROR(__xludf.DUMMYFUNCTION("""COMPUTED_VALUE"""),43337)</f>
        <v>43337</v>
      </c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</row>
    <row r="21" spans="1:44" ht="15" customHeight="1">
      <c r="A21" s="169" t="str">
        <f ca="1">IFERROR(__xludf.DUMMYFUNCTION("""COMPUTED_VALUE"""),"Andrew Murchie")</f>
        <v>Andrew Murchie</v>
      </c>
      <c r="B21" s="186">
        <f ca="1">COUNTIF('All Scores'!AJ:AK,A21)</f>
        <v>1</v>
      </c>
      <c r="C21" s="186">
        <f ca="1">IFERROR(__xludf.DUMMYFUNCTION("MIN(FILTER('All Scores'!AI$2:AI$1024, ('All Scores'!AJ$2:AJ$1024 = A21) + ('All Scores'!AK$2:AK$1024 = A21)))"),4)</f>
        <v>4</v>
      </c>
      <c r="D21" s="187">
        <f ca="1">IFERROR(__xludf.DUMMYFUNCTION("AVERAGE(FILTER('All Scores'!AI$2:AI$1024, ('All Scores'!AJ$2:AJ$1024 = A21) + ('All Scores'!AK$2:AK$1024 = A21))
)
"),4)</f>
        <v>4</v>
      </c>
      <c r="E21" s="6">
        <f ca="1">IFERROR(__xludf.DUMMYFUNCTION("SUM(FILTER('All Scores'!AF$2:AF$1024, ('All Scores'!AJ$2:AJ$1024 = A21) + ('All Scores'!AK$2:AK$1024 = A21)))
"),102)</f>
        <v>102</v>
      </c>
      <c r="F21" s="6">
        <f ca="1">IFERROR(__xludf.DUMMYFUNCTION("SUM(FILTER('All Scores'!AD$2:AD$1024, ('All Scores'!AJ$2:AJ$1024 = A21) + ('All Scores'!AK$2:AK$1024 = A21)))
"),56)</f>
        <v>56</v>
      </c>
      <c r="G21" s="21">
        <f t="shared" ca="1" si="0"/>
        <v>0.5490196078431373</v>
      </c>
      <c r="H21" s="169"/>
      <c r="I21" s="169"/>
      <c r="J21" s="6" t="s">
        <v>477</v>
      </c>
      <c r="K21" s="188"/>
      <c r="L21" s="189" t="s">
        <v>1334</v>
      </c>
      <c r="M21" s="189">
        <f ca="1">IFERROR(__xludf.DUMMYFUNCTION("AVERAGE(FILTER('All Scores'!AI$2:AI$1024, 'All Scores'!AA$2:AA$1024 = J21))"),15.6666666666666)</f>
        <v>15.6666666666666</v>
      </c>
      <c r="N21" s="6">
        <f>COUNTIF('All Scores'!AA:AA,J21)</f>
        <v>3</v>
      </c>
      <c r="O21" s="6">
        <f>COUNTIFS('All Scores'!$AA$2:$AA$1000, J21, 'All Scores'!$AI$2:$AI$1000, 1)</f>
        <v>0</v>
      </c>
      <c r="P21" s="6"/>
      <c r="Q21" s="169"/>
      <c r="R21" s="6"/>
      <c r="S21" s="6"/>
      <c r="T21" s="169"/>
      <c r="U21" s="12">
        <f ca="1">IFERROR(__xludf.DUMMYFUNCTION("""COMPUTED_VALUE"""),43365)</f>
        <v>43365</v>
      </c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</row>
    <row r="22" spans="1:44" ht="15" customHeight="1">
      <c r="A22" s="169" t="str">
        <f ca="1">IFERROR(__xludf.DUMMYFUNCTION("""COMPUTED_VALUE"""),"Andrew Wimmer")</f>
        <v>Andrew Wimmer</v>
      </c>
      <c r="B22" s="186">
        <f ca="1">COUNTIF('All Scores'!AJ:AK,A22)</f>
        <v>1</v>
      </c>
      <c r="C22" s="186">
        <f ca="1">IFERROR(__xludf.DUMMYFUNCTION("MIN(FILTER('All Scores'!AI$2:AI$1024, ('All Scores'!AJ$2:AJ$1024 = A22) + ('All Scores'!AK$2:AK$1024 = A22)))"),16)</f>
        <v>16</v>
      </c>
      <c r="D22" s="187">
        <f ca="1">IFERROR(__xludf.DUMMYFUNCTION("AVERAGE(FILTER('All Scores'!AI$2:AI$1024, ('All Scores'!AJ$2:AJ$1024 = A22) + ('All Scores'!AK$2:AK$1024 = A22))
)
"),16)</f>
        <v>16</v>
      </c>
      <c r="E22" s="6">
        <f ca="1">IFERROR(__xludf.DUMMYFUNCTION("SUM(FILTER('All Scores'!AF$2:AF$1024, ('All Scores'!AJ$2:AJ$1024 = A22) + ('All Scores'!AK$2:AK$1024 = A22)))
"),46)</f>
        <v>46</v>
      </c>
      <c r="F22" s="6">
        <f ca="1">IFERROR(__xludf.DUMMYFUNCTION("SUM(FILTER('All Scores'!AD$2:AD$1024, ('All Scores'!AJ$2:AJ$1024 = A22) + ('All Scores'!AK$2:AK$1024 = A22)))
"),13)</f>
        <v>13</v>
      </c>
      <c r="G22" s="21">
        <f t="shared" ca="1" si="0"/>
        <v>0.28260869565217389</v>
      </c>
      <c r="H22" s="169"/>
      <c r="I22" s="169"/>
      <c r="J22" s="6" t="s">
        <v>483</v>
      </c>
      <c r="K22" s="188"/>
      <c r="L22" s="189" t="s">
        <v>1333</v>
      </c>
      <c r="M22" s="189">
        <f ca="1">IFERROR(__xludf.DUMMYFUNCTION("AVERAGE(FILTER('All Scores'!AI$2:AI$1024, 'All Scores'!AA$2:AA$1024 = J22))"),9)</f>
        <v>9</v>
      </c>
      <c r="N22" s="6">
        <f>COUNTIF('All Scores'!AA:AA,J22)</f>
        <v>3</v>
      </c>
      <c r="O22" s="6">
        <f>COUNTIFS('All Scores'!$AA$2:$AA$1000, J22, 'All Scores'!$AI$2:$AI$1000, 1)</f>
        <v>0</v>
      </c>
      <c r="P22" s="6"/>
      <c r="Q22" s="169"/>
      <c r="R22" s="6"/>
      <c r="S22" s="6"/>
      <c r="T22" s="169"/>
      <c r="U22" s="12">
        <f ca="1">IFERROR(__xludf.DUMMYFUNCTION("""COMPUTED_VALUE"""),43652)</f>
        <v>43652</v>
      </c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</row>
    <row r="23" spans="1:44" ht="15" customHeight="1">
      <c r="A23" s="169" t="str">
        <f ca="1">IFERROR(__xludf.DUMMYFUNCTION("""COMPUTED_VALUE"""),"Andy Brez")</f>
        <v>Andy Brez</v>
      </c>
      <c r="B23" s="186">
        <f ca="1">COUNTIF('All Scores'!AJ:AK,A23)</f>
        <v>2</v>
      </c>
      <c r="C23" s="186">
        <f ca="1">IFERROR(__xludf.DUMMYFUNCTION("MIN(FILTER('All Scores'!AI$2:AI$1024, ('All Scores'!AJ$2:AJ$1024 = A23) + ('All Scores'!AK$2:AK$1024 = A23)))"),3)</f>
        <v>3</v>
      </c>
      <c r="D23" s="187">
        <f ca="1">IFERROR(__xludf.DUMMYFUNCTION("AVERAGE(FILTER('All Scores'!AI$2:AI$1024, ('All Scores'!AJ$2:AJ$1024 = A23) + ('All Scores'!AK$2:AK$1024 = A23))
)
"),9.5)</f>
        <v>9.5</v>
      </c>
      <c r="E23" s="6">
        <f ca="1">IFERROR(__xludf.DUMMYFUNCTION("SUM(FILTER('All Scores'!AF$2:AF$1024, ('All Scores'!AJ$2:AJ$1024 = A23) + ('All Scores'!AK$2:AK$1024 = A23)))
"),133)</f>
        <v>133</v>
      </c>
      <c r="F23" s="6">
        <f ca="1">IFERROR(__xludf.DUMMYFUNCTION("SUM(FILTER('All Scores'!AD$2:AD$1024, ('All Scores'!AJ$2:AJ$1024 = A23) + ('All Scores'!AK$2:AK$1024 = A23)))
"),57)</f>
        <v>57</v>
      </c>
      <c r="G23" s="21">
        <f t="shared" ca="1" si="0"/>
        <v>0.42857142857142855</v>
      </c>
      <c r="H23" s="169"/>
      <c r="I23" s="169"/>
      <c r="J23" s="6" t="s">
        <v>486</v>
      </c>
      <c r="K23" s="188"/>
      <c r="L23" s="189" t="s">
        <v>1334</v>
      </c>
      <c r="M23" s="189">
        <f ca="1">IFERROR(__xludf.DUMMYFUNCTION("AVERAGE(FILTER('All Scores'!AI$2:AI$1024, 'All Scores'!AA$2:AA$1024 = J23))"),9)</f>
        <v>9</v>
      </c>
      <c r="N23" s="6">
        <f>COUNTIF('All Scores'!AA:AA,J23)</f>
        <v>3</v>
      </c>
      <c r="O23" s="6">
        <f>COUNTIFS('All Scores'!$AA$2:$AA$1000, J23, 'All Scores'!$AI$2:$AI$1000, 1)</f>
        <v>0</v>
      </c>
      <c r="P23" s="6"/>
      <c r="Q23" s="169"/>
      <c r="R23" s="6"/>
      <c r="S23" s="6"/>
      <c r="T23" s="169"/>
      <c r="U23" s="12">
        <f ca="1">IFERROR(__xludf.DUMMYFUNCTION("""COMPUTED_VALUE"""),43701)</f>
        <v>43701</v>
      </c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</row>
    <row r="24" spans="1:44" ht="15" customHeight="1">
      <c r="A24" s="169" t="str">
        <f ca="1">IFERROR(__xludf.DUMMYFUNCTION("""COMPUTED_VALUE"""),"Andy Lockard")</f>
        <v>Andy Lockard</v>
      </c>
      <c r="B24" s="186">
        <f ca="1">COUNTIF('All Scores'!AJ:AK,A24)</f>
        <v>6</v>
      </c>
      <c r="C24" s="186">
        <f ca="1">IFERROR(__xludf.DUMMYFUNCTION("MIN(FILTER('All Scores'!AI$2:AI$1024, ('All Scores'!AJ$2:AJ$1024 = A24) + ('All Scores'!AK$2:AK$1024 = A24)))"),1)</f>
        <v>1</v>
      </c>
      <c r="D24" s="187">
        <f ca="1">IFERROR(__xludf.DUMMYFUNCTION("AVERAGE(FILTER('All Scores'!AI$2:AI$1024, ('All Scores'!AJ$2:AJ$1024 = A24) + ('All Scores'!AK$2:AK$1024 = A24))
)
"),4.33333333333333)</f>
        <v>4.3333333333333304</v>
      </c>
      <c r="E24" s="6">
        <f ca="1">IFERROR(__xludf.DUMMYFUNCTION("SUM(FILTER('All Scores'!AF$2:AF$1024, ('All Scores'!AJ$2:AJ$1024 = A24) + ('All Scores'!AK$2:AK$1024 = A24)))
"),599)</f>
        <v>599</v>
      </c>
      <c r="F24" s="6">
        <f ca="1">IFERROR(__xludf.DUMMYFUNCTION("SUM(FILTER('All Scores'!AD$2:AD$1024, ('All Scores'!AJ$2:AJ$1024 = A24) + ('All Scores'!AK$2:AK$1024 = A24)))
"),352)</f>
        <v>352</v>
      </c>
      <c r="G24" s="21">
        <f t="shared" ca="1" si="0"/>
        <v>0.58764607679465775</v>
      </c>
      <c r="H24" s="169"/>
      <c r="I24" s="169"/>
      <c r="J24" s="6" t="s">
        <v>492</v>
      </c>
      <c r="K24" s="188"/>
      <c r="L24" s="189" t="s">
        <v>1333</v>
      </c>
      <c r="M24" s="189">
        <f ca="1">IFERROR(__xludf.DUMMYFUNCTION("AVERAGE(FILTER('All Scores'!AI$2:AI$1024, 'All Scores'!AA$2:AA$1024 = J24))"),24.3333333333333)</f>
        <v>24.3333333333333</v>
      </c>
      <c r="N24" s="6">
        <f>COUNTIF('All Scores'!AA:AA,J24)</f>
        <v>3</v>
      </c>
      <c r="O24" s="6">
        <f>COUNTIFS('All Scores'!$AA$2:$AA$1000, J24, 'All Scores'!$AI$2:$AI$1000, 1)</f>
        <v>0</v>
      </c>
      <c r="P24" s="6"/>
      <c r="Q24" s="169"/>
      <c r="R24" s="6"/>
      <c r="S24" s="6"/>
      <c r="T24" s="169"/>
      <c r="U24" s="12">
        <f ca="1">IFERROR(__xludf.DUMMYFUNCTION("""COMPUTED_VALUE"""),43715)</f>
        <v>43715</v>
      </c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</row>
    <row r="25" spans="1:44" ht="15" customHeight="1">
      <c r="A25" s="169" t="str">
        <f ca="1">IFERROR(__xludf.DUMMYFUNCTION("""COMPUTED_VALUE"""),"Andy Peck")</f>
        <v>Andy Peck</v>
      </c>
      <c r="B25" s="186">
        <f ca="1">COUNTIF('All Scores'!AJ:AK,A25)</f>
        <v>1</v>
      </c>
      <c r="C25" s="186">
        <f ca="1">IFERROR(__xludf.DUMMYFUNCTION("MIN(FILTER('All Scores'!AI$2:AI$1024, ('All Scores'!AJ$2:AJ$1024 = A25) + ('All Scores'!AK$2:AK$1024 = A25)))"),8)</f>
        <v>8</v>
      </c>
      <c r="D25" s="187">
        <f ca="1">IFERROR(__xludf.DUMMYFUNCTION("AVERAGE(FILTER('All Scores'!AI$2:AI$1024, ('All Scores'!AJ$2:AJ$1024 = A25) + ('All Scores'!AK$2:AK$1024 = A25))
)
"),8)</f>
        <v>8</v>
      </c>
      <c r="E25" s="6">
        <f ca="1">IFERROR(__xludf.DUMMYFUNCTION("SUM(FILTER('All Scores'!AF$2:AF$1024, ('All Scores'!AJ$2:AJ$1024 = A25) + ('All Scores'!AK$2:AK$1024 = A25)))
"),82)</f>
        <v>82</v>
      </c>
      <c r="F25" s="6">
        <f ca="1">IFERROR(__xludf.DUMMYFUNCTION("SUM(FILTER('All Scores'!AD$2:AD$1024, ('All Scores'!AJ$2:AJ$1024 = A25) + ('All Scores'!AK$2:AK$1024 = A25)))
"),36)</f>
        <v>36</v>
      </c>
      <c r="G25" s="21">
        <f t="shared" ca="1" si="0"/>
        <v>0.43902439024390244</v>
      </c>
      <c r="H25" s="169"/>
      <c r="I25" s="169"/>
      <c r="J25" s="6" t="s">
        <v>496</v>
      </c>
      <c r="K25" s="188"/>
      <c r="L25" s="189" t="s">
        <v>1333</v>
      </c>
      <c r="M25" s="189">
        <f ca="1">IFERROR(__xludf.DUMMYFUNCTION("AVERAGE(FILTER('All Scores'!AI$2:AI$1024, 'All Scores'!AA$2:AA$1024 = J25))"),16.3333333333333)</f>
        <v>16.3333333333333</v>
      </c>
      <c r="N25" s="6">
        <f>COUNTIF('All Scores'!AA:AA,J25)</f>
        <v>3</v>
      </c>
      <c r="O25" s="6">
        <f>COUNTIFS('All Scores'!$AA$2:$AA$1000, J25, 'All Scores'!$AI$2:$AI$1000, 1)</f>
        <v>0</v>
      </c>
      <c r="P25" s="6"/>
      <c r="Q25" s="169"/>
      <c r="R25" s="6"/>
      <c r="S25" s="6"/>
      <c r="T25" s="169"/>
      <c r="U25" s="12">
        <f ca="1">IFERROR(__xludf.DUMMYFUNCTION("""COMPUTED_VALUE"""),44065)</f>
        <v>44065</v>
      </c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</row>
    <row r="26" spans="1:44" ht="15" customHeight="1">
      <c r="A26" s="169" t="str">
        <f ca="1">IFERROR(__xludf.DUMMYFUNCTION("""COMPUTED_VALUE"""),"Andy Peng")</f>
        <v>Andy Peng</v>
      </c>
      <c r="B26" s="186">
        <f ca="1">COUNTIF('All Scores'!AJ:AK,A26)</f>
        <v>2</v>
      </c>
      <c r="C26" s="186">
        <f ca="1">IFERROR(__xludf.DUMMYFUNCTION("MIN(FILTER('All Scores'!AI$2:AI$1024, ('All Scores'!AJ$2:AJ$1024 = A26) + ('All Scores'!AK$2:AK$1024 = A26)))"),3)</f>
        <v>3</v>
      </c>
      <c r="D26" s="187">
        <f ca="1">IFERROR(__xludf.DUMMYFUNCTION("AVERAGE(FILTER('All Scores'!AI$2:AI$1024, ('All Scores'!AJ$2:AJ$1024 = A26) + ('All Scores'!AK$2:AK$1024 = A26))
)
"),7)</f>
        <v>7</v>
      </c>
      <c r="E26" s="6">
        <f ca="1">IFERROR(__xludf.DUMMYFUNCTION("SUM(FILTER('All Scores'!AF$2:AF$1024, ('All Scores'!AJ$2:AJ$1024 = A26) + ('All Scores'!AK$2:AK$1024 = A26)))
"),123)</f>
        <v>123</v>
      </c>
      <c r="F26" s="6">
        <f ca="1">IFERROR(__xludf.DUMMYFUNCTION("SUM(FILTER('All Scores'!AD$2:AD$1024, ('All Scores'!AJ$2:AJ$1024 = A26) + ('All Scores'!AK$2:AK$1024 = A26)))
"),68)</f>
        <v>68</v>
      </c>
      <c r="G26" s="21">
        <f t="shared" ca="1" si="0"/>
        <v>0.55284552845528456</v>
      </c>
      <c r="H26" s="169"/>
      <c r="I26" s="169"/>
      <c r="J26" s="6" t="s">
        <v>501</v>
      </c>
      <c r="K26" s="188"/>
      <c r="L26" s="189" t="s">
        <v>1334</v>
      </c>
      <c r="M26" s="189">
        <f ca="1">IFERROR(__xludf.DUMMYFUNCTION("AVERAGE(FILTER('All Scores'!AI$2:AI$1024, 'All Scores'!AA$2:AA$1024 = J26))"),23)</f>
        <v>23</v>
      </c>
      <c r="N26" s="6">
        <f>COUNTIF('All Scores'!AA:AA,J26)</f>
        <v>3</v>
      </c>
      <c r="O26" s="6">
        <f>COUNTIFS('All Scores'!$AA$2:$AA$1000, J26, 'All Scores'!$AI$2:$AI$1000, 1)</f>
        <v>0</v>
      </c>
      <c r="P26" s="6"/>
      <c r="Q26" s="169"/>
      <c r="R26" s="6"/>
      <c r="S26" s="6"/>
      <c r="T26" s="169"/>
      <c r="U26" s="12">
        <f ca="1">IFERROR(__xludf.DUMMYFUNCTION("""COMPUTED_VALUE"""),44100)</f>
        <v>44100</v>
      </c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</row>
    <row r="27" spans="1:44" ht="15" customHeight="1">
      <c r="A27" s="169" t="str">
        <f ca="1">IFERROR(__xludf.DUMMYFUNCTION("""COMPUTED_VALUE"""),"Angel Krishna")</f>
        <v>Angel Krishna</v>
      </c>
      <c r="B27" s="186">
        <f ca="1">COUNTIF('All Scores'!AJ:AK,A27)</f>
        <v>1</v>
      </c>
      <c r="C27" s="186">
        <f ca="1">IFERROR(__xludf.DUMMYFUNCTION("MIN(FILTER('All Scores'!AI$2:AI$1024, ('All Scores'!AJ$2:AJ$1024 = A27) + ('All Scores'!AK$2:AK$1024 = A27)))"),16)</f>
        <v>16</v>
      </c>
      <c r="D27" s="187">
        <f ca="1">IFERROR(__xludf.DUMMYFUNCTION("AVERAGE(FILTER('All Scores'!AI$2:AI$1024, ('All Scores'!AJ$2:AJ$1024 = A27) + ('All Scores'!AK$2:AK$1024 = A27))
)
"),16)</f>
        <v>16</v>
      </c>
      <c r="E27" s="6">
        <f ca="1">IFERROR(__xludf.DUMMYFUNCTION("SUM(FILTER('All Scores'!AF$2:AF$1024, ('All Scores'!AJ$2:AJ$1024 = A27) + ('All Scores'!AK$2:AK$1024 = A27)))
"),46)</f>
        <v>46</v>
      </c>
      <c r="F27" s="6">
        <f ca="1">IFERROR(__xludf.DUMMYFUNCTION("SUM(FILTER('All Scores'!AD$2:AD$1024, ('All Scores'!AJ$2:AJ$1024 = A27) + ('All Scores'!AK$2:AK$1024 = A27)))
"),13)</f>
        <v>13</v>
      </c>
      <c r="G27" s="21">
        <f t="shared" ca="1" si="0"/>
        <v>0.28260869565217389</v>
      </c>
      <c r="H27" s="169"/>
      <c r="I27" s="169"/>
      <c r="J27" s="6" t="s">
        <v>506</v>
      </c>
      <c r="K27" s="188"/>
      <c r="L27" s="189" t="s">
        <v>1334</v>
      </c>
      <c r="M27" s="189">
        <f ca="1">IFERROR(__xludf.DUMMYFUNCTION("AVERAGE(FILTER('All Scores'!AI$2:AI$1024, 'All Scores'!AA$2:AA$1024 = J27))"),26)</f>
        <v>26</v>
      </c>
      <c r="N27" s="6">
        <f>COUNTIF('All Scores'!AA:AA,J27)</f>
        <v>3</v>
      </c>
      <c r="O27" s="6">
        <f>COUNTIFS('All Scores'!$AA$2:$AA$1000, J27, 'All Scores'!$AI$2:$AI$1000, 1)</f>
        <v>0</v>
      </c>
      <c r="P27" s="6"/>
      <c r="Q27" s="169"/>
      <c r="R27" s="6"/>
      <c r="S27" s="6"/>
      <c r="T27" s="169"/>
      <c r="U27" s="12">
        <f ca="1">IFERROR(__xludf.DUMMYFUNCTION("""COMPUTED_VALUE"""),44121)</f>
        <v>44121</v>
      </c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</row>
    <row r="28" spans="1:44" ht="15" customHeight="1">
      <c r="A28" s="169" t="str">
        <f ca="1">IFERROR(__xludf.DUMMYFUNCTION("""COMPUTED_VALUE"""),"Angela Hagen")</f>
        <v>Angela Hagen</v>
      </c>
      <c r="B28" s="186">
        <f ca="1">COUNTIF('All Scores'!AJ:AK,A28)</f>
        <v>4</v>
      </c>
      <c r="C28" s="186">
        <f ca="1">IFERROR(__xludf.DUMMYFUNCTION("MIN(FILTER('All Scores'!AI$2:AI$1024, ('All Scores'!AJ$2:AJ$1024 = A28) + ('All Scores'!AK$2:AK$1024 = A28)))"),10)</f>
        <v>10</v>
      </c>
      <c r="D28" s="187">
        <f ca="1">IFERROR(__xludf.DUMMYFUNCTION("AVERAGE(FILTER('All Scores'!AI$2:AI$1024, ('All Scores'!AJ$2:AJ$1024 = A28) + ('All Scores'!AK$2:AK$1024 = A28))
)
"),11.75)</f>
        <v>11.75</v>
      </c>
      <c r="E28" s="6">
        <f ca="1">IFERROR(__xludf.DUMMYFUNCTION("SUM(FILTER('All Scores'!AF$2:AF$1024, ('All Scores'!AJ$2:AJ$1024 = A28) + ('All Scores'!AK$2:AK$1024 = A28)))
"),222)</f>
        <v>222</v>
      </c>
      <c r="F28" s="6">
        <f ca="1">IFERROR(__xludf.DUMMYFUNCTION("SUM(FILTER('All Scores'!AD$2:AD$1024, ('All Scores'!AJ$2:AJ$1024 = A28) + ('All Scores'!AK$2:AK$1024 = A28)))
"),92)</f>
        <v>92</v>
      </c>
      <c r="G28" s="21">
        <f t="shared" ca="1" si="0"/>
        <v>0.4144144144144144</v>
      </c>
      <c r="H28" s="169"/>
      <c r="I28" s="169"/>
      <c r="J28" s="6" t="s">
        <v>513</v>
      </c>
      <c r="K28" s="188"/>
      <c r="L28" s="189" t="s">
        <v>1333</v>
      </c>
      <c r="M28" s="189">
        <f ca="1">IFERROR(__xludf.DUMMYFUNCTION("AVERAGE(FILTER('All Scores'!AI$2:AI$1024, 'All Scores'!AA$2:AA$1024 = J28))"),10)</f>
        <v>10</v>
      </c>
      <c r="N28" s="6">
        <f>COUNTIF('All Scores'!AA:AA,J28)</f>
        <v>3</v>
      </c>
      <c r="O28" s="6">
        <f>COUNTIFS('All Scores'!$AA$2:$AA$1000, J28, 'All Scores'!$AI$2:$AI$1000, 1)</f>
        <v>0</v>
      </c>
      <c r="P28" s="6"/>
      <c r="Q28" s="169"/>
      <c r="R28" s="6"/>
      <c r="S28" s="6"/>
      <c r="T28" s="169"/>
      <c r="U28" s="12">
        <f ca="1">IFERROR(__xludf.DUMMYFUNCTION("""COMPUTED_VALUE"""),44352)</f>
        <v>44352</v>
      </c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</row>
    <row r="29" spans="1:44" ht="15" customHeight="1">
      <c r="A29" s="169" t="str">
        <f ca="1">IFERROR(__xludf.DUMMYFUNCTION("""COMPUTED_VALUE"""),"Angie Eason")</f>
        <v>Angie Eason</v>
      </c>
      <c r="B29" s="186">
        <f ca="1">COUNTIF('All Scores'!AJ:AK,A29)</f>
        <v>1</v>
      </c>
      <c r="C29" s="186">
        <f ca="1">IFERROR(__xludf.DUMMYFUNCTION("MIN(FILTER('All Scores'!AI$2:AI$1024, ('All Scores'!AJ$2:AJ$1024 = A29) + ('All Scores'!AK$2:AK$1024 = A29)))"),2)</f>
        <v>2</v>
      </c>
      <c r="D29" s="187">
        <f ca="1">IFERROR(__xludf.DUMMYFUNCTION("AVERAGE(FILTER('All Scores'!AI$2:AI$1024, ('All Scores'!AJ$2:AJ$1024 = A29) + ('All Scores'!AK$2:AK$1024 = A29))
)
"),2)</f>
        <v>2</v>
      </c>
      <c r="E29" s="6">
        <f ca="1">IFERROR(__xludf.DUMMYFUNCTION("SUM(FILTER('All Scores'!AF$2:AF$1024, ('All Scores'!AJ$2:AJ$1024 = A29) + ('All Scores'!AK$2:AK$1024 = A29)))
"),96)</f>
        <v>96</v>
      </c>
      <c r="F29" s="6">
        <f ca="1">IFERROR(__xludf.DUMMYFUNCTION("SUM(FILTER('All Scores'!AD$2:AD$1024, ('All Scores'!AJ$2:AJ$1024 = A29) + ('All Scores'!AK$2:AK$1024 = A29)))
"),60)</f>
        <v>60</v>
      </c>
      <c r="G29" s="21">
        <f t="shared" ca="1" si="0"/>
        <v>0.625</v>
      </c>
      <c r="H29" s="169"/>
      <c r="I29" s="169"/>
      <c r="J29" s="6" t="s">
        <v>515</v>
      </c>
      <c r="K29" s="188"/>
      <c r="L29" s="189" t="s">
        <v>1333</v>
      </c>
      <c r="M29" s="189">
        <f ca="1">IFERROR(__xludf.DUMMYFUNCTION("AVERAGE(FILTER('All Scores'!AI$2:AI$1024, 'All Scores'!AA$2:AA$1024 = J29))"),16.6666666666666)</f>
        <v>16.6666666666666</v>
      </c>
      <c r="N29" s="6">
        <f>COUNTIF('All Scores'!AA:AA,J29)</f>
        <v>3</v>
      </c>
      <c r="O29" s="6">
        <f>COUNTIFS('All Scores'!$AA$2:$AA$1000, J29, 'All Scores'!$AI$2:$AI$1000, 1)</f>
        <v>0</v>
      </c>
      <c r="P29" s="6"/>
      <c r="Q29" s="169"/>
      <c r="R29" s="6"/>
      <c r="S29" s="6"/>
      <c r="T29" s="169"/>
      <c r="U29" s="12">
        <f ca="1">IFERROR(__xludf.DUMMYFUNCTION("""COMPUTED_VALUE"""),44436)</f>
        <v>44436</v>
      </c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</row>
    <row r="30" spans="1:44" ht="15" customHeight="1">
      <c r="A30" s="169" t="str">
        <f ca="1">IFERROR(__xludf.DUMMYFUNCTION("""COMPUTED_VALUE"""),"Ann Cronkhite")</f>
        <v>Ann Cronkhite</v>
      </c>
      <c r="B30" s="186">
        <f ca="1">COUNTIF('All Scores'!AJ:AK,A30)</f>
        <v>1</v>
      </c>
      <c r="C30" s="186">
        <f ca="1">IFERROR(__xludf.DUMMYFUNCTION("MIN(FILTER('All Scores'!AI$2:AI$1024, ('All Scores'!AJ$2:AJ$1024 = A30) + ('All Scores'!AK$2:AK$1024 = A30)))"),28)</f>
        <v>28</v>
      </c>
      <c r="D30" s="187">
        <f ca="1">IFERROR(__xludf.DUMMYFUNCTION("AVERAGE(FILTER('All Scores'!AI$2:AI$1024, ('All Scores'!AJ$2:AJ$1024 = A30) + ('All Scores'!AK$2:AK$1024 = A30))
)
"),28)</f>
        <v>28</v>
      </c>
      <c r="E30" s="6">
        <f ca="1">IFERROR(__xludf.DUMMYFUNCTION("SUM(FILTER('All Scores'!AF$2:AF$1024, ('All Scores'!AJ$2:AJ$1024 = A30) + ('All Scores'!AK$2:AK$1024 = A30)))
"),46)</f>
        <v>46</v>
      </c>
      <c r="F30" s="6">
        <f ca="1">IFERROR(__xludf.DUMMYFUNCTION("SUM(FILTER('All Scores'!AD$2:AD$1024, ('All Scores'!AJ$2:AJ$1024 = A30) + ('All Scores'!AK$2:AK$1024 = A30)))
"),19)</f>
        <v>19</v>
      </c>
      <c r="G30" s="21">
        <f t="shared" ca="1" si="0"/>
        <v>0.41304347826086957</v>
      </c>
      <c r="H30" s="169"/>
      <c r="I30" s="169"/>
      <c r="J30" s="6" t="s">
        <v>519</v>
      </c>
      <c r="K30" s="188"/>
      <c r="L30" s="189" t="s">
        <v>1334</v>
      </c>
      <c r="M30" s="189">
        <f ca="1">IFERROR(__xludf.DUMMYFUNCTION("AVERAGE(FILTER('All Scores'!AI$2:AI$1024, 'All Scores'!AA$2:AA$1024 = J30))"),7)</f>
        <v>7</v>
      </c>
      <c r="N30" s="6">
        <f>COUNTIF('All Scores'!AA:AA,J30)</f>
        <v>3</v>
      </c>
      <c r="O30" s="6">
        <f>COUNTIFS('All Scores'!$AA$2:$AA$1000, J30, 'All Scores'!$AI$2:$AI$1000, 1)</f>
        <v>1</v>
      </c>
      <c r="P30" s="6"/>
      <c r="Q30" s="169"/>
      <c r="R30" s="6"/>
      <c r="S30" s="6"/>
      <c r="T30" s="169"/>
      <c r="U30" s="12">
        <f ca="1">IFERROR(__xludf.DUMMYFUNCTION("""COMPUTED_VALUE"""),44485)</f>
        <v>44485</v>
      </c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</row>
    <row r="31" spans="1:44" ht="12.5">
      <c r="A31" s="169" t="str">
        <f ca="1">IFERROR(__xludf.DUMMYFUNCTION("""COMPUTED_VALUE"""),"Anne Lamberti")</f>
        <v>Anne Lamberti</v>
      </c>
      <c r="B31" s="186">
        <f ca="1">COUNTIF('All Scores'!AJ:AK,A31)</f>
        <v>1</v>
      </c>
      <c r="C31" s="186">
        <f ca="1">IFERROR(__xludf.DUMMYFUNCTION("MIN(FILTER('All Scores'!AI$2:AI$1024, ('All Scores'!AJ$2:AJ$1024 = A31) + ('All Scores'!AK$2:AK$1024 = A31)))"),13)</f>
        <v>13</v>
      </c>
      <c r="D31" s="187">
        <f ca="1">IFERROR(__xludf.DUMMYFUNCTION("AVERAGE(FILTER('All Scores'!AI$2:AI$1024, ('All Scores'!AJ$2:AJ$1024 = A31) + ('All Scores'!AK$2:AK$1024 = A31))
)
"),13)</f>
        <v>13</v>
      </c>
      <c r="E31" s="6">
        <f ca="1">IFERROR(__xludf.DUMMYFUNCTION("SUM(FILTER('All Scores'!AF$2:AF$1024, ('All Scores'!AJ$2:AJ$1024 = A31) + ('All Scores'!AK$2:AK$1024 = A31)))
"),64)</f>
        <v>64</v>
      </c>
      <c r="F31" s="6">
        <f ca="1">IFERROR(__xludf.DUMMYFUNCTION("SUM(FILTER('All Scores'!AD$2:AD$1024, ('All Scores'!AJ$2:AJ$1024 = A31) + ('All Scores'!AK$2:AK$1024 = A31)))
"),24)</f>
        <v>24</v>
      </c>
      <c r="G31" s="21">
        <f t="shared" ca="1" si="0"/>
        <v>0.375</v>
      </c>
      <c r="H31" s="169"/>
      <c r="I31" s="169"/>
      <c r="J31" s="6" t="s">
        <v>522</v>
      </c>
      <c r="K31" s="188"/>
      <c r="L31" s="189" t="s">
        <v>1333</v>
      </c>
      <c r="M31" s="189">
        <f ca="1">IFERROR(__xludf.DUMMYFUNCTION("AVERAGE(FILTER('All Scores'!AI$2:AI$1024, 'All Scores'!AA$2:AA$1024 = J31))"),14.6666666666666)</f>
        <v>14.6666666666666</v>
      </c>
      <c r="N31" s="6">
        <f>COUNTIF('All Scores'!AA:AA,J31)</f>
        <v>3</v>
      </c>
      <c r="O31" s="6">
        <f>COUNTIFS('All Scores'!$AA$2:$AA$1000, J31, 'All Scores'!$AI$2:$AI$1000, 1)</f>
        <v>0</v>
      </c>
      <c r="P31" s="6"/>
      <c r="Q31" s="169"/>
      <c r="R31" s="6"/>
      <c r="S31" s="6"/>
      <c r="T31" s="169"/>
      <c r="U31" s="12">
        <f ca="1">IFERROR(__xludf.DUMMYFUNCTION("""COMPUTED_VALUE"""),44800)</f>
        <v>44800</v>
      </c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</row>
    <row r="32" spans="1:44" ht="12.5">
      <c r="A32" s="169" t="str">
        <f ca="1">IFERROR(__xludf.DUMMYFUNCTION("""COMPUTED_VALUE"""),"Anne Miller")</f>
        <v>Anne Miller</v>
      </c>
      <c r="B32" s="186">
        <f ca="1">COUNTIF('All Scores'!AJ:AK,A32)</f>
        <v>1</v>
      </c>
      <c r="C32" s="186">
        <f ca="1">IFERROR(__xludf.DUMMYFUNCTION("MIN(FILTER('All Scores'!AI$2:AI$1024, ('All Scores'!AJ$2:AJ$1024 = A32) + ('All Scores'!AK$2:AK$1024 = A32)))"),7)</f>
        <v>7</v>
      </c>
      <c r="D32" s="187">
        <f ca="1">IFERROR(__xludf.DUMMYFUNCTION("AVERAGE(FILTER('All Scores'!AI$2:AI$1024, ('All Scores'!AJ$2:AJ$1024 = A32) + ('All Scores'!AK$2:AK$1024 = A32))
)
"),7)</f>
        <v>7</v>
      </c>
      <c r="E32" s="6">
        <f ca="1">IFERROR(__xludf.DUMMYFUNCTION("SUM(FILTER('All Scores'!AF$2:AF$1024, ('All Scores'!AJ$2:AJ$1024 = A32) + ('All Scores'!AK$2:AK$1024 = A32)))
"),72)</f>
        <v>72</v>
      </c>
      <c r="F32" s="6">
        <f ca="1">IFERROR(__xludf.DUMMYFUNCTION("SUM(FILTER('All Scores'!AD$2:AD$1024, ('All Scores'!AJ$2:AJ$1024 = A32) + ('All Scores'!AK$2:AK$1024 = A32)))
"),38)</f>
        <v>38</v>
      </c>
      <c r="G32" s="21">
        <f t="shared" ca="1" si="0"/>
        <v>0.52777777777777779</v>
      </c>
      <c r="H32" s="169"/>
      <c r="I32" s="169"/>
      <c r="J32" s="6" t="s">
        <v>526</v>
      </c>
      <c r="K32" s="188"/>
      <c r="L32" s="189" t="s">
        <v>1334</v>
      </c>
      <c r="M32" s="189">
        <f ca="1">IFERROR(__xludf.DUMMYFUNCTION("AVERAGE(FILTER('All Scores'!AI$2:AI$1024, 'All Scores'!AA$2:AA$1024 = J32))"),19)</f>
        <v>19</v>
      </c>
      <c r="N32" s="6">
        <f>COUNTIF('All Scores'!AA:AA,J32)</f>
        <v>3</v>
      </c>
      <c r="O32" s="6">
        <f>COUNTIFS('All Scores'!$AA$2:$AA$1000, J32, 'All Scores'!$AI$2:$AI$1000, 1)</f>
        <v>0</v>
      </c>
      <c r="P32" s="6"/>
      <c r="Q32" s="169"/>
      <c r="R32" s="6"/>
      <c r="S32" s="6"/>
      <c r="T32" s="169"/>
      <c r="U32" s="12">
        <f ca="1">IFERROR(__xludf.DUMMYFUNCTION("""COMPUTED_VALUE"""),44821)</f>
        <v>44821</v>
      </c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</row>
    <row r="33" spans="1:44" ht="12.5">
      <c r="A33" s="169" t="str">
        <f ca="1">IFERROR(__xludf.DUMMYFUNCTION("""COMPUTED_VALUE"""),"Annie Brown")</f>
        <v>Annie Brown</v>
      </c>
      <c r="B33" s="186">
        <f ca="1">COUNTIF('All Scores'!AJ:AK,A33)</f>
        <v>2</v>
      </c>
      <c r="C33" s="186">
        <f ca="1">IFERROR(__xludf.DUMMYFUNCTION("MIN(FILTER('All Scores'!AI$2:AI$1024, ('All Scores'!AJ$2:AJ$1024 = A33) + ('All Scores'!AK$2:AK$1024 = A33)))"),10)</f>
        <v>10</v>
      </c>
      <c r="D33" s="187">
        <f ca="1">IFERROR(__xludf.DUMMYFUNCTION("AVERAGE(FILTER('All Scores'!AI$2:AI$1024, ('All Scores'!AJ$2:AJ$1024 = A33) + ('All Scores'!AK$2:AK$1024 = A33))
)
"),10.5)</f>
        <v>10.5</v>
      </c>
      <c r="E33" s="6">
        <f ca="1">IFERROR(__xludf.DUMMYFUNCTION("SUM(FILTER('All Scores'!AF$2:AF$1024, ('All Scores'!AJ$2:AJ$1024 = A33) + ('All Scores'!AK$2:AK$1024 = A33)))
"),144)</f>
        <v>144</v>
      </c>
      <c r="F33" s="6">
        <f ca="1">IFERROR(__xludf.DUMMYFUNCTION("SUM(FILTER('All Scores'!AD$2:AD$1024, ('All Scores'!AJ$2:AJ$1024 = A33) + ('All Scores'!AK$2:AK$1024 = A33)))
"),66)</f>
        <v>66</v>
      </c>
      <c r="G33" s="21">
        <f t="shared" ca="1" si="0"/>
        <v>0.45833333333333331</v>
      </c>
      <c r="H33" s="169"/>
      <c r="I33" s="169"/>
      <c r="J33" s="6" t="s">
        <v>530</v>
      </c>
      <c r="K33" s="188"/>
      <c r="L33" s="189" t="s">
        <v>1334</v>
      </c>
      <c r="M33" s="189">
        <f ca="1">IFERROR(__xludf.DUMMYFUNCTION("AVERAGE(FILTER('All Scores'!AI$2:AI$1024, 'All Scores'!AA$2:AA$1024 = J33))"),23.6666666666666)</f>
        <v>23.6666666666666</v>
      </c>
      <c r="N33" s="6">
        <f>COUNTIF('All Scores'!AA:AA,J33)</f>
        <v>3</v>
      </c>
      <c r="O33" s="6">
        <f>COUNTIFS('All Scores'!$AA$2:$AA$1000, J33, 'All Scores'!$AI$2:$AI$1000, 1)</f>
        <v>0</v>
      </c>
      <c r="P33" s="6"/>
      <c r="Q33" s="169"/>
      <c r="R33" s="6"/>
      <c r="S33" s="6"/>
      <c r="T33" s="169"/>
      <c r="U33" s="12">
        <f ca="1">IFERROR(__xludf.DUMMYFUNCTION("""COMPUTED_VALUE"""),44849)</f>
        <v>44849</v>
      </c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</row>
    <row r="34" spans="1:44" ht="12.5">
      <c r="A34" s="169" t="str">
        <f ca="1">IFERROR(__xludf.DUMMYFUNCTION("""COMPUTED_VALUE"""),"Anthony Williams")</f>
        <v>Anthony Williams</v>
      </c>
      <c r="B34" s="186">
        <f ca="1">COUNTIF('All Scores'!AJ:AK,A34)</f>
        <v>1</v>
      </c>
      <c r="C34" s="186">
        <f ca="1">IFERROR(__xludf.DUMMYFUNCTION("MIN(FILTER('All Scores'!AI$2:AI$1024, ('All Scores'!AJ$2:AJ$1024 = A34) + ('All Scores'!AK$2:AK$1024 = A34)))"),12)</f>
        <v>12</v>
      </c>
      <c r="D34" s="187">
        <f ca="1">IFERROR(__xludf.DUMMYFUNCTION("AVERAGE(FILTER('All Scores'!AI$2:AI$1024, ('All Scores'!AJ$2:AJ$1024 = A34) + ('All Scores'!AK$2:AK$1024 = A34))
)
"),12)</f>
        <v>12</v>
      </c>
      <c r="E34" s="6">
        <f ca="1">IFERROR(__xludf.DUMMYFUNCTION("SUM(FILTER('All Scores'!AF$2:AF$1024, ('All Scores'!AJ$2:AJ$1024 = A34) + ('All Scores'!AK$2:AK$1024 = A34)))
"),75)</f>
        <v>75</v>
      </c>
      <c r="F34" s="6">
        <f ca="1">IFERROR(__xludf.DUMMYFUNCTION("SUM(FILTER('All Scores'!AD$2:AD$1024, ('All Scores'!AJ$2:AJ$1024 = A34) + ('All Scores'!AK$2:AK$1024 = A34)))
"),34)</f>
        <v>34</v>
      </c>
      <c r="G34" s="21">
        <f t="shared" ca="1" si="0"/>
        <v>0.45333333333333331</v>
      </c>
      <c r="H34" s="169"/>
      <c r="I34" s="169"/>
      <c r="J34" s="6" t="s">
        <v>534</v>
      </c>
      <c r="K34" s="188"/>
      <c r="L34" s="189" t="s">
        <v>1333</v>
      </c>
      <c r="M34" s="189">
        <f ca="1">IFERROR(__xludf.DUMMYFUNCTION("AVERAGE(FILTER('All Scores'!AI$2:AI$1024, 'All Scores'!AA$2:AA$1024 = J34))"),10)</f>
        <v>10</v>
      </c>
      <c r="N34" s="6">
        <f>COUNTIF('All Scores'!AA:AA,J34)</f>
        <v>3</v>
      </c>
      <c r="O34" s="6">
        <f>COUNTIFS('All Scores'!$AA$2:$AA$1000, J34, 'All Scores'!$AI$2:$AI$1000, 1)</f>
        <v>0</v>
      </c>
      <c r="P34" s="6"/>
      <c r="Q34" s="169"/>
      <c r="R34" s="6"/>
      <c r="S34" s="6"/>
      <c r="T34" s="169"/>
      <c r="U34" s="12">
        <f ca="1">IFERROR(__xludf.DUMMYFUNCTION("""COMPUTED_VALUE"""),45150)</f>
        <v>45150</v>
      </c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</row>
    <row r="35" spans="1:44" ht="12.5">
      <c r="A35" s="169" t="str">
        <f ca="1">IFERROR(__xludf.DUMMYFUNCTION("""COMPUTED_VALUE"""),"Armando Reyes")</f>
        <v>Armando Reyes</v>
      </c>
      <c r="B35" s="186">
        <f ca="1">COUNTIF('All Scores'!AJ:AK,A35)</f>
        <v>3</v>
      </c>
      <c r="C35" s="186">
        <f ca="1">IFERROR(__xludf.DUMMYFUNCTION("MIN(FILTER('All Scores'!AI$2:AI$1024, ('All Scores'!AJ$2:AJ$1024 = A35) + ('All Scores'!AK$2:AK$1024 = A35)))"),1)</f>
        <v>1</v>
      </c>
      <c r="D35" s="187">
        <f ca="1">IFERROR(__xludf.DUMMYFUNCTION("AVERAGE(FILTER('All Scores'!AI$2:AI$1024, ('All Scores'!AJ$2:AJ$1024 = A35) + ('All Scores'!AK$2:AK$1024 = A35))
)
"),6.66666666666666)</f>
        <v>6.6666666666666599</v>
      </c>
      <c r="E35" s="6">
        <f ca="1">IFERROR(__xludf.DUMMYFUNCTION("SUM(FILTER('All Scores'!AF$2:AF$1024, ('All Scores'!AJ$2:AJ$1024 = A35) + ('All Scores'!AK$2:AK$1024 = A35)))
"),230)</f>
        <v>230</v>
      </c>
      <c r="F35" s="6">
        <f ca="1">IFERROR(__xludf.DUMMYFUNCTION("SUM(FILTER('All Scores'!AD$2:AD$1024, ('All Scores'!AJ$2:AJ$1024 = A35) + ('All Scores'!AK$2:AK$1024 = A35)))
"),132)</f>
        <v>132</v>
      </c>
      <c r="G35" s="21">
        <f t="shared" ca="1" si="0"/>
        <v>0.57391304347826089</v>
      </c>
      <c r="H35" s="169"/>
      <c r="I35" s="169"/>
      <c r="J35" s="6"/>
      <c r="K35" s="188"/>
      <c r="L35" s="189"/>
      <c r="M35" s="189"/>
      <c r="N35" s="6"/>
      <c r="O35" s="6"/>
      <c r="P35" s="6"/>
      <c r="Q35" s="169"/>
      <c r="R35" s="6"/>
      <c r="S35" s="6"/>
      <c r="T35" s="169"/>
      <c r="U35" s="12">
        <f ca="1">IFERROR(__xludf.DUMMYFUNCTION("""COMPUTED_VALUE"""),45185)</f>
        <v>45185</v>
      </c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</row>
    <row r="36" spans="1:44" ht="12.5">
      <c r="A36" s="169" t="str">
        <f ca="1">IFERROR(__xludf.DUMMYFUNCTION("""COMPUTED_VALUE"""),"Audra Dericotte")</f>
        <v>Audra Dericotte</v>
      </c>
      <c r="B36" s="186">
        <f ca="1">COUNTIF('All Scores'!AJ:AK,A36)</f>
        <v>1</v>
      </c>
      <c r="C36" s="186">
        <f ca="1">IFERROR(__xludf.DUMMYFUNCTION("MIN(FILTER('All Scores'!AI$2:AI$1024, ('All Scores'!AJ$2:AJ$1024 = A36) + ('All Scores'!AK$2:AK$1024 = A36)))"),12)</f>
        <v>12</v>
      </c>
      <c r="D36" s="187">
        <f ca="1">IFERROR(__xludf.DUMMYFUNCTION("AVERAGE(FILTER('All Scores'!AI$2:AI$1024, ('All Scores'!AJ$2:AJ$1024 = A36) + ('All Scores'!AK$2:AK$1024 = A36))
)
"),12)</f>
        <v>12</v>
      </c>
      <c r="E36" s="6">
        <f ca="1">IFERROR(__xludf.DUMMYFUNCTION("SUM(FILTER('All Scores'!AF$2:AF$1024, ('All Scores'!AJ$2:AJ$1024 = A36) + ('All Scores'!AK$2:AK$1024 = A36)))
"),72)</f>
        <v>72</v>
      </c>
      <c r="F36" s="6">
        <f ca="1">IFERROR(__xludf.DUMMYFUNCTION("SUM(FILTER('All Scores'!AD$2:AD$1024, ('All Scores'!AJ$2:AJ$1024 = A36) + ('All Scores'!AK$2:AK$1024 = A36)))
"),33)</f>
        <v>33</v>
      </c>
      <c r="G36" s="21">
        <f t="shared" ca="1" si="0"/>
        <v>0.45833333333333331</v>
      </c>
      <c r="H36" s="169"/>
      <c r="I36" s="169"/>
      <c r="J36" s="6"/>
      <c r="K36" s="188"/>
      <c r="L36" s="189"/>
      <c r="M36" s="189"/>
      <c r="N36" s="6"/>
      <c r="O36" s="6"/>
      <c r="P36" s="6"/>
      <c r="Q36" s="169"/>
      <c r="R36" s="6"/>
      <c r="S36" s="6"/>
      <c r="T36" s="169"/>
      <c r="U36" s="12">
        <f ca="1">IFERROR(__xludf.DUMMYFUNCTION("""COMPUTED_VALUE"""),45206)</f>
        <v>45206</v>
      </c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</row>
    <row r="37" spans="1:44" ht="12.5">
      <c r="A37" s="169" t="str">
        <f ca="1">IFERROR(__xludf.DUMMYFUNCTION("""COMPUTED_VALUE"""),"Austin Brown")</f>
        <v>Austin Brown</v>
      </c>
      <c r="B37" s="186">
        <f ca="1">COUNTIF('All Scores'!AJ:AK,A37)</f>
        <v>2</v>
      </c>
      <c r="C37" s="186">
        <f ca="1">IFERROR(__xludf.DUMMYFUNCTION("MIN(FILTER('All Scores'!AI$2:AI$1024, ('All Scores'!AJ$2:AJ$1024 = A37) + ('All Scores'!AK$2:AK$1024 = A37)))"),7)</f>
        <v>7</v>
      </c>
      <c r="D37" s="187">
        <f ca="1">IFERROR(__xludf.DUMMYFUNCTION("AVERAGE(FILTER('All Scores'!AI$2:AI$1024, ('All Scores'!AJ$2:AJ$1024 = A37) + ('All Scores'!AK$2:AK$1024 = A37))
)
"),10.5)</f>
        <v>10.5</v>
      </c>
      <c r="E37" s="6">
        <f ca="1">IFERROR(__xludf.DUMMYFUNCTION("SUM(FILTER('All Scores'!AF$2:AF$1024, ('All Scores'!AJ$2:AJ$1024 = A37) + ('All Scores'!AK$2:AK$1024 = A37)))
"),122)</f>
        <v>122</v>
      </c>
      <c r="F37" s="6">
        <f ca="1">IFERROR(__xludf.DUMMYFUNCTION("SUM(FILTER('All Scores'!AD$2:AD$1024, ('All Scores'!AJ$2:AJ$1024 = A37) + ('All Scores'!AK$2:AK$1024 = A37)))
"),54)</f>
        <v>54</v>
      </c>
      <c r="G37" s="21">
        <f t="shared" ca="1" si="0"/>
        <v>0.44262295081967212</v>
      </c>
      <c r="H37" s="169"/>
      <c r="I37" s="169"/>
      <c r="J37" s="6"/>
      <c r="K37" s="188"/>
      <c r="L37" s="189"/>
      <c r="M37" s="189"/>
      <c r="N37" s="6"/>
      <c r="O37" s="6"/>
      <c r="P37" s="6"/>
      <c r="Q37" s="169"/>
      <c r="R37" s="6"/>
      <c r="S37" s="6"/>
      <c r="T37" s="169"/>
      <c r="U37" s="12">
        <f ca="1">IFERROR(__xludf.DUMMYFUNCTION("""COMPUTED_VALUE"""),45493)</f>
        <v>45493</v>
      </c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</row>
    <row r="38" spans="1:44" ht="12.5">
      <c r="A38" s="169" t="str">
        <f ca="1">IFERROR(__xludf.DUMMYFUNCTION("""COMPUTED_VALUE"""),"Avery Woodard")</f>
        <v>Avery Woodard</v>
      </c>
      <c r="B38" s="186">
        <f ca="1">COUNTIF('All Scores'!AJ:AK,A38)</f>
        <v>6</v>
      </c>
      <c r="C38" s="186">
        <f ca="1">IFERROR(__xludf.DUMMYFUNCTION("MIN(FILTER('All Scores'!AI$2:AI$1024, ('All Scores'!AJ$2:AJ$1024 = A38) + ('All Scores'!AK$2:AK$1024 = A38)))"),6)</f>
        <v>6</v>
      </c>
      <c r="D38" s="187">
        <f ca="1">IFERROR(__xludf.DUMMYFUNCTION("AVERAGE(FILTER('All Scores'!AI$2:AI$1024, ('All Scores'!AJ$2:AJ$1024 = A38) + ('All Scores'!AK$2:AK$1024 = A38))
)
"),14.5)</f>
        <v>14.5</v>
      </c>
      <c r="E38" s="6">
        <f ca="1">IFERROR(__xludf.DUMMYFUNCTION("SUM(FILTER('All Scores'!AF$2:AF$1024, ('All Scores'!AJ$2:AJ$1024 = A38) + ('All Scores'!AK$2:AK$1024 = A38)))
"),342)</f>
        <v>342</v>
      </c>
      <c r="F38" s="6">
        <f ca="1">IFERROR(__xludf.DUMMYFUNCTION("SUM(FILTER('All Scores'!AD$2:AD$1024, ('All Scores'!AJ$2:AJ$1024 = A38) + ('All Scores'!AK$2:AK$1024 = A38)))
"),129)</f>
        <v>129</v>
      </c>
      <c r="G38" s="21">
        <f t="shared" ca="1" si="0"/>
        <v>0.37719298245614036</v>
      </c>
      <c r="H38" s="169"/>
      <c r="I38" s="169"/>
      <c r="J38" s="6"/>
      <c r="K38" s="188"/>
      <c r="L38" s="189"/>
      <c r="M38" s="189"/>
      <c r="N38" s="6"/>
      <c r="O38" s="6"/>
      <c r="P38" s="6"/>
      <c r="Q38" s="169"/>
      <c r="R38" s="6"/>
      <c r="S38" s="6"/>
      <c r="T38" s="169"/>
      <c r="U38" s="12">
        <f ca="1">IFERROR(__xludf.DUMMYFUNCTION("""COMPUTED_VALUE"""),45514)</f>
        <v>45514</v>
      </c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</row>
    <row r="39" spans="1:44" ht="12.5">
      <c r="A39" s="169" t="str">
        <f ca="1">IFERROR(__xludf.DUMMYFUNCTION("""COMPUTED_VALUE"""),"Barb Wood")</f>
        <v>Barb Wood</v>
      </c>
      <c r="B39" s="186">
        <f ca="1">COUNTIF('All Scores'!AJ:AK,A39)</f>
        <v>2</v>
      </c>
      <c r="C39" s="186">
        <f ca="1">IFERROR(__xludf.DUMMYFUNCTION("MIN(FILTER('All Scores'!AI$2:AI$1024, ('All Scores'!AJ$2:AJ$1024 = A39) + ('All Scores'!AK$2:AK$1024 = A39)))"),13)</f>
        <v>13</v>
      </c>
      <c r="D39" s="187">
        <f ca="1">IFERROR(__xludf.DUMMYFUNCTION("AVERAGE(FILTER('All Scores'!AI$2:AI$1024, ('All Scores'!AJ$2:AJ$1024 = A39) + ('All Scores'!AK$2:AK$1024 = A39))
)
"),19.5)</f>
        <v>19.5</v>
      </c>
      <c r="E39" s="6">
        <f ca="1">IFERROR(__xludf.DUMMYFUNCTION("SUM(FILTER('All Scores'!AF$2:AF$1024, ('All Scores'!AJ$2:AJ$1024 = A39) + ('All Scores'!AK$2:AK$1024 = A39)))
"),103)</f>
        <v>103</v>
      </c>
      <c r="F39" s="6">
        <f ca="1">IFERROR(__xludf.DUMMYFUNCTION("SUM(FILTER('All Scores'!AD$2:AD$1024, ('All Scores'!AJ$2:AJ$1024 = A39) + ('All Scores'!AK$2:AK$1024 = A39)))
"),37)</f>
        <v>37</v>
      </c>
      <c r="G39" s="21">
        <f t="shared" ca="1" si="0"/>
        <v>0.35922330097087379</v>
      </c>
      <c r="H39" s="169"/>
      <c r="I39" s="169"/>
      <c r="J39" s="6"/>
      <c r="K39" s="188"/>
      <c r="L39" s="189"/>
      <c r="M39" s="189"/>
      <c r="N39" s="6"/>
      <c r="O39" s="6"/>
      <c r="P39" s="6"/>
      <c r="Q39" s="169"/>
      <c r="R39" s="6"/>
      <c r="S39" s="6"/>
      <c r="T39" s="169"/>
      <c r="U39" s="12">
        <f ca="1">IFERROR(__xludf.DUMMYFUNCTION("""COMPUTED_VALUE"""),45535)</f>
        <v>45535</v>
      </c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</row>
    <row r="40" spans="1:44" ht="12.5">
      <c r="A40" s="169" t="str">
        <f ca="1">IFERROR(__xludf.DUMMYFUNCTION("""COMPUTED_VALUE"""),"Barry Vonada")</f>
        <v>Barry Vonada</v>
      </c>
      <c r="B40" s="186">
        <f ca="1">COUNTIF('All Scores'!AJ:AK,A40)</f>
        <v>5</v>
      </c>
      <c r="C40" s="186">
        <f ca="1">IFERROR(__xludf.DUMMYFUNCTION("MIN(FILTER('All Scores'!AI$2:AI$1024, ('All Scores'!AJ$2:AJ$1024 = A40) + ('All Scores'!AK$2:AK$1024 = A40)))"),2)</f>
        <v>2</v>
      </c>
      <c r="D40" s="187">
        <f ca="1">IFERROR(__xludf.DUMMYFUNCTION("AVERAGE(FILTER('All Scores'!AI$2:AI$1024, ('All Scores'!AJ$2:AJ$1024 = A40) + ('All Scores'!AK$2:AK$1024 = A40))
)
"),8.8)</f>
        <v>8.8000000000000007</v>
      </c>
      <c r="E40" s="6">
        <f ca="1">IFERROR(__xludf.DUMMYFUNCTION("SUM(FILTER('All Scores'!AF$2:AF$1024, ('All Scores'!AJ$2:AJ$1024 = A40) + ('All Scores'!AK$2:AK$1024 = A40)))
"),328)</f>
        <v>328</v>
      </c>
      <c r="F40" s="6">
        <f ca="1">IFERROR(__xludf.DUMMYFUNCTION("SUM(FILTER('All Scores'!AD$2:AD$1024, ('All Scores'!AJ$2:AJ$1024 = A40) + ('All Scores'!AK$2:AK$1024 = A40)))
"),175)</f>
        <v>175</v>
      </c>
      <c r="G40" s="21">
        <f t="shared" ca="1" si="0"/>
        <v>0.53353658536585369</v>
      </c>
      <c r="H40" s="169"/>
      <c r="I40" s="169"/>
      <c r="J40" s="6"/>
      <c r="K40" s="188"/>
      <c r="L40" s="189"/>
      <c r="M40" s="189"/>
      <c r="N40" s="6"/>
      <c r="O40" s="6"/>
      <c r="P40" s="6"/>
      <c r="Q40" s="169"/>
      <c r="R40" s="6"/>
      <c r="S40" s="6"/>
      <c r="T40" s="169"/>
      <c r="U40" s="6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</row>
    <row r="41" spans="1:44" ht="12.5">
      <c r="A41" s="169" t="str">
        <f ca="1">IFERROR(__xludf.DUMMYFUNCTION("""COMPUTED_VALUE"""),"Bek Abdullayev")</f>
        <v>Bek Abdullayev</v>
      </c>
      <c r="B41" s="186">
        <f ca="1">COUNTIF('All Scores'!AJ:AK,A41)</f>
        <v>1</v>
      </c>
      <c r="C41" s="186">
        <f ca="1">IFERROR(__xludf.DUMMYFUNCTION("MIN(FILTER('All Scores'!AI$2:AI$1024, ('All Scores'!AJ$2:AJ$1024 = A41) + ('All Scores'!AK$2:AK$1024 = A41)))"),13)</f>
        <v>13</v>
      </c>
      <c r="D41" s="187">
        <f ca="1">IFERROR(__xludf.DUMMYFUNCTION("AVERAGE(FILTER('All Scores'!AI$2:AI$1024, ('All Scores'!AJ$2:AJ$1024 = A41) + ('All Scores'!AK$2:AK$1024 = A41))
)
"),13)</f>
        <v>13</v>
      </c>
      <c r="E41" s="6">
        <f ca="1">IFERROR(__xludf.DUMMYFUNCTION("SUM(FILTER('All Scores'!AF$2:AF$1024, ('All Scores'!AJ$2:AJ$1024 = A41) + ('All Scores'!AK$2:AK$1024 = A41)))
"),53)</f>
        <v>53</v>
      </c>
      <c r="F41" s="6">
        <f ca="1">IFERROR(__xludf.DUMMYFUNCTION("SUM(FILTER('All Scores'!AD$2:AD$1024, ('All Scores'!AJ$2:AJ$1024 = A41) + ('All Scores'!AK$2:AK$1024 = A41)))
"),23)</f>
        <v>23</v>
      </c>
      <c r="G41" s="21">
        <f t="shared" ca="1" si="0"/>
        <v>0.43396226415094341</v>
      </c>
      <c r="H41" s="169"/>
      <c r="I41" s="169"/>
      <c r="J41" s="6"/>
      <c r="K41" s="188"/>
      <c r="L41" s="189"/>
      <c r="M41" s="189"/>
      <c r="N41" s="6"/>
      <c r="O41" s="6"/>
      <c r="P41" s="6"/>
      <c r="Q41" s="169"/>
      <c r="R41" s="6"/>
      <c r="S41" s="6"/>
      <c r="T41" s="169"/>
      <c r="U41" s="6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</row>
    <row r="42" spans="1:44" ht="12.5">
      <c r="A42" s="169" t="str">
        <f ca="1">IFERROR(__xludf.DUMMYFUNCTION("""COMPUTED_VALUE"""),"Ben Hemmen")</f>
        <v>Ben Hemmen</v>
      </c>
      <c r="B42" s="186">
        <f ca="1">COUNTIF('All Scores'!AJ:AK,A42)</f>
        <v>1</v>
      </c>
      <c r="C42" s="186">
        <f ca="1">IFERROR(__xludf.DUMMYFUNCTION("MIN(FILTER('All Scores'!AI$2:AI$1024, ('All Scores'!AJ$2:AJ$1024 = A42) + ('All Scores'!AK$2:AK$1024 = A42)))"),11)</f>
        <v>11</v>
      </c>
      <c r="D42" s="187">
        <f ca="1">IFERROR(__xludf.DUMMYFUNCTION("AVERAGE(FILTER('All Scores'!AI$2:AI$1024, ('All Scores'!AJ$2:AJ$1024 = A42) + ('All Scores'!AK$2:AK$1024 = A42))
)
"),11)</f>
        <v>11</v>
      </c>
      <c r="E42" s="6">
        <f ca="1">IFERROR(__xludf.DUMMYFUNCTION("SUM(FILTER('All Scores'!AF$2:AF$1024, ('All Scores'!AJ$2:AJ$1024 = A42) + ('All Scores'!AK$2:AK$1024 = A42)))
"),76)</f>
        <v>76</v>
      </c>
      <c r="F42" s="6">
        <f ca="1">IFERROR(__xludf.DUMMYFUNCTION("SUM(FILTER('All Scores'!AD$2:AD$1024, ('All Scores'!AJ$2:AJ$1024 = A42) + ('All Scores'!AK$2:AK$1024 = A42)))
"),36)</f>
        <v>36</v>
      </c>
      <c r="G42" s="21">
        <f t="shared" ca="1" si="0"/>
        <v>0.47368421052631576</v>
      </c>
      <c r="H42" s="169"/>
      <c r="I42" s="169"/>
      <c r="J42" s="6"/>
      <c r="K42" s="188"/>
      <c r="L42" s="189"/>
      <c r="M42" s="189"/>
      <c r="N42" s="6"/>
      <c r="O42" s="6"/>
      <c r="P42" s="6"/>
      <c r="Q42" s="169"/>
      <c r="R42" s="6"/>
      <c r="S42" s="6"/>
      <c r="T42" s="169"/>
      <c r="U42" s="6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</row>
    <row r="43" spans="1:44" ht="12.5">
      <c r="A43" s="169" t="str">
        <f ca="1">IFERROR(__xludf.DUMMYFUNCTION("""COMPUTED_VALUE"""),"Beth McDonald")</f>
        <v>Beth McDonald</v>
      </c>
      <c r="B43" s="186">
        <f ca="1">COUNTIF('All Scores'!AJ:AK,A43)</f>
        <v>3</v>
      </c>
      <c r="C43" s="186">
        <f ca="1">IFERROR(__xludf.DUMMYFUNCTION("MIN(FILTER('All Scores'!AI$2:AI$1024, ('All Scores'!AJ$2:AJ$1024 = A43) + ('All Scores'!AK$2:AK$1024 = A43)))"),10)</f>
        <v>10</v>
      </c>
      <c r="D43" s="187">
        <f ca="1">IFERROR(__xludf.DUMMYFUNCTION("AVERAGE(FILTER('All Scores'!AI$2:AI$1024, ('All Scores'!AJ$2:AJ$1024 = A43) + ('All Scores'!AK$2:AK$1024 = A43))
)
"),12.6666666666666)</f>
        <v>12.6666666666666</v>
      </c>
      <c r="E43" s="6">
        <f ca="1">IFERROR(__xludf.DUMMYFUNCTION("SUM(FILTER('All Scores'!AF$2:AF$1024, ('All Scores'!AJ$2:AJ$1024 = A43) + ('All Scores'!AK$2:AK$1024 = A43)))
"),172)</f>
        <v>172</v>
      </c>
      <c r="F43" s="6">
        <f ca="1">IFERROR(__xludf.DUMMYFUNCTION("SUM(FILTER('All Scores'!AD$2:AD$1024, ('All Scores'!AJ$2:AJ$1024 = A43) + ('All Scores'!AK$2:AK$1024 = A43)))
"),85)</f>
        <v>85</v>
      </c>
      <c r="G43" s="21">
        <f t="shared" ca="1" si="0"/>
        <v>0.4941860465116279</v>
      </c>
      <c r="H43" s="169"/>
      <c r="I43" s="169"/>
      <c r="J43" s="6"/>
      <c r="K43" s="188"/>
      <c r="L43" s="189"/>
      <c r="M43" s="189"/>
      <c r="N43" s="6"/>
      <c r="O43" s="6"/>
      <c r="P43" s="6"/>
      <c r="Q43" s="169"/>
      <c r="R43" s="6"/>
      <c r="S43" s="6"/>
      <c r="T43" s="169"/>
      <c r="U43" s="6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</row>
    <row r="44" spans="1:44" ht="12.5">
      <c r="A44" s="169" t="str">
        <f ca="1">IFERROR(__xludf.DUMMYFUNCTION("""COMPUTED_VALUE"""),"Betsy Norberg")</f>
        <v>Betsy Norberg</v>
      </c>
      <c r="B44" s="186">
        <f ca="1">COUNTIF('All Scores'!AJ:AK,A44)</f>
        <v>6</v>
      </c>
      <c r="C44" s="186">
        <f ca="1">IFERROR(__xludf.DUMMYFUNCTION("MIN(FILTER('All Scores'!AI$2:AI$1024, ('All Scores'!AJ$2:AJ$1024 = A44) + ('All Scores'!AK$2:AK$1024 = A44)))"),1)</f>
        <v>1</v>
      </c>
      <c r="D44" s="187">
        <f ca="1">IFERROR(__xludf.DUMMYFUNCTION("AVERAGE(FILTER('All Scores'!AI$2:AI$1024, ('All Scores'!AJ$2:AJ$1024 = A44) + ('All Scores'!AK$2:AK$1024 = A44))
)
"),9)</f>
        <v>9</v>
      </c>
      <c r="E44" s="6">
        <f ca="1">IFERROR(__xludf.DUMMYFUNCTION("SUM(FILTER('All Scores'!AF$2:AF$1024, ('All Scores'!AJ$2:AJ$1024 = A44) + ('All Scores'!AK$2:AK$1024 = A44)))
"),468)</f>
        <v>468</v>
      </c>
      <c r="F44" s="6">
        <f ca="1">IFERROR(__xludf.DUMMYFUNCTION("SUM(FILTER('All Scores'!AD$2:AD$1024, ('All Scores'!AJ$2:AJ$1024 = A44) + ('All Scores'!AK$2:AK$1024 = A44)))
"),244)</f>
        <v>244</v>
      </c>
      <c r="G44" s="21">
        <f t="shared" ca="1" si="0"/>
        <v>0.5213675213675214</v>
      </c>
      <c r="H44" s="169"/>
      <c r="I44" s="169"/>
      <c r="J44" s="6"/>
      <c r="K44" s="188"/>
      <c r="L44" s="189"/>
      <c r="M44" s="189"/>
      <c r="N44" s="6"/>
      <c r="O44" s="6"/>
      <c r="P44" s="6"/>
      <c r="Q44" s="169"/>
      <c r="R44" s="6"/>
      <c r="S44" s="6"/>
      <c r="T44" s="169"/>
      <c r="U44" s="6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</row>
    <row r="45" spans="1:44" ht="12.5">
      <c r="A45" s="169" t="str">
        <f ca="1">IFERROR(__xludf.DUMMYFUNCTION("""COMPUTED_VALUE"""),"Bill Mikkelsen")</f>
        <v>Bill Mikkelsen</v>
      </c>
      <c r="B45" s="186">
        <f ca="1">COUNTIF('All Scores'!AJ:AK,A45)</f>
        <v>1</v>
      </c>
      <c r="C45" s="186">
        <f ca="1">IFERROR(__xludf.DUMMYFUNCTION("MIN(FILTER('All Scores'!AI$2:AI$1024, ('All Scores'!AJ$2:AJ$1024 = A45) + ('All Scores'!AK$2:AK$1024 = A45)))"),12)</f>
        <v>12</v>
      </c>
      <c r="D45" s="187">
        <f ca="1">IFERROR(__xludf.DUMMYFUNCTION("AVERAGE(FILTER('All Scores'!AI$2:AI$1024, ('All Scores'!AJ$2:AJ$1024 = A45) + ('All Scores'!AK$2:AK$1024 = A45))
)
"),12)</f>
        <v>12</v>
      </c>
      <c r="E45" s="6">
        <f ca="1">IFERROR(__xludf.DUMMYFUNCTION("SUM(FILTER('All Scores'!AF$2:AF$1024, ('All Scores'!AJ$2:AJ$1024 = A45) + ('All Scores'!AK$2:AK$1024 = A45)))
"),47)</f>
        <v>47</v>
      </c>
      <c r="F45" s="6">
        <f ca="1">IFERROR(__xludf.DUMMYFUNCTION("SUM(FILTER('All Scores'!AD$2:AD$1024, ('All Scores'!AJ$2:AJ$1024 = A45) + ('All Scores'!AK$2:AK$1024 = A45)))
"),23)</f>
        <v>23</v>
      </c>
      <c r="G45" s="21">
        <f t="shared" ca="1" si="0"/>
        <v>0.48936170212765956</v>
      </c>
      <c r="H45" s="169"/>
      <c r="I45" s="169"/>
      <c r="J45" s="6"/>
      <c r="K45" s="188"/>
      <c r="L45" s="189"/>
      <c r="M45" s="189"/>
      <c r="N45" s="6"/>
      <c r="O45" s="6"/>
      <c r="P45" s="6"/>
      <c r="Q45" s="169"/>
      <c r="R45" s="6"/>
      <c r="S45" s="6"/>
      <c r="T45" s="169"/>
      <c r="U45" s="6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</row>
    <row r="46" spans="1:44" ht="12.5">
      <c r="A46" s="169" t="str">
        <f ca="1">IFERROR(__xludf.DUMMYFUNCTION("""COMPUTED_VALUE"""),"Bill Roller")</f>
        <v>Bill Roller</v>
      </c>
      <c r="B46" s="186">
        <f ca="1">COUNTIF('All Scores'!AJ:AK,A46)</f>
        <v>7</v>
      </c>
      <c r="C46" s="186">
        <f ca="1">IFERROR(__xludf.DUMMYFUNCTION("MIN(FILTER('All Scores'!AI$2:AI$1024, ('All Scores'!AJ$2:AJ$1024 = A46) + ('All Scores'!AK$2:AK$1024 = A46)))"),1)</f>
        <v>1</v>
      </c>
      <c r="D46" s="187">
        <f ca="1">IFERROR(__xludf.DUMMYFUNCTION("AVERAGE(FILTER('All Scores'!AI$2:AI$1024, ('All Scores'!AJ$2:AJ$1024 = A46) + ('All Scores'!AK$2:AK$1024 = A46))
)
"),14.1428571428571)</f>
        <v>14.1428571428571</v>
      </c>
      <c r="E46" s="6">
        <f ca="1">IFERROR(__xludf.DUMMYFUNCTION("SUM(FILTER('All Scores'!AF$2:AF$1024, ('All Scores'!AJ$2:AJ$1024 = A46) + ('All Scores'!AK$2:AK$1024 = A46)))
"),489)</f>
        <v>489</v>
      </c>
      <c r="F46" s="6">
        <f ca="1">IFERROR(__xludf.DUMMYFUNCTION("SUM(FILTER('All Scores'!AD$2:AD$1024, ('All Scores'!AJ$2:AJ$1024 = A46) + ('All Scores'!AK$2:AK$1024 = A46)))
"),255)</f>
        <v>255</v>
      </c>
      <c r="G46" s="21">
        <f t="shared" ca="1" si="0"/>
        <v>0.5214723926380368</v>
      </c>
      <c r="H46" s="169"/>
      <c r="I46" s="169"/>
      <c r="J46" s="6"/>
      <c r="K46" s="188"/>
      <c r="L46" s="189"/>
      <c r="M46" s="189"/>
      <c r="N46" s="6"/>
      <c r="O46" s="6"/>
      <c r="P46" s="6"/>
      <c r="Q46" s="169"/>
      <c r="R46" s="6"/>
      <c r="S46" s="6"/>
      <c r="T46" s="169"/>
      <c r="U46" s="6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</row>
    <row r="47" spans="1:44" ht="12.5">
      <c r="A47" s="169" t="str">
        <f ca="1">IFERROR(__xludf.DUMMYFUNCTION("""COMPUTED_VALUE"""),"Billy Marshall")</f>
        <v>Billy Marshall</v>
      </c>
      <c r="B47" s="186">
        <f ca="1">COUNTIF('All Scores'!AJ:AK,A47)</f>
        <v>1</v>
      </c>
      <c r="C47" s="186">
        <f ca="1">IFERROR(__xludf.DUMMYFUNCTION("MIN(FILTER('All Scores'!AI$2:AI$1024, ('All Scores'!AJ$2:AJ$1024 = A47) + ('All Scores'!AK$2:AK$1024 = A47)))"),25)</f>
        <v>25</v>
      </c>
      <c r="D47" s="187">
        <f ca="1">IFERROR(__xludf.DUMMYFUNCTION("AVERAGE(FILTER('All Scores'!AI$2:AI$1024, ('All Scores'!AJ$2:AJ$1024 = A47) + ('All Scores'!AK$2:AK$1024 = A47))
)
"),25)</f>
        <v>25</v>
      </c>
      <c r="E47" s="6">
        <f ca="1">IFERROR(__xludf.DUMMYFUNCTION("SUM(FILTER('All Scores'!AF$2:AF$1024, ('All Scores'!AJ$2:AJ$1024 = A47) + ('All Scores'!AK$2:AK$1024 = A47)))
"),51)</f>
        <v>51</v>
      </c>
      <c r="F47" s="6">
        <f ca="1">IFERROR(__xludf.DUMMYFUNCTION("SUM(FILTER('All Scores'!AD$2:AD$1024, ('All Scores'!AJ$2:AJ$1024 = A47) + ('All Scores'!AK$2:AK$1024 = A47)))
"),20)</f>
        <v>20</v>
      </c>
      <c r="G47" s="21">
        <f t="shared" ca="1" si="0"/>
        <v>0.39215686274509803</v>
      </c>
      <c r="H47" s="169"/>
      <c r="I47" s="169"/>
      <c r="J47" s="6"/>
      <c r="K47" s="188"/>
      <c r="L47" s="189"/>
      <c r="M47" s="189"/>
      <c r="N47" s="6"/>
      <c r="O47" s="6"/>
      <c r="P47" s="6"/>
      <c r="Q47" s="169"/>
      <c r="R47" s="6"/>
      <c r="S47" s="6"/>
      <c r="T47" s="169"/>
      <c r="U47" s="6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</row>
    <row r="48" spans="1:44" ht="12.5">
      <c r="A48" s="169" t="str">
        <f ca="1">IFERROR(__xludf.DUMMYFUNCTION("""COMPUTED_VALUE"""),"Binh Pham")</f>
        <v>Binh Pham</v>
      </c>
      <c r="B48" s="186">
        <f ca="1">COUNTIF('All Scores'!AJ:AK,A48)</f>
        <v>2</v>
      </c>
      <c r="C48" s="186">
        <f ca="1">IFERROR(__xludf.DUMMYFUNCTION("MIN(FILTER('All Scores'!AI$2:AI$1024, ('All Scores'!AJ$2:AJ$1024 = A48) + ('All Scores'!AK$2:AK$1024 = A48)))"),10)</f>
        <v>10</v>
      </c>
      <c r="D48" s="187">
        <f ca="1">IFERROR(__xludf.DUMMYFUNCTION("AVERAGE(FILTER('All Scores'!AI$2:AI$1024, ('All Scores'!AJ$2:AJ$1024 = A48) + ('All Scores'!AK$2:AK$1024 = A48))
)
"),15)</f>
        <v>15</v>
      </c>
      <c r="E48" s="6">
        <f ca="1">IFERROR(__xludf.DUMMYFUNCTION("SUM(FILTER('All Scores'!AF$2:AF$1024, ('All Scores'!AJ$2:AJ$1024 = A48) + ('All Scores'!AK$2:AK$1024 = A48)))
"),130)</f>
        <v>130</v>
      </c>
      <c r="F48" s="6">
        <f ca="1">IFERROR(__xludf.DUMMYFUNCTION("SUM(FILTER('All Scores'!AD$2:AD$1024, ('All Scores'!AJ$2:AJ$1024 = A48) + ('All Scores'!AK$2:AK$1024 = A48)))
"),64)</f>
        <v>64</v>
      </c>
      <c r="G48" s="21">
        <f t="shared" ca="1" si="0"/>
        <v>0.49230769230769234</v>
      </c>
      <c r="H48" s="169"/>
      <c r="I48" s="169"/>
      <c r="J48" s="6"/>
      <c r="K48" s="188"/>
      <c r="L48" s="189"/>
      <c r="M48" s="189"/>
      <c r="N48" s="6"/>
      <c r="O48" s="6"/>
      <c r="P48" s="6"/>
      <c r="Q48" s="169"/>
      <c r="R48" s="6"/>
      <c r="S48" s="6"/>
      <c r="T48" s="169"/>
      <c r="U48" s="6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</row>
    <row r="49" spans="1:44" ht="12.5">
      <c r="A49" s="169" t="str">
        <f ca="1">IFERROR(__xludf.DUMMYFUNCTION("""COMPUTED_VALUE"""),"Blair Hinkle")</f>
        <v>Blair Hinkle</v>
      </c>
      <c r="B49" s="186">
        <f ca="1">COUNTIF('All Scores'!AJ:AK,A49)</f>
        <v>1</v>
      </c>
      <c r="C49" s="186">
        <f ca="1">IFERROR(__xludf.DUMMYFUNCTION("MIN(FILTER('All Scores'!AI$2:AI$1024, ('All Scores'!AJ$2:AJ$1024 = A49) + ('All Scores'!AK$2:AK$1024 = A49)))"),9)</f>
        <v>9</v>
      </c>
      <c r="D49" s="187">
        <f ca="1">IFERROR(__xludf.DUMMYFUNCTION("AVERAGE(FILTER('All Scores'!AI$2:AI$1024, ('All Scores'!AJ$2:AJ$1024 = A49) + ('All Scores'!AK$2:AK$1024 = A49))
)
"),9)</f>
        <v>9</v>
      </c>
      <c r="E49" s="6">
        <f ca="1">IFERROR(__xludf.DUMMYFUNCTION("SUM(FILTER('All Scores'!AF$2:AF$1024, ('All Scores'!AJ$2:AJ$1024 = A49) + ('All Scores'!AK$2:AK$1024 = A49)))
"),75)</f>
        <v>75</v>
      </c>
      <c r="F49" s="6">
        <f ca="1">IFERROR(__xludf.DUMMYFUNCTION("SUM(FILTER('All Scores'!AD$2:AD$1024, ('All Scores'!AJ$2:AJ$1024 = A49) + ('All Scores'!AK$2:AK$1024 = A49)))
"),37)</f>
        <v>37</v>
      </c>
      <c r="G49" s="21">
        <f t="shared" ca="1" si="0"/>
        <v>0.49333333333333335</v>
      </c>
      <c r="H49" s="169"/>
      <c r="I49" s="169"/>
      <c r="J49" s="6"/>
      <c r="K49" s="188"/>
      <c r="L49" s="189"/>
      <c r="M49" s="189"/>
      <c r="N49" s="6"/>
      <c r="O49" s="6"/>
      <c r="P49" s="6"/>
      <c r="Q49" s="169"/>
      <c r="R49" s="6"/>
      <c r="S49" s="6"/>
      <c r="T49" s="169"/>
      <c r="U49" s="6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</row>
    <row r="50" spans="1:44" ht="12.5">
      <c r="A50" s="169" t="str">
        <f ca="1">IFERROR(__xludf.DUMMYFUNCTION("""COMPUTED_VALUE"""),"Blythe Roberts")</f>
        <v>Blythe Roberts</v>
      </c>
      <c r="B50" s="186">
        <f ca="1">COUNTIF('All Scores'!AJ:AK,A50)</f>
        <v>1</v>
      </c>
      <c r="C50" s="186">
        <f ca="1">IFERROR(__xludf.DUMMYFUNCTION("MIN(FILTER('All Scores'!AI$2:AI$1024, ('All Scores'!AJ$2:AJ$1024 = A50) + ('All Scores'!AK$2:AK$1024 = A50)))"),8)</f>
        <v>8</v>
      </c>
      <c r="D50" s="187">
        <f ca="1">IFERROR(__xludf.DUMMYFUNCTION("AVERAGE(FILTER('All Scores'!AI$2:AI$1024, ('All Scores'!AJ$2:AJ$1024 = A50) + ('All Scores'!AK$2:AK$1024 = A50))
)
"),8)</f>
        <v>8</v>
      </c>
      <c r="E50" s="6">
        <f ca="1">IFERROR(__xludf.DUMMYFUNCTION("SUM(FILTER('All Scores'!AF$2:AF$1024, ('All Scores'!AJ$2:AJ$1024 = A50) + ('All Scores'!AK$2:AK$1024 = A50)))
"),72)</f>
        <v>72</v>
      </c>
      <c r="F50" s="6">
        <f ca="1">IFERROR(__xludf.DUMMYFUNCTION("SUM(FILTER('All Scores'!AD$2:AD$1024, ('All Scores'!AJ$2:AJ$1024 = A50) + ('All Scores'!AK$2:AK$1024 = A50)))
"),30)</f>
        <v>30</v>
      </c>
      <c r="G50" s="21">
        <f t="shared" ca="1" si="0"/>
        <v>0.41666666666666669</v>
      </c>
      <c r="H50" s="169"/>
      <c r="I50" s="169"/>
      <c r="J50" s="6"/>
      <c r="K50" s="188"/>
      <c r="L50" s="189"/>
      <c r="M50" s="189"/>
      <c r="N50" s="6"/>
      <c r="O50" s="6"/>
      <c r="P50" s="6"/>
      <c r="Q50" s="169"/>
      <c r="R50" s="6"/>
      <c r="S50" s="6"/>
      <c r="T50" s="169"/>
      <c r="U50" s="6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</row>
    <row r="51" spans="1:44" ht="12.5">
      <c r="A51" s="169" t="str">
        <f ca="1">IFERROR(__xludf.DUMMYFUNCTION("""COMPUTED_VALUE"""),"Bob Kreifels")</f>
        <v>Bob Kreifels</v>
      </c>
      <c r="B51" s="186">
        <f ca="1">COUNTIF('All Scores'!AJ:AK,A51)</f>
        <v>10</v>
      </c>
      <c r="C51" s="186">
        <f ca="1">IFERROR(__xludf.DUMMYFUNCTION("MIN(FILTER('All Scores'!AI$2:AI$1024, ('All Scores'!AJ$2:AJ$1024 = A51) + ('All Scores'!AK$2:AK$1024 = A51)))"),1)</f>
        <v>1</v>
      </c>
      <c r="D51" s="187">
        <f ca="1">IFERROR(__xludf.DUMMYFUNCTION("AVERAGE(FILTER('All Scores'!AI$2:AI$1024, ('All Scores'!AJ$2:AJ$1024 = A51) + ('All Scores'!AK$2:AK$1024 = A51))
)
"),8)</f>
        <v>8</v>
      </c>
      <c r="E51" s="6">
        <f ca="1">IFERROR(__xludf.DUMMYFUNCTION("SUM(FILTER('All Scores'!AF$2:AF$1024, ('All Scores'!AJ$2:AJ$1024 = A51) + ('All Scores'!AK$2:AK$1024 = A51)))
"),719)</f>
        <v>719</v>
      </c>
      <c r="F51" s="6">
        <f ca="1">IFERROR(__xludf.DUMMYFUNCTION("SUM(FILTER('All Scores'!AD$2:AD$1024, ('All Scores'!AJ$2:AJ$1024 = A51) + ('All Scores'!AK$2:AK$1024 = A51)))
"),383)</f>
        <v>383</v>
      </c>
      <c r="G51" s="21">
        <f t="shared" ca="1" si="0"/>
        <v>0.53268428372739918</v>
      </c>
      <c r="H51" s="169"/>
      <c r="I51" s="169"/>
      <c r="J51" s="6"/>
      <c r="K51" s="188"/>
      <c r="L51" s="189"/>
      <c r="M51" s="189"/>
      <c r="N51" s="6"/>
      <c r="O51" s="6"/>
      <c r="P51" s="6"/>
      <c r="Q51" s="169"/>
      <c r="R51" s="6"/>
      <c r="S51" s="6"/>
      <c r="T51" s="169"/>
      <c r="U51" s="6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</row>
    <row r="52" spans="1:44" ht="12.5">
      <c r="A52" s="169" t="str">
        <f ca="1">IFERROR(__xludf.DUMMYFUNCTION("""COMPUTED_VALUE"""),"Bobby Cupp")</f>
        <v>Bobby Cupp</v>
      </c>
      <c r="B52" s="186">
        <f ca="1">COUNTIF('All Scores'!AJ:AK,A52)</f>
        <v>3</v>
      </c>
      <c r="C52" s="186">
        <f ca="1">IFERROR(__xludf.DUMMYFUNCTION("MIN(FILTER('All Scores'!AI$2:AI$1024, ('All Scores'!AJ$2:AJ$1024 = A52) + ('All Scores'!AK$2:AK$1024 = A52)))"),13)</f>
        <v>13</v>
      </c>
      <c r="D52" s="187">
        <f ca="1">IFERROR(__xludf.DUMMYFUNCTION("AVERAGE(FILTER('All Scores'!AI$2:AI$1024, ('All Scores'!AJ$2:AJ$1024 = A52) + ('All Scores'!AK$2:AK$1024 = A52))
)
"),13.3333333333333)</f>
        <v>13.3333333333333</v>
      </c>
      <c r="E52" s="6">
        <f ca="1">IFERROR(__xludf.DUMMYFUNCTION("SUM(FILTER('All Scores'!AF$2:AF$1024, ('All Scores'!AJ$2:AJ$1024 = A52) + ('All Scores'!AK$2:AK$1024 = A52)))
"),196)</f>
        <v>196</v>
      </c>
      <c r="F52" s="6">
        <f ca="1">IFERROR(__xludf.DUMMYFUNCTION("SUM(FILTER('All Scores'!AD$2:AD$1024, ('All Scores'!AJ$2:AJ$1024 = A52) + ('All Scores'!AK$2:AK$1024 = A52)))
"),69)</f>
        <v>69</v>
      </c>
      <c r="G52" s="21">
        <f t="shared" ca="1" si="0"/>
        <v>0.35204081632653061</v>
      </c>
      <c r="H52" s="169"/>
      <c r="I52" s="169"/>
      <c r="J52" s="6"/>
      <c r="K52" s="188"/>
      <c r="L52" s="189"/>
      <c r="M52" s="189"/>
      <c r="N52" s="6"/>
      <c r="O52" s="6"/>
      <c r="P52" s="6"/>
      <c r="Q52" s="169"/>
      <c r="R52" s="6"/>
      <c r="S52" s="6"/>
      <c r="T52" s="169"/>
      <c r="U52" s="6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</row>
    <row r="53" spans="1:44" ht="12.5">
      <c r="A53" s="169" t="str">
        <f ca="1">IFERROR(__xludf.DUMMYFUNCTION("""COMPUTED_VALUE"""),"Bond Marrs")</f>
        <v>Bond Marrs</v>
      </c>
      <c r="B53" s="186">
        <f ca="1">COUNTIF('All Scores'!AJ:AK,A53)</f>
        <v>13</v>
      </c>
      <c r="C53" s="186">
        <f ca="1">IFERROR(__xludf.DUMMYFUNCTION("MIN(FILTER('All Scores'!AI$2:AI$1024, ('All Scores'!AJ$2:AJ$1024 = A53) + ('All Scores'!AK$2:AK$1024 = A53)))"),1)</f>
        <v>1</v>
      </c>
      <c r="D53" s="187">
        <f ca="1">IFERROR(__xludf.DUMMYFUNCTION("AVERAGE(FILTER('All Scores'!AI$2:AI$1024, ('All Scores'!AJ$2:AJ$1024 = A53) + ('All Scores'!AK$2:AK$1024 = A53))
)
"),7.07692307692307)</f>
        <v>7.0769230769230704</v>
      </c>
      <c r="E53" s="6">
        <f ca="1">IFERROR(__xludf.DUMMYFUNCTION("SUM(FILTER('All Scores'!AF$2:AF$1024, ('All Scores'!AJ$2:AJ$1024 = A53) + ('All Scores'!AK$2:AK$1024 = A53)))
"),922)</f>
        <v>922</v>
      </c>
      <c r="F53" s="6">
        <f ca="1">IFERROR(__xludf.DUMMYFUNCTION("SUM(FILTER('All Scores'!AD$2:AD$1024, ('All Scores'!AJ$2:AJ$1024 = A53) + ('All Scores'!AK$2:AK$1024 = A53)))
"),521)</f>
        <v>521</v>
      </c>
      <c r="G53" s="21">
        <f t="shared" ca="1" si="0"/>
        <v>0.56507592190889366</v>
      </c>
      <c r="H53" s="169"/>
      <c r="I53" s="169"/>
      <c r="J53" s="6"/>
      <c r="K53" s="188"/>
      <c r="L53" s="189"/>
      <c r="M53" s="189"/>
      <c r="N53" s="6"/>
      <c r="O53" s="6"/>
      <c r="P53" s="6"/>
      <c r="Q53" s="169"/>
      <c r="R53" s="6"/>
      <c r="S53" s="6"/>
      <c r="T53" s="169"/>
      <c r="U53" s="6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</row>
    <row r="54" spans="1:44" ht="12.5">
      <c r="A54" s="169" t="str">
        <f ca="1">IFERROR(__xludf.DUMMYFUNCTION("""COMPUTED_VALUE"""),"Brad Bicknell")</f>
        <v>Brad Bicknell</v>
      </c>
      <c r="B54" s="186">
        <f ca="1">COUNTIF('All Scores'!AJ:AK,A54)</f>
        <v>3</v>
      </c>
      <c r="C54" s="186">
        <f ca="1">IFERROR(__xludf.DUMMYFUNCTION("MIN(FILTER('All Scores'!AI$2:AI$1024, ('All Scores'!AJ$2:AJ$1024 = A54) + ('All Scores'!AK$2:AK$1024 = A54)))"),6)</f>
        <v>6</v>
      </c>
      <c r="D54" s="187">
        <f ca="1">IFERROR(__xludf.DUMMYFUNCTION("AVERAGE(FILTER('All Scores'!AI$2:AI$1024, ('All Scores'!AJ$2:AJ$1024 = A54) + ('All Scores'!AK$2:AK$1024 = A54))
)
"),7.33333333333333)</f>
        <v>7.3333333333333304</v>
      </c>
      <c r="E54" s="6">
        <f ca="1">IFERROR(__xludf.DUMMYFUNCTION("SUM(FILTER('All Scores'!AF$2:AF$1024, ('All Scores'!AJ$2:AJ$1024 = A54) + ('All Scores'!AK$2:AK$1024 = A54)))
"),156)</f>
        <v>156</v>
      </c>
      <c r="F54" s="6">
        <f ca="1">IFERROR(__xludf.DUMMYFUNCTION("SUM(FILTER('All Scores'!AD$2:AD$1024, ('All Scores'!AJ$2:AJ$1024 = A54) + ('All Scores'!AK$2:AK$1024 = A54)))
"),85)</f>
        <v>85</v>
      </c>
      <c r="G54" s="21">
        <f t="shared" ca="1" si="0"/>
        <v>0.54487179487179482</v>
      </c>
      <c r="H54" s="169"/>
      <c r="I54" s="169"/>
      <c r="J54" s="6"/>
      <c r="K54" s="188"/>
      <c r="L54" s="189"/>
      <c r="M54" s="189"/>
      <c r="N54" s="6"/>
      <c r="O54" s="6"/>
      <c r="P54" s="6"/>
      <c r="Q54" s="169"/>
      <c r="R54" s="6"/>
      <c r="S54" s="6"/>
      <c r="T54" s="169"/>
      <c r="U54" s="6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</row>
    <row r="55" spans="1:44" ht="12.5">
      <c r="A55" s="169" t="str">
        <f ca="1">IFERROR(__xludf.DUMMYFUNCTION("""COMPUTED_VALUE"""),"Brandon Vereyken")</f>
        <v>Brandon Vereyken</v>
      </c>
      <c r="B55" s="186">
        <f ca="1">COUNTIF('All Scores'!AJ:AK,A55)</f>
        <v>3</v>
      </c>
      <c r="C55" s="186">
        <f ca="1">IFERROR(__xludf.DUMMYFUNCTION("MIN(FILTER('All Scores'!AI$2:AI$1024, ('All Scores'!AJ$2:AJ$1024 = A55) + ('All Scores'!AK$2:AK$1024 = A55)))"),4)</f>
        <v>4</v>
      </c>
      <c r="D55" s="187">
        <f ca="1">IFERROR(__xludf.DUMMYFUNCTION("AVERAGE(FILTER('All Scores'!AI$2:AI$1024, ('All Scores'!AJ$2:AJ$1024 = A55) + ('All Scores'!AK$2:AK$1024 = A55))
)
"),8.33333333333333)</f>
        <v>8.3333333333333304</v>
      </c>
      <c r="E55" s="6">
        <f ca="1">IFERROR(__xludf.DUMMYFUNCTION("SUM(FILTER('All Scores'!AF$2:AF$1024, ('All Scores'!AJ$2:AJ$1024 = A55) + ('All Scores'!AK$2:AK$1024 = A55)))
"),163)</f>
        <v>163</v>
      </c>
      <c r="F55" s="6">
        <f ca="1">IFERROR(__xludf.DUMMYFUNCTION("SUM(FILTER('All Scores'!AD$2:AD$1024, ('All Scores'!AJ$2:AJ$1024 = A55) + ('All Scores'!AK$2:AK$1024 = A55)))
"),73)</f>
        <v>73</v>
      </c>
      <c r="G55" s="21">
        <f t="shared" ca="1" si="0"/>
        <v>0.44785276073619634</v>
      </c>
      <c r="H55" s="169"/>
      <c r="I55" s="169"/>
      <c r="J55" s="6"/>
      <c r="K55" s="188"/>
      <c r="L55" s="189"/>
      <c r="M55" s="189"/>
      <c r="N55" s="6"/>
      <c r="O55" s="6"/>
      <c r="P55" s="6"/>
      <c r="Q55" s="169"/>
      <c r="R55" s="6"/>
      <c r="S55" s="6"/>
      <c r="T55" s="169"/>
      <c r="U55" s="6"/>
      <c r="V55" s="169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</row>
    <row r="56" spans="1:44" ht="12.5">
      <c r="A56" s="169" t="str">
        <f ca="1">IFERROR(__xludf.DUMMYFUNCTION("""COMPUTED_VALUE"""),"Bree Ginden")</f>
        <v>Bree Ginden</v>
      </c>
      <c r="B56" s="186">
        <f ca="1">COUNTIF('All Scores'!AJ:AK,A56)</f>
        <v>3</v>
      </c>
      <c r="C56" s="186">
        <f ca="1">IFERROR(__xludf.DUMMYFUNCTION("MIN(FILTER('All Scores'!AI$2:AI$1024, ('All Scores'!AJ$2:AJ$1024 = A56) + ('All Scores'!AK$2:AK$1024 = A56)))"),1)</f>
        <v>1</v>
      </c>
      <c r="D56" s="187">
        <f ca="1">IFERROR(__xludf.DUMMYFUNCTION("AVERAGE(FILTER('All Scores'!AI$2:AI$1024, ('All Scores'!AJ$2:AJ$1024 = A56) + ('All Scores'!AK$2:AK$1024 = A56))
)
"),6)</f>
        <v>6</v>
      </c>
      <c r="E56" s="6">
        <f ca="1">IFERROR(__xludf.DUMMYFUNCTION("SUM(FILTER('All Scores'!AF$2:AF$1024, ('All Scores'!AJ$2:AJ$1024 = A56) + ('All Scores'!AK$2:AK$1024 = A56)))
"),289)</f>
        <v>289</v>
      </c>
      <c r="F56" s="6">
        <f ca="1">IFERROR(__xludf.DUMMYFUNCTION("SUM(FILTER('All Scores'!AD$2:AD$1024, ('All Scores'!AJ$2:AJ$1024 = A56) + ('All Scores'!AK$2:AK$1024 = A56)))
"),169)</f>
        <v>169</v>
      </c>
      <c r="G56" s="21">
        <f t="shared" ca="1" si="0"/>
        <v>0.58477508650519028</v>
      </c>
      <c r="H56" s="169"/>
      <c r="I56" s="169"/>
      <c r="J56" s="6"/>
      <c r="K56" s="188"/>
      <c r="L56" s="189"/>
      <c r="M56" s="189"/>
      <c r="N56" s="6"/>
      <c r="O56" s="6"/>
      <c r="P56" s="6"/>
      <c r="Q56" s="169"/>
      <c r="R56" s="6"/>
      <c r="S56" s="6"/>
      <c r="T56" s="169"/>
      <c r="U56" s="6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</row>
    <row r="57" spans="1:44" ht="12.5">
      <c r="A57" s="169" t="str">
        <f ca="1">IFERROR(__xludf.DUMMYFUNCTION("""COMPUTED_VALUE"""),"Brehon Davis")</f>
        <v>Brehon Davis</v>
      </c>
      <c r="B57" s="186">
        <f ca="1">COUNTIF('All Scores'!AJ:AK,A57)</f>
        <v>2</v>
      </c>
      <c r="C57" s="186">
        <f ca="1">IFERROR(__xludf.DUMMYFUNCTION("MIN(FILTER('All Scores'!AI$2:AI$1024, ('All Scores'!AJ$2:AJ$1024 = A57) + ('All Scores'!AK$2:AK$1024 = A57)))"),3)</f>
        <v>3</v>
      </c>
      <c r="D57" s="187">
        <f ca="1">IFERROR(__xludf.DUMMYFUNCTION("AVERAGE(FILTER('All Scores'!AI$2:AI$1024, ('All Scores'!AJ$2:AJ$1024 = A57) + ('All Scores'!AK$2:AK$1024 = A57))
)
"),5)</f>
        <v>5</v>
      </c>
      <c r="E57" s="6">
        <f ca="1">IFERROR(__xludf.DUMMYFUNCTION("SUM(FILTER('All Scores'!AF$2:AF$1024, ('All Scores'!AJ$2:AJ$1024 = A57) + ('All Scores'!AK$2:AK$1024 = A57)))
"),154)</f>
        <v>154</v>
      </c>
      <c r="F57" s="6">
        <f ca="1">IFERROR(__xludf.DUMMYFUNCTION("SUM(FILTER('All Scores'!AD$2:AD$1024, ('All Scores'!AJ$2:AJ$1024 = A57) + ('All Scores'!AK$2:AK$1024 = A57)))
"),86)</f>
        <v>86</v>
      </c>
      <c r="G57" s="21">
        <f t="shared" ca="1" si="0"/>
        <v>0.55844155844155841</v>
      </c>
      <c r="H57" s="169"/>
      <c r="I57" s="169"/>
      <c r="J57" s="6"/>
      <c r="K57" s="188"/>
      <c r="L57" s="189"/>
      <c r="M57" s="189"/>
      <c r="N57" s="6"/>
      <c r="O57" s="6"/>
      <c r="P57" s="6"/>
      <c r="Q57" s="169"/>
      <c r="R57" s="6"/>
      <c r="S57" s="6"/>
      <c r="T57" s="169"/>
      <c r="U57" s="6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</row>
    <row r="58" spans="1:44" ht="12.5">
      <c r="A58" s="169" t="str">
        <f ca="1">IFERROR(__xludf.DUMMYFUNCTION("""COMPUTED_VALUE"""),"Brenna Gray")</f>
        <v>Brenna Gray</v>
      </c>
      <c r="B58" s="186">
        <f ca="1">COUNTIF('All Scores'!AJ:AK,A58)</f>
        <v>1</v>
      </c>
      <c r="C58" s="186">
        <f ca="1">IFERROR(__xludf.DUMMYFUNCTION("MIN(FILTER('All Scores'!AI$2:AI$1024, ('All Scores'!AJ$2:AJ$1024 = A58) + ('All Scores'!AK$2:AK$1024 = A58)))"),10)</f>
        <v>10</v>
      </c>
      <c r="D58" s="187">
        <f ca="1">IFERROR(__xludf.DUMMYFUNCTION("AVERAGE(FILTER('All Scores'!AI$2:AI$1024, ('All Scores'!AJ$2:AJ$1024 = A58) + ('All Scores'!AK$2:AK$1024 = A58))
)
"),10)</f>
        <v>10</v>
      </c>
      <c r="E58" s="6">
        <f ca="1">IFERROR(__xludf.DUMMYFUNCTION("SUM(FILTER('All Scores'!AF$2:AF$1024, ('All Scores'!AJ$2:AJ$1024 = A58) + ('All Scores'!AK$2:AK$1024 = A58)))
"),74)</f>
        <v>74</v>
      </c>
      <c r="F58" s="6">
        <f ca="1">IFERROR(__xludf.DUMMYFUNCTION("SUM(FILTER('All Scores'!AD$2:AD$1024, ('All Scores'!AJ$2:AJ$1024 = A58) + ('All Scores'!AK$2:AK$1024 = A58)))
"),39)</f>
        <v>39</v>
      </c>
      <c r="G58" s="21">
        <f t="shared" ca="1" si="0"/>
        <v>0.52702702702702697</v>
      </c>
      <c r="H58" s="169"/>
      <c r="I58" s="169"/>
      <c r="J58" s="6"/>
      <c r="K58" s="188"/>
      <c r="L58" s="189"/>
      <c r="M58" s="189"/>
      <c r="N58" s="6"/>
      <c r="O58" s="6"/>
      <c r="P58" s="6"/>
      <c r="Q58" s="169"/>
      <c r="R58" s="6"/>
      <c r="S58" s="6"/>
      <c r="T58" s="169"/>
      <c r="U58" s="6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</row>
    <row r="59" spans="1:44" ht="12.5">
      <c r="A59" s="169" t="str">
        <f ca="1">IFERROR(__xludf.DUMMYFUNCTION("""COMPUTED_VALUE"""),"Brett Munsey")</f>
        <v>Brett Munsey</v>
      </c>
      <c r="B59" s="186">
        <f ca="1">COUNTIF('All Scores'!AJ:AK,A59)</f>
        <v>1</v>
      </c>
      <c r="C59" s="186">
        <f ca="1">IFERROR(__xludf.DUMMYFUNCTION("MIN(FILTER('All Scores'!AI$2:AI$1024, ('All Scores'!AJ$2:AJ$1024 = A59) + ('All Scores'!AK$2:AK$1024 = A59)))"),11)</f>
        <v>11</v>
      </c>
      <c r="D59" s="187">
        <f ca="1">IFERROR(__xludf.DUMMYFUNCTION("AVERAGE(FILTER('All Scores'!AI$2:AI$1024, ('All Scores'!AJ$2:AJ$1024 = A59) + ('All Scores'!AK$2:AK$1024 = A59))
)
"),11)</f>
        <v>11</v>
      </c>
      <c r="E59" s="6">
        <f ca="1">IFERROR(__xludf.DUMMYFUNCTION("SUM(FILTER('All Scores'!AF$2:AF$1024, ('All Scores'!AJ$2:AJ$1024 = A59) + ('All Scores'!AK$2:AK$1024 = A59)))
"),55)</f>
        <v>55</v>
      </c>
      <c r="F59" s="6">
        <f ca="1">IFERROR(__xludf.DUMMYFUNCTION("SUM(FILTER('All Scores'!AD$2:AD$1024, ('All Scores'!AJ$2:AJ$1024 = A59) + ('All Scores'!AK$2:AK$1024 = A59)))
"),22)</f>
        <v>22</v>
      </c>
      <c r="G59" s="21">
        <f t="shared" ca="1" si="0"/>
        <v>0.4</v>
      </c>
      <c r="H59" s="169"/>
      <c r="I59" s="169"/>
      <c r="J59" s="6"/>
      <c r="K59" s="188"/>
      <c r="L59" s="189"/>
      <c r="M59" s="189"/>
      <c r="N59" s="6"/>
      <c r="O59" s="6"/>
      <c r="P59" s="6"/>
      <c r="Q59" s="169"/>
      <c r="R59" s="6"/>
      <c r="S59" s="6"/>
      <c r="T59" s="169"/>
      <c r="U59" s="6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</row>
    <row r="60" spans="1:44" ht="12.5">
      <c r="A60" s="169" t="str">
        <f ca="1">IFERROR(__xludf.DUMMYFUNCTION("""COMPUTED_VALUE"""),"Brian Harris")</f>
        <v>Brian Harris</v>
      </c>
      <c r="B60" s="186">
        <f ca="1">COUNTIF('All Scores'!AJ:AK,A60)</f>
        <v>1</v>
      </c>
      <c r="C60" s="186">
        <f ca="1">IFERROR(__xludf.DUMMYFUNCTION("MIN(FILTER('All Scores'!AI$2:AI$1024, ('All Scores'!AJ$2:AJ$1024 = A60) + ('All Scores'!AK$2:AK$1024 = A60)))"),12)</f>
        <v>12</v>
      </c>
      <c r="D60" s="187">
        <f ca="1">IFERROR(__xludf.DUMMYFUNCTION("AVERAGE(FILTER('All Scores'!AI$2:AI$1024, ('All Scores'!AJ$2:AJ$1024 = A60) + ('All Scores'!AK$2:AK$1024 = A60))
)
"),12)</f>
        <v>12</v>
      </c>
      <c r="E60" s="6">
        <f ca="1">IFERROR(__xludf.DUMMYFUNCTION("SUM(FILTER('All Scores'!AF$2:AF$1024, ('All Scores'!AJ$2:AJ$1024 = A60) + ('All Scores'!AK$2:AK$1024 = A60)))
"),55)</f>
        <v>55</v>
      </c>
      <c r="F60" s="6">
        <f ca="1">IFERROR(__xludf.DUMMYFUNCTION("SUM(FILTER('All Scores'!AD$2:AD$1024, ('All Scores'!AJ$2:AJ$1024 = A60) + ('All Scores'!AK$2:AK$1024 = A60)))
"),22)</f>
        <v>22</v>
      </c>
      <c r="G60" s="21">
        <f t="shared" ca="1" si="0"/>
        <v>0.4</v>
      </c>
      <c r="H60" s="169"/>
      <c r="I60" s="169"/>
      <c r="J60" s="6"/>
      <c r="K60" s="188"/>
      <c r="L60" s="189"/>
      <c r="M60" s="189"/>
      <c r="N60" s="6"/>
      <c r="O60" s="6"/>
      <c r="P60" s="6"/>
      <c r="Q60" s="169"/>
      <c r="R60" s="6"/>
      <c r="S60" s="6"/>
      <c r="T60" s="169"/>
      <c r="U60" s="6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</row>
    <row r="61" spans="1:44" ht="12.5">
      <c r="A61" s="169" t="str">
        <f ca="1">IFERROR(__xludf.DUMMYFUNCTION("""COMPUTED_VALUE"""),"Brian Jenkins")</f>
        <v>Brian Jenkins</v>
      </c>
      <c r="B61" s="186">
        <f ca="1">COUNTIF('All Scores'!AJ:AK,A61)</f>
        <v>1</v>
      </c>
      <c r="C61" s="186">
        <f ca="1">IFERROR(__xludf.DUMMYFUNCTION("MIN(FILTER('All Scores'!AI$2:AI$1024, ('All Scores'!AJ$2:AJ$1024 = A61) + ('All Scores'!AK$2:AK$1024 = A61)))"),3)</f>
        <v>3</v>
      </c>
      <c r="D61" s="187">
        <f ca="1">IFERROR(__xludf.DUMMYFUNCTION("AVERAGE(FILTER('All Scores'!AI$2:AI$1024, ('All Scores'!AJ$2:AJ$1024 = A61) + ('All Scores'!AK$2:AK$1024 = A61))
)
"),3)</f>
        <v>3</v>
      </c>
      <c r="E61" s="6">
        <f ca="1">IFERROR(__xludf.DUMMYFUNCTION("SUM(FILTER('All Scores'!AF$2:AF$1024, ('All Scores'!AJ$2:AJ$1024 = A61) + ('All Scores'!AK$2:AK$1024 = A61)))
"),76)</f>
        <v>76</v>
      </c>
      <c r="F61" s="6">
        <f ca="1">IFERROR(__xludf.DUMMYFUNCTION("SUM(FILTER('All Scores'!AD$2:AD$1024, ('All Scores'!AJ$2:AJ$1024 = A61) + ('All Scores'!AK$2:AK$1024 = A61)))
"),44)</f>
        <v>44</v>
      </c>
      <c r="G61" s="21">
        <f t="shared" ca="1" si="0"/>
        <v>0.57894736842105265</v>
      </c>
      <c r="H61" s="169"/>
      <c r="I61" s="169"/>
      <c r="J61" s="6"/>
      <c r="K61" s="188"/>
      <c r="L61" s="189"/>
      <c r="M61" s="189"/>
      <c r="N61" s="6"/>
      <c r="O61" s="6"/>
      <c r="P61" s="6"/>
      <c r="Q61" s="169"/>
      <c r="R61" s="6"/>
      <c r="S61" s="6"/>
      <c r="T61" s="169"/>
      <c r="U61" s="6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</row>
    <row r="62" spans="1:44" ht="12.5">
      <c r="A62" s="169" t="str">
        <f ca="1">IFERROR(__xludf.DUMMYFUNCTION("""COMPUTED_VALUE"""),"Brian Schwermann")</f>
        <v>Brian Schwermann</v>
      </c>
      <c r="B62" s="186">
        <f ca="1">COUNTIF('All Scores'!AJ:AK,A62)</f>
        <v>1</v>
      </c>
      <c r="C62" s="186">
        <f ca="1">IFERROR(__xludf.DUMMYFUNCTION("MIN(FILTER('All Scores'!AI$2:AI$1024, ('All Scores'!AJ$2:AJ$1024 = A62) + ('All Scores'!AK$2:AK$1024 = A62)))"),10)</f>
        <v>10</v>
      </c>
      <c r="D62" s="187">
        <f ca="1">IFERROR(__xludf.DUMMYFUNCTION("AVERAGE(FILTER('All Scores'!AI$2:AI$1024, ('All Scores'!AJ$2:AJ$1024 = A62) + ('All Scores'!AK$2:AK$1024 = A62))
)
"),10)</f>
        <v>10</v>
      </c>
      <c r="E62" s="6">
        <f ca="1">IFERROR(__xludf.DUMMYFUNCTION("SUM(FILTER('All Scores'!AF$2:AF$1024, ('All Scores'!AJ$2:AJ$1024 = A62) + ('All Scores'!AK$2:AK$1024 = A62)))
"),56)</f>
        <v>56</v>
      </c>
      <c r="F62" s="6">
        <f ca="1">IFERROR(__xludf.DUMMYFUNCTION("SUM(FILTER('All Scores'!AD$2:AD$1024, ('All Scores'!AJ$2:AJ$1024 = A62) + ('All Scores'!AK$2:AK$1024 = A62)))
"),27)</f>
        <v>27</v>
      </c>
      <c r="G62" s="21">
        <f t="shared" ca="1" si="0"/>
        <v>0.48214285714285715</v>
      </c>
      <c r="H62" s="169"/>
      <c r="I62" s="169"/>
      <c r="J62" s="6"/>
      <c r="K62" s="188"/>
      <c r="L62" s="189"/>
      <c r="M62" s="189"/>
      <c r="N62" s="6"/>
      <c r="O62" s="6"/>
      <c r="P62" s="6"/>
      <c r="Q62" s="169"/>
      <c r="R62" s="6"/>
      <c r="S62" s="6"/>
      <c r="T62" s="169"/>
      <c r="U62" s="6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</row>
    <row r="63" spans="1:44" ht="12.5">
      <c r="A63" s="169" t="str">
        <f ca="1">IFERROR(__xludf.DUMMYFUNCTION("""COMPUTED_VALUE"""),"Brian Shehan")</f>
        <v>Brian Shehan</v>
      </c>
      <c r="B63" s="186">
        <f ca="1">COUNTIF('All Scores'!AJ:AK,A63)</f>
        <v>6</v>
      </c>
      <c r="C63" s="186">
        <f ca="1">IFERROR(__xludf.DUMMYFUNCTION("MIN(FILTER('All Scores'!AI$2:AI$1024, ('All Scores'!AJ$2:AJ$1024 = A63) + ('All Scores'!AK$2:AK$1024 = A63)))"),4)</f>
        <v>4</v>
      </c>
      <c r="D63" s="187">
        <f ca="1">IFERROR(__xludf.DUMMYFUNCTION("AVERAGE(FILTER('All Scores'!AI$2:AI$1024, ('All Scores'!AJ$2:AJ$1024 = A63) + ('All Scores'!AK$2:AK$1024 = A63))
)
"),10.1666666666666)</f>
        <v>10.1666666666666</v>
      </c>
      <c r="E63" s="6">
        <f ca="1">IFERROR(__xludf.DUMMYFUNCTION("SUM(FILTER('All Scores'!AF$2:AF$1024, ('All Scores'!AJ$2:AJ$1024 = A63) + ('All Scores'!AK$2:AK$1024 = A63)))
"),335)</f>
        <v>335</v>
      </c>
      <c r="F63" s="6">
        <f ca="1">IFERROR(__xludf.DUMMYFUNCTION("SUM(FILTER('All Scores'!AD$2:AD$1024, ('All Scores'!AJ$2:AJ$1024 = A63) + ('All Scores'!AK$2:AK$1024 = A63)))
"),156)</f>
        <v>156</v>
      </c>
      <c r="G63" s="21">
        <f t="shared" ca="1" si="0"/>
        <v>0.46567164179104475</v>
      </c>
      <c r="H63" s="169"/>
      <c r="I63" s="169"/>
      <c r="J63" s="6"/>
      <c r="K63" s="188"/>
      <c r="L63" s="189"/>
      <c r="M63" s="189"/>
      <c r="N63" s="6"/>
      <c r="O63" s="6"/>
      <c r="P63" s="6"/>
      <c r="Q63" s="169"/>
      <c r="R63" s="6"/>
      <c r="S63" s="6"/>
      <c r="T63" s="169"/>
      <c r="U63" s="6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</row>
    <row r="64" spans="1:44" ht="12.5">
      <c r="A64" s="169" t="str">
        <f ca="1">IFERROR(__xludf.DUMMYFUNCTION("""COMPUTED_VALUE"""),"Brian Sullivan")</f>
        <v>Brian Sullivan</v>
      </c>
      <c r="B64" s="186">
        <f ca="1">COUNTIF('All Scores'!AJ:AK,A64)</f>
        <v>8</v>
      </c>
      <c r="C64" s="186">
        <f ca="1">IFERROR(__xludf.DUMMYFUNCTION("MIN(FILTER('All Scores'!AI$2:AI$1024, ('All Scores'!AJ$2:AJ$1024 = A64) + ('All Scores'!AK$2:AK$1024 = A64)))"),1)</f>
        <v>1</v>
      </c>
      <c r="D64" s="187">
        <f ca="1">IFERROR(__xludf.DUMMYFUNCTION("AVERAGE(FILTER('All Scores'!AI$2:AI$1024, ('All Scores'!AJ$2:AJ$1024 = A64) + ('All Scores'!AK$2:AK$1024 = A64))
)
"),7.875)</f>
        <v>7.875</v>
      </c>
      <c r="E64" s="6">
        <f ca="1">IFERROR(__xludf.DUMMYFUNCTION("SUM(FILTER('All Scores'!AF$2:AF$1024, ('All Scores'!AJ$2:AJ$1024 = A64) + ('All Scores'!AK$2:AK$1024 = A64)))
"),568)</f>
        <v>568</v>
      </c>
      <c r="F64" s="6">
        <f ca="1">IFERROR(__xludf.DUMMYFUNCTION("SUM(FILTER('All Scores'!AD$2:AD$1024, ('All Scores'!AJ$2:AJ$1024 = A64) + ('All Scores'!AK$2:AK$1024 = A64)))
"),296)</f>
        <v>296</v>
      </c>
      <c r="G64" s="21">
        <f t="shared" ca="1" si="0"/>
        <v>0.52112676056338025</v>
      </c>
      <c r="H64" s="169"/>
      <c r="I64" s="169"/>
      <c r="J64" s="6"/>
      <c r="K64" s="188"/>
      <c r="L64" s="189"/>
      <c r="M64" s="189"/>
      <c r="N64" s="6"/>
      <c r="O64" s="6"/>
      <c r="P64" s="6"/>
      <c r="Q64" s="169"/>
      <c r="R64" s="6"/>
      <c r="S64" s="6"/>
      <c r="T64" s="169"/>
      <c r="U64" s="6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</row>
    <row r="65" spans="1:44" ht="12.5">
      <c r="A65" s="169" t="str">
        <f ca="1">IFERROR(__xludf.DUMMYFUNCTION("""COMPUTED_VALUE"""),"Bridget Pereira")</f>
        <v>Bridget Pereira</v>
      </c>
      <c r="B65" s="186">
        <f ca="1">COUNTIF('All Scores'!AJ:AK,A65)</f>
        <v>2</v>
      </c>
      <c r="C65" s="186">
        <f ca="1">IFERROR(__xludf.DUMMYFUNCTION("MIN(FILTER('All Scores'!AI$2:AI$1024, ('All Scores'!AJ$2:AJ$1024 = A65) + ('All Scores'!AK$2:AK$1024 = A65)))"),10)</f>
        <v>10</v>
      </c>
      <c r="D65" s="187">
        <f ca="1">IFERROR(__xludf.DUMMYFUNCTION("AVERAGE(FILTER('All Scores'!AI$2:AI$1024, ('All Scores'!AJ$2:AJ$1024 = A65) + ('All Scores'!AK$2:AK$1024 = A65))
)
"),10.5)</f>
        <v>10.5</v>
      </c>
      <c r="E65" s="6">
        <f ca="1">IFERROR(__xludf.DUMMYFUNCTION("SUM(FILTER('All Scores'!AF$2:AF$1024, ('All Scores'!AJ$2:AJ$1024 = A65) + ('All Scores'!AK$2:AK$1024 = A65)))
"),146)</f>
        <v>146</v>
      </c>
      <c r="F65" s="6">
        <f ca="1">IFERROR(__xludf.DUMMYFUNCTION("SUM(FILTER('All Scores'!AD$2:AD$1024, ('All Scores'!AJ$2:AJ$1024 = A65) + ('All Scores'!AK$2:AK$1024 = A65)))
"),65)</f>
        <v>65</v>
      </c>
      <c r="G65" s="21">
        <f t="shared" ca="1" si="0"/>
        <v>0.4452054794520548</v>
      </c>
      <c r="H65" s="169"/>
      <c r="I65" s="169"/>
      <c r="J65" s="6"/>
      <c r="K65" s="188"/>
      <c r="L65" s="189"/>
      <c r="M65" s="189"/>
      <c r="N65" s="6"/>
      <c r="O65" s="6"/>
      <c r="P65" s="6"/>
      <c r="Q65" s="169"/>
      <c r="R65" s="6"/>
      <c r="S65" s="6"/>
      <c r="T65" s="169"/>
      <c r="U65" s="6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</row>
    <row r="66" spans="1:44" ht="12.5">
      <c r="A66" s="169" t="str">
        <f ca="1">IFERROR(__xludf.DUMMYFUNCTION("""COMPUTED_VALUE"""),"Bridget Throm")</f>
        <v>Bridget Throm</v>
      </c>
      <c r="B66" s="186">
        <f ca="1">COUNTIF('All Scores'!AJ:AK,A66)</f>
        <v>1</v>
      </c>
      <c r="C66" s="186">
        <f ca="1">IFERROR(__xludf.DUMMYFUNCTION("MIN(FILTER('All Scores'!AI$2:AI$1024, ('All Scores'!AJ$2:AJ$1024 = A66) + ('All Scores'!AK$2:AK$1024 = A66)))"),24)</f>
        <v>24</v>
      </c>
      <c r="D66" s="187">
        <f ca="1">IFERROR(__xludf.DUMMYFUNCTION("AVERAGE(FILTER('All Scores'!AI$2:AI$1024, ('All Scores'!AJ$2:AJ$1024 = A66) + ('All Scores'!AK$2:AK$1024 = A66))
)
"),24)</f>
        <v>24</v>
      </c>
      <c r="E66" s="6">
        <f ca="1">IFERROR(__xludf.DUMMYFUNCTION("SUM(FILTER('All Scores'!AF$2:AF$1024, ('All Scores'!AJ$2:AJ$1024 = A66) + ('All Scores'!AK$2:AK$1024 = A66)))
"),49)</f>
        <v>49</v>
      </c>
      <c r="F66" s="6">
        <f ca="1">IFERROR(__xludf.DUMMYFUNCTION("SUM(FILTER('All Scores'!AD$2:AD$1024, ('All Scores'!AJ$2:AJ$1024 = A66) + ('All Scores'!AK$2:AK$1024 = A66)))
"),21)</f>
        <v>21</v>
      </c>
      <c r="G66" s="21">
        <f t="shared" ca="1" si="0"/>
        <v>0.42857142857142855</v>
      </c>
      <c r="H66" s="169"/>
      <c r="I66" s="169"/>
      <c r="J66" s="6"/>
      <c r="K66" s="188"/>
      <c r="L66" s="189"/>
      <c r="M66" s="189"/>
      <c r="N66" s="6"/>
      <c r="O66" s="6"/>
      <c r="P66" s="6"/>
      <c r="Q66" s="169"/>
      <c r="R66" s="6"/>
      <c r="S66" s="6"/>
      <c r="T66" s="169"/>
      <c r="U66" s="6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</row>
    <row r="67" spans="1:44" ht="12.5">
      <c r="A67" s="169" t="str">
        <f ca="1">IFERROR(__xludf.DUMMYFUNCTION("""COMPUTED_VALUE"""),"Brody Carlson")</f>
        <v>Brody Carlson</v>
      </c>
      <c r="B67" s="186">
        <f ca="1">COUNTIF('All Scores'!AJ:AK,A67)</f>
        <v>1</v>
      </c>
      <c r="C67" s="186">
        <f ca="1">IFERROR(__xludf.DUMMYFUNCTION("MIN(FILTER('All Scores'!AI$2:AI$1024, ('All Scores'!AJ$2:AJ$1024 = A67) + ('All Scores'!AK$2:AK$1024 = A67)))"),14)</f>
        <v>14</v>
      </c>
      <c r="D67" s="187">
        <f ca="1">IFERROR(__xludf.DUMMYFUNCTION("AVERAGE(FILTER('All Scores'!AI$2:AI$1024, ('All Scores'!AJ$2:AJ$1024 = A67) + ('All Scores'!AK$2:AK$1024 = A67))
)
"),14)</f>
        <v>14</v>
      </c>
      <c r="E67" s="6">
        <f ca="1">IFERROR(__xludf.DUMMYFUNCTION("SUM(FILTER('All Scores'!AF$2:AF$1024, ('All Scores'!AJ$2:AJ$1024 = A67) + ('All Scores'!AK$2:AK$1024 = A67)))
"),46)</f>
        <v>46</v>
      </c>
      <c r="F67" s="6">
        <f ca="1">IFERROR(__xludf.DUMMYFUNCTION("SUM(FILTER('All Scores'!AD$2:AD$1024, ('All Scores'!AJ$2:AJ$1024 = A67) + ('All Scores'!AK$2:AK$1024 = A67)))
"),13)</f>
        <v>13</v>
      </c>
      <c r="G67" s="21">
        <f t="shared" ca="1" si="0"/>
        <v>0.28260869565217389</v>
      </c>
      <c r="H67" s="169"/>
      <c r="I67" s="169"/>
      <c r="J67" s="6"/>
      <c r="K67" s="188"/>
      <c r="L67" s="189"/>
      <c r="M67" s="189"/>
      <c r="N67" s="6"/>
      <c r="O67" s="6"/>
      <c r="P67" s="6"/>
      <c r="Q67" s="169"/>
      <c r="R67" s="6"/>
      <c r="S67" s="6"/>
      <c r="T67" s="169"/>
      <c r="U67" s="6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</row>
    <row r="68" spans="1:44" ht="12.5">
      <c r="A68" s="169" t="str">
        <f ca="1">IFERROR(__xludf.DUMMYFUNCTION("""COMPUTED_VALUE"""),"Brook Vitt")</f>
        <v>Brook Vitt</v>
      </c>
      <c r="B68" s="186">
        <f ca="1">COUNTIF('All Scores'!AJ:AK,A68)</f>
        <v>12</v>
      </c>
      <c r="C68" s="186">
        <f ca="1">IFERROR(__xludf.DUMMYFUNCTION("MIN(FILTER('All Scores'!AI$2:AI$1024, ('All Scores'!AJ$2:AJ$1024 = A68) + ('All Scores'!AK$2:AK$1024 = A68)))"),1)</f>
        <v>1</v>
      </c>
      <c r="D68" s="187">
        <f ca="1">IFERROR(__xludf.DUMMYFUNCTION("AVERAGE(FILTER('All Scores'!AI$2:AI$1024, ('All Scores'!AJ$2:AJ$1024 = A68) + ('All Scores'!AK$2:AK$1024 = A68))
)
"),7.33333333333333)</f>
        <v>7.3333333333333304</v>
      </c>
      <c r="E68" s="6">
        <f ca="1">IFERROR(__xludf.DUMMYFUNCTION("SUM(FILTER('All Scores'!AF$2:AF$1024, ('All Scores'!AJ$2:AJ$1024 = A68) + ('All Scores'!AK$2:AK$1024 = A68)))
"),948)</f>
        <v>948</v>
      </c>
      <c r="F68" s="6">
        <f ca="1">IFERROR(__xludf.DUMMYFUNCTION("SUM(FILTER('All Scores'!AD$2:AD$1024, ('All Scores'!AJ$2:AJ$1024 = A68) + ('All Scores'!AK$2:AK$1024 = A68)))
"),497)</f>
        <v>497</v>
      </c>
      <c r="G68" s="21">
        <f t="shared" ca="1" si="0"/>
        <v>0.52426160337552741</v>
      </c>
      <c r="H68" s="169"/>
      <c r="I68" s="169"/>
      <c r="J68" s="6"/>
      <c r="K68" s="188"/>
      <c r="L68" s="189"/>
      <c r="M68" s="189"/>
      <c r="N68" s="6"/>
      <c r="O68" s="6"/>
      <c r="P68" s="6"/>
      <c r="Q68" s="169"/>
      <c r="R68" s="6"/>
      <c r="S68" s="6"/>
      <c r="T68" s="169"/>
      <c r="U68" s="6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9"/>
      <c r="AQ68" s="169"/>
      <c r="AR68" s="169"/>
    </row>
    <row r="69" spans="1:44" ht="12.5">
      <c r="A69" s="169" t="str">
        <f ca="1">IFERROR(__xludf.DUMMYFUNCTION("""COMPUTED_VALUE"""),"Brooke Corcoran")</f>
        <v>Brooke Corcoran</v>
      </c>
      <c r="B69" s="186">
        <f ca="1">COUNTIF('All Scores'!AJ:AK,A69)</f>
        <v>1</v>
      </c>
      <c r="C69" s="186">
        <f ca="1">IFERROR(__xludf.DUMMYFUNCTION("MIN(FILTER('All Scores'!AI$2:AI$1024, ('All Scores'!AJ$2:AJ$1024 = A69) + ('All Scores'!AK$2:AK$1024 = A69)))"),3)</f>
        <v>3</v>
      </c>
      <c r="D69" s="187">
        <f ca="1">IFERROR(__xludf.DUMMYFUNCTION("AVERAGE(FILTER('All Scores'!AI$2:AI$1024, ('All Scores'!AJ$2:AJ$1024 = A69) + ('All Scores'!AK$2:AK$1024 = A69))
)
"),3)</f>
        <v>3</v>
      </c>
      <c r="E69" s="6">
        <f ca="1">IFERROR(__xludf.DUMMYFUNCTION("SUM(FILTER('All Scores'!AF$2:AF$1024, ('All Scores'!AJ$2:AJ$1024 = A69) + ('All Scores'!AK$2:AK$1024 = A69)))
"),98)</f>
        <v>98</v>
      </c>
      <c r="F69" s="6">
        <f ca="1">IFERROR(__xludf.DUMMYFUNCTION("SUM(FILTER('All Scores'!AD$2:AD$1024, ('All Scores'!AJ$2:AJ$1024 = A69) + ('All Scores'!AK$2:AK$1024 = A69)))
"),58)</f>
        <v>58</v>
      </c>
      <c r="G69" s="21">
        <f t="shared" ca="1" si="0"/>
        <v>0.59183673469387754</v>
      </c>
      <c r="H69" s="169"/>
      <c r="I69" s="169"/>
      <c r="J69" s="6"/>
      <c r="K69" s="188"/>
      <c r="L69" s="189"/>
      <c r="M69" s="189"/>
      <c r="N69" s="6"/>
      <c r="O69" s="6"/>
      <c r="P69" s="6"/>
      <c r="Q69" s="169"/>
      <c r="R69" s="6"/>
      <c r="S69" s="6"/>
      <c r="T69" s="169"/>
      <c r="U69" s="6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</row>
    <row r="70" spans="1:44" ht="12.5">
      <c r="A70" s="169" t="str">
        <f ca="1">IFERROR(__xludf.DUMMYFUNCTION("""COMPUTED_VALUE"""),"Cal Morgan")</f>
        <v>Cal Morgan</v>
      </c>
      <c r="B70" s="186">
        <f ca="1">COUNTIF('All Scores'!AJ:AK,A70)</f>
        <v>2</v>
      </c>
      <c r="C70" s="186">
        <f ca="1">IFERROR(__xludf.DUMMYFUNCTION("MIN(FILTER('All Scores'!AI$2:AI$1024, ('All Scores'!AJ$2:AJ$1024 = A70) + ('All Scores'!AK$2:AK$1024 = A70)))"),6)</f>
        <v>6</v>
      </c>
      <c r="D70" s="187">
        <f ca="1">IFERROR(__xludf.DUMMYFUNCTION("AVERAGE(FILTER('All Scores'!AI$2:AI$1024, ('All Scores'!AJ$2:AJ$1024 = A70) + ('All Scores'!AK$2:AK$1024 = A70))
)
"),10.5)</f>
        <v>10.5</v>
      </c>
      <c r="E70" s="6">
        <f ca="1">IFERROR(__xludf.DUMMYFUNCTION("SUM(FILTER('All Scores'!AF$2:AF$1024, ('All Scores'!AJ$2:AJ$1024 = A70) + ('All Scores'!AK$2:AK$1024 = A70)))
"),116)</f>
        <v>116</v>
      </c>
      <c r="F70" s="6">
        <f ca="1">IFERROR(__xludf.DUMMYFUNCTION("SUM(FILTER('All Scores'!AD$2:AD$1024, ('All Scores'!AJ$2:AJ$1024 = A70) + ('All Scores'!AK$2:AK$1024 = A70)))
"),54)</f>
        <v>54</v>
      </c>
      <c r="G70" s="21">
        <f t="shared" ca="1" si="0"/>
        <v>0.46551724137931033</v>
      </c>
      <c r="H70" s="169"/>
      <c r="I70" s="169"/>
      <c r="J70" s="6"/>
      <c r="K70" s="188"/>
      <c r="L70" s="189"/>
      <c r="M70" s="189"/>
      <c r="N70" s="6"/>
      <c r="O70" s="6"/>
      <c r="P70" s="6"/>
      <c r="Q70" s="169"/>
      <c r="R70" s="6"/>
      <c r="S70" s="6"/>
      <c r="T70" s="169"/>
      <c r="U70" s="6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</row>
    <row r="71" spans="1:44" ht="12.5">
      <c r="A71" s="169" t="str">
        <f ca="1">IFERROR(__xludf.DUMMYFUNCTION("""COMPUTED_VALUE"""),"Callie Bennett")</f>
        <v>Callie Bennett</v>
      </c>
      <c r="B71" s="186">
        <f ca="1">COUNTIF('All Scores'!AJ:AK,A71)</f>
        <v>1</v>
      </c>
      <c r="C71" s="186">
        <f ca="1">IFERROR(__xludf.DUMMYFUNCTION("MIN(FILTER('All Scores'!AI$2:AI$1024, ('All Scores'!AJ$2:AJ$1024 = A71) + ('All Scores'!AK$2:AK$1024 = A71)))"),5)</f>
        <v>5</v>
      </c>
      <c r="D71" s="187">
        <f ca="1">IFERROR(__xludf.DUMMYFUNCTION("AVERAGE(FILTER('All Scores'!AI$2:AI$1024, ('All Scores'!AJ$2:AJ$1024 = A71) + ('All Scores'!AK$2:AK$1024 = A71))
)
"),5)</f>
        <v>5</v>
      </c>
      <c r="E71" s="6">
        <f ca="1">IFERROR(__xludf.DUMMYFUNCTION("SUM(FILTER('All Scores'!AF$2:AF$1024, ('All Scores'!AJ$2:AJ$1024 = A71) + ('All Scores'!AK$2:AK$1024 = A71)))
"),87)</f>
        <v>87</v>
      </c>
      <c r="F71" s="6">
        <f ca="1">IFERROR(__xludf.DUMMYFUNCTION("SUM(FILTER('All Scores'!AD$2:AD$1024, ('All Scores'!AJ$2:AJ$1024 = A71) + ('All Scores'!AK$2:AK$1024 = A71)))
"),48)</f>
        <v>48</v>
      </c>
      <c r="G71" s="21">
        <f t="shared" ca="1" si="0"/>
        <v>0.55172413793103448</v>
      </c>
      <c r="H71" s="169"/>
      <c r="I71" s="169"/>
      <c r="J71" s="6"/>
      <c r="K71" s="188"/>
      <c r="L71" s="189"/>
      <c r="M71" s="189"/>
      <c r="N71" s="6"/>
      <c r="O71" s="6"/>
      <c r="P71" s="6"/>
      <c r="Q71" s="169"/>
      <c r="R71" s="6"/>
      <c r="S71" s="6"/>
      <c r="T71" s="169"/>
      <c r="U71" s="6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69"/>
      <c r="AQ71" s="169"/>
      <c r="AR71" s="169"/>
    </row>
    <row r="72" spans="1:44" ht="12.5">
      <c r="A72" s="169" t="str">
        <f ca="1">IFERROR(__xludf.DUMMYFUNCTION("""COMPUTED_VALUE"""),"Candace Asbell")</f>
        <v>Candace Asbell</v>
      </c>
      <c r="B72" s="186">
        <f ca="1">COUNTIF('All Scores'!AJ:AK,A72)</f>
        <v>1</v>
      </c>
      <c r="C72" s="186">
        <f ca="1">IFERROR(__xludf.DUMMYFUNCTION("MIN(FILTER('All Scores'!AI$2:AI$1024, ('All Scores'!AJ$2:AJ$1024 = A72) + ('All Scores'!AK$2:AK$1024 = A72)))"),4)</f>
        <v>4</v>
      </c>
      <c r="D72" s="187">
        <f ca="1">IFERROR(__xludf.DUMMYFUNCTION("AVERAGE(FILTER('All Scores'!AI$2:AI$1024, ('All Scores'!AJ$2:AJ$1024 = A72) + ('All Scores'!AK$2:AK$1024 = A72))
)
"),4)</f>
        <v>4</v>
      </c>
      <c r="E72" s="6">
        <f ca="1">IFERROR(__xludf.DUMMYFUNCTION("SUM(FILTER('All Scores'!AF$2:AF$1024, ('All Scores'!AJ$2:AJ$1024 = A72) + ('All Scores'!AK$2:AK$1024 = A72)))
"),73)</f>
        <v>73</v>
      </c>
      <c r="F72" s="6">
        <f ca="1">IFERROR(__xludf.DUMMYFUNCTION("SUM(FILTER('All Scores'!AD$2:AD$1024, ('All Scores'!AJ$2:AJ$1024 = A72) + ('All Scores'!AK$2:AK$1024 = A72)))
"),40)</f>
        <v>40</v>
      </c>
      <c r="G72" s="21">
        <f t="shared" ca="1" si="0"/>
        <v>0.54794520547945202</v>
      </c>
      <c r="H72" s="169"/>
      <c r="I72" s="169"/>
      <c r="J72" s="6"/>
      <c r="K72" s="188"/>
      <c r="L72" s="189"/>
      <c r="M72" s="189"/>
      <c r="N72" s="6"/>
      <c r="O72" s="6"/>
      <c r="P72" s="6"/>
      <c r="Q72" s="169"/>
      <c r="R72" s="6"/>
      <c r="S72" s="6"/>
      <c r="T72" s="169"/>
      <c r="U72" s="6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</row>
    <row r="73" spans="1:44" ht="12.5">
      <c r="A73" s="169" t="str">
        <f ca="1">IFERROR(__xludf.DUMMYFUNCTION("""COMPUTED_VALUE"""),"Candace Chapman")</f>
        <v>Candace Chapman</v>
      </c>
      <c r="B73" s="186">
        <f ca="1">COUNTIF('All Scores'!AJ:AK,A73)</f>
        <v>1</v>
      </c>
      <c r="C73" s="186">
        <f ca="1">IFERROR(__xludf.DUMMYFUNCTION("MIN(FILTER('All Scores'!AI$2:AI$1024, ('All Scores'!AJ$2:AJ$1024 = A73) + ('All Scores'!AK$2:AK$1024 = A73)))"),14)</f>
        <v>14</v>
      </c>
      <c r="D73" s="187">
        <f ca="1">IFERROR(__xludf.DUMMYFUNCTION("AVERAGE(FILTER('All Scores'!AI$2:AI$1024, ('All Scores'!AJ$2:AJ$1024 = A73) + ('All Scores'!AK$2:AK$1024 = A73))
)
"),14)</f>
        <v>14</v>
      </c>
      <c r="E73" s="6">
        <f ca="1">IFERROR(__xludf.DUMMYFUNCTION("SUM(FILTER('All Scores'!AF$2:AF$1024, ('All Scores'!AJ$2:AJ$1024 = A73) + ('All Scores'!AK$2:AK$1024 = A73)))
"),53)</f>
        <v>53</v>
      </c>
      <c r="F73" s="6">
        <f ca="1">IFERROR(__xludf.DUMMYFUNCTION("SUM(FILTER('All Scores'!AD$2:AD$1024, ('All Scores'!AJ$2:AJ$1024 = A73) + ('All Scores'!AK$2:AK$1024 = A73)))
"),20)</f>
        <v>20</v>
      </c>
      <c r="G73" s="21">
        <f t="shared" ca="1" si="0"/>
        <v>0.37735849056603776</v>
      </c>
      <c r="H73" s="169"/>
      <c r="I73" s="169"/>
      <c r="J73" s="6"/>
      <c r="K73" s="188"/>
      <c r="L73" s="189"/>
      <c r="M73" s="189"/>
      <c r="N73" s="6"/>
      <c r="O73" s="6"/>
      <c r="P73" s="6"/>
      <c r="Q73" s="169"/>
      <c r="R73" s="6"/>
      <c r="S73" s="6"/>
      <c r="T73" s="169"/>
      <c r="U73" s="6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  <c r="AP73" s="169"/>
      <c r="AQ73" s="169"/>
      <c r="AR73" s="169"/>
    </row>
    <row r="74" spans="1:44" ht="12.5">
      <c r="A74" s="169" t="str">
        <f ca="1">IFERROR(__xludf.DUMMYFUNCTION("""COMPUTED_VALUE"""),"Cara Lonergan")</f>
        <v>Cara Lonergan</v>
      </c>
      <c r="B74" s="186">
        <f ca="1">COUNTIF('All Scores'!AJ:AK,A74)</f>
        <v>1</v>
      </c>
      <c r="C74" s="186">
        <f ca="1">IFERROR(__xludf.DUMMYFUNCTION("MIN(FILTER('All Scores'!AI$2:AI$1024, ('All Scores'!AJ$2:AJ$1024 = A74) + ('All Scores'!AK$2:AK$1024 = A74)))"),13)</f>
        <v>13</v>
      </c>
      <c r="D74" s="187">
        <f ca="1">IFERROR(__xludf.DUMMYFUNCTION("AVERAGE(FILTER('All Scores'!AI$2:AI$1024, ('All Scores'!AJ$2:AJ$1024 = A74) + ('All Scores'!AK$2:AK$1024 = A74))
)
"),13)</f>
        <v>13</v>
      </c>
      <c r="E74" s="6">
        <f ca="1">IFERROR(__xludf.DUMMYFUNCTION("SUM(FILTER('All Scores'!AF$2:AF$1024, ('All Scores'!AJ$2:AJ$1024 = A74) + ('All Scores'!AK$2:AK$1024 = A74)))
"),64)</f>
        <v>64</v>
      </c>
      <c r="F74" s="6">
        <f ca="1">IFERROR(__xludf.DUMMYFUNCTION("SUM(FILTER('All Scores'!AD$2:AD$1024, ('All Scores'!AJ$2:AJ$1024 = A74) + ('All Scores'!AK$2:AK$1024 = A74)))
"),24)</f>
        <v>24</v>
      </c>
      <c r="G74" s="21">
        <f t="shared" ca="1" si="0"/>
        <v>0.375</v>
      </c>
      <c r="H74" s="169"/>
      <c r="I74" s="169"/>
      <c r="J74" s="6"/>
      <c r="K74" s="188"/>
      <c r="L74" s="189"/>
      <c r="M74" s="189"/>
      <c r="N74" s="6"/>
      <c r="O74" s="6"/>
      <c r="P74" s="6"/>
      <c r="Q74" s="169"/>
      <c r="R74" s="6"/>
      <c r="S74" s="6"/>
      <c r="T74" s="169"/>
      <c r="U74" s="6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  <c r="AP74" s="169"/>
      <c r="AQ74" s="169"/>
      <c r="AR74" s="169"/>
    </row>
    <row r="75" spans="1:44" ht="12.5">
      <c r="A75" s="169" t="str">
        <f ca="1">IFERROR(__xludf.DUMMYFUNCTION("""COMPUTED_VALUE"""),"Carol Reyes")</f>
        <v>Carol Reyes</v>
      </c>
      <c r="B75" s="186">
        <f ca="1">COUNTIF('All Scores'!AJ:AK,A75)</f>
        <v>2</v>
      </c>
      <c r="C75" s="186">
        <f ca="1">IFERROR(__xludf.DUMMYFUNCTION("MIN(FILTER('All Scores'!AI$2:AI$1024, ('All Scores'!AJ$2:AJ$1024 = A75) + ('All Scores'!AK$2:AK$1024 = A75)))"),7)</f>
        <v>7</v>
      </c>
      <c r="D75" s="187">
        <f ca="1">IFERROR(__xludf.DUMMYFUNCTION("AVERAGE(FILTER('All Scores'!AI$2:AI$1024, ('All Scores'!AJ$2:AJ$1024 = A75) + ('All Scores'!AK$2:AK$1024 = A75))
)
"),9.5)</f>
        <v>9.5</v>
      </c>
      <c r="E75" s="6">
        <f ca="1">IFERROR(__xludf.DUMMYFUNCTION("SUM(FILTER('All Scores'!AF$2:AF$1024, ('All Scores'!AJ$2:AJ$1024 = A75) + ('All Scores'!AK$2:AK$1024 = A75)))
"),109)</f>
        <v>109</v>
      </c>
      <c r="F75" s="6">
        <f ca="1">IFERROR(__xludf.DUMMYFUNCTION("SUM(FILTER('All Scores'!AD$2:AD$1024, ('All Scores'!AJ$2:AJ$1024 = A75) + ('All Scores'!AK$2:AK$1024 = A75)))
"),53)</f>
        <v>53</v>
      </c>
      <c r="G75" s="21">
        <f t="shared" ca="1" si="0"/>
        <v>0.48623853211009177</v>
      </c>
      <c r="H75" s="169"/>
      <c r="I75" s="169"/>
      <c r="J75" s="6"/>
      <c r="K75" s="188"/>
      <c r="L75" s="189"/>
      <c r="M75" s="189"/>
      <c r="N75" s="6"/>
      <c r="O75" s="6"/>
      <c r="P75" s="6"/>
      <c r="Q75" s="169"/>
      <c r="R75" s="6"/>
      <c r="S75" s="6"/>
      <c r="T75" s="169"/>
      <c r="U75" s="6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69"/>
      <c r="AQ75" s="169"/>
      <c r="AR75" s="169"/>
    </row>
    <row r="76" spans="1:44" ht="12.5">
      <c r="A76" s="169" t="str">
        <f ca="1">IFERROR(__xludf.DUMMYFUNCTION("""COMPUTED_VALUE"""),"Carrie Cooper")</f>
        <v>Carrie Cooper</v>
      </c>
      <c r="B76" s="186">
        <f ca="1">COUNTIF('All Scores'!AJ:AK,A76)</f>
        <v>1</v>
      </c>
      <c r="C76" s="186">
        <f ca="1">IFERROR(__xludf.DUMMYFUNCTION("MIN(FILTER('All Scores'!AI$2:AI$1024, ('All Scores'!AJ$2:AJ$1024 = A76) + ('All Scores'!AK$2:AK$1024 = A76)))"),9)</f>
        <v>9</v>
      </c>
      <c r="D76" s="187">
        <f ca="1">IFERROR(__xludf.DUMMYFUNCTION("AVERAGE(FILTER('All Scores'!AI$2:AI$1024, ('All Scores'!AJ$2:AJ$1024 = A76) + ('All Scores'!AK$2:AK$1024 = A76))
)
"),9)</f>
        <v>9</v>
      </c>
      <c r="E76" s="6">
        <f ca="1">IFERROR(__xludf.DUMMYFUNCTION("SUM(FILTER('All Scores'!AF$2:AF$1024, ('All Scores'!AJ$2:AJ$1024 = A76) + ('All Scores'!AK$2:AK$1024 = A76)))
"),79)</f>
        <v>79</v>
      </c>
      <c r="F76" s="6">
        <f ca="1">IFERROR(__xludf.DUMMYFUNCTION("SUM(FILTER('All Scores'!AD$2:AD$1024, ('All Scores'!AJ$2:AJ$1024 = A76) + ('All Scores'!AK$2:AK$1024 = A76)))
"),40)</f>
        <v>40</v>
      </c>
      <c r="G76" s="21">
        <f t="shared" ca="1" si="0"/>
        <v>0.50632911392405067</v>
      </c>
      <c r="H76" s="169"/>
      <c r="I76" s="169"/>
      <c r="J76" s="6"/>
      <c r="K76" s="188"/>
      <c r="L76" s="189"/>
      <c r="M76" s="189"/>
      <c r="N76" s="6"/>
      <c r="O76" s="6"/>
      <c r="P76" s="6"/>
      <c r="Q76" s="169"/>
      <c r="R76" s="6"/>
      <c r="S76" s="6"/>
      <c r="T76" s="169"/>
      <c r="U76" s="6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</row>
    <row r="77" spans="1:44" ht="12.5">
      <c r="A77" s="169" t="str">
        <f ca="1">IFERROR(__xludf.DUMMYFUNCTION("""COMPUTED_VALUE"""),"Carrie Davidson")</f>
        <v>Carrie Davidson</v>
      </c>
      <c r="B77" s="186">
        <f ca="1">COUNTIF('All Scores'!AJ:AK,A77)</f>
        <v>1</v>
      </c>
      <c r="C77" s="186">
        <f ca="1">IFERROR(__xludf.DUMMYFUNCTION("MIN(FILTER('All Scores'!AI$2:AI$1024, ('All Scores'!AJ$2:AJ$1024 = A77) + ('All Scores'!AK$2:AK$1024 = A77)))"),6)</f>
        <v>6</v>
      </c>
      <c r="D77" s="187">
        <f ca="1">IFERROR(__xludf.DUMMYFUNCTION("AVERAGE(FILTER('All Scores'!AI$2:AI$1024, ('All Scores'!AJ$2:AJ$1024 = A77) + ('All Scores'!AK$2:AK$1024 = A77))
)
"),6)</f>
        <v>6</v>
      </c>
      <c r="E77" s="6">
        <f ca="1">IFERROR(__xludf.DUMMYFUNCTION("SUM(FILTER('All Scores'!AF$2:AF$1024, ('All Scores'!AJ$2:AJ$1024 = A77) + ('All Scores'!AK$2:AK$1024 = A77)))
"),79)</f>
        <v>79</v>
      </c>
      <c r="F77" s="6">
        <f ca="1">IFERROR(__xludf.DUMMYFUNCTION("SUM(FILTER('All Scores'!AD$2:AD$1024, ('All Scores'!AJ$2:AJ$1024 = A77) + ('All Scores'!AK$2:AK$1024 = A77)))
"),43)</f>
        <v>43</v>
      </c>
      <c r="G77" s="21">
        <f t="shared" ca="1" si="0"/>
        <v>0.54430379746835444</v>
      </c>
      <c r="H77" s="169"/>
      <c r="I77" s="169"/>
      <c r="J77" s="6"/>
      <c r="K77" s="188"/>
      <c r="L77" s="189"/>
      <c r="M77" s="189"/>
      <c r="N77" s="6"/>
      <c r="O77" s="6"/>
      <c r="P77" s="6"/>
      <c r="Q77" s="169"/>
      <c r="R77" s="6"/>
      <c r="S77" s="6"/>
      <c r="T77" s="169"/>
      <c r="U77" s="6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  <c r="AP77" s="169"/>
      <c r="AQ77" s="169"/>
      <c r="AR77" s="169"/>
    </row>
    <row r="78" spans="1:44" ht="12.5">
      <c r="A78" s="169" t="str">
        <f ca="1">IFERROR(__xludf.DUMMYFUNCTION("""COMPUTED_VALUE"""),"Carrie Hellerich")</f>
        <v>Carrie Hellerich</v>
      </c>
      <c r="B78" s="186">
        <f ca="1">COUNTIF('All Scores'!AJ:AK,A78)</f>
        <v>1</v>
      </c>
      <c r="C78" s="186">
        <f ca="1">IFERROR(__xludf.DUMMYFUNCTION("MIN(FILTER('All Scores'!AI$2:AI$1024, ('All Scores'!AJ$2:AJ$1024 = A78) + ('All Scores'!AK$2:AK$1024 = A78)))"),31)</f>
        <v>31</v>
      </c>
      <c r="D78" s="187">
        <f ca="1">IFERROR(__xludf.DUMMYFUNCTION("AVERAGE(FILTER('All Scores'!AI$2:AI$1024, ('All Scores'!AJ$2:AJ$1024 = A78) + ('All Scores'!AK$2:AK$1024 = A78))
)
"),31)</f>
        <v>31</v>
      </c>
      <c r="E78" s="6">
        <f ca="1">IFERROR(__xludf.DUMMYFUNCTION("SUM(FILTER('All Scores'!AF$2:AF$1024, ('All Scores'!AJ$2:AJ$1024 = A78) + ('All Scores'!AK$2:AK$1024 = A78)))
"),45)</f>
        <v>45</v>
      </c>
      <c r="F78" s="6">
        <f ca="1">IFERROR(__xludf.DUMMYFUNCTION("SUM(FILTER('All Scores'!AD$2:AD$1024, ('All Scores'!AJ$2:AJ$1024 = A78) + ('All Scores'!AK$2:AK$1024 = A78)))
"),12)</f>
        <v>12</v>
      </c>
      <c r="G78" s="21">
        <f t="shared" ca="1" si="0"/>
        <v>0.26666666666666666</v>
      </c>
      <c r="H78" s="169"/>
      <c r="I78" s="169"/>
      <c r="J78" s="6"/>
      <c r="K78" s="188"/>
      <c r="L78" s="189"/>
      <c r="M78" s="189"/>
      <c r="N78" s="6"/>
      <c r="O78" s="6"/>
      <c r="P78" s="6"/>
      <c r="Q78" s="169"/>
      <c r="R78" s="6"/>
      <c r="S78" s="6"/>
      <c r="T78" s="169"/>
      <c r="U78" s="6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  <c r="AN78" s="169"/>
      <c r="AO78" s="169"/>
      <c r="AP78" s="169"/>
      <c r="AQ78" s="169"/>
      <c r="AR78" s="169"/>
    </row>
    <row r="79" spans="1:44" ht="12.5">
      <c r="A79" s="169" t="str">
        <f ca="1">IFERROR(__xludf.DUMMYFUNCTION("""COMPUTED_VALUE"""),"Carrie Lapin")</f>
        <v>Carrie Lapin</v>
      </c>
      <c r="B79" s="186">
        <f ca="1">COUNTIF('All Scores'!AJ:AK,A79)</f>
        <v>4</v>
      </c>
      <c r="C79" s="186">
        <f ca="1">IFERROR(__xludf.DUMMYFUNCTION("MIN(FILTER('All Scores'!AI$2:AI$1024, ('All Scores'!AJ$2:AJ$1024 = A79) + ('All Scores'!AK$2:AK$1024 = A79)))"),2)</f>
        <v>2</v>
      </c>
      <c r="D79" s="187">
        <f ca="1">IFERROR(__xludf.DUMMYFUNCTION("AVERAGE(FILTER('All Scores'!AI$2:AI$1024, ('All Scores'!AJ$2:AJ$1024 = A79) + ('All Scores'!AK$2:AK$1024 = A79))
)
"),7.75)</f>
        <v>7.75</v>
      </c>
      <c r="E79" s="6">
        <f ca="1">IFERROR(__xludf.DUMMYFUNCTION("SUM(FILTER('All Scores'!AF$2:AF$1024, ('All Scores'!AJ$2:AJ$1024 = A79) + ('All Scores'!AK$2:AK$1024 = A79)))
"),336)</f>
        <v>336</v>
      </c>
      <c r="F79" s="6">
        <f ca="1">IFERROR(__xludf.DUMMYFUNCTION("SUM(FILTER('All Scores'!AD$2:AD$1024, ('All Scores'!AJ$2:AJ$1024 = A79) + ('All Scores'!AK$2:AK$1024 = A79)))
"),197)</f>
        <v>197</v>
      </c>
      <c r="G79" s="21">
        <f t="shared" ca="1" si="0"/>
        <v>0.58630952380952384</v>
      </c>
      <c r="H79" s="169"/>
      <c r="I79" s="169"/>
      <c r="J79" s="6"/>
      <c r="K79" s="188"/>
      <c r="L79" s="189"/>
      <c r="M79" s="189"/>
      <c r="N79" s="6"/>
      <c r="O79" s="6"/>
      <c r="P79" s="6"/>
      <c r="Q79" s="169"/>
      <c r="R79" s="6"/>
      <c r="S79" s="6"/>
      <c r="T79" s="169"/>
      <c r="U79" s="6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</row>
    <row r="80" spans="1:44" ht="12.5">
      <c r="A80" s="169" t="str">
        <f ca="1">IFERROR(__xludf.DUMMYFUNCTION("""COMPUTED_VALUE"""),"Carson Sanford")</f>
        <v>Carson Sanford</v>
      </c>
      <c r="B80" s="186">
        <f ca="1">COUNTIF('All Scores'!AJ:AK,A80)</f>
        <v>2</v>
      </c>
      <c r="C80" s="186">
        <f ca="1">IFERROR(__xludf.DUMMYFUNCTION("MIN(FILTER('All Scores'!AI$2:AI$1024, ('All Scores'!AJ$2:AJ$1024 = A80) + ('All Scores'!AK$2:AK$1024 = A80)))"),3)</f>
        <v>3</v>
      </c>
      <c r="D80" s="187">
        <f ca="1">IFERROR(__xludf.DUMMYFUNCTION("AVERAGE(FILTER('All Scores'!AI$2:AI$1024, ('All Scores'!AJ$2:AJ$1024 = A80) + ('All Scores'!AK$2:AK$1024 = A80))
)
"),9)</f>
        <v>9</v>
      </c>
      <c r="E80" s="6">
        <f ca="1">IFERROR(__xludf.DUMMYFUNCTION("SUM(FILTER('All Scores'!AF$2:AF$1024, ('All Scores'!AJ$2:AJ$1024 = A80) + ('All Scores'!AK$2:AK$1024 = A80)))
"),165)</f>
        <v>165</v>
      </c>
      <c r="F80" s="6">
        <f ca="1">IFERROR(__xludf.DUMMYFUNCTION("SUM(FILTER('All Scores'!AD$2:AD$1024, ('All Scores'!AJ$2:AJ$1024 = A80) + ('All Scores'!AK$2:AK$1024 = A80)))
"),80)</f>
        <v>80</v>
      </c>
      <c r="G80" s="21">
        <f t="shared" ca="1" si="0"/>
        <v>0.48484848484848486</v>
      </c>
      <c r="H80" s="169"/>
      <c r="I80" s="169"/>
      <c r="J80" s="6"/>
      <c r="K80" s="188"/>
      <c r="L80" s="189"/>
      <c r="M80" s="189"/>
      <c r="N80" s="6"/>
      <c r="O80" s="6"/>
      <c r="P80" s="6"/>
      <c r="Q80" s="169"/>
      <c r="R80" s="6"/>
      <c r="S80" s="6"/>
      <c r="T80" s="169"/>
      <c r="U80" s="6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</row>
    <row r="81" spans="1:44" ht="12.5">
      <c r="A81" s="169" t="str">
        <f ca="1">IFERROR(__xludf.DUMMYFUNCTION("""COMPUTED_VALUE"""),"Cassandra Schneeberger")</f>
        <v>Cassandra Schneeberger</v>
      </c>
      <c r="B81" s="186">
        <f ca="1">COUNTIF('All Scores'!AJ:AK,A81)</f>
        <v>2</v>
      </c>
      <c r="C81" s="186">
        <f ca="1">IFERROR(__xludf.DUMMYFUNCTION("MIN(FILTER('All Scores'!AI$2:AI$1024, ('All Scores'!AJ$2:AJ$1024 = A81) + ('All Scores'!AK$2:AK$1024 = A81)))"),4)</f>
        <v>4</v>
      </c>
      <c r="D81" s="187">
        <f ca="1">IFERROR(__xludf.DUMMYFUNCTION("AVERAGE(FILTER('All Scores'!AI$2:AI$1024, ('All Scores'!AJ$2:AJ$1024 = A81) + ('All Scores'!AK$2:AK$1024 = A81))
)
"),6.5)</f>
        <v>6.5</v>
      </c>
      <c r="E81" s="6">
        <f ca="1">IFERROR(__xludf.DUMMYFUNCTION("SUM(FILTER('All Scores'!AF$2:AF$1024, ('All Scores'!AJ$2:AJ$1024 = A81) + ('All Scores'!AK$2:AK$1024 = A81)))
"),179)</f>
        <v>179</v>
      </c>
      <c r="F81" s="6">
        <f ca="1">IFERROR(__xludf.DUMMYFUNCTION("SUM(FILTER('All Scores'!AD$2:AD$1024, ('All Scores'!AJ$2:AJ$1024 = A81) + ('All Scores'!AK$2:AK$1024 = A81)))
"),92)</f>
        <v>92</v>
      </c>
      <c r="G81" s="21">
        <f t="shared" ca="1" si="0"/>
        <v>0.51396648044692739</v>
      </c>
      <c r="H81" s="169"/>
      <c r="I81" s="169"/>
      <c r="J81" s="6"/>
      <c r="K81" s="188"/>
      <c r="L81" s="189"/>
      <c r="M81" s="189"/>
      <c r="N81" s="6"/>
      <c r="O81" s="6"/>
      <c r="P81" s="6"/>
      <c r="Q81" s="169"/>
      <c r="R81" s="6"/>
      <c r="S81" s="6"/>
      <c r="T81" s="169"/>
      <c r="U81" s="6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</row>
    <row r="82" spans="1:44" ht="12.5">
      <c r="A82" s="169" t="str">
        <f ca="1">IFERROR(__xludf.DUMMYFUNCTION("""COMPUTED_VALUE"""),"Cathy Hurst")</f>
        <v>Cathy Hurst</v>
      </c>
      <c r="B82" s="186">
        <f ca="1">COUNTIF('All Scores'!AJ:AK,A82)</f>
        <v>1</v>
      </c>
      <c r="C82" s="186">
        <f ca="1">IFERROR(__xludf.DUMMYFUNCTION("MIN(FILTER('All Scores'!AI$2:AI$1024, ('All Scores'!AJ$2:AJ$1024 = A82) + ('All Scores'!AK$2:AK$1024 = A82)))"),12)</f>
        <v>12</v>
      </c>
      <c r="D82" s="187">
        <f ca="1">IFERROR(__xludf.DUMMYFUNCTION("AVERAGE(FILTER('All Scores'!AI$2:AI$1024, ('All Scores'!AJ$2:AJ$1024 = A82) + ('All Scores'!AK$2:AK$1024 = A82))
)
"),12)</f>
        <v>12</v>
      </c>
      <c r="E82" s="6">
        <f ca="1">IFERROR(__xludf.DUMMYFUNCTION("SUM(FILTER('All Scores'!AF$2:AF$1024, ('All Scores'!AJ$2:AJ$1024 = A82) + ('All Scores'!AK$2:AK$1024 = A82)))
"),53)</f>
        <v>53</v>
      </c>
      <c r="F82" s="6">
        <f ca="1">IFERROR(__xludf.DUMMYFUNCTION("SUM(FILTER('All Scores'!AD$2:AD$1024, ('All Scores'!AJ$2:AJ$1024 = A82) + ('All Scores'!AK$2:AK$1024 = A82)))
"),22)</f>
        <v>22</v>
      </c>
      <c r="G82" s="21">
        <f t="shared" ca="1" si="0"/>
        <v>0.41509433962264153</v>
      </c>
      <c r="H82" s="169"/>
      <c r="I82" s="169"/>
      <c r="J82" s="6"/>
      <c r="K82" s="188"/>
      <c r="L82" s="189"/>
      <c r="M82" s="189"/>
      <c r="N82" s="6"/>
      <c r="O82" s="6"/>
      <c r="P82" s="6"/>
      <c r="Q82" s="169"/>
      <c r="R82" s="6"/>
      <c r="S82" s="6"/>
      <c r="T82" s="169"/>
      <c r="U82" s="6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</row>
    <row r="83" spans="1:44" ht="12.5">
      <c r="A83" s="169" t="str">
        <f ca="1">IFERROR(__xludf.DUMMYFUNCTION("""COMPUTED_VALUE"""),"Chan To")</f>
        <v>Chan To</v>
      </c>
      <c r="B83" s="186">
        <f ca="1">COUNTIF('All Scores'!AJ:AK,A83)</f>
        <v>1</v>
      </c>
      <c r="C83" s="186">
        <f ca="1">IFERROR(__xludf.DUMMYFUNCTION("MIN(FILTER('All Scores'!AI$2:AI$1024, ('All Scores'!AJ$2:AJ$1024 = A83) + ('All Scores'!AK$2:AK$1024 = A83)))"),15)</f>
        <v>15</v>
      </c>
      <c r="D83" s="187">
        <f ca="1">IFERROR(__xludf.DUMMYFUNCTION("AVERAGE(FILTER('All Scores'!AI$2:AI$1024, ('All Scores'!AJ$2:AJ$1024 = A83) + ('All Scores'!AK$2:AK$1024 = A83))
)
"),15)</f>
        <v>15</v>
      </c>
      <c r="E83" s="6">
        <f ca="1">IFERROR(__xludf.DUMMYFUNCTION("SUM(FILTER('All Scores'!AF$2:AF$1024, ('All Scores'!AJ$2:AJ$1024 = A83) + ('All Scores'!AK$2:AK$1024 = A83)))
"),48)</f>
        <v>48</v>
      </c>
      <c r="F83" s="6">
        <f ca="1">IFERROR(__xludf.DUMMYFUNCTION("SUM(FILTER('All Scores'!AD$2:AD$1024, ('All Scores'!AJ$2:AJ$1024 = A83) + ('All Scores'!AK$2:AK$1024 = A83)))
"),15)</f>
        <v>15</v>
      </c>
      <c r="G83" s="21">
        <f t="shared" ca="1" si="0"/>
        <v>0.3125</v>
      </c>
      <c r="H83" s="169"/>
      <c r="I83" s="169"/>
      <c r="J83" s="6"/>
      <c r="K83" s="188"/>
      <c r="L83" s="189"/>
      <c r="M83" s="189"/>
      <c r="N83" s="6"/>
      <c r="O83" s="6"/>
      <c r="P83" s="6"/>
      <c r="Q83" s="169"/>
      <c r="R83" s="6"/>
      <c r="S83" s="6"/>
      <c r="T83" s="169"/>
      <c r="U83" s="6"/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  <c r="AN83" s="169"/>
      <c r="AO83" s="169"/>
      <c r="AP83" s="169"/>
      <c r="AQ83" s="169"/>
      <c r="AR83" s="169"/>
    </row>
    <row r="84" spans="1:44" ht="12.5">
      <c r="A84" s="169" t="str">
        <f ca="1">IFERROR(__xludf.DUMMYFUNCTION("""COMPUTED_VALUE"""),"Chan Townsend")</f>
        <v>Chan Townsend</v>
      </c>
      <c r="B84" s="186">
        <f ca="1">COUNTIF('All Scores'!AJ:AK,A84)</f>
        <v>1</v>
      </c>
      <c r="C84" s="186">
        <f ca="1">IFERROR(__xludf.DUMMYFUNCTION("MIN(FILTER('All Scores'!AI$2:AI$1024, ('All Scores'!AJ$2:AJ$1024 = A84) + ('All Scores'!AK$2:AK$1024 = A84)))"),7)</f>
        <v>7</v>
      </c>
      <c r="D84" s="187">
        <f ca="1">IFERROR(__xludf.DUMMYFUNCTION("AVERAGE(FILTER('All Scores'!AI$2:AI$1024, ('All Scores'!AJ$2:AJ$1024 = A84) + ('All Scores'!AK$2:AK$1024 = A84))
)
"),7)</f>
        <v>7</v>
      </c>
      <c r="E84" s="6">
        <f ca="1">IFERROR(__xludf.DUMMYFUNCTION("SUM(FILTER('All Scores'!AF$2:AF$1024, ('All Scores'!AJ$2:AJ$1024 = A84) + ('All Scores'!AK$2:AK$1024 = A84)))
"),66)</f>
        <v>66</v>
      </c>
      <c r="F84" s="6">
        <f ca="1">IFERROR(__xludf.DUMMYFUNCTION("SUM(FILTER('All Scores'!AD$2:AD$1024, ('All Scores'!AJ$2:AJ$1024 = A84) + ('All Scores'!AK$2:AK$1024 = A84)))
"),38)</f>
        <v>38</v>
      </c>
      <c r="G84" s="21">
        <f t="shared" ca="1" si="0"/>
        <v>0.5757575757575758</v>
      </c>
      <c r="H84" s="169"/>
      <c r="I84" s="169"/>
      <c r="J84" s="6"/>
      <c r="K84" s="188"/>
      <c r="L84" s="189"/>
      <c r="M84" s="189"/>
      <c r="N84" s="6"/>
      <c r="O84" s="6"/>
      <c r="P84" s="6"/>
      <c r="Q84" s="169"/>
      <c r="R84" s="6"/>
      <c r="S84" s="6"/>
      <c r="T84" s="169"/>
      <c r="U84" s="6"/>
      <c r="V84" s="169"/>
      <c r="W84" s="169"/>
      <c r="X84" s="169"/>
      <c r="Y84" s="169"/>
      <c r="Z84" s="169"/>
      <c r="AA84" s="169"/>
      <c r="AB84" s="169"/>
      <c r="AC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69"/>
      <c r="AN84" s="169"/>
      <c r="AO84" s="169"/>
      <c r="AP84" s="169"/>
      <c r="AQ84" s="169"/>
      <c r="AR84" s="169"/>
    </row>
    <row r="85" spans="1:44" ht="12.5">
      <c r="A85" s="169" t="str">
        <f ca="1">IFERROR(__xludf.DUMMYFUNCTION("""COMPUTED_VALUE"""),"Chip Walsh")</f>
        <v>Chip Walsh</v>
      </c>
      <c r="B85" s="186">
        <f ca="1">COUNTIF('All Scores'!AJ:AK,A85)</f>
        <v>1</v>
      </c>
      <c r="C85" s="186">
        <f ca="1">IFERROR(__xludf.DUMMYFUNCTION("MIN(FILTER('All Scores'!AI$2:AI$1024, ('All Scores'!AJ$2:AJ$1024 = A85) + ('All Scores'!AK$2:AK$1024 = A85)))"),8)</f>
        <v>8</v>
      </c>
      <c r="D85" s="187">
        <f ca="1">IFERROR(__xludf.DUMMYFUNCTION("AVERAGE(FILTER('All Scores'!AI$2:AI$1024, ('All Scores'!AJ$2:AJ$1024 = A85) + ('All Scores'!AK$2:AK$1024 = A85))
)
"),8)</f>
        <v>8</v>
      </c>
      <c r="E85" s="6">
        <f ca="1">IFERROR(__xludf.DUMMYFUNCTION("SUM(FILTER('All Scores'!AF$2:AF$1024, ('All Scores'!AJ$2:AJ$1024 = A85) + ('All Scores'!AK$2:AK$1024 = A85)))
"),76)</f>
        <v>76</v>
      </c>
      <c r="F85" s="6">
        <f ca="1">IFERROR(__xludf.DUMMYFUNCTION("SUM(FILTER('All Scores'!AD$2:AD$1024, ('All Scores'!AJ$2:AJ$1024 = A85) + ('All Scores'!AK$2:AK$1024 = A85)))
"),39)</f>
        <v>39</v>
      </c>
      <c r="G85" s="21">
        <f t="shared" ca="1" si="0"/>
        <v>0.51315789473684215</v>
      </c>
      <c r="H85" s="169"/>
      <c r="I85" s="169"/>
      <c r="J85" s="6"/>
      <c r="K85" s="188"/>
      <c r="L85" s="189"/>
      <c r="M85" s="189"/>
      <c r="N85" s="6"/>
      <c r="O85" s="6"/>
      <c r="P85" s="6"/>
      <c r="Q85" s="169"/>
      <c r="R85" s="6"/>
      <c r="S85" s="6"/>
      <c r="T85" s="169"/>
      <c r="U85" s="6"/>
      <c r="V85" s="169"/>
      <c r="W85" s="169"/>
      <c r="X85" s="169"/>
      <c r="Y85" s="169"/>
      <c r="Z85" s="169"/>
      <c r="AA85" s="169"/>
      <c r="AB85" s="169"/>
      <c r="AC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</row>
    <row r="86" spans="1:44" ht="12.5">
      <c r="A86" s="169" t="str">
        <f ca="1">IFERROR(__xludf.DUMMYFUNCTION("""COMPUTED_VALUE"""),"Chris Constant")</f>
        <v>Chris Constant</v>
      </c>
      <c r="B86" s="186">
        <f ca="1">COUNTIF('All Scores'!AJ:AK,A86)</f>
        <v>1</v>
      </c>
      <c r="C86" s="186">
        <f ca="1">IFERROR(__xludf.DUMMYFUNCTION("MIN(FILTER('All Scores'!AI$2:AI$1024, ('All Scores'!AJ$2:AJ$1024 = A86) + ('All Scores'!AK$2:AK$1024 = A86)))"),13)</f>
        <v>13</v>
      </c>
      <c r="D86" s="187">
        <f ca="1">IFERROR(__xludf.DUMMYFUNCTION("AVERAGE(FILTER('All Scores'!AI$2:AI$1024, ('All Scores'!AJ$2:AJ$1024 = A86) + ('All Scores'!AK$2:AK$1024 = A86))
)
"),13)</f>
        <v>13</v>
      </c>
      <c r="E86" s="6">
        <f ca="1">IFERROR(__xludf.DUMMYFUNCTION("SUM(FILTER('All Scores'!AF$2:AF$1024, ('All Scores'!AJ$2:AJ$1024 = A86) + ('All Scores'!AK$2:AK$1024 = A86)))
"),49)</f>
        <v>49</v>
      </c>
      <c r="F86" s="6">
        <f ca="1">IFERROR(__xludf.DUMMYFUNCTION("SUM(FILTER('All Scores'!AD$2:AD$1024, ('All Scores'!AJ$2:AJ$1024 = A86) + ('All Scores'!AK$2:AK$1024 = A86)))
"),21)</f>
        <v>21</v>
      </c>
      <c r="G86" s="21">
        <f t="shared" ca="1" si="0"/>
        <v>0.42857142857142855</v>
      </c>
      <c r="H86" s="169"/>
      <c r="I86" s="169"/>
      <c r="J86" s="6"/>
      <c r="K86" s="188"/>
      <c r="L86" s="189"/>
      <c r="M86" s="189"/>
      <c r="N86" s="6"/>
      <c r="O86" s="6"/>
      <c r="P86" s="6"/>
      <c r="Q86" s="169"/>
      <c r="R86" s="6"/>
      <c r="S86" s="6"/>
      <c r="T86" s="169"/>
      <c r="U86" s="6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  <c r="AN86" s="169"/>
      <c r="AO86" s="169"/>
      <c r="AP86" s="169"/>
      <c r="AQ86" s="169"/>
      <c r="AR86" s="169"/>
    </row>
    <row r="87" spans="1:44" ht="12.5">
      <c r="A87" s="169" t="str">
        <f ca="1">IFERROR(__xludf.DUMMYFUNCTION("""COMPUTED_VALUE"""),"Chris Long")</f>
        <v>Chris Long</v>
      </c>
      <c r="B87" s="186">
        <f ca="1">COUNTIF('All Scores'!AJ:AK,A87)</f>
        <v>1</v>
      </c>
      <c r="C87" s="186">
        <f ca="1">IFERROR(__xludf.DUMMYFUNCTION("MIN(FILTER('All Scores'!AI$2:AI$1024, ('All Scores'!AJ$2:AJ$1024 = A87) + ('All Scores'!AK$2:AK$1024 = A87)))"),10)</f>
        <v>10</v>
      </c>
      <c r="D87" s="187">
        <f ca="1">IFERROR(__xludf.DUMMYFUNCTION("AVERAGE(FILTER('All Scores'!AI$2:AI$1024, ('All Scores'!AJ$2:AJ$1024 = A87) + ('All Scores'!AK$2:AK$1024 = A87))
)
"),10)</f>
        <v>10</v>
      </c>
      <c r="E87" s="6">
        <f ca="1">IFERROR(__xludf.DUMMYFUNCTION("SUM(FILTER('All Scores'!AF$2:AF$1024, ('All Scores'!AJ$2:AJ$1024 = A87) + ('All Scores'!AK$2:AK$1024 = A87)))
"),76)</f>
        <v>76</v>
      </c>
      <c r="F87" s="6">
        <f ca="1">IFERROR(__xludf.DUMMYFUNCTION("SUM(FILTER('All Scores'!AD$2:AD$1024, ('All Scores'!AJ$2:AJ$1024 = A87) + ('All Scores'!AK$2:AK$1024 = A87)))
"),36)</f>
        <v>36</v>
      </c>
      <c r="G87" s="21">
        <f t="shared" ca="1" si="0"/>
        <v>0.47368421052631576</v>
      </c>
      <c r="H87" s="169"/>
      <c r="I87" s="169"/>
      <c r="J87" s="6"/>
      <c r="K87" s="188"/>
      <c r="L87" s="189"/>
      <c r="M87" s="189"/>
      <c r="N87" s="6"/>
      <c r="O87" s="6"/>
      <c r="P87" s="6"/>
      <c r="Q87" s="169"/>
      <c r="R87" s="6"/>
      <c r="S87" s="6"/>
      <c r="T87" s="169"/>
      <c r="U87" s="6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69"/>
      <c r="AR87" s="169"/>
    </row>
    <row r="88" spans="1:44" ht="12.5">
      <c r="A88" s="169" t="str">
        <f ca="1">IFERROR(__xludf.DUMMYFUNCTION("""COMPUTED_VALUE"""),"Chris Lyon")</f>
        <v>Chris Lyon</v>
      </c>
      <c r="B88" s="186">
        <f ca="1">COUNTIF('All Scores'!AJ:AK,A88)</f>
        <v>6</v>
      </c>
      <c r="C88" s="186">
        <f ca="1">IFERROR(__xludf.DUMMYFUNCTION("MIN(FILTER('All Scores'!AI$2:AI$1024, ('All Scores'!AJ$2:AJ$1024 = A88) + ('All Scores'!AK$2:AK$1024 = A88)))"),2)</f>
        <v>2</v>
      </c>
      <c r="D88" s="187">
        <f ca="1">IFERROR(__xludf.DUMMYFUNCTION("AVERAGE(FILTER('All Scores'!AI$2:AI$1024, ('All Scores'!AJ$2:AJ$1024 = A88) + ('All Scores'!AK$2:AK$1024 = A88))
)
"),6)</f>
        <v>6</v>
      </c>
      <c r="E88" s="6">
        <f ca="1">IFERROR(__xludf.DUMMYFUNCTION("SUM(FILTER('All Scores'!AF$2:AF$1024, ('All Scores'!AJ$2:AJ$1024 = A88) + ('All Scores'!AK$2:AK$1024 = A88)))
"),546)</f>
        <v>546</v>
      </c>
      <c r="F88" s="6">
        <f ca="1">IFERROR(__xludf.DUMMYFUNCTION("SUM(FILTER('All Scores'!AD$2:AD$1024, ('All Scores'!AJ$2:AJ$1024 = A88) + ('All Scores'!AK$2:AK$1024 = A88)))
"),292)</f>
        <v>292</v>
      </c>
      <c r="G88" s="21">
        <f t="shared" ca="1" si="0"/>
        <v>0.53479853479853479</v>
      </c>
      <c r="H88" s="169"/>
      <c r="I88" s="169"/>
      <c r="J88" s="6"/>
      <c r="K88" s="188"/>
      <c r="L88" s="189"/>
      <c r="M88" s="189"/>
      <c r="N88" s="6"/>
      <c r="O88" s="6"/>
      <c r="P88" s="6"/>
      <c r="Q88" s="169"/>
      <c r="R88" s="6"/>
      <c r="S88" s="6"/>
      <c r="T88" s="169"/>
      <c r="U88" s="6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  <c r="AN88" s="169"/>
      <c r="AO88" s="169"/>
      <c r="AP88" s="169"/>
      <c r="AQ88" s="169"/>
      <c r="AR88" s="169"/>
    </row>
    <row r="89" spans="1:44" ht="12.5">
      <c r="A89" s="169" t="str">
        <f ca="1">IFERROR(__xludf.DUMMYFUNCTION("""COMPUTED_VALUE"""),"Christie Meller")</f>
        <v>Christie Meller</v>
      </c>
      <c r="B89" s="186">
        <f ca="1">COUNTIF('All Scores'!AJ:AK,A89)</f>
        <v>6</v>
      </c>
      <c r="C89" s="186">
        <f ca="1">IFERROR(__xludf.DUMMYFUNCTION("MIN(FILTER('All Scores'!AI$2:AI$1024, ('All Scores'!AJ$2:AJ$1024 = A89) + ('All Scores'!AK$2:AK$1024 = A89)))"),1)</f>
        <v>1</v>
      </c>
      <c r="D89" s="187">
        <f ca="1">IFERROR(__xludf.DUMMYFUNCTION("AVERAGE(FILTER('All Scores'!AI$2:AI$1024, ('All Scores'!AJ$2:AJ$1024 = A89) + ('All Scores'!AK$2:AK$1024 = A89))
)
"),11.6666666666666)</f>
        <v>11.6666666666666</v>
      </c>
      <c r="E89" s="6">
        <f ca="1">IFERROR(__xludf.DUMMYFUNCTION("SUM(FILTER('All Scores'!AF$2:AF$1024, ('All Scores'!AJ$2:AJ$1024 = A89) + ('All Scores'!AK$2:AK$1024 = A89)))
"),362)</f>
        <v>362</v>
      </c>
      <c r="F89" s="6">
        <f ca="1">IFERROR(__xludf.DUMMYFUNCTION("SUM(FILTER('All Scores'!AD$2:AD$1024, ('All Scores'!AJ$2:AJ$1024 = A89) + ('All Scores'!AK$2:AK$1024 = A89)))
"),173)</f>
        <v>173</v>
      </c>
      <c r="G89" s="21">
        <f t="shared" ca="1" si="0"/>
        <v>0.47790055248618785</v>
      </c>
      <c r="H89" s="169"/>
      <c r="I89" s="169"/>
      <c r="J89" s="6"/>
      <c r="K89" s="188"/>
      <c r="L89" s="189"/>
      <c r="M89" s="189"/>
      <c r="N89" s="6"/>
      <c r="O89" s="6"/>
      <c r="P89" s="6"/>
      <c r="Q89" s="169"/>
      <c r="R89" s="6"/>
      <c r="S89" s="6"/>
      <c r="T89" s="169"/>
      <c r="U89" s="6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</row>
    <row r="90" spans="1:44" ht="12.5">
      <c r="A90" s="169" t="str">
        <f ca="1">IFERROR(__xludf.DUMMYFUNCTION("""COMPUTED_VALUE"""),"Christine Carle")</f>
        <v>Christine Carle</v>
      </c>
      <c r="B90" s="186">
        <f ca="1">COUNTIF('All Scores'!AJ:AK,A90)</f>
        <v>1</v>
      </c>
      <c r="C90" s="186">
        <f ca="1">IFERROR(__xludf.DUMMYFUNCTION("MIN(FILTER('All Scores'!AI$2:AI$1024, ('All Scores'!AJ$2:AJ$1024 = A90) + ('All Scores'!AK$2:AK$1024 = A90)))"),16)</f>
        <v>16</v>
      </c>
      <c r="D90" s="187">
        <f ca="1">IFERROR(__xludf.DUMMYFUNCTION("AVERAGE(FILTER('All Scores'!AI$2:AI$1024, ('All Scores'!AJ$2:AJ$1024 = A90) + ('All Scores'!AK$2:AK$1024 = A90))
)
"),16)</f>
        <v>16</v>
      </c>
      <c r="E90" s="6">
        <f ca="1">IFERROR(__xludf.DUMMYFUNCTION("SUM(FILTER('All Scores'!AF$2:AF$1024, ('All Scores'!AJ$2:AJ$1024 = A90) + ('All Scores'!AK$2:AK$1024 = A90)))
"),44)</f>
        <v>44</v>
      </c>
      <c r="F90" s="6">
        <f ca="1">IFERROR(__xludf.DUMMYFUNCTION("SUM(FILTER('All Scores'!AD$2:AD$1024, ('All Scores'!AJ$2:AJ$1024 = A90) + ('All Scores'!AK$2:AK$1024 = A90)))
"),11)</f>
        <v>11</v>
      </c>
      <c r="G90" s="21">
        <f t="shared" ca="1" si="0"/>
        <v>0.25</v>
      </c>
      <c r="H90" s="169"/>
      <c r="I90" s="169"/>
      <c r="J90" s="6"/>
      <c r="K90" s="188"/>
      <c r="L90" s="189"/>
      <c r="M90" s="189"/>
      <c r="N90" s="6"/>
      <c r="O90" s="6"/>
      <c r="P90" s="6"/>
      <c r="Q90" s="169"/>
      <c r="R90" s="6"/>
      <c r="S90" s="6"/>
      <c r="T90" s="169"/>
      <c r="U90" s="6"/>
      <c r="V90" s="169"/>
      <c r="W90" s="169"/>
      <c r="X90" s="169"/>
      <c r="Y90" s="169"/>
      <c r="Z90" s="169"/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69"/>
      <c r="AQ90" s="169"/>
      <c r="AR90" s="169"/>
    </row>
    <row r="91" spans="1:44" ht="12.5">
      <c r="A91" s="169" t="str">
        <f ca="1">IFERROR(__xludf.DUMMYFUNCTION("""COMPUTED_VALUE"""),"Christopher Elmore")</f>
        <v>Christopher Elmore</v>
      </c>
      <c r="B91" s="186">
        <f ca="1">COUNTIF('All Scores'!AJ:AK,A91)</f>
        <v>2</v>
      </c>
      <c r="C91" s="186">
        <f ca="1">IFERROR(__xludf.DUMMYFUNCTION("MIN(FILTER('All Scores'!AI$2:AI$1024, ('All Scores'!AJ$2:AJ$1024 = A91) + ('All Scores'!AK$2:AK$1024 = A91)))"),5)</f>
        <v>5</v>
      </c>
      <c r="D91" s="187">
        <f ca="1">IFERROR(__xludf.DUMMYFUNCTION("AVERAGE(FILTER('All Scores'!AI$2:AI$1024, ('All Scores'!AJ$2:AJ$1024 = A91) + ('All Scores'!AK$2:AK$1024 = A91))
)
"),5.5)</f>
        <v>5.5</v>
      </c>
      <c r="E91" s="6">
        <f ca="1">IFERROR(__xludf.DUMMYFUNCTION("SUM(FILTER('All Scores'!AF$2:AF$1024, ('All Scores'!AJ$2:AJ$1024 = A91) + ('All Scores'!AK$2:AK$1024 = A91)))
"),136)</f>
        <v>136</v>
      </c>
      <c r="F91" s="6">
        <f ca="1">IFERROR(__xludf.DUMMYFUNCTION("SUM(FILTER('All Scores'!AD$2:AD$1024, ('All Scores'!AJ$2:AJ$1024 = A91) + ('All Scores'!AK$2:AK$1024 = A91)))
"),76)</f>
        <v>76</v>
      </c>
      <c r="G91" s="21">
        <f t="shared" ca="1" si="0"/>
        <v>0.55882352941176472</v>
      </c>
      <c r="H91" s="169"/>
      <c r="I91" s="169"/>
      <c r="J91" s="6"/>
      <c r="K91" s="188"/>
      <c r="L91" s="189"/>
      <c r="M91" s="189"/>
      <c r="N91" s="6"/>
      <c r="O91" s="6"/>
      <c r="P91" s="6"/>
      <c r="Q91" s="169"/>
      <c r="R91" s="6"/>
      <c r="S91" s="6"/>
      <c r="T91" s="169"/>
      <c r="U91" s="6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</row>
    <row r="92" spans="1:44" ht="12.5">
      <c r="A92" s="169" t="str">
        <f ca="1">IFERROR(__xludf.DUMMYFUNCTION("""COMPUTED_VALUE"""),"Clark Ward")</f>
        <v>Clark Ward</v>
      </c>
      <c r="B92" s="186">
        <f ca="1">COUNTIF('All Scores'!AJ:AK,A92)</f>
        <v>2</v>
      </c>
      <c r="C92" s="186">
        <f ca="1">IFERROR(__xludf.DUMMYFUNCTION("MIN(FILTER('All Scores'!AI$2:AI$1024, ('All Scores'!AJ$2:AJ$1024 = A92) + ('All Scores'!AK$2:AK$1024 = A92)))"),13)</f>
        <v>13</v>
      </c>
      <c r="D92" s="187">
        <f ca="1">IFERROR(__xludf.DUMMYFUNCTION("AVERAGE(FILTER('All Scores'!AI$2:AI$1024, ('All Scores'!AJ$2:AJ$1024 = A92) + ('All Scores'!AK$2:AK$1024 = A92))
)
"),14)</f>
        <v>14</v>
      </c>
      <c r="E92" s="6">
        <f ca="1">IFERROR(__xludf.DUMMYFUNCTION("SUM(FILTER('All Scores'!AF$2:AF$1024, ('All Scores'!AJ$2:AJ$1024 = A92) + ('All Scores'!AK$2:AK$1024 = A92)))
"),97)</f>
        <v>97</v>
      </c>
      <c r="F92" s="6">
        <f ca="1">IFERROR(__xludf.DUMMYFUNCTION("SUM(FILTER('All Scores'!AD$2:AD$1024, ('All Scores'!AJ$2:AJ$1024 = A92) + ('All Scores'!AK$2:AK$1024 = A92)))
"),34)</f>
        <v>34</v>
      </c>
      <c r="G92" s="21">
        <f t="shared" ca="1" si="0"/>
        <v>0.35051546391752575</v>
      </c>
      <c r="H92" s="169"/>
      <c r="I92" s="169"/>
      <c r="J92" s="6"/>
      <c r="K92" s="188"/>
      <c r="L92" s="189"/>
      <c r="M92" s="189"/>
      <c r="N92" s="6"/>
      <c r="O92" s="6"/>
      <c r="P92" s="6"/>
      <c r="Q92" s="169"/>
      <c r="R92" s="6"/>
      <c r="S92" s="6"/>
      <c r="T92" s="169"/>
      <c r="U92" s="6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/>
    </row>
    <row r="93" spans="1:44" ht="12.5">
      <c r="A93" s="169" t="str">
        <f ca="1">IFERROR(__xludf.DUMMYFUNCTION("""COMPUTED_VALUE"""),"Clay Wagenhals")</f>
        <v>Clay Wagenhals</v>
      </c>
      <c r="B93" s="186">
        <f ca="1">COUNTIF('All Scores'!AJ:AK,A93)</f>
        <v>1</v>
      </c>
      <c r="C93" s="186">
        <f ca="1">IFERROR(__xludf.DUMMYFUNCTION("MIN(FILTER('All Scores'!AI$2:AI$1024, ('All Scores'!AJ$2:AJ$1024 = A93) + ('All Scores'!AK$2:AK$1024 = A93)))"),6)</f>
        <v>6</v>
      </c>
      <c r="D93" s="187">
        <f ca="1">IFERROR(__xludf.DUMMYFUNCTION("AVERAGE(FILTER('All Scores'!AI$2:AI$1024, ('All Scores'!AJ$2:AJ$1024 = A93) + ('All Scores'!AK$2:AK$1024 = A93))
)
"),6)</f>
        <v>6</v>
      </c>
      <c r="E93" s="6">
        <f ca="1">IFERROR(__xludf.DUMMYFUNCTION("SUM(FILTER('All Scores'!AF$2:AF$1024, ('All Scores'!AJ$2:AJ$1024 = A93) + ('All Scores'!AK$2:AK$1024 = A93)))
"),86)</f>
        <v>86</v>
      </c>
      <c r="F93" s="6">
        <f ca="1">IFERROR(__xludf.DUMMYFUNCTION("SUM(FILTER('All Scores'!AD$2:AD$1024, ('All Scores'!AJ$2:AJ$1024 = A93) + ('All Scores'!AK$2:AK$1024 = A93)))
"),53)</f>
        <v>53</v>
      </c>
      <c r="G93" s="21">
        <f t="shared" ca="1" si="0"/>
        <v>0.61627906976744184</v>
      </c>
      <c r="H93" s="169"/>
      <c r="I93" s="169"/>
      <c r="J93" s="6"/>
      <c r="K93" s="188"/>
      <c r="L93" s="189"/>
      <c r="M93" s="189"/>
      <c r="N93" s="6"/>
      <c r="O93" s="6"/>
      <c r="P93" s="6"/>
      <c r="Q93" s="169"/>
      <c r="R93" s="6"/>
      <c r="S93" s="6"/>
      <c r="T93" s="169"/>
      <c r="U93" s="6"/>
      <c r="V93" s="169"/>
      <c r="W93" s="169"/>
      <c r="X93" s="169"/>
      <c r="Y93" s="169"/>
      <c r="Z93" s="169"/>
      <c r="AA93" s="169"/>
      <c r="AB93" s="169"/>
      <c r="AC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69"/>
      <c r="AN93" s="169"/>
      <c r="AO93" s="169"/>
      <c r="AP93" s="169"/>
      <c r="AQ93" s="169"/>
      <c r="AR93" s="169"/>
    </row>
    <row r="94" spans="1:44" ht="12.5">
      <c r="A94" s="169" t="str">
        <f ca="1">IFERROR(__xludf.DUMMYFUNCTION("""COMPUTED_VALUE"""),"Connor Callahan")</f>
        <v>Connor Callahan</v>
      </c>
      <c r="B94" s="186">
        <f ca="1">COUNTIF('All Scores'!AJ:AK,A94)</f>
        <v>2</v>
      </c>
      <c r="C94" s="186">
        <f ca="1">IFERROR(__xludf.DUMMYFUNCTION("MIN(FILTER('All Scores'!AI$2:AI$1024, ('All Scores'!AJ$2:AJ$1024 = A94) + ('All Scores'!AK$2:AK$1024 = A94)))"),4)</f>
        <v>4</v>
      </c>
      <c r="D94" s="187">
        <f ca="1">IFERROR(__xludf.DUMMYFUNCTION("AVERAGE(FILTER('All Scores'!AI$2:AI$1024, ('All Scores'!AJ$2:AJ$1024 = A94) + ('All Scores'!AK$2:AK$1024 = A94))
)
"),10)</f>
        <v>10</v>
      </c>
      <c r="E94" s="6">
        <f ca="1">IFERROR(__xludf.DUMMYFUNCTION("SUM(FILTER('All Scores'!AF$2:AF$1024, ('All Scores'!AJ$2:AJ$1024 = A94) + ('All Scores'!AK$2:AK$1024 = A94)))
"),165)</f>
        <v>165</v>
      </c>
      <c r="F94" s="6">
        <f ca="1">IFERROR(__xludf.DUMMYFUNCTION("SUM(FILTER('All Scores'!AD$2:AD$1024, ('All Scores'!AJ$2:AJ$1024 = A94) + ('All Scores'!AK$2:AK$1024 = A94)))
"),67)</f>
        <v>67</v>
      </c>
      <c r="G94" s="21">
        <f t="shared" ca="1" si="0"/>
        <v>0.40606060606060607</v>
      </c>
      <c r="H94" s="169"/>
      <c r="I94" s="169"/>
      <c r="J94" s="6"/>
      <c r="K94" s="188"/>
      <c r="L94" s="189"/>
      <c r="M94" s="189"/>
      <c r="N94" s="6"/>
      <c r="O94" s="6"/>
      <c r="P94" s="6"/>
      <c r="Q94" s="169"/>
      <c r="R94" s="6"/>
      <c r="S94" s="6"/>
      <c r="T94" s="169"/>
      <c r="U94" s="6"/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69"/>
      <c r="AQ94" s="169"/>
      <c r="AR94" s="169"/>
    </row>
    <row r="95" spans="1:44" ht="12.5">
      <c r="A95" s="169" t="str">
        <f ca="1">IFERROR(__xludf.DUMMYFUNCTION("""COMPUTED_VALUE"""),"Cori Cunningham")</f>
        <v>Cori Cunningham</v>
      </c>
      <c r="B95" s="186">
        <f ca="1">COUNTIF('All Scores'!AJ:AK,A95)</f>
        <v>2</v>
      </c>
      <c r="C95" s="186">
        <f ca="1">IFERROR(__xludf.DUMMYFUNCTION("MIN(FILTER('All Scores'!AI$2:AI$1024, ('All Scores'!AJ$2:AJ$1024 = A95) + ('All Scores'!AK$2:AK$1024 = A95)))"),2)</f>
        <v>2</v>
      </c>
      <c r="D95" s="187">
        <f ca="1">IFERROR(__xludf.DUMMYFUNCTION("AVERAGE(FILTER('All Scores'!AI$2:AI$1024, ('All Scores'!AJ$2:AJ$1024 = A95) + ('All Scores'!AK$2:AK$1024 = A95))
)
"),3.5)</f>
        <v>3.5</v>
      </c>
      <c r="E95" s="6">
        <f ca="1">IFERROR(__xludf.DUMMYFUNCTION("SUM(FILTER('All Scores'!AF$2:AF$1024, ('All Scores'!AJ$2:AJ$1024 = A95) + ('All Scores'!AK$2:AK$1024 = A95)))
"),214)</f>
        <v>214</v>
      </c>
      <c r="F95" s="6">
        <f ca="1">IFERROR(__xludf.DUMMYFUNCTION("SUM(FILTER('All Scores'!AD$2:AD$1024, ('All Scores'!AJ$2:AJ$1024 = A95) + ('All Scores'!AK$2:AK$1024 = A95)))
"),123)</f>
        <v>123</v>
      </c>
      <c r="G95" s="21">
        <f t="shared" ca="1" si="0"/>
        <v>0.57476635514018692</v>
      </c>
      <c r="H95" s="169"/>
      <c r="I95" s="169"/>
      <c r="J95" s="6"/>
      <c r="K95" s="188"/>
      <c r="L95" s="189"/>
      <c r="M95" s="189"/>
      <c r="N95" s="6"/>
      <c r="O95" s="6"/>
      <c r="P95" s="6"/>
      <c r="Q95" s="169"/>
      <c r="R95" s="6"/>
      <c r="S95" s="6"/>
      <c r="T95" s="169"/>
      <c r="U95" s="6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</row>
    <row r="96" spans="1:44" ht="12.5">
      <c r="A96" s="169" t="str">
        <f ca="1">IFERROR(__xludf.DUMMYFUNCTION("""COMPUTED_VALUE"""),"Cory Blue")</f>
        <v>Cory Blue</v>
      </c>
      <c r="B96" s="186">
        <f ca="1">COUNTIF('All Scores'!AJ:AK,A96)</f>
        <v>1</v>
      </c>
      <c r="C96" s="186">
        <f ca="1">IFERROR(__xludf.DUMMYFUNCTION("MIN(FILTER('All Scores'!AI$2:AI$1024, ('All Scores'!AJ$2:AJ$1024 = A96) + ('All Scores'!AK$2:AK$1024 = A96)))"),8)</f>
        <v>8</v>
      </c>
      <c r="D96" s="187">
        <f ca="1">IFERROR(__xludf.DUMMYFUNCTION("AVERAGE(FILTER('All Scores'!AI$2:AI$1024, ('All Scores'!AJ$2:AJ$1024 = A96) + ('All Scores'!AK$2:AK$1024 = A96))
)
"),8)</f>
        <v>8</v>
      </c>
      <c r="E96" s="6">
        <f ca="1">IFERROR(__xludf.DUMMYFUNCTION("SUM(FILTER('All Scores'!AF$2:AF$1024, ('All Scores'!AJ$2:AJ$1024 = A96) + ('All Scores'!AK$2:AK$1024 = A96)))
"),79)</f>
        <v>79</v>
      </c>
      <c r="F96" s="6">
        <f ca="1">IFERROR(__xludf.DUMMYFUNCTION("SUM(FILTER('All Scores'!AD$2:AD$1024, ('All Scores'!AJ$2:AJ$1024 = A96) + ('All Scores'!AK$2:AK$1024 = A96)))
"),46)</f>
        <v>46</v>
      </c>
      <c r="G96" s="21">
        <f t="shared" ca="1" si="0"/>
        <v>0.58227848101265822</v>
      </c>
      <c r="H96" s="169"/>
      <c r="I96" s="169"/>
      <c r="J96" s="6"/>
      <c r="K96" s="188"/>
      <c r="L96" s="189"/>
      <c r="M96" s="189"/>
      <c r="N96" s="6"/>
      <c r="O96" s="6"/>
      <c r="P96" s="6"/>
      <c r="Q96" s="169"/>
      <c r="R96" s="6"/>
      <c r="S96" s="6"/>
      <c r="T96" s="169"/>
      <c r="U96" s="6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69"/>
      <c r="AQ96" s="169"/>
      <c r="AR96" s="169"/>
    </row>
    <row r="97" spans="1:44" ht="12.5">
      <c r="A97" s="169" t="str">
        <f ca="1">IFERROR(__xludf.DUMMYFUNCTION("""COMPUTED_VALUE"""),"Cory Hogan")</f>
        <v>Cory Hogan</v>
      </c>
      <c r="B97" s="186">
        <f ca="1">COUNTIF('All Scores'!AJ:AK,A97)</f>
        <v>1</v>
      </c>
      <c r="C97" s="186">
        <f ca="1">IFERROR(__xludf.DUMMYFUNCTION("MIN(FILTER('All Scores'!AI$2:AI$1024, ('All Scores'!AJ$2:AJ$1024 = A97) + ('All Scores'!AK$2:AK$1024 = A97)))"),13)</f>
        <v>13</v>
      </c>
      <c r="D97" s="187">
        <f ca="1">IFERROR(__xludf.DUMMYFUNCTION("AVERAGE(FILTER('All Scores'!AI$2:AI$1024, ('All Scores'!AJ$2:AJ$1024 = A97) + ('All Scores'!AK$2:AK$1024 = A97))
)
"),13)</f>
        <v>13</v>
      </c>
      <c r="E97" s="6">
        <f ca="1">IFERROR(__xludf.DUMMYFUNCTION("SUM(FILTER('All Scores'!AF$2:AF$1024, ('All Scores'!AJ$2:AJ$1024 = A97) + ('All Scores'!AK$2:AK$1024 = A97)))
"),62)</f>
        <v>62</v>
      </c>
      <c r="F97" s="6">
        <f ca="1">IFERROR(__xludf.DUMMYFUNCTION("SUM(FILTER('All Scores'!AD$2:AD$1024, ('All Scores'!AJ$2:AJ$1024 = A97) + ('All Scores'!AK$2:AK$1024 = A97)))
"),18)</f>
        <v>18</v>
      </c>
      <c r="G97" s="21">
        <f t="shared" ca="1" si="0"/>
        <v>0.29032258064516131</v>
      </c>
      <c r="H97" s="169"/>
      <c r="I97" s="169"/>
      <c r="J97" s="6"/>
      <c r="K97" s="188"/>
      <c r="L97" s="189"/>
      <c r="M97" s="189"/>
      <c r="N97" s="6"/>
      <c r="O97" s="6"/>
      <c r="P97" s="6"/>
      <c r="Q97" s="169"/>
      <c r="R97" s="6"/>
      <c r="S97" s="6"/>
      <c r="T97" s="169"/>
      <c r="U97" s="6"/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  <c r="AN97" s="169"/>
      <c r="AO97" s="169"/>
      <c r="AP97" s="169"/>
      <c r="AQ97" s="169"/>
      <c r="AR97" s="169"/>
    </row>
    <row r="98" spans="1:44" ht="12.5">
      <c r="A98" s="169" t="str">
        <f ca="1">IFERROR(__xludf.DUMMYFUNCTION("""COMPUTED_VALUE"""),"Craig Donnelly")</f>
        <v>Craig Donnelly</v>
      </c>
      <c r="B98" s="186">
        <f ca="1">COUNTIF('All Scores'!AJ:AK,A98)</f>
        <v>3</v>
      </c>
      <c r="C98" s="186">
        <f ca="1">IFERROR(__xludf.DUMMYFUNCTION("MIN(FILTER('All Scores'!AI$2:AI$1024, ('All Scores'!AJ$2:AJ$1024 = A98) + ('All Scores'!AK$2:AK$1024 = A98)))"),1)</f>
        <v>1</v>
      </c>
      <c r="D98" s="187">
        <f ca="1">IFERROR(__xludf.DUMMYFUNCTION("AVERAGE(FILTER('All Scores'!AI$2:AI$1024, ('All Scores'!AJ$2:AJ$1024 = A98) + ('All Scores'!AK$2:AK$1024 = A98))
)
"),2.66666666666666)</f>
        <v>2.6666666666666599</v>
      </c>
      <c r="E98" s="6">
        <f ca="1">IFERROR(__xludf.DUMMYFUNCTION("SUM(FILTER('All Scores'!AF$2:AF$1024, ('All Scores'!AJ$2:AJ$1024 = A98) + ('All Scores'!AK$2:AK$1024 = A98)))
"),253)</f>
        <v>253</v>
      </c>
      <c r="F98" s="6">
        <f ca="1">IFERROR(__xludf.DUMMYFUNCTION("SUM(FILTER('All Scores'!AD$2:AD$1024, ('All Scores'!AJ$2:AJ$1024 = A98) + ('All Scores'!AK$2:AK$1024 = A98)))
"),156)</f>
        <v>156</v>
      </c>
      <c r="G98" s="21">
        <f t="shared" ca="1" si="0"/>
        <v>0.61660079051383399</v>
      </c>
      <c r="H98" s="169"/>
      <c r="I98" s="169"/>
      <c r="J98" s="6"/>
      <c r="K98" s="188"/>
      <c r="L98" s="189"/>
      <c r="M98" s="189"/>
      <c r="N98" s="6"/>
      <c r="O98" s="6"/>
      <c r="P98" s="6"/>
      <c r="Q98" s="169"/>
      <c r="R98" s="6"/>
      <c r="S98" s="6"/>
      <c r="T98" s="169"/>
      <c r="U98" s="6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</row>
    <row r="99" spans="1:44" ht="12.5">
      <c r="A99" s="169" t="str">
        <f ca="1">IFERROR(__xludf.DUMMYFUNCTION("""COMPUTED_VALUE"""),"Curtis Stoneman")</f>
        <v>Curtis Stoneman</v>
      </c>
      <c r="B99" s="186">
        <f ca="1">COUNTIF('All Scores'!AJ:AK,A99)</f>
        <v>11</v>
      </c>
      <c r="C99" s="186">
        <f ca="1">IFERROR(__xludf.DUMMYFUNCTION("MIN(FILTER('All Scores'!AI$2:AI$1024, ('All Scores'!AJ$2:AJ$1024 = A99) + ('All Scores'!AK$2:AK$1024 = A99)))"),1)</f>
        <v>1</v>
      </c>
      <c r="D99" s="187">
        <f ca="1">IFERROR(__xludf.DUMMYFUNCTION("AVERAGE(FILTER('All Scores'!AI$2:AI$1024, ('All Scores'!AJ$2:AJ$1024 = A99) + ('All Scores'!AK$2:AK$1024 = A99))
)
"),3.09090909090909)</f>
        <v>3.0909090909090899</v>
      </c>
      <c r="E99" s="6">
        <f ca="1">IFERROR(__xludf.DUMMYFUNCTION("SUM(FILTER('All Scores'!AF$2:AF$1024, ('All Scores'!AJ$2:AJ$1024 = A99) + ('All Scores'!AK$2:AK$1024 = A99)))
"),1113)</f>
        <v>1113</v>
      </c>
      <c r="F99" s="6">
        <f ca="1">IFERROR(__xludf.DUMMYFUNCTION("SUM(FILTER('All Scores'!AD$2:AD$1024, ('All Scores'!AJ$2:AJ$1024 = A99) + ('All Scores'!AK$2:AK$1024 = A99)))
"),675)</f>
        <v>675</v>
      </c>
      <c r="G99" s="21">
        <f t="shared" ca="1" si="0"/>
        <v>0.60646900269541781</v>
      </c>
      <c r="H99" s="169"/>
      <c r="I99" s="169"/>
      <c r="J99" s="6"/>
      <c r="K99" s="188"/>
      <c r="L99" s="189"/>
      <c r="M99" s="189"/>
      <c r="N99" s="6"/>
      <c r="O99" s="6"/>
      <c r="P99" s="6"/>
      <c r="Q99" s="169"/>
      <c r="R99" s="6"/>
      <c r="S99" s="6"/>
      <c r="T99" s="169"/>
      <c r="U99" s="6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69"/>
      <c r="AQ99" s="169"/>
      <c r="AR99" s="169"/>
    </row>
    <row r="100" spans="1:44" ht="12.5">
      <c r="A100" s="169" t="str">
        <f ca="1">IFERROR(__xludf.DUMMYFUNCTION("""COMPUTED_VALUE"""),"Cynthia Caldwell")</f>
        <v>Cynthia Caldwell</v>
      </c>
      <c r="B100" s="186">
        <f ca="1">COUNTIF('All Scores'!AJ:AK,A100)</f>
        <v>1</v>
      </c>
      <c r="C100" s="186">
        <f ca="1">IFERROR(__xludf.DUMMYFUNCTION("MIN(FILTER('All Scores'!AI$2:AI$1024, ('All Scores'!AJ$2:AJ$1024 = A100) + ('All Scores'!AK$2:AK$1024 = A100)))"),5)</f>
        <v>5</v>
      </c>
      <c r="D100" s="187">
        <f ca="1">IFERROR(__xludf.DUMMYFUNCTION("AVERAGE(FILTER('All Scores'!AI$2:AI$1024, ('All Scores'!AJ$2:AJ$1024 = A100) + ('All Scores'!AK$2:AK$1024 = A100))
)
"),5)</f>
        <v>5</v>
      </c>
      <c r="E100" s="6">
        <f ca="1">IFERROR(__xludf.DUMMYFUNCTION("SUM(FILTER('All Scores'!AF$2:AF$1024, ('All Scores'!AJ$2:AJ$1024 = A100) + ('All Scores'!AK$2:AK$1024 = A100)))
"),85)</f>
        <v>85</v>
      </c>
      <c r="F100" s="6">
        <f ca="1">IFERROR(__xludf.DUMMYFUNCTION("SUM(FILTER('All Scores'!AD$2:AD$1024, ('All Scores'!AJ$2:AJ$1024 = A100) + ('All Scores'!AK$2:AK$1024 = A100)))
"),45)</f>
        <v>45</v>
      </c>
      <c r="G100" s="21">
        <f t="shared" ca="1" si="0"/>
        <v>0.52941176470588236</v>
      </c>
      <c r="H100" s="169"/>
      <c r="I100" s="169"/>
      <c r="J100" s="6"/>
      <c r="K100" s="188"/>
      <c r="L100" s="189"/>
      <c r="M100" s="189"/>
      <c r="N100" s="6"/>
      <c r="O100" s="6"/>
      <c r="P100" s="6"/>
      <c r="Q100" s="169"/>
      <c r="R100" s="6"/>
      <c r="S100" s="6"/>
      <c r="T100" s="169"/>
      <c r="U100" s="6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  <c r="AN100" s="169"/>
      <c r="AO100" s="169"/>
      <c r="AP100" s="169"/>
      <c r="AQ100" s="169"/>
      <c r="AR100" s="169"/>
    </row>
    <row r="101" spans="1:44" ht="12.5">
      <c r="A101" s="169" t="str">
        <f ca="1">IFERROR(__xludf.DUMMYFUNCTION("""COMPUTED_VALUE"""),"Cynthia Gerdes")</f>
        <v>Cynthia Gerdes</v>
      </c>
      <c r="B101" s="186">
        <f ca="1">COUNTIF('All Scores'!AJ:AK,A101)</f>
        <v>1</v>
      </c>
      <c r="C101" s="186">
        <f ca="1">IFERROR(__xludf.DUMMYFUNCTION("MIN(FILTER('All Scores'!AI$2:AI$1024, ('All Scores'!AJ$2:AJ$1024 = A101) + ('All Scores'!AK$2:AK$1024 = A101)))"),6)</f>
        <v>6</v>
      </c>
      <c r="D101" s="187">
        <f ca="1">IFERROR(__xludf.DUMMYFUNCTION("AVERAGE(FILTER('All Scores'!AI$2:AI$1024, ('All Scores'!AJ$2:AJ$1024 = A101) + ('All Scores'!AK$2:AK$1024 = A101))
)
"),6)</f>
        <v>6</v>
      </c>
      <c r="E101" s="6">
        <f ca="1">IFERROR(__xludf.DUMMYFUNCTION("SUM(FILTER('All Scores'!AF$2:AF$1024, ('All Scores'!AJ$2:AJ$1024 = A101) + ('All Scores'!AK$2:AK$1024 = A101)))
"),83)</f>
        <v>83</v>
      </c>
      <c r="F101" s="6">
        <f ca="1">IFERROR(__xludf.DUMMYFUNCTION("SUM(FILTER('All Scores'!AD$2:AD$1024, ('All Scores'!AJ$2:AJ$1024 = A101) + ('All Scores'!AK$2:AK$1024 = A101)))
"),43)</f>
        <v>43</v>
      </c>
      <c r="G101" s="21">
        <f t="shared" ca="1" si="0"/>
        <v>0.51807228915662651</v>
      </c>
      <c r="H101" s="169"/>
      <c r="I101" s="169"/>
      <c r="J101" s="6"/>
      <c r="K101" s="188"/>
      <c r="L101" s="189"/>
      <c r="M101" s="189"/>
      <c r="N101" s="6"/>
      <c r="O101" s="6"/>
      <c r="P101" s="6"/>
      <c r="Q101" s="169"/>
      <c r="R101" s="6"/>
      <c r="S101" s="6"/>
      <c r="T101" s="169"/>
      <c r="U101" s="6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69"/>
      <c r="AN101" s="169"/>
      <c r="AO101" s="169"/>
      <c r="AP101" s="169"/>
      <c r="AQ101" s="169"/>
      <c r="AR101" s="169"/>
    </row>
    <row r="102" spans="1:44" ht="12.5">
      <c r="A102" s="169" t="str">
        <f ca="1">IFERROR(__xludf.DUMMYFUNCTION("""COMPUTED_VALUE"""),"Cynthia Machael")</f>
        <v>Cynthia Machael</v>
      </c>
      <c r="B102" s="186">
        <f ca="1">COUNTIF('All Scores'!AJ:AK,A102)</f>
        <v>1</v>
      </c>
      <c r="C102" s="186">
        <f ca="1">IFERROR(__xludf.DUMMYFUNCTION("MIN(FILTER('All Scores'!AI$2:AI$1024, ('All Scores'!AJ$2:AJ$1024 = A102) + ('All Scores'!AK$2:AK$1024 = A102)))"),4)</f>
        <v>4</v>
      </c>
      <c r="D102" s="187">
        <f ca="1">IFERROR(__xludf.DUMMYFUNCTION("AVERAGE(FILTER('All Scores'!AI$2:AI$1024, ('All Scores'!AJ$2:AJ$1024 = A102) + ('All Scores'!AK$2:AK$1024 = A102))
)
"),4)</f>
        <v>4</v>
      </c>
      <c r="E102" s="6">
        <f ca="1">IFERROR(__xludf.DUMMYFUNCTION("SUM(FILTER('All Scores'!AF$2:AF$1024, ('All Scores'!AJ$2:AJ$1024 = A102) + ('All Scores'!AK$2:AK$1024 = A102)))
"),73)</f>
        <v>73</v>
      </c>
      <c r="F102" s="6">
        <f ca="1">IFERROR(__xludf.DUMMYFUNCTION("SUM(FILTER('All Scores'!AD$2:AD$1024, ('All Scores'!AJ$2:AJ$1024 = A102) + ('All Scores'!AK$2:AK$1024 = A102)))
"),40)</f>
        <v>40</v>
      </c>
      <c r="G102" s="21">
        <f t="shared" ca="1" si="0"/>
        <v>0.54794520547945202</v>
      </c>
      <c r="H102" s="169"/>
      <c r="I102" s="169"/>
      <c r="J102" s="6"/>
      <c r="K102" s="188"/>
      <c r="L102" s="189"/>
      <c r="M102" s="189"/>
      <c r="N102" s="6"/>
      <c r="O102" s="6"/>
      <c r="P102" s="6"/>
      <c r="Q102" s="169"/>
      <c r="R102" s="6"/>
      <c r="S102" s="6"/>
      <c r="T102" s="169"/>
      <c r="U102" s="6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  <c r="AN102" s="169"/>
      <c r="AO102" s="169"/>
      <c r="AP102" s="169"/>
      <c r="AQ102" s="169"/>
      <c r="AR102" s="169"/>
    </row>
    <row r="103" spans="1:44" ht="12.5">
      <c r="A103" s="169" t="str">
        <f ca="1">IFERROR(__xludf.DUMMYFUNCTION("""COMPUTED_VALUE"""),"Cynthia Palmer")</f>
        <v>Cynthia Palmer</v>
      </c>
      <c r="B103" s="186">
        <f ca="1">COUNTIF('All Scores'!AJ:AK,A103)</f>
        <v>1</v>
      </c>
      <c r="C103" s="186">
        <f ca="1">IFERROR(__xludf.DUMMYFUNCTION("MIN(FILTER('All Scores'!AI$2:AI$1024, ('All Scores'!AJ$2:AJ$1024 = A103) + ('All Scores'!AK$2:AK$1024 = A103)))"),27)</f>
        <v>27</v>
      </c>
      <c r="D103" s="187">
        <f ca="1">IFERROR(__xludf.DUMMYFUNCTION("AVERAGE(FILTER('All Scores'!AI$2:AI$1024, ('All Scores'!AJ$2:AJ$1024 = A103) + ('All Scores'!AK$2:AK$1024 = A103))
)
"),27)</f>
        <v>27</v>
      </c>
      <c r="E103" s="6">
        <f ca="1">IFERROR(__xludf.DUMMYFUNCTION("SUM(FILTER('All Scores'!AF$2:AF$1024, ('All Scores'!AJ$2:AJ$1024 = A103) + ('All Scores'!AK$2:AK$1024 = A103)))
"),53)</f>
        <v>53</v>
      </c>
      <c r="F103" s="6">
        <f ca="1">IFERROR(__xludf.DUMMYFUNCTION("SUM(FILTER('All Scores'!AD$2:AD$1024, ('All Scores'!AJ$2:AJ$1024 = A103) + ('All Scores'!AK$2:AK$1024 = A103)))
"),20)</f>
        <v>20</v>
      </c>
      <c r="G103" s="21">
        <f t="shared" ca="1" si="0"/>
        <v>0.37735849056603776</v>
      </c>
      <c r="H103" s="169"/>
      <c r="I103" s="169"/>
      <c r="J103" s="6"/>
      <c r="K103" s="188"/>
      <c r="L103" s="189"/>
      <c r="M103" s="189"/>
      <c r="N103" s="6"/>
      <c r="O103" s="6"/>
      <c r="P103" s="6"/>
      <c r="Q103" s="169"/>
      <c r="R103" s="6"/>
      <c r="S103" s="6"/>
      <c r="T103" s="169"/>
      <c r="U103" s="6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  <c r="AN103" s="169"/>
      <c r="AO103" s="169"/>
      <c r="AP103" s="169"/>
      <c r="AQ103" s="169"/>
      <c r="AR103" s="169"/>
    </row>
    <row r="104" spans="1:44" ht="12.5">
      <c r="A104" s="169" t="str">
        <f ca="1">IFERROR(__xludf.DUMMYFUNCTION("""COMPUTED_VALUE"""),"Dale Wooderson")</f>
        <v>Dale Wooderson</v>
      </c>
      <c r="B104" s="186">
        <f ca="1">COUNTIF('All Scores'!AJ:AK,A104)</f>
        <v>8</v>
      </c>
      <c r="C104" s="186">
        <f ca="1">IFERROR(__xludf.DUMMYFUNCTION("MIN(FILTER('All Scores'!AI$2:AI$1024, ('All Scores'!AJ$2:AJ$1024 = A104) + ('All Scores'!AK$2:AK$1024 = A104)))"),7)</f>
        <v>7</v>
      </c>
      <c r="D104" s="187">
        <f ca="1">IFERROR(__xludf.DUMMYFUNCTION("AVERAGE(FILTER('All Scores'!AI$2:AI$1024, ('All Scores'!AJ$2:AJ$1024 = A104) + ('All Scores'!AK$2:AK$1024 = A104))
)
"),14)</f>
        <v>14</v>
      </c>
      <c r="E104" s="6">
        <f ca="1">IFERROR(__xludf.DUMMYFUNCTION("SUM(FILTER('All Scores'!AF$2:AF$1024, ('All Scores'!AJ$2:AJ$1024 = A104) + ('All Scores'!AK$2:AK$1024 = A104)))
"),479)</f>
        <v>479</v>
      </c>
      <c r="F104" s="6">
        <f ca="1">IFERROR(__xludf.DUMMYFUNCTION("SUM(FILTER('All Scores'!AD$2:AD$1024, ('All Scores'!AJ$2:AJ$1024 = A104) + ('All Scores'!AK$2:AK$1024 = A104)))
"),206)</f>
        <v>206</v>
      </c>
      <c r="G104" s="21">
        <f t="shared" ca="1" si="0"/>
        <v>0.43006263048016702</v>
      </c>
      <c r="H104" s="169"/>
      <c r="I104" s="169"/>
      <c r="J104" s="6"/>
      <c r="K104" s="188"/>
      <c r="L104" s="189"/>
      <c r="M104" s="189"/>
      <c r="N104" s="6"/>
      <c r="O104" s="6"/>
      <c r="P104" s="6"/>
      <c r="Q104" s="169"/>
      <c r="R104" s="6"/>
      <c r="S104" s="6"/>
      <c r="T104" s="169"/>
      <c r="U104" s="6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69"/>
      <c r="AN104" s="169"/>
      <c r="AO104" s="169"/>
      <c r="AP104" s="169"/>
      <c r="AQ104" s="169"/>
      <c r="AR104" s="169"/>
    </row>
    <row r="105" spans="1:44" ht="12.5">
      <c r="A105" s="169" t="str">
        <f ca="1">IFERROR(__xludf.DUMMYFUNCTION("""COMPUTED_VALUE"""),"Dan Gassel")</f>
        <v>Dan Gassel</v>
      </c>
      <c r="B105" s="186">
        <f ca="1">COUNTIF('All Scores'!AJ:AK,A105)</f>
        <v>2</v>
      </c>
      <c r="C105" s="186">
        <f ca="1">IFERROR(__xludf.DUMMYFUNCTION("MIN(FILTER('All Scores'!AI$2:AI$1024, ('All Scores'!AJ$2:AJ$1024 = A105) + ('All Scores'!AK$2:AK$1024 = A105)))"),11)</f>
        <v>11</v>
      </c>
      <c r="D105" s="187">
        <f ca="1">IFERROR(__xludf.DUMMYFUNCTION("AVERAGE(FILTER('All Scores'!AI$2:AI$1024, ('All Scores'!AJ$2:AJ$1024 = A105) + ('All Scores'!AK$2:AK$1024 = A105))
)
"),12.5)</f>
        <v>12.5</v>
      </c>
      <c r="E105" s="6">
        <f ca="1">IFERROR(__xludf.DUMMYFUNCTION("SUM(FILTER('All Scores'!AF$2:AF$1024, ('All Scores'!AJ$2:AJ$1024 = A105) + ('All Scores'!AK$2:AK$1024 = A105)))
"),121)</f>
        <v>121</v>
      </c>
      <c r="F105" s="6">
        <f ca="1">IFERROR(__xludf.DUMMYFUNCTION("SUM(FILTER('All Scores'!AD$2:AD$1024, ('All Scores'!AJ$2:AJ$1024 = A105) + ('All Scores'!AK$2:AK$1024 = A105)))
"),53)</f>
        <v>53</v>
      </c>
      <c r="G105" s="21">
        <f t="shared" ca="1" si="0"/>
        <v>0.43801652892561982</v>
      </c>
      <c r="H105" s="169"/>
      <c r="I105" s="169"/>
      <c r="J105" s="6"/>
      <c r="K105" s="188"/>
      <c r="L105" s="189"/>
      <c r="M105" s="189"/>
      <c r="N105" s="6"/>
      <c r="O105" s="6"/>
      <c r="P105" s="6"/>
      <c r="Q105" s="169"/>
      <c r="R105" s="6"/>
      <c r="S105" s="6"/>
      <c r="T105" s="169"/>
      <c r="U105" s="6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69"/>
      <c r="AN105" s="169"/>
      <c r="AO105" s="169"/>
      <c r="AP105" s="169"/>
      <c r="AQ105" s="169"/>
      <c r="AR105" s="169"/>
    </row>
    <row r="106" spans="1:44" ht="12.5">
      <c r="A106" s="169" t="str">
        <f ca="1">IFERROR(__xludf.DUMMYFUNCTION("""COMPUTED_VALUE"""),"Dane Plummer")</f>
        <v>Dane Plummer</v>
      </c>
      <c r="B106" s="186">
        <f ca="1">COUNTIF('All Scores'!AJ:AK,A106)</f>
        <v>10</v>
      </c>
      <c r="C106" s="186">
        <f ca="1">IFERROR(__xludf.DUMMYFUNCTION("MIN(FILTER('All Scores'!AI$2:AI$1024, ('All Scores'!AJ$2:AJ$1024 = A106) + ('All Scores'!AK$2:AK$1024 = A106)))"),10)</f>
        <v>10</v>
      </c>
      <c r="D106" s="187">
        <f ca="1">IFERROR(__xludf.DUMMYFUNCTION("AVERAGE(FILTER('All Scores'!AI$2:AI$1024, ('All Scores'!AJ$2:AJ$1024 = A106) + ('All Scores'!AK$2:AK$1024 = A106))
)
"),14.9)</f>
        <v>14.9</v>
      </c>
      <c r="E106" s="6">
        <f ca="1">IFERROR(__xludf.DUMMYFUNCTION("SUM(FILTER('All Scores'!AF$2:AF$1024, ('All Scores'!AJ$2:AJ$1024 = A106) + ('All Scores'!AK$2:AK$1024 = A106)))
"),530)</f>
        <v>530</v>
      </c>
      <c r="F106" s="6">
        <f ca="1">IFERROR(__xludf.DUMMYFUNCTION("SUM(FILTER('All Scores'!AD$2:AD$1024, ('All Scores'!AJ$2:AJ$1024 = A106) + ('All Scores'!AK$2:AK$1024 = A106)))
"),203)</f>
        <v>203</v>
      </c>
      <c r="G106" s="21">
        <f t="shared" ca="1" si="0"/>
        <v>0.38301886792452833</v>
      </c>
      <c r="H106" s="169"/>
      <c r="I106" s="169"/>
      <c r="J106" s="6"/>
      <c r="K106" s="188"/>
      <c r="L106" s="189"/>
      <c r="M106" s="189"/>
      <c r="N106" s="6"/>
      <c r="O106" s="6"/>
      <c r="P106" s="6"/>
      <c r="Q106" s="169"/>
      <c r="R106" s="6"/>
      <c r="S106" s="6"/>
      <c r="T106" s="169"/>
      <c r="U106" s="6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69"/>
      <c r="AQ106" s="169"/>
      <c r="AR106" s="169"/>
    </row>
    <row r="107" spans="1:44" ht="12.5">
      <c r="A107" s="169" t="str">
        <f ca="1">IFERROR(__xludf.DUMMYFUNCTION("""COMPUTED_VALUE"""),"Daniel Stroade")</f>
        <v>Daniel Stroade</v>
      </c>
      <c r="B107" s="186">
        <f ca="1">COUNTIF('All Scores'!AJ:AK,A107)</f>
        <v>1</v>
      </c>
      <c r="C107" s="186">
        <f ca="1">IFERROR(__xludf.DUMMYFUNCTION("MIN(FILTER('All Scores'!AI$2:AI$1024, ('All Scores'!AJ$2:AJ$1024 = A107) + ('All Scores'!AK$2:AK$1024 = A107)))"),14)</f>
        <v>14</v>
      </c>
      <c r="D107" s="187">
        <f ca="1">IFERROR(__xludf.DUMMYFUNCTION("AVERAGE(FILTER('All Scores'!AI$2:AI$1024, ('All Scores'!AJ$2:AJ$1024 = A107) + ('All Scores'!AK$2:AK$1024 = A107))
)
"),14)</f>
        <v>14</v>
      </c>
      <c r="E107" s="6">
        <f ca="1">IFERROR(__xludf.DUMMYFUNCTION("SUM(FILTER('All Scores'!AF$2:AF$1024, ('All Scores'!AJ$2:AJ$1024 = A107) + ('All Scores'!AK$2:AK$1024 = A107)))
"),49)</f>
        <v>49</v>
      </c>
      <c r="F107" s="6">
        <f ca="1">IFERROR(__xludf.DUMMYFUNCTION("SUM(FILTER('All Scores'!AD$2:AD$1024, ('All Scores'!AJ$2:AJ$1024 = A107) + ('All Scores'!AK$2:AK$1024 = A107)))
"),16)</f>
        <v>16</v>
      </c>
      <c r="G107" s="21">
        <f t="shared" ca="1" si="0"/>
        <v>0.32653061224489793</v>
      </c>
      <c r="H107" s="169"/>
      <c r="I107" s="169"/>
      <c r="J107" s="6"/>
      <c r="K107" s="188"/>
      <c r="L107" s="189"/>
      <c r="M107" s="189"/>
      <c r="N107" s="6"/>
      <c r="O107" s="6"/>
      <c r="P107" s="6"/>
      <c r="Q107" s="169"/>
      <c r="R107" s="6"/>
      <c r="S107" s="6"/>
      <c r="T107" s="169"/>
      <c r="U107" s="6"/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69"/>
      <c r="AQ107" s="169"/>
      <c r="AR107" s="169"/>
    </row>
    <row r="108" spans="1:44" ht="12.5">
      <c r="A108" s="169" t="str">
        <f ca="1">IFERROR(__xludf.DUMMYFUNCTION("""COMPUTED_VALUE"""),"Danny Ng")</f>
        <v>Danny Ng</v>
      </c>
      <c r="B108" s="186">
        <f ca="1">COUNTIF('All Scores'!AJ:AK,A108)</f>
        <v>18</v>
      </c>
      <c r="C108" s="186">
        <f ca="1">IFERROR(__xludf.DUMMYFUNCTION("MIN(FILTER('All Scores'!AI$2:AI$1024, ('All Scores'!AJ$2:AJ$1024 = A108) + ('All Scores'!AK$2:AK$1024 = A108)))"),1)</f>
        <v>1</v>
      </c>
      <c r="D108" s="187">
        <f ca="1">IFERROR(__xludf.DUMMYFUNCTION("AVERAGE(FILTER('All Scores'!AI$2:AI$1024, ('All Scores'!AJ$2:AJ$1024 = A108) + ('All Scores'!AK$2:AK$1024 = A108))
)
"),8.83333333333333)</f>
        <v>8.8333333333333304</v>
      </c>
      <c r="E108" s="6">
        <f ca="1">IFERROR(__xludf.DUMMYFUNCTION("SUM(FILTER('All Scores'!AF$2:AF$1024, ('All Scores'!AJ$2:AJ$1024 = A108) + ('All Scores'!AK$2:AK$1024 = A108)))
"),1279)</f>
        <v>1279</v>
      </c>
      <c r="F108" s="6">
        <f ca="1">IFERROR(__xludf.DUMMYFUNCTION("SUM(FILTER('All Scores'!AD$2:AD$1024, ('All Scores'!AJ$2:AJ$1024 = A108) + ('All Scores'!AK$2:AK$1024 = A108)))
"),655)</f>
        <v>655</v>
      </c>
      <c r="G108" s="21">
        <f t="shared" ca="1" si="0"/>
        <v>0.51211884284597342</v>
      </c>
      <c r="H108" s="169"/>
      <c r="I108" s="169"/>
      <c r="J108" s="6"/>
      <c r="K108" s="188"/>
      <c r="L108" s="189"/>
      <c r="M108" s="189"/>
      <c r="N108" s="6"/>
      <c r="O108" s="6"/>
      <c r="P108" s="6"/>
      <c r="Q108" s="169"/>
      <c r="R108" s="6"/>
      <c r="S108" s="6"/>
      <c r="T108" s="169"/>
      <c r="U108" s="6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  <c r="AN108" s="169"/>
      <c r="AO108" s="169"/>
      <c r="AP108" s="169"/>
      <c r="AQ108" s="169"/>
      <c r="AR108" s="169"/>
    </row>
    <row r="109" spans="1:44" ht="12.5">
      <c r="A109" s="169" t="str">
        <f ca="1">IFERROR(__xludf.DUMMYFUNCTION("""COMPUTED_VALUE"""),"Darren Hinkle")</f>
        <v>Darren Hinkle</v>
      </c>
      <c r="B109" s="186">
        <f ca="1">COUNTIF('All Scores'!AJ:AK,A109)</f>
        <v>2</v>
      </c>
      <c r="C109" s="186">
        <f ca="1">IFERROR(__xludf.DUMMYFUNCTION("MIN(FILTER('All Scores'!AI$2:AI$1024, ('All Scores'!AJ$2:AJ$1024 = A109) + ('All Scores'!AK$2:AK$1024 = A109)))"),11)</f>
        <v>11</v>
      </c>
      <c r="D109" s="187">
        <f ca="1">IFERROR(__xludf.DUMMYFUNCTION("AVERAGE(FILTER('All Scores'!AI$2:AI$1024, ('All Scores'!AJ$2:AJ$1024 = A109) + ('All Scores'!AK$2:AK$1024 = A109))
)
"),11.5)</f>
        <v>11.5</v>
      </c>
      <c r="E109" s="6">
        <f ca="1">IFERROR(__xludf.DUMMYFUNCTION("SUM(FILTER('All Scores'!AF$2:AF$1024, ('All Scores'!AJ$2:AJ$1024 = A109) + ('All Scores'!AK$2:AK$1024 = A109)))
"),113)</f>
        <v>113</v>
      </c>
      <c r="F109" s="6">
        <f ca="1">IFERROR(__xludf.DUMMYFUNCTION("SUM(FILTER('All Scores'!AD$2:AD$1024, ('All Scores'!AJ$2:AJ$1024 = A109) + ('All Scores'!AK$2:AK$1024 = A109)))
"),50)</f>
        <v>50</v>
      </c>
      <c r="G109" s="21">
        <f t="shared" ca="1" si="0"/>
        <v>0.44247787610619471</v>
      </c>
      <c r="H109" s="169"/>
      <c r="I109" s="169"/>
      <c r="J109" s="6"/>
      <c r="K109" s="188"/>
      <c r="L109" s="189"/>
      <c r="M109" s="189"/>
      <c r="N109" s="6"/>
      <c r="O109" s="6"/>
      <c r="P109" s="6"/>
      <c r="Q109" s="169"/>
      <c r="R109" s="6"/>
      <c r="S109" s="6"/>
      <c r="T109" s="169"/>
      <c r="U109" s="6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69"/>
      <c r="AN109" s="169"/>
      <c r="AO109" s="169"/>
      <c r="AP109" s="169"/>
      <c r="AQ109" s="169"/>
      <c r="AR109" s="169"/>
    </row>
    <row r="110" spans="1:44" ht="12.5">
      <c r="A110" s="169" t="str">
        <f ca="1">IFERROR(__xludf.DUMMYFUNCTION("""COMPUTED_VALUE"""),"Dave Coleman")</f>
        <v>Dave Coleman</v>
      </c>
      <c r="B110" s="186">
        <f ca="1">COUNTIF('All Scores'!AJ:AK,A110)</f>
        <v>3</v>
      </c>
      <c r="C110" s="186">
        <f ca="1">IFERROR(__xludf.DUMMYFUNCTION("MIN(FILTER('All Scores'!AI$2:AI$1024, ('All Scores'!AJ$2:AJ$1024 = A110) + ('All Scores'!AK$2:AK$1024 = A110)))"),11)</f>
        <v>11</v>
      </c>
      <c r="D110" s="187">
        <f ca="1">IFERROR(__xludf.DUMMYFUNCTION("AVERAGE(FILTER('All Scores'!AI$2:AI$1024, ('All Scores'!AJ$2:AJ$1024 = A110) + ('All Scores'!AK$2:AK$1024 = A110))
)
"),17.6666666666666)</f>
        <v>17.6666666666666</v>
      </c>
      <c r="E110" s="6">
        <f ca="1">IFERROR(__xludf.DUMMYFUNCTION("SUM(FILTER('All Scores'!AF$2:AF$1024, ('All Scores'!AJ$2:AJ$1024 = A110) + ('All Scores'!AK$2:AK$1024 = A110)))
"),147)</f>
        <v>147</v>
      </c>
      <c r="F110" s="6">
        <f ca="1">IFERROR(__xludf.DUMMYFUNCTION("SUM(FILTER('All Scores'!AD$2:AD$1024, ('All Scores'!AJ$2:AJ$1024 = A110) + ('All Scores'!AK$2:AK$1024 = A110)))
"),61)</f>
        <v>61</v>
      </c>
      <c r="G110" s="21">
        <f t="shared" ca="1" si="0"/>
        <v>0.41496598639455784</v>
      </c>
      <c r="H110" s="169"/>
      <c r="I110" s="169"/>
      <c r="J110" s="6"/>
      <c r="K110" s="188"/>
      <c r="L110" s="189"/>
      <c r="M110" s="189"/>
      <c r="N110" s="6"/>
      <c r="O110" s="6"/>
      <c r="P110" s="6"/>
      <c r="Q110" s="169"/>
      <c r="R110" s="6"/>
      <c r="S110" s="6"/>
      <c r="T110" s="169"/>
      <c r="U110" s="6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  <c r="AN110" s="169"/>
      <c r="AO110" s="169"/>
      <c r="AP110" s="169"/>
      <c r="AQ110" s="169"/>
      <c r="AR110" s="169"/>
    </row>
    <row r="111" spans="1:44" ht="12.5">
      <c r="A111" s="169" t="str">
        <f ca="1">IFERROR(__xludf.DUMMYFUNCTION("""COMPUTED_VALUE"""),"David Andrew")</f>
        <v>David Andrew</v>
      </c>
      <c r="B111" s="186">
        <f ca="1">COUNTIF('All Scores'!AJ:AK,A111)</f>
        <v>1</v>
      </c>
      <c r="C111" s="186">
        <f ca="1">IFERROR(__xludf.DUMMYFUNCTION("MIN(FILTER('All Scores'!AI$2:AI$1024, ('All Scores'!AJ$2:AJ$1024 = A111) + ('All Scores'!AK$2:AK$1024 = A111)))"),8)</f>
        <v>8</v>
      </c>
      <c r="D111" s="187">
        <f ca="1">IFERROR(__xludf.DUMMYFUNCTION("AVERAGE(FILTER('All Scores'!AI$2:AI$1024, ('All Scores'!AJ$2:AJ$1024 = A111) + ('All Scores'!AK$2:AK$1024 = A111))
)
"),8)</f>
        <v>8</v>
      </c>
      <c r="E111" s="6">
        <f ca="1">IFERROR(__xludf.DUMMYFUNCTION("SUM(FILTER('All Scores'!AF$2:AF$1024, ('All Scores'!AJ$2:AJ$1024 = A111) + ('All Scores'!AK$2:AK$1024 = A111)))
"),64)</f>
        <v>64</v>
      </c>
      <c r="F111" s="6">
        <f ca="1">IFERROR(__xludf.DUMMYFUNCTION("SUM(FILTER('All Scores'!AD$2:AD$1024, ('All Scores'!AJ$2:AJ$1024 = A111) + ('All Scores'!AK$2:AK$1024 = A111)))
"),44)</f>
        <v>44</v>
      </c>
      <c r="G111" s="21">
        <f t="shared" ca="1" si="0"/>
        <v>0.6875</v>
      </c>
      <c r="H111" s="169"/>
      <c r="I111" s="169"/>
      <c r="J111" s="6"/>
      <c r="K111" s="188"/>
      <c r="L111" s="189"/>
      <c r="M111" s="189"/>
      <c r="N111" s="6"/>
      <c r="O111" s="6"/>
      <c r="P111" s="6"/>
      <c r="Q111" s="169"/>
      <c r="R111" s="6"/>
      <c r="S111" s="6"/>
      <c r="T111" s="169"/>
      <c r="U111" s="6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69"/>
      <c r="AQ111" s="169"/>
      <c r="AR111" s="169"/>
    </row>
    <row r="112" spans="1:44" ht="12.5">
      <c r="A112" s="169" t="str">
        <f ca="1">IFERROR(__xludf.DUMMYFUNCTION("""COMPUTED_VALUE"""),"David Duntz")</f>
        <v>David Duntz</v>
      </c>
      <c r="B112" s="186">
        <f ca="1">COUNTIF('All Scores'!AJ:AK,A112)</f>
        <v>1</v>
      </c>
      <c r="C112" s="186">
        <f ca="1">IFERROR(__xludf.DUMMYFUNCTION("MIN(FILTER('All Scores'!AI$2:AI$1024, ('All Scores'!AJ$2:AJ$1024 = A112) + ('All Scores'!AK$2:AK$1024 = A112)))"),3)</f>
        <v>3</v>
      </c>
      <c r="D112" s="187">
        <f ca="1">IFERROR(__xludf.DUMMYFUNCTION("AVERAGE(FILTER('All Scores'!AI$2:AI$1024, ('All Scores'!AJ$2:AJ$1024 = A112) + ('All Scores'!AK$2:AK$1024 = A112))
)
"),3)</f>
        <v>3</v>
      </c>
      <c r="E112" s="6">
        <f ca="1">IFERROR(__xludf.DUMMYFUNCTION("SUM(FILTER('All Scores'!AF$2:AF$1024, ('All Scores'!AJ$2:AJ$1024 = A112) + ('All Scores'!AK$2:AK$1024 = A112)))
"),82)</f>
        <v>82</v>
      </c>
      <c r="F112" s="6">
        <f ca="1">IFERROR(__xludf.DUMMYFUNCTION("SUM(FILTER('All Scores'!AD$2:AD$1024, ('All Scores'!AJ$2:AJ$1024 = A112) + ('All Scores'!AK$2:AK$1024 = A112)))
"),50)</f>
        <v>50</v>
      </c>
      <c r="G112" s="21">
        <f t="shared" ca="1" si="0"/>
        <v>0.6097560975609756</v>
      </c>
      <c r="H112" s="169"/>
      <c r="I112" s="169"/>
      <c r="J112" s="6"/>
      <c r="K112" s="188"/>
      <c r="L112" s="189"/>
      <c r="M112" s="189"/>
      <c r="N112" s="6"/>
      <c r="O112" s="6"/>
      <c r="P112" s="6"/>
      <c r="Q112" s="169"/>
      <c r="R112" s="6"/>
      <c r="S112" s="6"/>
      <c r="T112" s="169"/>
      <c r="U112" s="6"/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  <c r="AN112" s="169"/>
      <c r="AO112" s="169"/>
      <c r="AP112" s="169"/>
      <c r="AQ112" s="169"/>
      <c r="AR112" s="169"/>
    </row>
    <row r="113" spans="1:44" ht="12.5">
      <c r="A113" s="169" t="str">
        <f ca="1">IFERROR(__xludf.DUMMYFUNCTION("""COMPUTED_VALUE"""),"David Garrett")</f>
        <v>David Garrett</v>
      </c>
      <c r="B113" s="186">
        <f ca="1">COUNTIF('All Scores'!AJ:AK,A113)</f>
        <v>3</v>
      </c>
      <c r="C113" s="186">
        <f ca="1">IFERROR(__xludf.DUMMYFUNCTION("MIN(FILTER('All Scores'!AI$2:AI$1024, ('All Scores'!AJ$2:AJ$1024 = A113) + ('All Scores'!AK$2:AK$1024 = A113)))"),8)</f>
        <v>8</v>
      </c>
      <c r="D113" s="187">
        <f ca="1">IFERROR(__xludf.DUMMYFUNCTION("AVERAGE(FILTER('All Scores'!AI$2:AI$1024, ('All Scores'!AJ$2:AJ$1024 = A113) + ('All Scores'!AK$2:AK$1024 = A113))
)
"),16.3333333333333)</f>
        <v>16.3333333333333</v>
      </c>
      <c r="E113" s="6">
        <f ca="1">IFERROR(__xludf.DUMMYFUNCTION("SUM(FILTER('All Scores'!AF$2:AF$1024, ('All Scores'!AJ$2:AJ$1024 = A113) + ('All Scores'!AK$2:AK$1024 = A113)))
"),175)</f>
        <v>175</v>
      </c>
      <c r="F113" s="6">
        <f ca="1">IFERROR(__xludf.DUMMYFUNCTION("SUM(FILTER('All Scores'!AD$2:AD$1024, ('All Scores'!AJ$2:AJ$1024 = A113) + ('All Scores'!AK$2:AK$1024 = A113)))
"),81)</f>
        <v>81</v>
      </c>
      <c r="G113" s="21">
        <f t="shared" ca="1" si="0"/>
        <v>0.46285714285714286</v>
      </c>
      <c r="H113" s="169"/>
      <c r="I113" s="169"/>
      <c r="J113" s="6"/>
      <c r="K113" s="188"/>
      <c r="L113" s="189"/>
      <c r="M113" s="189"/>
      <c r="N113" s="6"/>
      <c r="O113" s="6"/>
      <c r="P113" s="6"/>
      <c r="Q113" s="169"/>
      <c r="R113" s="6"/>
      <c r="S113" s="6"/>
      <c r="T113" s="169"/>
      <c r="U113" s="6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69"/>
      <c r="AN113" s="169"/>
      <c r="AO113" s="169"/>
      <c r="AP113" s="169"/>
      <c r="AQ113" s="169"/>
      <c r="AR113" s="169"/>
    </row>
    <row r="114" spans="1:44" ht="12.5">
      <c r="A114" s="169" t="str">
        <f ca="1">IFERROR(__xludf.DUMMYFUNCTION("""COMPUTED_VALUE"""),"David Keefer")</f>
        <v>David Keefer</v>
      </c>
      <c r="B114" s="186">
        <f ca="1">COUNTIF('All Scores'!AJ:AK,A114)</f>
        <v>2</v>
      </c>
      <c r="C114" s="186">
        <f ca="1">IFERROR(__xludf.DUMMYFUNCTION("MIN(FILTER('All Scores'!AI$2:AI$1024, ('All Scores'!AJ$2:AJ$1024 = A114) + ('All Scores'!AK$2:AK$1024 = A114)))"),11)</f>
        <v>11</v>
      </c>
      <c r="D114" s="187">
        <f ca="1">IFERROR(__xludf.DUMMYFUNCTION("AVERAGE(FILTER('All Scores'!AI$2:AI$1024, ('All Scores'!AJ$2:AJ$1024 = A114) + ('All Scores'!AK$2:AK$1024 = A114))
)
"),12.5)</f>
        <v>12.5</v>
      </c>
      <c r="E114" s="6">
        <f ca="1">IFERROR(__xludf.DUMMYFUNCTION("SUM(FILTER('All Scores'!AF$2:AF$1024, ('All Scores'!AJ$2:AJ$1024 = A114) + ('All Scores'!AK$2:AK$1024 = A114)))
"),132)</f>
        <v>132</v>
      </c>
      <c r="F114" s="6">
        <f ca="1">IFERROR(__xludf.DUMMYFUNCTION("SUM(FILTER('All Scores'!AD$2:AD$1024, ('All Scores'!AJ$2:AJ$1024 = A114) + ('All Scores'!AK$2:AK$1024 = A114)))
"),51)</f>
        <v>51</v>
      </c>
      <c r="G114" s="21">
        <f t="shared" ca="1" si="0"/>
        <v>0.38636363636363635</v>
      </c>
      <c r="H114" s="169"/>
      <c r="I114" s="169"/>
      <c r="J114" s="6"/>
      <c r="K114" s="188"/>
      <c r="L114" s="189"/>
      <c r="M114" s="189"/>
      <c r="N114" s="6"/>
      <c r="O114" s="6"/>
      <c r="P114" s="6"/>
      <c r="Q114" s="169"/>
      <c r="R114" s="6"/>
      <c r="S114" s="6"/>
      <c r="T114" s="169"/>
      <c r="U114" s="6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  <c r="AN114" s="169"/>
      <c r="AO114" s="169"/>
      <c r="AP114" s="169"/>
      <c r="AQ114" s="169"/>
      <c r="AR114" s="169"/>
    </row>
    <row r="115" spans="1:44" ht="12.5">
      <c r="A115" s="169" t="str">
        <f ca="1">IFERROR(__xludf.DUMMYFUNCTION("""COMPUTED_VALUE"""),"David Lapin")</f>
        <v>David Lapin</v>
      </c>
      <c r="B115" s="186">
        <f ca="1">COUNTIF('All Scores'!AJ:AK,A115)</f>
        <v>7</v>
      </c>
      <c r="C115" s="186">
        <f ca="1">IFERROR(__xludf.DUMMYFUNCTION("MIN(FILTER('All Scores'!AI$2:AI$1024, ('All Scores'!AJ$2:AJ$1024 = A115) + ('All Scores'!AK$2:AK$1024 = A115)))"),4)</f>
        <v>4</v>
      </c>
      <c r="D115" s="187">
        <f ca="1">IFERROR(__xludf.DUMMYFUNCTION("AVERAGE(FILTER('All Scores'!AI$2:AI$1024, ('All Scores'!AJ$2:AJ$1024 = A115) + ('All Scores'!AK$2:AK$1024 = A115))
)
"),11.1428571428571)</f>
        <v>11.1428571428571</v>
      </c>
      <c r="E115" s="6">
        <f ca="1">IFERROR(__xludf.DUMMYFUNCTION("SUM(FILTER('All Scores'!AF$2:AF$1024, ('All Scores'!AJ$2:AJ$1024 = A115) + ('All Scores'!AK$2:AK$1024 = A115)))
"),479)</f>
        <v>479</v>
      </c>
      <c r="F115" s="6">
        <f ca="1">IFERROR(__xludf.DUMMYFUNCTION("SUM(FILTER('All Scores'!AD$2:AD$1024, ('All Scores'!AJ$2:AJ$1024 = A115) + ('All Scores'!AK$2:AK$1024 = A115)))
"),231)</f>
        <v>231</v>
      </c>
      <c r="G115" s="21">
        <f t="shared" ca="1" si="0"/>
        <v>0.4822546972860125</v>
      </c>
      <c r="H115" s="169"/>
      <c r="I115" s="169"/>
      <c r="J115" s="6"/>
      <c r="K115" s="188"/>
      <c r="L115" s="189"/>
      <c r="M115" s="189"/>
      <c r="N115" s="6"/>
      <c r="O115" s="6"/>
      <c r="P115" s="6"/>
      <c r="Q115" s="169"/>
      <c r="R115" s="6"/>
      <c r="S115" s="6"/>
      <c r="T115" s="169"/>
      <c r="U115" s="6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69"/>
      <c r="AN115" s="169"/>
      <c r="AO115" s="169"/>
      <c r="AP115" s="169"/>
      <c r="AQ115" s="169"/>
      <c r="AR115" s="169"/>
    </row>
    <row r="116" spans="1:44" ht="12.5">
      <c r="A116" s="169" t="str">
        <f ca="1">IFERROR(__xludf.DUMMYFUNCTION("""COMPUTED_VALUE"""),"David Latzman")</f>
        <v>David Latzman</v>
      </c>
      <c r="B116" s="186">
        <f ca="1">COUNTIF('All Scores'!AJ:AK,A116)</f>
        <v>2</v>
      </c>
      <c r="C116" s="186">
        <f ca="1">IFERROR(__xludf.DUMMYFUNCTION("MIN(FILTER('All Scores'!AI$2:AI$1024, ('All Scores'!AJ$2:AJ$1024 = A116) + ('All Scores'!AK$2:AK$1024 = A116)))"),12)</f>
        <v>12</v>
      </c>
      <c r="D116" s="187">
        <f ca="1">IFERROR(__xludf.DUMMYFUNCTION("AVERAGE(FILTER('All Scores'!AI$2:AI$1024, ('All Scores'!AJ$2:AJ$1024 = A116) + ('All Scores'!AK$2:AK$1024 = A116))
)
"),17.5)</f>
        <v>17.5</v>
      </c>
      <c r="E116" s="6">
        <f ca="1">IFERROR(__xludf.DUMMYFUNCTION("SUM(FILTER('All Scores'!AF$2:AF$1024, ('All Scores'!AJ$2:AJ$1024 = A116) + ('All Scores'!AK$2:AK$1024 = A116)))
"),104)</f>
        <v>104</v>
      </c>
      <c r="F116" s="6">
        <f ca="1">IFERROR(__xludf.DUMMYFUNCTION("SUM(FILTER('All Scores'!AD$2:AD$1024, ('All Scores'!AJ$2:AJ$1024 = A116) + ('All Scores'!AK$2:AK$1024 = A116)))
"),46)</f>
        <v>46</v>
      </c>
      <c r="G116" s="21">
        <f t="shared" ca="1" si="0"/>
        <v>0.44230769230769229</v>
      </c>
      <c r="H116" s="169"/>
      <c r="I116" s="169"/>
      <c r="J116" s="6"/>
      <c r="K116" s="188"/>
      <c r="L116" s="189"/>
      <c r="M116" s="189"/>
      <c r="N116" s="6"/>
      <c r="O116" s="6"/>
      <c r="P116" s="6"/>
      <c r="Q116" s="169"/>
      <c r="R116" s="6"/>
      <c r="S116" s="6"/>
      <c r="T116" s="169"/>
      <c r="U116" s="6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69"/>
      <c r="AN116" s="169"/>
      <c r="AO116" s="169"/>
      <c r="AP116" s="169"/>
      <c r="AQ116" s="169"/>
      <c r="AR116" s="169"/>
    </row>
    <row r="117" spans="1:44" ht="12.5">
      <c r="A117" s="169" t="str">
        <f ca="1">IFERROR(__xludf.DUMMYFUNCTION("""COMPUTED_VALUE"""),"David Weber")</f>
        <v>David Weber</v>
      </c>
      <c r="B117" s="186">
        <f ca="1">COUNTIF('All Scores'!AJ:AK,A117)</f>
        <v>4</v>
      </c>
      <c r="C117" s="186">
        <f ca="1">IFERROR(__xludf.DUMMYFUNCTION("MIN(FILTER('All Scores'!AI$2:AI$1024, ('All Scores'!AJ$2:AJ$1024 = A117) + ('All Scores'!AK$2:AK$1024 = A117)))"),3)</f>
        <v>3</v>
      </c>
      <c r="D117" s="187">
        <f ca="1">IFERROR(__xludf.DUMMYFUNCTION("AVERAGE(FILTER('All Scores'!AI$2:AI$1024, ('All Scores'!AJ$2:AJ$1024 = A117) + ('All Scores'!AK$2:AK$1024 = A117))
)
"),8.25)</f>
        <v>8.25</v>
      </c>
      <c r="E117" s="6">
        <f ca="1">IFERROR(__xludf.DUMMYFUNCTION("SUM(FILTER('All Scores'!AF$2:AF$1024, ('All Scores'!AJ$2:AJ$1024 = A117) + ('All Scores'!AK$2:AK$1024 = A117)))
"),305)</f>
        <v>305</v>
      </c>
      <c r="F117" s="6">
        <f ca="1">IFERROR(__xludf.DUMMYFUNCTION("SUM(FILTER('All Scores'!AD$2:AD$1024, ('All Scores'!AJ$2:AJ$1024 = A117) + ('All Scores'!AK$2:AK$1024 = A117)))
"),157)</f>
        <v>157</v>
      </c>
      <c r="G117" s="21">
        <f t="shared" ca="1" si="0"/>
        <v>0.51475409836065578</v>
      </c>
      <c r="H117" s="169"/>
      <c r="I117" s="169"/>
      <c r="J117" s="6"/>
      <c r="K117" s="188"/>
      <c r="L117" s="189"/>
      <c r="M117" s="189"/>
      <c r="N117" s="6"/>
      <c r="O117" s="6"/>
      <c r="P117" s="6"/>
      <c r="Q117" s="169"/>
      <c r="R117" s="6"/>
      <c r="S117" s="6"/>
      <c r="T117" s="169"/>
      <c r="U117" s="6"/>
      <c r="V117" s="169"/>
      <c r="W117" s="169"/>
      <c r="X117" s="169"/>
      <c r="Y117" s="169"/>
      <c r="Z117" s="169"/>
      <c r="AA117" s="169"/>
      <c r="AB117" s="169"/>
      <c r="AC117" s="169"/>
      <c r="AD117" s="169"/>
      <c r="AE117" s="169"/>
      <c r="AF117" s="169"/>
      <c r="AG117" s="169"/>
      <c r="AH117" s="169"/>
      <c r="AI117" s="169"/>
      <c r="AJ117" s="169"/>
      <c r="AK117" s="169"/>
      <c r="AL117" s="169"/>
      <c r="AM117" s="169"/>
      <c r="AN117" s="169"/>
      <c r="AO117" s="169"/>
      <c r="AP117" s="169"/>
      <c r="AQ117" s="169"/>
      <c r="AR117" s="169"/>
    </row>
    <row r="118" spans="1:44" ht="12.5">
      <c r="A118" s="169" t="str">
        <f ca="1">IFERROR(__xludf.DUMMYFUNCTION("""COMPUTED_VALUE"""),"Debbie Davis")</f>
        <v>Debbie Davis</v>
      </c>
      <c r="B118" s="186">
        <f ca="1">COUNTIF('All Scores'!AJ:AK,A118)</f>
        <v>2</v>
      </c>
      <c r="C118" s="186">
        <f ca="1">IFERROR(__xludf.DUMMYFUNCTION("MIN(FILTER('All Scores'!AI$2:AI$1024, ('All Scores'!AJ$2:AJ$1024 = A118) + ('All Scores'!AK$2:AK$1024 = A118)))"),1)</f>
        <v>1</v>
      </c>
      <c r="D118" s="187">
        <f ca="1">IFERROR(__xludf.DUMMYFUNCTION("AVERAGE(FILTER('All Scores'!AI$2:AI$1024, ('All Scores'!AJ$2:AJ$1024 = A118) + ('All Scores'!AK$2:AK$1024 = A118))
)
"),3)</f>
        <v>3</v>
      </c>
      <c r="E118" s="6">
        <f ca="1">IFERROR(__xludf.DUMMYFUNCTION("SUM(FILTER('All Scores'!AF$2:AF$1024, ('All Scores'!AJ$2:AJ$1024 = A118) + ('All Scores'!AK$2:AK$1024 = A118)))
"),181)</f>
        <v>181</v>
      </c>
      <c r="F118" s="6">
        <f ca="1">IFERROR(__xludf.DUMMYFUNCTION("SUM(FILTER('All Scores'!AD$2:AD$1024, ('All Scores'!AJ$2:AJ$1024 = A118) + ('All Scores'!AK$2:AK$1024 = A118)))
"),117)</f>
        <v>117</v>
      </c>
      <c r="G118" s="21">
        <f t="shared" ca="1" si="0"/>
        <v>0.64640883977900554</v>
      </c>
      <c r="H118" s="169"/>
      <c r="I118" s="169"/>
      <c r="J118" s="6"/>
      <c r="K118" s="188"/>
      <c r="L118" s="189"/>
      <c r="M118" s="189"/>
      <c r="N118" s="6"/>
      <c r="O118" s="6"/>
      <c r="P118" s="6"/>
      <c r="Q118" s="169"/>
      <c r="R118" s="6"/>
      <c r="S118" s="6"/>
      <c r="T118" s="169"/>
      <c r="U118" s="6"/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  <c r="AO118" s="169"/>
      <c r="AP118" s="169"/>
      <c r="AQ118" s="169"/>
      <c r="AR118" s="169"/>
    </row>
    <row r="119" spans="1:44" ht="12.5">
      <c r="A119" s="169" t="str">
        <f ca="1">IFERROR(__xludf.DUMMYFUNCTION("""COMPUTED_VALUE"""),"Debbie Don")</f>
        <v>Debbie Don</v>
      </c>
      <c r="B119" s="186">
        <f ca="1">COUNTIF('All Scores'!AJ:AK,A119)</f>
        <v>3</v>
      </c>
      <c r="C119" s="186">
        <f ca="1">IFERROR(__xludf.DUMMYFUNCTION("MIN(FILTER('All Scores'!AI$2:AI$1024, ('All Scores'!AJ$2:AJ$1024 = A119) + ('All Scores'!AK$2:AK$1024 = A119)))"),3)</f>
        <v>3</v>
      </c>
      <c r="D119" s="187">
        <f ca="1">IFERROR(__xludf.DUMMYFUNCTION("AVERAGE(FILTER('All Scores'!AI$2:AI$1024, ('All Scores'!AJ$2:AJ$1024 = A119) + ('All Scores'!AK$2:AK$1024 = A119))
)
"),9)</f>
        <v>9</v>
      </c>
      <c r="E119" s="6">
        <f ca="1">IFERROR(__xludf.DUMMYFUNCTION("SUM(FILTER('All Scores'!AF$2:AF$1024, ('All Scores'!AJ$2:AJ$1024 = A119) + ('All Scores'!AK$2:AK$1024 = A119)))
"),208)</f>
        <v>208</v>
      </c>
      <c r="F119" s="6">
        <f ca="1">IFERROR(__xludf.DUMMYFUNCTION("SUM(FILTER('All Scores'!AD$2:AD$1024, ('All Scores'!AJ$2:AJ$1024 = A119) + ('All Scores'!AK$2:AK$1024 = A119)))
"),106)</f>
        <v>106</v>
      </c>
      <c r="G119" s="21">
        <f t="shared" ca="1" si="0"/>
        <v>0.50961538461538458</v>
      </c>
      <c r="H119" s="169"/>
      <c r="I119" s="169"/>
      <c r="J119" s="6"/>
      <c r="K119" s="188"/>
      <c r="L119" s="189"/>
      <c r="M119" s="189"/>
      <c r="N119" s="6"/>
      <c r="O119" s="6"/>
      <c r="P119" s="6"/>
      <c r="Q119" s="169"/>
      <c r="R119" s="6"/>
      <c r="S119" s="6"/>
      <c r="T119" s="169"/>
      <c r="U119" s="6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</row>
    <row r="120" spans="1:44" ht="12.5">
      <c r="A120" s="169" t="str">
        <f ca="1">IFERROR(__xludf.DUMMYFUNCTION("""COMPUTED_VALUE"""),"Deborah Weixeldorfer")</f>
        <v>Deborah Weixeldorfer</v>
      </c>
      <c r="B120" s="186">
        <f ca="1">COUNTIF('All Scores'!AJ:AK,A120)</f>
        <v>2</v>
      </c>
      <c r="C120" s="186">
        <f ca="1">IFERROR(__xludf.DUMMYFUNCTION("MIN(FILTER('All Scores'!AI$2:AI$1024, ('All Scores'!AJ$2:AJ$1024 = A120) + ('All Scores'!AK$2:AK$1024 = A120)))"),6)</f>
        <v>6</v>
      </c>
      <c r="D120" s="187">
        <f ca="1">IFERROR(__xludf.DUMMYFUNCTION("AVERAGE(FILTER('All Scores'!AI$2:AI$1024, ('All Scores'!AJ$2:AJ$1024 = A120) + ('All Scores'!AK$2:AK$1024 = A120))
)
"),14.5)</f>
        <v>14.5</v>
      </c>
      <c r="E120" s="6">
        <f ca="1">IFERROR(__xludf.DUMMYFUNCTION("SUM(FILTER('All Scores'!AF$2:AF$1024, ('All Scores'!AJ$2:AJ$1024 = A120) + ('All Scores'!AK$2:AK$1024 = A120)))
"),134)</f>
        <v>134</v>
      </c>
      <c r="F120" s="6">
        <f ca="1">IFERROR(__xludf.DUMMYFUNCTION("SUM(FILTER('All Scores'!AD$2:AD$1024, ('All Scores'!AJ$2:AJ$1024 = A120) + ('All Scores'!AK$2:AK$1024 = A120)))
"),75)</f>
        <v>75</v>
      </c>
      <c r="G120" s="21">
        <f t="shared" ca="1" si="0"/>
        <v>0.55970149253731338</v>
      </c>
      <c r="H120" s="169"/>
      <c r="I120" s="169"/>
      <c r="J120" s="6"/>
      <c r="K120" s="188"/>
      <c r="L120" s="189"/>
      <c r="M120" s="189"/>
      <c r="N120" s="6"/>
      <c r="O120" s="6"/>
      <c r="P120" s="6"/>
      <c r="Q120" s="169"/>
      <c r="R120" s="6"/>
      <c r="S120" s="6"/>
      <c r="T120" s="169"/>
      <c r="U120" s="6"/>
      <c r="V120" s="169"/>
      <c r="W120" s="169"/>
      <c r="X120" s="169"/>
      <c r="Y120" s="169"/>
      <c r="Z120" s="169"/>
      <c r="AA120" s="169"/>
      <c r="AB120" s="169"/>
      <c r="AC120" s="169"/>
      <c r="AD120" s="169"/>
      <c r="AE120" s="169"/>
      <c r="AF120" s="169"/>
      <c r="AG120" s="169"/>
      <c r="AH120" s="169"/>
      <c r="AI120" s="169"/>
      <c r="AJ120" s="169"/>
      <c r="AK120" s="169"/>
      <c r="AL120" s="169"/>
      <c r="AM120" s="169"/>
      <c r="AN120" s="169"/>
      <c r="AO120" s="169"/>
      <c r="AP120" s="169"/>
      <c r="AQ120" s="169"/>
      <c r="AR120" s="169"/>
    </row>
    <row r="121" spans="1:44" ht="12.5">
      <c r="A121" s="169" t="str">
        <f ca="1">IFERROR(__xludf.DUMMYFUNCTION("""COMPUTED_VALUE"""),"Denise Marshall")</f>
        <v>Denise Marshall</v>
      </c>
      <c r="B121" s="186">
        <f ca="1">COUNTIF('All Scores'!AJ:AK,A121)</f>
        <v>1</v>
      </c>
      <c r="C121" s="186">
        <f ca="1">IFERROR(__xludf.DUMMYFUNCTION("MIN(FILTER('All Scores'!AI$2:AI$1024, ('All Scores'!AJ$2:AJ$1024 = A121) + ('All Scores'!AK$2:AK$1024 = A121)))"),21)</f>
        <v>21</v>
      </c>
      <c r="D121" s="187">
        <f ca="1">IFERROR(__xludf.DUMMYFUNCTION("AVERAGE(FILTER('All Scores'!AI$2:AI$1024, ('All Scores'!AJ$2:AJ$1024 = A121) + ('All Scores'!AK$2:AK$1024 = A121))
)
"),21)</f>
        <v>21</v>
      </c>
      <c r="E121" s="6">
        <f ca="1">IFERROR(__xludf.DUMMYFUNCTION("SUM(FILTER('All Scores'!AF$2:AF$1024, ('All Scores'!AJ$2:AJ$1024 = A121) + ('All Scores'!AK$2:AK$1024 = A121)))
"),54)</f>
        <v>54</v>
      </c>
      <c r="F121" s="6">
        <f ca="1">IFERROR(__xludf.DUMMYFUNCTION("SUM(FILTER('All Scores'!AD$2:AD$1024, ('All Scores'!AJ$2:AJ$1024 = A121) + ('All Scores'!AK$2:AK$1024 = A121)))
"),23)</f>
        <v>23</v>
      </c>
      <c r="G121" s="21">
        <f t="shared" ca="1" si="0"/>
        <v>0.42592592592592593</v>
      </c>
      <c r="H121" s="169"/>
      <c r="I121" s="169"/>
      <c r="J121" s="6"/>
      <c r="K121" s="188"/>
      <c r="L121" s="189"/>
      <c r="M121" s="189"/>
      <c r="N121" s="6"/>
      <c r="O121" s="6"/>
      <c r="P121" s="6"/>
      <c r="Q121" s="169"/>
      <c r="R121" s="6"/>
      <c r="S121" s="6"/>
      <c r="T121" s="169"/>
      <c r="U121" s="6"/>
      <c r="V121" s="169"/>
      <c r="W121" s="169"/>
      <c r="X121" s="169"/>
      <c r="Y121" s="169"/>
      <c r="Z121" s="169"/>
      <c r="AA121" s="169"/>
      <c r="AB121" s="169"/>
      <c r="AC121" s="169"/>
      <c r="AD121" s="169"/>
      <c r="AE121" s="169"/>
      <c r="AF121" s="169"/>
      <c r="AG121" s="169"/>
      <c r="AH121" s="169"/>
      <c r="AI121" s="169"/>
      <c r="AJ121" s="169"/>
      <c r="AK121" s="169"/>
      <c r="AL121" s="169"/>
      <c r="AM121" s="169"/>
      <c r="AN121" s="169"/>
      <c r="AO121" s="169"/>
      <c r="AP121" s="169"/>
      <c r="AQ121" s="169"/>
      <c r="AR121" s="169"/>
    </row>
    <row r="122" spans="1:44" ht="12.5">
      <c r="A122" s="169" t="str">
        <f ca="1">IFERROR(__xludf.DUMMYFUNCTION("""COMPUTED_VALUE"""),"Dennis Radio")</f>
        <v>Dennis Radio</v>
      </c>
      <c r="B122" s="186">
        <f ca="1">COUNTIF('All Scores'!AJ:AK,A122)</f>
        <v>5</v>
      </c>
      <c r="C122" s="186">
        <f ca="1">IFERROR(__xludf.DUMMYFUNCTION("MIN(FILTER('All Scores'!AI$2:AI$1024, ('All Scores'!AJ$2:AJ$1024 = A122) + ('All Scores'!AK$2:AK$1024 = A122)))"),13)</f>
        <v>13</v>
      </c>
      <c r="D122" s="187">
        <f ca="1">IFERROR(__xludf.DUMMYFUNCTION("AVERAGE(FILTER('All Scores'!AI$2:AI$1024, ('All Scores'!AJ$2:AJ$1024 = A122) + ('All Scores'!AK$2:AK$1024 = A122))
)
"),19.2)</f>
        <v>19.2</v>
      </c>
      <c r="E122" s="6">
        <f ca="1">IFERROR(__xludf.DUMMYFUNCTION("SUM(FILTER('All Scores'!AF$2:AF$1024, ('All Scores'!AJ$2:AJ$1024 = A122) + ('All Scores'!AK$2:AK$1024 = A122)))
"),238)</f>
        <v>238</v>
      </c>
      <c r="F122" s="6">
        <f ca="1">IFERROR(__xludf.DUMMYFUNCTION("SUM(FILTER('All Scores'!AD$2:AD$1024, ('All Scores'!AJ$2:AJ$1024 = A122) + ('All Scores'!AK$2:AK$1024 = A122)))
"),88)</f>
        <v>88</v>
      </c>
      <c r="G122" s="21">
        <f t="shared" ca="1" si="0"/>
        <v>0.36974789915966388</v>
      </c>
      <c r="H122" s="169"/>
      <c r="I122" s="169"/>
      <c r="J122" s="6"/>
      <c r="K122" s="188"/>
      <c r="L122" s="189"/>
      <c r="M122" s="189"/>
      <c r="N122" s="6"/>
      <c r="O122" s="6"/>
      <c r="P122" s="6"/>
      <c r="Q122" s="169"/>
      <c r="R122" s="6"/>
      <c r="S122" s="6"/>
      <c r="T122" s="169"/>
      <c r="U122" s="6"/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  <c r="AO122" s="169"/>
      <c r="AP122" s="169"/>
      <c r="AQ122" s="169"/>
      <c r="AR122" s="169"/>
    </row>
    <row r="123" spans="1:44" ht="12.5">
      <c r="A123" s="169" t="str">
        <f ca="1">IFERROR(__xludf.DUMMYFUNCTION("""COMPUTED_VALUE"""),"Deon Rasmuson")</f>
        <v>Deon Rasmuson</v>
      </c>
      <c r="B123" s="186">
        <f ca="1">COUNTIF('All Scores'!AJ:AK,A123)</f>
        <v>2</v>
      </c>
      <c r="C123" s="186">
        <f ca="1">IFERROR(__xludf.DUMMYFUNCTION("MIN(FILTER('All Scores'!AI$2:AI$1024, ('All Scores'!AJ$2:AJ$1024 = A123) + ('All Scores'!AK$2:AK$1024 = A123)))"),11)</f>
        <v>11</v>
      </c>
      <c r="D123" s="187">
        <f ca="1">IFERROR(__xludf.DUMMYFUNCTION("AVERAGE(FILTER('All Scores'!AI$2:AI$1024, ('All Scores'!AJ$2:AJ$1024 = A123) + ('All Scores'!AK$2:AK$1024 = A123))
)
"),11)</f>
        <v>11</v>
      </c>
      <c r="E123" s="6">
        <f ca="1">IFERROR(__xludf.DUMMYFUNCTION("SUM(FILTER('All Scores'!AF$2:AF$1024, ('All Scores'!AJ$2:AJ$1024 = A123) + ('All Scores'!AK$2:AK$1024 = A123)))
"),122)</f>
        <v>122</v>
      </c>
      <c r="F123" s="6">
        <f ca="1">IFERROR(__xludf.DUMMYFUNCTION("SUM(FILTER('All Scores'!AD$2:AD$1024, ('All Scores'!AJ$2:AJ$1024 = A123) + ('All Scores'!AK$2:AK$1024 = A123)))
"),59)</f>
        <v>59</v>
      </c>
      <c r="G123" s="21">
        <f t="shared" ca="1" si="0"/>
        <v>0.48360655737704916</v>
      </c>
      <c r="H123" s="169"/>
      <c r="I123" s="169"/>
      <c r="J123" s="6"/>
      <c r="K123" s="188"/>
      <c r="L123" s="189"/>
      <c r="M123" s="189"/>
      <c r="N123" s="6"/>
      <c r="O123" s="6"/>
      <c r="P123" s="6"/>
      <c r="Q123" s="169"/>
      <c r="R123" s="6"/>
      <c r="S123" s="6"/>
      <c r="T123" s="169"/>
      <c r="U123" s="6"/>
      <c r="V123" s="169"/>
      <c r="W123" s="169"/>
      <c r="X123" s="169"/>
      <c r="Y123" s="169"/>
      <c r="Z123" s="169"/>
      <c r="AA123" s="169"/>
      <c r="AB123" s="169"/>
      <c r="AC123" s="169"/>
      <c r="AD123" s="169"/>
      <c r="AE123" s="169"/>
      <c r="AF123" s="169"/>
      <c r="AG123" s="169"/>
      <c r="AH123" s="169"/>
      <c r="AI123" s="169"/>
      <c r="AJ123" s="169"/>
      <c r="AK123" s="169"/>
      <c r="AL123" s="169"/>
      <c r="AM123" s="169"/>
      <c r="AN123" s="169"/>
      <c r="AO123" s="169"/>
      <c r="AP123" s="169"/>
      <c r="AQ123" s="169"/>
      <c r="AR123" s="169"/>
    </row>
    <row r="124" spans="1:44" ht="12.5">
      <c r="A124" s="169" t="str">
        <f ca="1">IFERROR(__xludf.DUMMYFUNCTION("""COMPUTED_VALUE"""),"Derek Hoffman")</f>
        <v>Derek Hoffman</v>
      </c>
      <c r="B124" s="186">
        <f ca="1">COUNTIF('All Scores'!AJ:AK,A124)</f>
        <v>5</v>
      </c>
      <c r="C124" s="186">
        <f ca="1">IFERROR(__xludf.DUMMYFUNCTION("MIN(FILTER('All Scores'!AI$2:AI$1024, ('All Scores'!AJ$2:AJ$1024 = A124) + ('All Scores'!AK$2:AK$1024 = A124)))"),9)</f>
        <v>9</v>
      </c>
      <c r="D124" s="187">
        <f ca="1">IFERROR(__xludf.DUMMYFUNCTION("AVERAGE(FILTER('All Scores'!AI$2:AI$1024, ('All Scores'!AJ$2:AJ$1024 = A124) + ('All Scores'!AK$2:AK$1024 = A124))
)
"),14.2)</f>
        <v>14.2</v>
      </c>
      <c r="E124" s="6">
        <f ca="1">IFERROR(__xludf.DUMMYFUNCTION("SUM(FILTER('All Scores'!AF$2:AF$1024, ('All Scores'!AJ$2:AJ$1024 = A124) + ('All Scores'!AK$2:AK$1024 = A124)))
"),225)</f>
        <v>225</v>
      </c>
      <c r="F124" s="6">
        <f ca="1">IFERROR(__xludf.DUMMYFUNCTION("SUM(FILTER('All Scores'!AD$2:AD$1024, ('All Scores'!AJ$2:AJ$1024 = A124) + ('All Scores'!AK$2:AK$1024 = A124)))
"),65)</f>
        <v>65</v>
      </c>
      <c r="G124" s="21">
        <f t="shared" ca="1" si="0"/>
        <v>0.28888888888888886</v>
      </c>
      <c r="H124" s="169"/>
      <c r="I124" s="169"/>
      <c r="J124" s="6"/>
      <c r="K124" s="188"/>
      <c r="L124" s="189"/>
      <c r="M124" s="189"/>
      <c r="N124" s="6"/>
      <c r="O124" s="6"/>
      <c r="P124" s="6"/>
      <c r="Q124" s="169"/>
      <c r="R124" s="6"/>
      <c r="S124" s="6"/>
      <c r="T124" s="169"/>
      <c r="U124" s="6"/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69"/>
      <c r="AF124" s="169"/>
      <c r="AG124" s="169"/>
      <c r="AH124" s="169"/>
      <c r="AI124" s="169"/>
      <c r="AJ124" s="169"/>
      <c r="AK124" s="169"/>
      <c r="AL124" s="169"/>
      <c r="AM124" s="169"/>
      <c r="AN124" s="169"/>
      <c r="AO124" s="169"/>
      <c r="AP124" s="169"/>
      <c r="AQ124" s="169"/>
      <c r="AR124" s="169"/>
    </row>
    <row r="125" spans="1:44" ht="12.5">
      <c r="A125" s="169" t="str">
        <f ca="1">IFERROR(__xludf.DUMMYFUNCTION("""COMPUTED_VALUE"""),"Derek Newman")</f>
        <v>Derek Newman</v>
      </c>
      <c r="B125" s="186">
        <f ca="1">COUNTIF('All Scores'!AJ:AK,A125)</f>
        <v>1</v>
      </c>
      <c r="C125" s="186">
        <f ca="1">IFERROR(__xludf.DUMMYFUNCTION("MIN(FILTER('All Scores'!AI$2:AI$1024, ('All Scores'!AJ$2:AJ$1024 = A125) + ('All Scores'!AK$2:AK$1024 = A125)))"),16)</f>
        <v>16</v>
      </c>
      <c r="D125" s="187">
        <f ca="1">IFERROR(__xludf.DUMMYFUNCTION("AVERAGE(FILTER('All Scores'!AI$2:AI$1024, ('All Scores'!AJ$2:AJ$1024 = A125) + ('All Scores'!AK$2:AK$1024 = A125))
)
"),16)</f>
        <v>16</v>
      </c>
      <c r="E125" s="6">
        <f ca="1">IFERROR(__xludf.DUMMYFUNCTION("SUM(FILTER('All Scores'!AF$2:AF$1024, ('All Scores'!AJ$2:AJ$1024 = A125) + ('All Scores'!AK$2:AK$1024 = A125)))
"),41)</f>
        <v>41</v>
      </c>
      <c r="F125" s="6">
        <f ca="1">IFERROR(__xludf.DUMMYFUNCTION("SUM(FILTER('All Scores'!AD$2:AD$1024, ('All Scores'!AJ$2:AJ$1024 = A125) + ('All Scores'!AK$2:AK$1024 = A125)))
"),8)</f>
        <v>8</v>
      </c>
      <c r="G125" s="21">
        <f t="shared" ca="1" si="0"/>
        <v>0.1951219512195122</v>
      </c>
      <c r="H125" s="169"/>
      <c r="I125" s="169"/>
      <c r="J125" s="6"/>
      <c r="K125" s="188"/>
      <c r="L125" s="189"/>
      <c r="M125" s="189"/>
      <c r="N125" s="6"/>
      <c r="O125" s="6"/>
      <c r="P125" s="6"/>
      <c r="Q125" s="169"/>
      <c r="R125" s="6"/>
      <c r="S125" s="6"/>
      <c r="T125" s="169"/>
      <c r="U125" s="6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  <c r="AO125" s="169"/>
      <c r="AP125" s="169"/>
      <c r="AQ125" s="169"/>
      <c r="AR125" s="169"/>
    </row>
    <row r="126" spans="1:44" ht="12.5">
      <c r="A126" s="169" t="str">
        <f ca="1">IFERROR(__xludf.DUMMYFUNCTION("""COMPUTED_VALUE"""),"Derek Sandstrom")</f>
        <v>Derek Sandstrom</v>
      </c>
      <c r="B126" s="186">
        <f ca="1">COUNTIF('All Scores'!AJ:AK,A126)</f>
        <v>1</v>
      </c>
      <c r="C126" s="186">
        <f ca="1">IFERROR(__xludf.DUMMYFUNCTION("MIN(FILTER('All Scores'!AI$2:AI$1024, ('All Scores'!AJ$2:AJ$1024 = A126) + ('All Scores'!AK$2:AK$1024 = A126)))"),30)</f>
        <v>30</v>
      </c>
      <c r="D126" s="187">
        <f ca="1">IFERROR(__xludf.DUMMYFUNCTION("AVERAGE(FILTER('All Scores'!AI$2:AI$1024, ('All Scores'!AJ$2:AJ$1024 = A126) + ('All Scores'!AK$2:AK$1024 = A126))
)
"),30)</f>
        <v>30</v>
      </c>
      <c r="E126" s="6">
        <f ca="1">IFERROR(__xludf.DUMMYFUNCTION("SUM(FILTER('All Scores'!AF$2:AF$1024, ('All Scores'!AJ$2:AJ$1024 = A126) + ('All Scores'!AK$2:AK$1024 = A126)))
"),45)</f>
        <v>45</v>
      </c>
      <c r="F126" s="6">
        <f ca="1">IFERROR(__xludf.DUMMYFUNCTION("SUM(FILTER('All Scores'!AD$2:AD$1024, ('All Scores'!AJ$2:AJ$1024 = A126) + ('All Scores'!AK$2:AK$1024 = A126)))
"),12)</f>
        <v>12</v>
      </c>
      <c r="G126" s="21">
        <f t="shared" ca="1" si="0"/>
        <v>0.26666666666666666</v>
      </c>
      <c r="H126" s="169"/>
      <c r="I126" s="169"/>
      <c r="J126" s="6"/>
      <c r="K126" s="188"/>
      <c r="L126" s="189"/>
      <c r="M126" s="189"/>
      <c r="N126" s="6"/>
      <c r="O126" s="6"/>
      <c r="P126" s="6"/>
      <c r="Q126" s="169"/>
      <c r="R126" s="6"/>
      <c r="S126" s="6"/>
      <c r="T126" s="169"/>
      <c r="U126" s="6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  <c r="AO126" s="169"/>
      <c r="AP126" s="169"/>
      <c r="AQ126" s="169"/>
      <c r="AR126" s="169"/>
    </row>
    <row r="127" spans="1:44" ht="12.5">
      <c r="A127" s="169" t="str">
        <f ca="1">IFERROR(__xludf.DUMMYFUNCTION("""COMPUTED_VALUE"""),"Derrick Cupp")</f>
        <v>Derrick Cupp</v>
      </c>
      <c r="B127" s="186">
        <f ca="1">COUNTIF('All Scores'!AJ:AK,A127)</f>
        <v>1</v>
      </c>
      <c r="C127" s="186">
        <f ca="1">IFERROR(__xludf.DUMMYFUNCTION("MIN(FILTER('All Scores'!AI$2:AI$1024, ('All Scores'!AJ$2:AJ$1024 = A127) + ('All Scores'!AK$2:AK$1024 = A127)))"),12)</f>
        <v>12</v>
      </c>
      <c r="D127" s="187">
        <f ca="1">IFERROR(__xludf.DUMMYFUNCTION("AVERAGE(FILTER('All Scores'!AI$2:AI$1024, ('All Scores'!AJ$2:AJ$1024 = A127) + ('All Scores'!AK$2:AK$1024 = A127))
)
"),12)</f>
        <v>12</v>
      </c>
      <c r="E127" s="6">
        <f ca="1">IFERROR(__xludf.DUMMYFUNCTION("SUM(FILTER('All Scores'!AF$2:AF$1024, ('All Scores'!AJ$2:AJ$1024 = A127) + ('All Scores'!AK$2:AK$1024 = A127)))
"),64)</f>
        <v>64</v>
      </c>
      <c r="F127" s="6">
        <f ca="1">IFERROR(__xludf.DUMMYFUNCTION("SUM(FILTER('All Scores'!AD$2:AD$1024, ('All Scores'!AJ$2:AJ$1024 = A127) + ('All Scores'!AK$2:AK$1024 = A127)))
"),27)</f>
        <v>27</v>
      </c>
      <c r="G127" s="21">
        <f t="shared" ca="1" si="0"/>
        <v>0.421875</v>
      </c>
      <c r="H127" s="169"/>
      <c r="I127" s="169"/>
      <c r="J127" s="6"/>
      <c r="K127" s="188"/>
      <c r="L127" s="189"/>
      <c r="M127" s="189"/>
      <c r="N127" s="6"/>
      <c r="O127" s="6"/>
      <c r="P127" s="6"/>
      <c r="Q127" s="169"/>
      <c r="R127" s="6"/>
      <c r="S127" s="6"/>
      <c r="T127" s="169"/>
      <c r="U127" s="6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</row>
    <row r="128" spans="1:44" ht="12.5">
      <c r="A128" s="169" t="str">
        <f ca="1">IFERROR(__xludf.DUMMYFUNCTION("""COMPUTED_VALUE"""),"Devin Gist")</f>
        <v>Devin Gist</v>
      </c>
      <c r="B128" s="186">
        <f ca="1">COUNTIF('All Scores'!AJ:AK,A128)</f>
        <v>3</v>
      </c>
      <c r="C128" s="186">
        <f ca="1">IFERROR(__xludf.DUMMYFUNCTION("MIN(FILTER('All Scores'!AI$2:AI$1024, ('All Scores'!AJ$2:AJ$1024 = A128) + ('All Scores'!AK$2:AK$1024 = A128)))"),4)</f>
        <v>4</v>
      </c>
      <c r="D128" s="187">
        <f ca="1">IFERROR(__xludf.DUMMYFUNCTION("AVERAGE(FILTER('All Scores'!AI$2:AI$1024, ('All Scores'!AJ$2:AJ$1024 = A128) + ('All Scores'!AK$2:AK$1024 = A128))
)
"),9.33333333333333)</f>
        <v>9.3333333333333304</v>
      </c>
      <c r="E128" s="6">
        <f ca="1">IFERROR(__xludf.DUMMYFUNCTION("SUM(FILTER('All Scores'!AF$2:AF$1024, ('All Scores'!AJ$2:AJ$1024 = A128) + ('All Scores'!AK$2:AK$1024 = A128)))
"),173)</f>
        <v>173</v>
      </c>
      <c r="F128" s="6">
        <f ca="1">IFERROR(__xludf.DUMMYFUNCTION("SUM(FILTER('All Scores'!AD$2:AD$1024, ('All Scores'!AJ$2:AJ$1024 = A128) + ('All Scores'!AK$2:AK$1024 = A128)))
"),72)</f>
        <v>72</v>
      </c>
      <c r="G128" s="21">
        <f t="shared" ca="1" si="0"/>
        <v>0.41618497109826591</v>
      </c>
      <c r="H128" s="169"/>
      <c r="I128" s="169"/>
      <c r="J128" s="6"/>
      <c r="K128" s="188"/>
      <c r="L128" s="189"/>
      <c r="M128" s="189"/>
      <c r="N128" s="6"/>
      <c r="O128" s="6"/>
      <c r="P128" s="6"/>
      <c r="Q128" s="169"/>
      <c r="R128" s="6"/>
      <c r="S128" s="6"/>
      <c r="T128" s="169"/>
      <c r="U128" s="6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  <c r="AO128" s="169"/>
      <c r="AP128" s="169"/>
      <c r="AQ128" s="169"/>
      <c r="AR128" s="169"/>
    </row>
    <row r="129" spans="1:44" ht="12.5">
      <c r="A129" s="169" t="str">
        <f ca="1">IFERROR(__xludf.DUMMYFUNCTION("""COMPUTED_VALUE"""),"Dina Mitchell")</f>
        <v>Dina Mitchell</v>
      </c>
      <c r="B129" s="186">
        <f ca="1">COUNTIF('All Scores'!AJ:AK,A129)</f>
        <v>2</v>
      </c>
      <c r="C129" s="186">
        <f ca="1">IFERROR(__xludf.DUMMYFUNCTION("MIN(FILTER('All Scores'!AI$2:AI$1024, ('All Scores'!AJ$2:AJ$1024 = A129) + ('All Scores'!AK$2:AK$1024 = A129)))"),6)</f>
        <v>6</v>
      </c>
      <c r="D129" s="187">
        <f ca="1">IFERROR(__xludf.DUMMYFUNCTION("AVERAGE(FILTER('All Scores'!AI$2:AI$1024, ('All Scores'!AJ$2:AJ$1024 = A129) + ('All Scores'!AK$2:AK$1024 = A129))
)
"),7)</f>
        <v>7</v>
      </c>
      <c r="E129" s="6">
        <f ca="1">IFERROR(__xludf.DUMMYFUNCTION("SUM(FILTER('All Scores'!AF$2:AF$1024, ('All Scores'!AJ$2:AJ$1024 = A129) + ('All Scores'!AK$2:AK$1024 = A129)))
"),174)</f>
        <v>174</v>
      </c>
      <c r="F129" s="6">
        <f ca="1">IFERROR(__xludf.DUMMYFUNCTION("SUM(FILTER('All Scores'!AD$2:AD$1024, ('All Scores'!AJ$2:AJ$1024 = A129) + ('All Scores'!AK$2:AK$1024 = A129)))
"),90)</f>
        <v>90</v>
      </c>
      <c r="G129" s="21">
        <f t="shared" ca="1" si="0"/>
        <v>0.51724137931034486</v>
      </c>
      <c r="H129" s="169"/>
      <c r="I129" s="169"/>
      <c r="J129" s="6"/>
      <c r="K129" s="188"/>
      <c r="L129" s="189"/>
      <c r="M129" s="189"/>
      <c r="N129" s="6"/>
      <c r="O129" s="6"/>
      <c r="P129" s="6"/>
      <c r="Q129" s="169"/>
      <c r="R129" s="6"/>
      <c r="S129" s="6"/>
      <c r="T129" s="169"/>
      <c r="U129" s="6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</row>
    <row r="130" spans="1:44" ht="12.5">
      <c r="A130" s="169" t="str">
        <f ca="1">IFERROR(__xludf.DUMMYFUNCTION("""COMPUTED_VALUE"""),"Doris Saltkill")</f>
        <v>Doris Saltkill</v>
      </c>
      <c r="B130" s="186">
        <f ca="1">COUNTIF('All Scores'!AJ:AK,A130)</f>
        <v>1</v>
      </c>
      <c r="C130" s="186">
        <f ca="1">IFERROR(__xludf.DUMMYFUNCTION("MIN(FILTER('All Scores'!AI$2:AI$1024, ('All Scores'!AJ$2:AJ$1024 = A130) + ('All Scores'!AK$2:AK$1024 = A130)))"),5)</f>
        <v>5</v>
      </c>
      <c r="D130" s="187">
        <f ca="1">IFERROR(__xludf.DUMMYFUNCTION("AVERAGE(FILTER('All Scores'!AI$2:AI$1024, ('All Scores'!AJ$2:AJ$1024 = A130) + ('All Scores'!AK$2:AK$1024 = A130))
)
"),5)</f>
        <v>5</v>
      </c>
      <c r="E130" s="6">
        <f ca="1">IFERROR(__xludf.DUMMYFUNCTION("SUM(FILTER('All Scores'!AF$2:AF$1024, ('All Scores'!AJ$2:AJ$1024 = A130) + ('All Scores'!AK$2:AK$1024 = A130)))
"),80)</f>
        <v>80</v>
      </c>
      <c r="F130" s="6">
        <f ca="1">IFERROR(__xludf.DUMMYFUNCTION("SUM(FILTER('All Scores'!AD$2:AD$1024, ('All Scores'!AJ$2:AJ$1024 = A130) + ('All Scores'!AK$2:AK$1024 = A130)))
"),43)</f>
        <v>43</v>
      </c>
      <c r="G130" s="21">
        <f t="shared" ca="1" si="0"/>
        <v>0.53749999999999998</v>
      </c>
      <c r="H130" s="169"/>
      <c r="I130" s="169"/>
      <c r="J130" s="6"/>
      <c r="K130" s="188"/>
      <c r="L130" s="189"/>
      <c r="M130" s="189"/>
      <c r="N130" s="6"/>
      <c r="O130" s="6"/>
      <c r="P130" s="6"/>
      <c r="Q130" s="169"/>
      <c r="R130" s="6"/>
      <c r="S130" s="6"/>
      <c r="T130" s="169"/>
      <c r="U130" s="6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</row>
    <row r="131" spans="1:44" ht="12.5">
      <c r="A131" s="169" t="str">
        <f ca="1">IFERROR(__xludf.DUMMYFUNCTION("""COMPUTED_VALUE"""),"Doug Kalvelage")</f>
        <v>Doug Kalvelage</v>
      </c>
      <c r="B131" s="186">
        <f ca="1">COUNTIF('All Scores'!AJ:AK,A131)</f>
        <v>1</v>
      </c>
      <c r="C131" s="186">
        <f ca="1">IFERROR(__xludf.DUMMYFUNCTION("MIN(FILTER('All Scores'!AI$2:AI$1024, ('All Scores'!AJ$2:AJ$1024 = A131) + ('All Scores'!AK$2:AK$1024 = A131)))"),13)</f>
        <v>13</v>
      </c>
      <c r="D131" s="187">
        <f ca="1">IFERROR(__xludf.DUMMYFUNCTION("AVERAGE(FILTER('All Scores'!AI$2:AI$1024, ('All Scores'!AJ$2:AJ$1024 = A131) + ('All Scores'!AK$2:AK$1024 = A131))
)
"),13)</f>
        <v>13</v>
      </c>
      <c r="E131" s="6">
        <f ca="1">IFERROR(__xludf.DUMMYFUNCTION("SUM(FILTER('All Scores'!AF$2:AF$1024, ('All Scores'!AJ$2:AJ$1024 = A131) + ('All Scores'!AK$2:AK$1024 = A131)))
"),43)</f>
        <v>43</v>
      </c>
      <c r="F131" s="6">
        <f ca="1">IFERROR(__xludf.DUMMYFUNCTION("SUM(FILTER('All Scores'!AD$2:AD$1024, ('All Scores'!AJ$2:AJ$1024 = A131) + ('All Scores'!AK$2:AK$1024 = A131)))
"),21)</f>
        <v>21</v>
      </c>
      <c r="G131" s="21">
        <f t="shared" ca="1" si="0"/>
        <v>0.48837209302325579</v>
      </c>
      <c r="H131" s="169"/>
      <c r="I131" s="169"/>
      <c r="J131" s="6"/>
      <c r="K131" s="188"/>
      <c r="L131" s="189"/>
      <c r="M131" s="189"/>
      <c r="N131" s="6"/>
      <c r="O131" s="6"/>
      <c r="P131" s="6"/>
      <c r="Q131" s="169"/>
      <c r="R131" s="6"/>
      <c r="S131" s="6"/>
      <c r="T131" s="169"/>
      <c r="U131" s="6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  <c r="AO131" s="169"/>
      <c r="AP131" s="169"/>
      <c r="AQ131" s="169"/>
      <c r="AR131" s="169"/>
    </row>
    <row r="132" spans="1:44" ht="12.5">
      <c r="A132" s="169" t="str">
        <f ca="1">IFERROR(__xludf.DUMMYFUNCTION("""COMPUTED_VALUE"""),"Doug Schwabauer")</f>
        <v>Doug Schwabauer</v>
      </c>
      <c r="B132" s="186">
        <f ca="1">COUNTIF('All Scores'!AJ:AK,A132)</f>
        <v>3</v>
      </c>
      <c r="C132" s="186">
        <f ca="1">IFERROR(__xludf.DUMMYFUNCTION("MIN(FILTER('All Scores'!AI$2:AI$1024, ('All Scores'!AJ$2:AJ$1024 = A132) + ('All Scores'!AK$2:AK$1024 = A132)))"),7)</f>
        <v>7</v>
      </c>
      <c r="D132" s="187">
        <f ca="1">IFERROR(__xludf.DUMMYFUNCTION("AVERAGE(FILTER('All Scores'!AI$2:AI$1024, ('All Scores'!AJ$2:AJ$1024 = A132) + ('All Scores'!AK$2:AK$1024 = A132))
)
"),10.3333333333333)</f>
        <v>10.3333333333333</v>
      </c>
      <c r="E132" s="6">
        <f ca="1">IFERROR(__xludf.DUMMYFUNCTION("SUM(FILTER('All Scores'!AF$2:AF$1024, ('All Scores'!AJ$2:AJ$1024 = A132) + ('All Scores'!AK$2:AK$1024 = A132)))
"),206)</f>
        <v>206</v>
      </c>
      <c r="F132" s="6">
        <f ca="1">IFERROR(__xludf.DUMMYFUNCTION("SUM(FILTER('All Scores'!AD$2:AD$1024, ('All Scores'!AJ$2:AJ$1024 = A132) + ('All Scores'!AK$2:AK$1024 = A132)))
"),83)</f>
        <v>83</v>
      </c>
      <c r="G132" s="21">
        <f t="shared" ca="1" si="0"/>
        <v>0.40291262135922329</v>
      </c>
      <c r="H132" s="169"/>
      <c r="I132" s="169"/>
      <c r="J132" s="6"/>
      <c r="K132" s="188"/>
      <c r="L132" s="189"/>
      <c r="M132" s="189"/>
      <c r="N132" s="6"/>
      <c r="O132" s="6"/>
      <c r="P132" s="6"/>
      <c r="Q132" s="169"/>
      <c r="R132" s="6"/>
      <c r="S132" s="6"/>
      <c r="T132" s="169"/>
      <c r="U132" s="6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</row>
    <row r="133" spans="1:44" ht="12.5">
      <c r="A133" s="169" t="str">
        <f ca="1">IFERROR(__xludf.DUMMYFUNCTION("""COMPUTED_VALUE"""),"Doug Wright")</f>
        <v>Doug Wright</v>
      </c>
      <c r="B133" s="186">
        <f ca="1">COUNTIF('All Scores'!AJ:AK,A133)</f>
        <v>1</v>
      </c>
      <c r="C133" s="186">
        <f ca="1">IFERROR(__xludf.DUMMYFUNCTION("MIN(FILTER('All Scores'!AI$2:AI$1024, ('All Scores'!AJ$2:AJ$1024 = A133) + ('All Scores'!AK$2:AK$1024 = A133)))"),20)</f>
        <v>20</v>
      </c>
      <c r="D133" s="187">
        <f ca="1">IFERROR(__xludf.DUMMYFUNCTION("AVERAGE(FILTER('All Scores'!AI$2:AI$1024, ('All Scores'!AJ$2:AJ$1024 = A133) + ('All Scores'!AK$2:AK$1024 = A133))
)
"),20)</f>
        <v>20</v>
      </c>
      <c r="E133" s="6">
        <f ca="1">IFERROR(__xludf.DUMMYFUNCTION("SUM(FILTER('All Scores'!AF$2:AF$1024, ('All Scores'!AJ$2:AJ$1024 = A133) + ('All Scores'!AK$2:AK$1024 = A133)))
"),50)</f>
        <v>50</v>
      </c>
      <c r="F133" s="6">
        <f ca="1">IFERROR(__xludf.DUMMYFUNCTION("SUM(FILTER('All Scores'!AD$2:AD$1024, ('All Scores'!AJ$2:AJ$1024 = A133) + ('All Scores'!AK$2:AK$1024 = A133)))
"),23)</f>
        <v>23</v>
      </c>
      <c r="G133" s="21">
        <f t="shared" ca="1" si="0"/>
        <v>0.46</v>
      </c>
      <c r="H133" s="169"/>
      <c r="I133" s="169"/>
      <c r="J133" s="6"/>
      <c r="K133" s="188"/>
      <c r="L133" s="189"/>
      <c r="M133" s="189"/>
      <c r="N133" s="6"/>
      <c r="O133" s="6"/>
      <c r="P133" s="6"/>
      <c r="Q133" s="169"/>
      <c r="R133" s="6"/>
      <c r="S133" s="6"/>
      <c r="T133" s="169"/>
      <c r="U133" s="6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</row>
    <row r="134" spans="1:44" ht="12.5">
      <c r="A134" s="169" t="str">
        <f ca="1">IFERROR(__xludf.DUMMYFUNCTION("""COMPUTED_VALUE"""),"Drew Felling")</f>
        <v>Drew Felling</v>
      </c>
      <c r="B134" s="186">
        <f ca="1">COUNTIF('All Scores'!AJ:AK,A134)</f>
        <v>3</v>
      </c>
      <c r="C134" s="186">
        <f ca="1">IFERROR(__xludf.DUMMYFUNCTION("MIN(FILTER('All Scores'!AI$2:AI$1024, ('All Scores'!AJ$2:AJ$1024 = A134) + ('All Scores'!AK$2:AK$1024 = A134)))"),7)</f>
        <v>7</v>
      </c>
      <c r="D134" s="187">
        <f ca="1">IFERROR(__xludf.DUMMYFUNCTION("AVERAGE(FILTER('All Scores'!AI$2:AI$1024, ('All Scores'!AJ$2:AJ$1024 = A134) + ('All Scores'!AK$2:AK$1024 = A134))
)
"),10.3333333333333)</f>
        <v>10.3333333333333</v>
      </c>
      <c r="E134" s="6">
        <f ca="1">IFERROR(__xludf.DUMMYFUNCTION("SUM(FILTER('All Scores'!AF$2:AF$1024, ('All Scores'!AJ$2:AJ$1024 = A134) + ('All Scores'!AK$2:AK$1024 = A134)))
"),144)</f>
        <v>144</v>
      </c>
      <c r="F134" s="6">
        <f ca="1">IFERROR(__xludf.DUMMYFUNCTION("SUM(FILTER('All Scores'!AD$2:AD$1024, ('All Scores'!AJ$2:AJ$1024 = A134) + ('All Scores'!AK$2:AK$1024 = A134)))
"),70)</f>
        <v>70</v>
      </c>
      <c r="G134" s="21">
        <f t="shared" ca="1" si="0"/>
        <v>0.4861111111111111</v>
      </c>
      <c r="H134" s="169"/>
      <c r="I134" s="169"/>
      <c r="J134" s="6"/>
      <c r="K134" s="188"/>
      <c r="L134" s="189"/>
      <c r="M134" s="189"/>
      <c r="N134" s="6"/>
      <c r="O134" s="6"/>
      <c r="P134" s="6"/>
      <c r="Q134" s="169"/>
      <c r="R134" s="6"/>
      <c r="S134" s="6"/>
      <c r="T134" s="169"/>
      <c r="U134" s="6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</row>
    <row r="135" spans="1:44" ht="12.5">
      <c r="A135" s="169" t="str">
        <f ca="1">IFERROR(__xludf.DUMMYFUNCTION("""COMPUTED_VALUE"""),"Dung Le")</f>
        <v>Dung Le</v>
      </c>
      <c r="B135" s="186">
        <f ca="1">COUNTIF('All Scores'!AJ:AK,A135)</f>
        <v>3</v>
      </c>
      <c r="C135" s="186">
        <f ca="1">IFERROR(__xludf.DUMMYFUNCTION("MIN(FILTER('All Scores'!AI$2:AI$1024, ('All Scores'!AJ$2:AJ$1024 = A135) + ('All Scores'!AK$2:AK$1024 = A135)))"),1)</f>
        <v>1</v>
      </c>
      <c r="D135" s="187">
        <f ca="1">IFERROR(__xludf.DUMMYFUNCTION("AVERAGE(FILTER('All Scores'!AI$2:AI$1024, ('All Scores'!AJ$2:AJ$1024 = A135) + ('All Scores'!AK$2:AK$1024 = A135))
)
"),3.33333333333333)</f>
        <v>3.3333333333333299</v>
      </c>
      <c r="E135" s="6">
        <f ca="1">IFERROR(__xludf.DUMMYFUNCTION("SUM(FILTER('All Scores'!AF$2:AF$1024, ('All Scores'!AJ$2:AJ$1024 = A135) + ('All Scores'!AK$2:AK$1024 = A135)))
"),312)</f>
        <v>312</v>
      </c>
      <c r="F135" s="6">
        <f ca="1">IFERROR(__xludf.DUMMYFUNCTION("SUM(FILTER('All Scores'!AD$2:AD$1024, ('All Scores'!AJ$2:AJ$1024 = A135) + ('All Scores'!AK$2:AK$1024 = A135)))
"),182)</f>
        <v>182</v>
      </c>
      <c r="G135" s="21">
        <f t="shared" ca="1" si="0"/>
        <v>0.58333333333333337</v>
      </c>
      <c r="H135" s="169"/>
      <c r="I135" s="169"/>
      <c r="J135" s="6"/>
      <c r="K135" s="188"/>
      <c r="L135" s="189"/>
      <c r="M135" s="189"/>
      <c r="N135" s="6"/>
      <c r="O135" s="6"/>
      <c r="P135" s="6"/>
      <c r="Q135" s="169"/>
      <c r="R135" s="6"/>
      <c r="S135" s="6"/>
      <c r="T135" s="169"/>
      <c r="U135" s="6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</row>
    <row r="136" spans="1:44" ht="12.5">
      <c r="A136" s="169" t="str">
        <f ca="1">IFERROR(__xludf.DUMMYFUNCTION("""COMPUTED_VALUE"""),"Dylan Lockwood")</f>
        <v>Dylan Lockwood</v>
      </c>
      <c r="B136" s="186">
        <f ca="1">COUNTIF('All Scores'!AJ:AK,A136)</f>
        <v>6</v>
      </c>
      <c r="C136" s="186">
        <f ca="1">IFERROR(__xludf.DUMMYFUNCTION("MIN(FILTER('All Scores'!AI$2:AI$1024, ('All Scores'!AJ$2:AJ$1024 = A136) + ('All Scores'!AK$2:AK$1024 = A136)))"),3)</f>
        <v>3</v>
      </c>
      <c r="D136" s="187">
        <f ca="1">IFERROR(__xludf.DUMMYFUNCTION("AVERAGE(FILTER('All Scores'!AI$2:AI$1024, ('All Scores'!AJ$2:AJ$1024 = A136) + ('All Scores'!AK$2:AK$1024 = A136))
)
"),7.16666666666666)</f>
        <v>7.1666666666666599</v>
      </c>
      <c r="E136" s="6">
        <f ca="1">IFERROR(__xludf.DUMMYFUNCTION("SUM(FILTER('All Scores'!AF$2:AF$1024, ('All Scores'!AJ$2:AJ$1024 = A136) + ('All Scores'!AK$2:AK$1024 = A136)))
"),492)</f>
        <v>492</v>
      </c>
      <c r="F136" s="6">
        <f ca="1">IFERROR(__xludf.DUMMYFUNCTION("SUM(FILTER('All Scores'!AD$2:AD$1024, ('All Scores'!AJ$2:AJ$1024 = A136) + ('All Scores'!AK$2:AK$1024 = A136)))
"),258)</f>
        <v>258</v>
      </c>
      <c r="G136" s="21">
        <f t="shared" ca="1" si="0"/>
        <v>0.52439024390243905</v>
      </c>
      <c r="H136" s="169"/>
      <c r="I136" s="169"/>
      <c r="J136" s="6"/>
      <c r="K136" s="188"/>
      <c r="L136" s="189"/>
      <c r="M136" s="189"/>
      <c r="N136" s="6"/>
      <c r="O136" s="6"/>
      <c r="P136" s="6"/>
      <c r="Q136" s="169"/>
      <c r="R136" s="6"/>
      <c r="S136" s="6"/>
      <c r="T136" s="169"/>
      <c r="U136" s="6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</row>
    <row r="137" spans="1:44" ht="12.5">
      <c r="A137" s="169" t="str">
        <f ca="1">IFERROR(__xludf.DUMMYFUNCTION("""COMPUTED_VALUE"""),"Eileen Joyce")</f>
        <v>Eileen Joyce</v>
      </c>
      <c r="B137" s="186">
        <f ca="1">COUNTIF('All Scores'!AJ:AK,A137)</f>
        <v>3</v>
      </c>
      <c r="C137" s="186">
        <f ca="1">IFERROR(__xludf.DUMMYFUNCTION("MIN(FILTER('All Scores'!AI$2:AI$1024, ('All Scores'!AJ$2:AJ$1024 = A137) + ('All Scores'!AK$2:AK$1024 = A137)))"),9)</f>
        <v>9</v>
      </c>
      <c r="D137" s="187">
        <f ca="1">IFERROR(__xludf.DUMMYFUNCTION("AVERAGE(FILTER('All Scores'!AI$2:AI$1024, ('All Scores'!AJ$2:AJ$1024 = A137) + ('All Scores'!AK$2:AK$1024 = A137))
)
"),22.6666666666666)</f>
        <v>22.6666666666666</v>
      </c>
      <c r="E137" s="6">
        <f ca="1">IFERROR(__xludf.DUMMYFUNCTION("SUM(FILTER('All Scores'!AF$2:AF$1024, ('All Scores'!AJ$2:AJ$1024 = A137) + ('All Scores'!AK$2:AK$1024 = A137)))
"),163)</f>
        <v>163</v>
      </c>
      <c r="F137" s="6">
        <f ca="1">IFERROR(__xludf.DUMMYFUNCTION("SUM(FILTER('All Scores'!AD$2:AD$1024, ('All Scores'!AJ$2:AJ$1024 = A137) + ('All Scores'!AK$2:AK$1024 = A137)))
"),72)</f>
        <v>72</v>
      </c>
      <c r="G137" s="21">
        <f t="shared" ca="1" si="0"/>
        <v>0.44171779141104295</v>
      </c>
      <c r="H137" s="169"/>
      <c r="I137" s="169"/>
      <c r="J137" s="6"/>
      <c r="K137" s="188"/>
      <c r="L137" s="189"/>
      <c r="M137" s="189"/>
      <c r="N137" s="6"/>
      <c r="O137" s="6"/>
      <c r="P137" s="6"/>
      <c r="Q137" s="169"/>
      <c r="R137" s="6"/>
      <c r="S137" s="6"/>
      <c r="T137" s="169"/>
      <c r="U137" s="6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69"/>
      <c r="AN137" s="169"/>
      <c r="AO137" s="169"/>
      <c r="AP137" s="169"/>
      <c r="AQ137" s="169"/>
      <c r="AR137" s="169"/>
    </row>
    <row r="138" spans="1:44" ht="12.5">
      <c r="A138" s="169" t="str">
        <f ca="1">IFERROR(__xludf.DUMMYFUNCTION("""COMPUTED_VALUE"""),"Elizabeth Hagedorn")</f>
        <v>Elizabeth Hagedorn</v>
      </c>
      <c r="B138" s="186">
        <f ca="1">COUNTIF('All Scores'!AJ:AK,A138)</f>
        <v>2</v>
      </c>
      <c r="C138" s="186">
        <f ca="1">IFERROR(__xludf.DUMMYFUNCTION("MIN(FILTER('All Scores'!AI$2:AI$1024, ('All Scores'!AJ$2:AJ$1024 = A138) + ('All Scores'!AK$2:AK$1024 = A138)))"),4)</f>
        <v>4</v>
      </c>
      <c r="D138" s="187">
        <f ca="1">IFERROR(__xludf.DUMMYFUNCTION("AVERAGE(FILTER('All Scores'!AI$2:AI$1024, ('All Scores'!AJ$2:AJ$1024 = A138) + ('All Scores'!AK$2:AK$1024 = A138))
)
"),6)</f>
        <v>6</v>
      </c>
      <c r="E138" s="6">
        <f ca="1">IFERROR(__xludf.DUMMYFUNCTION("SUM(FILTER('All Scores'!AF$2:AF$1024, ('All Scores'!AJ$2:AJ$1024 = A138) + ('All Scores'!AK$2:AK$1024 = A138)))
"),201)</f>
        <v>201</v>
      </c>
      <c r="F138" s="6">
        <f ca="1">IFERROR(__xludf.DUMMYFUNCTION("SUM(FILTER('All Scores'!AD$2:AD$1024, ('All Scores'!AJ$2:AJ$1024 = A138) + ('All Scores'!AK$2:AK$1024 = A138)))
"),91)</f>
        <v>91</v>
      </c>
      <c r="G138" s="21">
        <f t="shared" ca="1" si="0"/>
        <v>0.45273631840796019</v>
      </c>
      <c r="H138" s="169"/>
      <c r="I138" s="169"/>
      <c r="J138" s="6"/>
      <c r="K138" s="188"/>
      <c r="L138" s="189"/>
      <c r="M138" s="189"/>
      <c r="N138" s="6"/>
      <c r="O138" s="6"/>
      <c r="P138" s="6"/>
      <c r="Q138" s="169"/>
      <c r="R138" s="6"/>
      <c r="S138" s="6"/>
      <c r="T138" s="169"/>
      <c r="U138" s="6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</row>
    <row r="139" spans="1:44" ht="12.5">
      <c r="A139" s="169" t="str">
        <f ca="1">IFERROR(__xludf.DUMMYFUNCTION("""COMPUTED_VALUE"""),"Elliott Freirich")</f>
        <v>Elliott Freirich</v>
      </c>
      <c r="B139" s="186">
        <f ca="1">COUNTIF('All Scores'!AJ:AK,A139)</f>
        <v>1</v>
      </c>
      <c r="C139" s="186">
        <f ca="1">IFERROR(__xludf.DUMMYFUNCTION("MIN(FILTER('All Scores'!AI$2:AI$1024, ('All Scores'!AJ$2:AJ$1024 = A139) + ('All Scores'!AK$2:AK$1024 = A139)))"),11)</f>
        <v>11</v>
      </c>
      <c r="D139" s="187">
        <f ca="1">IFERROR(__xludf.DUMMYFUNCTION("AVERAGE(FILTER('All Scores'!AI$2:AI$1024, ('All Scores'!AJ$2:AJ$1024 = A139) + ('All Scores'!AK$2:AK$1024 = A139))
)
"),11)</f>
        <v>11</v>
      </c>
      <c r="E139" s="6">
        <f ca="1">IFERROR(__xludf.DUMMYFUNCTION("SUM(FILTER('All Scores'!AF$2:AF$1024, ('All Scores'!AJ$2:AJ$1024 = A139) + ('All Scores'!AK$2:AK$1024 = A139)))
"),65)</f>
        <v>65</v>
      </c>
      <c r="F139" s="6">
        <f ca="1">IFERROR(__xludf.DUMMYFUNCTION("SUM(FILTER('All Scores'!AD$2:AD$1024, ('All Scores'!AJ$2:AJ$1024 = A139) + ('All Scores'!AK$2:AK$1024 = A139)))
"),26)</f>
        <v>26</v>
      </c>
      <c r="G139" s="21">
        <f t="shared" ca="1" si="0"/>
        <v>0.4</v>
      </c>
      <c r="H139" s="169"/>
      <c r="I139" s="169"/>
      <c r="J139" s="6"/>
      <c r="K139" s="188"/>
      <c r="L139" s="189"/>
      <c r="M139" s="189"/>
      <c r="N139" s="6"/>
      <c r="O139" s="6"/>
      <c r="P139" s="6"/>
      <c r="Q139" s="169"/>
      <c r="R139" s="6"/>
      <c r="S139" s="6"/>
      <c r="T139" s="169"/>
      <c r="U139" s="6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</row>
    <row r="140" spans="1:44" ht="12.5">
      <c r="A140" s="169" t="str">
        <f ca="1">IFERROR(__xludf.DUMMYFUNCTION("""COMPUTED_VALUE"""),"Emma Lockard")</f>
        <v>Emma Lockard</v>
      </c>
      <c r="B140" s="186">
        <f ca="1">COUNTIF('All Scores'!AJ:AK,A140)</f>
        <v>2</v>
      </c>
      <c r="C140" s="186">
        <f ca="1">IFERROR(__xludf.DUMMYFUNCTION("MIN(FILTER('All Scores'!AI$2:AI$1024, ('All Scores'!AJ$2:AJ$1024 = A140) + ('All Scores'!AK$2:AK$1024 = A140)))"),6)</f>
        <v>6</v>
      </c>
      <c r="D140" s="187">
        <f ca="1">IFERROR(__xludf.DUMMYFUNCTION("AVERAGE(FILTER('All Scores'!AI$2:AI$1024, ('All Scores'!AJ$2:AJ$1024 = A140) + ('All Scores'!AK$2:AK$1024 = A140))
)
"),9.5)</f>
        <v>9.5</v>
      </c>
      <c r="E140" s="6">
        <f ca="1">IFERROR(__xludf.DUMMYFUNCTION("SUM(FILTER('All Scores'!AF$2:AF$1024, ('All Scores'!AJ$2:AJ$1024 = A140) + ('All Scores'!AK$2:AK$1024 = A140)))
"),167)</f>
        <v>167</v>
      </c>
      <c r="F140" s="6">
        <f ca="1">IFERROR(__xludf.DUMMYFUNCTION("SUM(FILTER('All Scores'!AD$2:AD$1024, ('All Scores'!AJ$2:AJ$1024 = A140) + ('All Scores'!AK$2:AK$1024 = A140)))
"),75)</f>
        <v>75</v>
      </c>
      <c r="G140" s="21">
        <f t="shared" ca="1" si="0"/>
        <v>0.44910179640718562</v>
      </c>
      <c r="H140" s="169"/>
      <c r="I140" s="169"/>
      <c r="J140" s="6"/>
      <c r="K140" s="188"/>
      <c r="L140" s="189"/>
      <c r="M140" s="189"/>
      <c r="N140" s="6"/>
      <c r="O140" s="6"/>
      <c r="P140" s="6"/>
      <c r="Q140" s="169"/>
      <c r="R140" s="6"/>
      <c r="S140" s="6"/>
      <c r="T140" s="169"/>
      <c r="U140" s="6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</row>
    <row r="141" spans="1:44" ht="12.5">
      <c r="A141" s="169" t="str">
        <f ca="1">IFERROR(__xludf.DUMMYFUNCTION("""COMPUTED_VALUE"""),"Eric Bubb")</f>
        <v>Eric Bubb</v>
      </c>
      <c r="B141" s="186">
        <f ca="1">COUNTIF('All Scores'!AJ:AK,A141)</f>
        <v>1</v>
      </c>
      <c r="C141" s="186">
        <f ca="1">IFERROR(__xludf.DUMMYFUNCTION("MIN(FILTER('All Scores'!AI$2:AI$1024, ('All Scores'!AJ$2:AJ$1024 = A141) + ('All Scores'!AK$2:AK$1024 = A141)))"),2)</f>
        <v>2</v>
      </c>
      <c r="D141" s="187">
        <f ca="1">IFERROR(__xludf.DUMMYFUNCTION("AVERAGE(FILTER('All Scores'!AI$2:AI$1024, ('All Scores'!AJ$2:AJ$1024 = A141) + ('All Scores'!AK$2:AK$1024 = A141))
)
"),2)</f>
        <v>2</v>
      </c>
      <c r="E141" s="6">
        <f ca="1">IFERROR(__xludf.DUMMYFUNCTION("SUM(FILTER('All Scores'!AF$2:AF$1024, ('All Scores'!AJ$2:AJ$1024 = A141) + ('All Scores'!AK$2:AK$1024 = A141)))
"),106)</f>
        <v>106</v>
      </c>
      <c r="F141" s="6">
        <f ca="1">IFERROR(__xludf.DUMMYFUNCTION("SUM(FILTER('All Scores'!AD$2:AD$1024, ('All Scores'!AJ$2:AJ$1024 = A141) + ('All Scores'!AK$2:AK$1024 = A141)))
"),74)</f>
        <v>74</v>
      </c>
      <c r="G141" s="21">
        <f t="shared" ca="1" si="0"/>
        <v>0.69811320754716977</v>
      </c>
      <c r="H141" s="169"/>
      <c r="I141" s="169"/>
      <c r="J141" s="6"/>
      <c r="K141" s="188"/>
      <c r="L141" s="189"/>
      <c r="M141" s="189"/>
      <c r="N141" s="6"/>
      <c r="O141" s="6"/>
      <c r="P141" s="6"/>
      <c r="Q141" s="169"/>
      <c r="R141" s="6"/>
      <c r="S141" s="6"/>
      <c r="T141" s="169"/>
      <c r="U141" s="6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</row>
    <row r="142" spans="1:44" ht="12.5">
      <c r="A142" s="169" t="str">
        <f ca="1">IFERROR(__xludf.DUMMYFUNCTION("""COMPUTED_VALUE"""),"Eric Kwete")</f>
        <v>Eric Kwete</v>
      </c>
      <c r="B142" s="186">
        <f ca="1">COUNTIF('All Scores'!AJ:AK,A142)</f>
        <v>4</v>
      </c>
      <c r="C142" s="186">
        <f ca="1">IFERROR(__xludf.DUMMYFUNCTION("MIN(FILTER('All Scores'!AI$2:AI$1024, ('All Scores'!AJ$2:AJ$1024 = A142) + ('All Scores'!AK$2:AK$1024 = A142)))"),7)</f>
        <v>7</v>
      </c>
      <c r="D142" s="187">
        <f ca="1">IFERROR(__xludf.DUMMYFUNCTION("AVERAGE(FILTER('All Scores'!AI$2:AI$1024, ('All Scores'!AJ$2:AJ$1024 = A142) + ('All Scores'!AK$2:AK$1024 = A142))
)
"),9.5)</f>
        <v>9.5</v>
      </c>
      <c r="E142" s="6">
        <f ca="1">IFERROR(__xludf.DUMMYFUNCTION("SUM(FILTER('All Scores'!AF$2:AF$1024, ('All Scores'!AJ$2:AJ$1024 = A142) + ('All Scores'!AK$2:AK$1024 = A142)))
"),225)</f>
        <v>225</v>
      </c>
      <c r="F142" s="6">
        <f ca="1">IFERROR(__xludf.DUMMYFUNCTION("SUM(FILTER('All Scores'!AD$2:AD$1024, ('All Scores'!AJ$2:AJ$1024 = A142) + ('All Scores'!AK$2:AK$1024 = A142)))
"),105)</f>
        <v>105</v>
      </c>
      <c r="G142" s="21">
        <f t="shared" ca="1" si="0"/>
        <v>0.46666666666666667</v>
      </c>
      <c r="H142" s="169"/>
      <c r="I142" s="169"/>
      <c r="J142" s="6"/>
      <c r="K142" s="188"/>
      <c r="L142" s="189"/>
      <c r="M142" s="189"/>
      <c r="N142" s="6"/>
      <c r="O142" s="6"/>
      <c r="P142" s="6"/>
      <c r="Q142" s="169"/>
      <c r="R142" s="6"/>
      <c r="S142" s="6"/>
      <c r="T142" s="169"/>
      <c r="U142" s="6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</row>
    <row r="143" spans="1:44" ht="12.5">
      <c r="A143" s="169" t="str">
        <f ca="1">IFERROR(__xludf.DUMMYFUNCTION("""COMPUTED_VALUE"""),"Eric Santon")</f>
        <v>Eric Santon</v>
      </c>
      <c r="B143" s="186">
        <f ca="1">COUNTIF('All Scores'!AJ:AK,A143)</f>
        <v>7</v>
      </c>
      <c r="C143" s="186">
        <f ca="1">IFERROR(__xludf.DUMMYFUNCTION("MIN(FILTER('All Scores'!AI$2:AI$1024, ('All Scores'!AJ$2:AJ$1024 = A143) + ('All Scores'!AK$2:AK$1024 = A143)))"),2)</f>
        <v>2</v>
      </c>
      <c r="D143" s="187">
        <f ca="1">IFERROR(__xludf.DUMMYFUNCTION("AVERAGE(FILTER('All Scores'!AI$2:AI$1024, ('All Scores'!AJ$2:AJ$1024 = A143) + ('All Scores'!AK$2:AK$1024 = A143))
)
"),5.28571428571428)</f>
        <v>5.2857142857142803</v>
      </c>
      <c r="E143" s="6">
        <f ca="1">IFERROR(__xludf.DUMMYFUNCTION("SUM(FILTER('All Scores'!AF$2:AF$1024, ('All Scores'!AJ$2:AJ$1024 = A143) + ('All Scores'!AK$2:AK$1024 = A143)))
"),666)</f>
        <v>666</v>
      </c>
      <c r="F143" s="6">
        <f ca="1">IFERROR(__xludf.DUMMYFUNCTION("SUM(FILTER('All Scores'!AD$2:AD$1024, ('All Scores'!AJ$2:AJ$1024 = A143) + ('All Scores'!AK$2:AK$1024 = A143)))
"),376)</f>
        <v>376</v>
      </c>
      <c r="G143" s="21">
        <f t="shared" ca="1" si="0"/>
        <v>0.56456456456456461</v>
      </c>
      <c r="H143" s="169"/>
      <c r="I143" s="169"/>
      <c r="J143" s="6"/>
      <c r="K143" s="188"/>
      <c r="L143" s="189"/>
      <c r="M143" s="189"/>
      <c r="N143" s="6"/>
      <c r="O143" s="6"/>
      <c r="P143" s="6"/>
      <c r="Q143" s="169"/>
      <c r="R143" s="6"/>
      <c r="S143" s="6"/>
      <c r="T143" s="169"/>
      <c r="U143" s="6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69"/>
      <c r="AJ143" s="169"/>
      <c r="AK143" s="169"/>
      <c r="AL143" s="169"/>
      <c r="AM143" s="169"/>
      <c r="AN143" s="169"/>
      <c r="AO143" s="169"/>
      <c r="AP143" s="169"/>
      <c r="AQ143" s="169"/>
      <c r="AR143" s="169"/>
    </row>
    <row r="144" spans="1:44" ht="12.5">
      <c r="A144" s="169" t="str">
        <f ca="1">IFERROR(__xludf.DUMMYFUNCTION("""COMPUTED_VALUE"""),"Eric Schanker")</f>
        <v>Eric Schanker</v>
      </c>
      <c r="B144" s="186">
        <f ca="1">COUNTIF('All Scores'!AJ:AK,A144)</f>
        <v>1</v>
      </c>
      <c r="C144" s="186">
        <f ca="1">IFERROR(__xludf.DUMMYFUNCTION("MIN(FILTER('All Scores'!AI$2:AI$1024, ('All Scores'!AJ$2:AJ$1024 = A144) + ('All Scores'!AK$2:AK$1024 = A144)))"),10)</f>
        <v>10</v>
      </c>
      <c r="D144" s="187">
        <f ca="1">IFERROR(__xludf.DUMMYFUNCTION("AVERAGE(FILTER('All Scores'!AI$2:AI$1024, ('All Scores'!AJ$2:AJ$1024 = A144) + ('All Scores'!AK$2:AK$1024 = A144))
)
"),10)</f>
        <v>10</v>
      </c>
      <c r="E144" s="6">
        <f ca="1">IFERROR(__xludf.DUMMYFUNCTION("SUM(FILTER('All Scores'!AF$2:AF$1024, ('All Scores'!AJ$2:AJ$1024 = A144) + ('All Scores'!AK$2:AK$1024 = A144)))
"),51)</f>
        <v>51</v>
      </c>
      <c r="F144" s="6">
        <f ca="1">IFERROR(__xludf.DUMMYFUNCTION("SUM(FILTER('All Scores'!AD$2:AD$1024, ('All Scores'!AJ$2:AJ$1024 = A144) + ('All Scores'!AK$2:AK$1024 = A144)))
"),21)</f>
        <v>21</v>
      </c>
      <c r="G144" s="21">
        <f t="shared" ca="1" si="0"/>
        <v>0.41176470588235292</v>
      </c>
      <c r="H144" s="169"/>
      <c r="I144" s="169"/>
      <c r="J144" s="6"/>
      <c r="K144" s="188"/>
      <c r="L144" s="189"/>
      <c r="M144" s="189"/>
      <c r="N144" s="6"/>
      <c r="O144" s="6"/>
      <c r="P144" s="6"/>
      <c r="Q144" s="169"/>
      <c r="R144" s="6"/>
      <c r="S144" s="6"/>
      <c r="T144" s="169"/>
      <c r="U144" s="6"/>
      <c r="V144" s="169"/>
      <c r="W144" s="169"/>
      <c r="X144" s="169"/>
      <c r="Y144" s="169"/>
      <c r="Z144" s="169"/>
      <c r="AA144" s="169"/>
      <c r="AB144" s="169"/>
      <c r="AC144" s="169"/>
      <c r="AD144" s="169"/>
      <c r="AE144" s="169"/>
      <c r="AF144" s="169"/>
      <c r="AG144" s="169"/>
      <c r="AH144" s="169"/>
      <c r="AI144" s="169"/>
      <c r="AJ144" s="169"/>
      <c r="AK144" s="169"/>
      <c r="AL144" s="169"/>
      <c r="AM144" s="169"/>
      <c r="AN144" s="169"/>
      <c r="AO144" s="169"/>
      <c r="AP144" s="169"/>
      <c r="AQ144" s="169"/>
      <c r="AR144" s="169"/>
    </row>
    <row r="145" spans="1:44" ht="12.5">
      <c r="A145" s="169" t="str">
        <f ca="1">IFERROR(__xludf.DUMMYFUNCTION("""COMPUTED_VALUE"""),"Erin Hambrick")</f>
        <v>Erin Hambrick</v>
      </c>
      <c r="B145" s="186">
        <f ca="1">COUNTIF('All Scores'!AJ:AK,A145)</f>
        <v>1</v>
      </c>
      <c r="C145" s="186">
        <f ca="1">IFERROR(__xludf.DUMMYFUNCTION("MIN(FILTER('All Scores'!AI$2:AI$1024, ('All Scores'!AJ$2:AJ$1024 = A145) + ('All Scores'!AK$2:AK$1024 = A145)))"),13)</f>
        <v>13</v>
      </c>
      <c r="D145" s="187">
        <f ca="1">IFERROR(__xludf.DUMMYFUNCTION("AVERAGE(FILTER('All Scores'!AI$2:AI$1024, ('All Scores'!AJ$2:AJ$1024 = A145) + ('All Scores'!AK$2:AK$1024 = A145))
)
"),13)</f>
        <v>13</v>
      </c>
      <c r="E145" s="6">
        <f ca="1">IFERROR(__xludf.DUMMYFUNCTION("SUM(FILTER('All Scores'!AF$2:AF$1024, ('All Scores'!AJ$2:AJ$1024 = A145) + ('All Scores'!AK$2:AK$1024 = A145)))
"),75)</f>
        <v>75</v>
      </c>
      <c r="F145" s="6">
        <f ca="1">IFERROR(__xludf.DUMMYFUNCTION("SUM(FILTER('All Scores'!AD$2:AD$1024, ('All Scores'!AJ$2:AJ$1024 = A145) + ('All Scores'!AK$2:AK$1024 = A145)))
"),31)</f>
        <v>31</v>
      </c>
      <c r="G145" s="21">
        <f t="shared" ca="1" si="0"/>
        <v>0.41333333333333333</v>
      </c>
      <c r="H145" s="169"/>
      <c r="I145" s="169"/>
      <c r="J145" s="6"/>
      <c r="K145" s="188"/>
      <c r="L145" s="189"/>
      <c r="M145" s="189"/>
      <c r="N145" s="6"/>
      <c r="O145" s="6"/>
      <c r="P145" s="6"/>
      <c r="Q145" s="169"/>
      <c r="R145" s="6"/>
      <c r="S145" s="6"/>
      <c r="T145" s="169"/>
      <c r="U145" s="6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</row>
    <row r="146" spans="1:44" ht="12.5">
      <c r="A146" s="169" t="str">
        <f ca="1">IFERROR(__xludf.DUMMYFUNCTION("""COMPUTED_VALUE"""),"Erinn Metcalf")</f>
        <v>Erinn Metcalf</v>
      </c>
      <c r="B146" s="186">
        <f ca="1">COUNTIF('All Scores'!AJ:AK,A146)</f>
        <v>18</v>
      </c>
      <c r="C146" s="186">
        <f ca="1">IFERROR(__xludf.DUMMYFUNCTION("MIN(FILTER('All Scores'!AI$2:AI$1024, ('All Scores'!AJ$2:AJ$1024 = A146) + ('All Scores'!AK$2:AK$1024 = A146)))"),2)</f>
        <v>2</v>
      </c>
      <c r="D146" s="187">
        <f ca="1">IFERROR(__xludf.DUMMYFUNCTION("AVERAGE(FILTER('All Scores'!AI$2:AI$1024, ('All Scores'!AJ$2:AJ$1024 = A146) + ('All Scores'!AK$2:AK$1024 = A146))
)
"),6.61111111111111)</f>
        <v>6.6111111111111098</v>
      </c>
      <c r="E146" s="6">
        <f ca="1">IFERROR(__xludf.DUMMYFUNCTION("SUM(FILTER('All Scores'!AF$2:AF$1024, ('All Scores'!AJ$2:AJ$1024 = A146) + ('All Scores'!AK$2:AK$1024 = A146)))
"),1548)</f>
        <v>1548</v>
      </c>
      <c r="F146" s="6">
        <f ca="1">IFERROR(__xludf.DUMMYFUNCTION("SUM(FILTER('All Scores'!AD$2:AD$1024, ('All Scores'!AJ$2:AJ$1024 = A146) + ('All Scores'!AK$2:AK$1024 = A146)))
"),855)</f>
        <v>855</v>
      </c>
      <c r="G146" s="21">
        <f t="shared" ca="1" si="0"/>
        <v>0.55232558139534882</v>
      </c>
      <c r="H146" s="169"/>
      <c r="I146" s="169"/>
      <c r="J146" s="6"/>
      <c r="K146" s="188"/>
      <c r="L146" s="189"/>
      <c r="M146" s="189"/>
      <c r="N146" s="6"/>
      <c r="O146" s="6"/>
      <c r="P146" s="6"/>
      <c r="Q146" s="169"/>
      <c r="R146" s="6"/>
      <c r="S146" s="6"/>
      <c r="T146" s="169"/>
      <c r="U146" s="6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69"/>
      <c r="AN146" s="169"/>
      <c r="AO146" s="169"/>
      <c r="AP146" s="169"/>
      <c r="AQ146" s="169"/>
      <c r="AR146" s="169"/>
    </row>
    <row r="147" spans="1:44" ht="12.5">
      <c r="A147" s="169" t="str">
        <f ca="1">IFERROR(__xludf.DUMMYFUNCTION("""COMPUTED_VALUE"""),"Frank King")</f>
        <v>Frank King</v>
      </c>
      <c r="B147" s="186">
        <f ca="1">COUNTIF('All Scores'!AJ:AK,A147)</f>
        <v>2</v>
      </c>
      <c r="C147" s="186">
        <f ca="1">IFERROR(__xludf.DUMMYFUNCTION("MIN(FILTER('All Scores'!AI$2:AI$1024, ('All Scores'!AJ$2:AJ$1024 = A147) + ('All Scores'!AK$2:AK$1024 = A147)))"),12)</f>
        <v>12</v>
      </c>
      <c r="D147" s="187">
        <f ca="1">IFERROR(__xludf.DUMMYFUNCTION("AVERAGE(FILTER('All Scores'!AI$2:AI$1024, ('All Scores'!AJ$2:AJ$1024 = A147) + ('All Scores'!AK$2:AK$1024 = A147))
)
"),12.5)</f>
        <v>12.5</v>
      </c>
      <c r="E147" s="6">
        <f ca="1">IFERROR(__xludf.DUMMYFUNCTION("SUM(FILTER('All Scores'!AF$2:AF$1024, ('All Scores'!AJ$2:AJ$1024 = A147) + ('All Scores'!AK$2:AK$1024 = A147)))
"),102)</f>
        <v>102</v>
      </c>
      <c r="F147" s="6">
        <f ca="1">IFERROR(__xludf.DUMMYFUNCTION("SUM(FILTER('All Scores'!AD$2:AD$1024, ('All Scores'!AJ$2:AJ$1024 = A147) + ('All Scores'!AK$2:AK$1024 = A147)))
"),46)</f>
        <v>46</v>
      </c>
      <c r="G147" s="21">
        <f t="shared" ca="1" si="0"/>
        <v>0.45098039215686275</v>
      </c>
      <c r="H147" s="169"/>
      <c r="I147" s="169"/>
      <c r="J147" s="6"/>
      <c r="K147" s="188"/>
      <c r="L147" s="189"/>
      <c r="M147" s="189"/>
      <c r="N147" s="6"/>
      <c r="O147" s="6"/>
      <c r="P147" s="6"/>
      <c r="Q147" s="169"/>
      <c r="R147" s="6"/>
      <c r="S147" s="6"/>
      <c r="T147" s="169"/>
      <c r="U147" s="6"/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69"/>
      <c r="AN147" s="169"/>
      <c r="AO147" s="169"/>
      <c r="AP147" s="169"/>
      <c r="AQ147" s="169"/>
      <c r="AR147" s="169"/>
    </row>
    <row r="148" spans="1:44" ht="12.5">
      <c r="A148" s="169" t="str">
        <f ca="1">IFERROR(__xludf.DUMMYFUNCTION("""COMPUTED_VALUE"""),"Fred Sherman")</f>
        <v>Fred Sherman</v>
      </c>
      <c r="B148" s="186">
        <f ca="1">COUNTIF('All Scores'!AJ:AK,A148)</f>
        <v>2</v>
      </c>
      <c r="C148" s="186">
        <f ca="1">IFERROR(__xludf.DUMMYFUNCTION("MIN(FILTER('All Scores'!AI$2:AI$1024, ('All Scores'!AJ$2:AJ$1024 = A148) + ('All Scores'!AK$2:AK$1024 = A148)))"),12)</f>
        <v>12</v>
      </c>
      <c r="D148" s="187">
        <f ca="1">IFERROR(__xludf.DUMMYFUNCTION("AVERAGE(FILTER('All Scores'!AI$2:AI$1024, ('All Scores'!AJ$2:AJ$1024 = A148) + ('All Scores'!AK$2:AK$1024 = A148))
)
"),12.5)</f>
        <v>12.5</v>
      </c>
      <c r="E148" s="6">
        <f ca="1">IFERROR(__xludf.DUMMYFUNCTION("SUM(FILTER('All Scores'!AF$2:AF$1024, ('All Scores'!AJ$2:AJ$1024 = A148) + ('All Scores'!AK$2:AK$1024 = A148)))
"),102)</f>
        <v>102</v>
      </c>
      <c r="F148" s="6">
        <f ca="1">IFERROR(__xludf.DUMMYFUNCTION("SUM(FILTER('All Scores'!AD$2:AD$1024, ('All Scores'!AJ$2:AJ$1024 = A148) + ('All Scores'!AK$2:AK$1024 = A148)))
"),36)</f>
        <v>36</v>
      </c>
      <c r="G148" s="21">
        <f t="shared" ca="1" si="0"/>
        <v>0.35294117647058826</v>
      </c>
      <c r="H148" s="169"/>
      <c r="I148" s="169"/>
      <c r="J148" s="6"/>
      <c r="K148" s="188"/>
      <c r="L148" s="189"/>
      <c r="M148" s="189"/>
      <c r="N148" s="6"/>
      <c r="O148" s="6"/>
      <c r="P148" s="6"/>
      <c r="Q148" s="169"/>
      <c r="R148" s="6"/>
      <c r="S148" s="6"/>
      <c r="T148" s="169"/>
      <c r="U148" s="6"/>
      <c r="V148" s="169"/>
      <c r="W148" s="169"/>
      <c r="X148" s="169"/>
      <c r="Y148" s="169"/>
      <c r="Z148" s="169"/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69"/>
      <c r="AN148" s="169"/>
      <c r="AO148" s="169"/>
      <c r="AP148" s="169"/>
      <c r="AQ148" s="169"/>
      <c r="AR148" s="169"/>
    </row>
    <row r="149" spans="1:44" ht="12.5">
      <c r="A149" s="169" t="str">
        <f ca="1">IFERROR(__xludf.DUMMYFUNCTION("""COMPUTED_VALUE"""),"Gary Bicknell")</f>
        <v>Gary Bicknell</v>
      </c>
      <c r="B149" s="186">
        <f ca="1">COUNTIF('All Scores'!AJ:AK,A149)</f>
        <v>1</v>
      </c>
      <c r="C149" s="186">
        <f ca="1">IFERROR(__xludf.DUMMYFUNCTION("MIN(FILTER('All Scores'!AI$2:AI$1024, ('All Scores'!AJ$2:AJ$1024 = A149) + ('All Scores'!AK$2:AK$1024 = A149)))"),3)</f>
        <v>3</v>
      </c>
      <c r="D149" s="187">
        <f ca="1">IFERROR(__xludf.DUMMYFUNCTION("AVERAGE(FILTER('All Scores'!AI$2:AI$1024, ('All Scores'!AJ$2:AJ$1024 = A149) + ('All Scores'!AK$2:AK$1024 = A149))
)
"),3)</f>
        <v>3</v>
      </c>
      <c r="E149" s="6">
        <f ca="1">IFERROR(__xludf.DUMMYFUNCTION("SUM(FILTER('All Scores'!AF$2:AF$1024, ('All Scores'!AJ$2:AJ$1024 = A149) + ('All Scores'!AK$2:AK$1024 = A149)))
"),75)</f>
        <v>75</v>
      </c>
      <c r="F149" s="6">
        <f ca="1">IFERROR(__xludf.DUMMYFUNCTION("SUM(FILTER('All Scores'!AD$2:AD$1024, ('All Scores'!AJ$2:AJ$1024 = A149) + ('All Scores'!AK$2:AK$1024 = A149)))
"),42)</f>
        <v>42</v>
      </c>
      <c r="G149" s="21">
        <f t="shared" ca="1" si="0"/>
        <v>0.56000000000000005</v>
      </c>
      <c r="H149" s="169"/>
      <c r="I149" s="169"/>
      <c r="J149" s="6"/>
      <c r="K149" s="188"/>
      <c r="L149" s="189"/>
      <c r="M149" s="189"/>
      <c r="N149" s="6"/>
      <c r="O149" s="6"/>
      <c r="P149" s="6"/>
      <c r="Q149" s="169"/>
      <c r="R149" s="6"/>
      <c r="S149" s="6"/>
      <c r="T149" s="169"/>
      <c r="U149" s="6"/>
      <c r="V149" s="169"/>
      <c r="W149" s="169"/>
      <c r="X149" s="169"/>
      <c r="Y149" s="169"/>
      <c r="Z149" s="169"/>
      <c r="AA149" s="169"/>
      <c r="AB149" s="169"/>
      <c r="AC149" s="169"/>
      <c r="AD149" s="169"/>
      <c r="AE149" s="169"/>
      <c r="AF149" s="169"/>
      <c r="AG149" s="169"/>
      <c r="AH149" s="169"/>
      <c r="AI149" s="169"/>
      <c r="AJ149" s="169"/>
      <c r="AK149" s="169"/>
      <c r="AL149" s="169"/>
      <c r="AM149" s="169"/>
      <c r="AN149" s="169"/>
      <c r="AO149" s="169"/>
      <c r="AP149" s="169"/>
      <c r="AQ149" s="169"/>
      <c r="AR149" s="169"/>
    </row>
    <row r="150" spans="1:44" ht="12.5">
      <c r="A150" s="169" t="str">
        <f ca="1">IFERROR(__xludf.DUMMYFUNCTION("""COMPUTED_VALUE"""),"Gary Bradley")</f>
        <v>Gary Bradley</v>
      </c>
      <c r="B150" s="186">
        <f ca="1">COUNTIF('All Scores'!AJ:AK,A150)</f>
        <v>1</v>
      </c>
      <c r="C150" s="186">
        <f ca="1">IFERROR(__xludf.DUMMYFUNCTION("MIN(FILTER('All Scores'!AI$2:AI$1024, ('All Scores'!AJ$2:AJ$1024 = A150) + ('All Scores'!AK$2:AK$1024 = A150)))"),1)</f>
        <v>1</v>
      </c>
      <c r="D150" s="187">
        <f ca="1">IFERROR(__xludf.DUMMYFUNCTION("AVERAGE(FILTER('All Scores'!AI$2:AI$1024, ('All Scores'!AJ$2:AJ$1024 = A150) + ('All Scores'!AK$2:AK$1024 = A150))
)
"),1)</f>
        <v>1</v>
      </c>
      <c r="E150" s="6">
        <f ca="1">IFERROR(__xludf.DUMMYFUNCTION("SUM(FILTER('All Scores'!AF$2:AF$1024, ('All Scores'!AJ$2:AJ$1024 = A150) + ('All Scores'!AK$2:AK$1024 = A150)))
"),91)</f>
        <v>91</v>
      </c>
      <c r="F150" s="6">
        <f ca="1">IFERROR(__xludf.DUMMYFUNCTION("SUM(FILTER('All Scores'!AD$2:AD$1024, ('All Scores'!AJ$2:AJ$1024 = A150) + ('All Scores'!AK$2:AK$1024 = A150)))
"),58)</f>
        <v>58</v>
      </c>
      <c r="G150" s="21">
        <f t="shared" ca="1" si="0"/>
        <v>0.63736263736263732</v>
      </c>
      <c r="H150" s="169"/>
      <c r="I150" s="169"/>
      <c r="J150" s="6"/>
      <c r="K150" s="188"/>
      <c r="L150" s="189"/>
      <c r="M150" s="189"/>
      <c r="N150" s="6"/>
      <c r="O150" s="6"/>
      <c r="P150" s="6"/>
      <c r="Q150" s="169"/>
      <c r="R150" s="6"/>
      <c r="S150" s="6"/>
      <c r="T150" s="169"/>
      <c r="U150" s="6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</row>
    <row r="151" spans="1:44" ht="12.5">
      <c r="A151" s="169" t="str">
        <f ca="1">IFERROR(__xludf.DUMMYFUNCTION("""COMPUTED_VALUE"""),"Gary Mulsow")</f>
        <v>Gary Mulsow</v>
      </c>
      <c r="B151" s="186">
        <f ca="1">COUNTIF('All Scores'!AJ:AK,A151)</f>
        <v>6</v>
      </c>
      <c r="C151" s="186">
        <f ca="1">IFERROR(__xludf.DUMMYFUNCTION("MIN(FILTER('All Scores'!AI$2:AI$1024, ('All Scores'!AJ$2:AJ$1024 = A151) + ('All Scores'!AK$2:AK$1024 = A151)))"),4)</f>
        <v>4</v>
      </c>
      <c r="D151" s="187">
        <f ca="1">IFERROR(__xludf.DUMMYFUNCTION("AVERAGE(FILTER('All Scores'!AI$2:AI$1024, ('All Scores'!AJ$2:AJ$1024 = A151) + ('All Scores'!AK$2:AK$1024 = A151))
)
"),9)</f>
        <v>9</v>
      </c>
      <c r="E151" s="6">
        <f ca="1">IFERROR(__xludf.DUMMYFUNCTION("SUM(FILTER('All Scores'!AF$2:AF$1024, ('All Scores'!AJ$2:AJ$1024 = A151) + ('All Scores'!AK$2:AK$1024 = A151)))
"),436)</f>
        <v>436</v>
      </c>
      <c r="F151" s="6">
        <f ca="1">IFERROR(__xludf.DUMMYFUNCTION("SUM(FILTER('All Scores'!AD$2:AD$1024, ('All Scores'!AJ$2:AJ$1024 = A151) + ('All Scores'!AK$2:AK$1024 = A151)))
"),217)</f>
        <v>217</v>
      </c>
      <c r="G151" s="21">
        <f t="shared" ca="1" si="0"/>
        <v>0.49770642201834864</v>
      </c>
      <c r="H151" s="169"/>
      <c r="I151" s="169"/>
      <c r="J151" s="6"/>
      <c r="K151" s="188"/>
      <c r="L151" s="189"/>
      <c r="M151" s="189"/>
      <c r="N151" s="6"/>
      <c r="O151" s="6"/>
      <c r="P151" s="6"/>
      <c r="Q151" s="169"/>
      <c r="R151" s="6"/>
      <c r="S151" s="6"/>
      <c r="T151" s="169"/>
      <c r="U151" s="6"/>
      <c r="V151" s="169"/>
      <c r="W151" s="169"/>
      <c r="X151" s="169"/>
      <c r="Y151" s="169"/>
      <c r="Z151" s="169"/>
      <c r="AA151" s="169"/>
      <c r="AB151" s="169"/>
      <c r="AC151" s="169"/>
      <c r="AD151" s="169"/>
      <c r="AE151" s="169"/>
      <c r="AF151" s="169"/>
      <c r="AG151" s="169"/>
      <c r="AH151" s="169"/>
      <c r="AI151" s="169"/>
      <c r="AJ151" s="169"/>
      <c r="AK151" s="169"/>
      <c r="AL151" s="169"/>
      <c r="AM151" s="169"/>
      <c r="AN151" s="169"/>
      <c r="AO151" s="169"/>
      <c r="AP151" s="169"/>
      <c r="AQ151" s="169"/>
      <c r="AR151" s="169"/>
    </row>
    <row r="152" spans="1:44" ht="12.5">
      <c r="A152" s="169" t="str">
        <f ca="1">IFERROR(__xludf.DUMMYFUNCTION("""COMPUTED_VALUE"""),"Gary Roberds")</f>
        <v>Gary Roberds</v>
      </c>
      <c r="B152" s="186">
        <f ca="1">COUNTIF('All Scores'!AJ:AK,A152)</f>
        <v>4</v>
      </c>
      <c r="C152" s="186">
        <f ca="1">IFERROR(__xludf.DUMMYFUNCTION("MIN(FILTER('All Scores'!AI$2:AI$1024, ('All Scores'!AJ$2:AJ$1024 = A152) + ('All Scores'!AK$2:AK$1024 = A152)))"),5)</f>
        <v>5</v>
      </c>
      <c r="D152" s="187">
        <f ca="1">IFERROR(__xludf.DUMMYFUNCTION("AVERAGE(FILTER('All Scores'!AI$2:AI$1024, ('All Scores'!AJ$2:AJ$1024 = A152) + ('All Scores'!AK$2:AK$1024 = A152))
)
"),10.25)</f>
        <v>10.25</v>
      </c>
      <c r="E152" s="6">
        <f ca="1">IFERROR(__xludf.DUMMYFUNCTION("SUM(FILTER('All Scores'!AF$2:AF$1024, ('All Scores'!AJ$2:AJ$1024 = A152) + ('All Scores'!AK$2:AK$1024 = A152)))
"),200)</f>
        <v>200</v>
      </c>
      <c r="F152" s="6">
        <f ca="1">IFERROR(__xludf.DUMMYFUNCTION("SUM(FILTER('All Scores'!AD$2:AD$1024, ('All Scores'!AJ$2:AJ$1024 = A152) + ('All Scores'!AK$2:AK$1024 = A152)))
"),94)</f>
        <v>94</v>
      </c>
      <c r="G152" s="21">
        <f t="shared" ca="1" si="0"/>
        <v>0.47</v>
      </c>
      <c r="H152" s="169"/>
      <c r="I152" s="169"/>
      <c r="J152" s="6"/>
      <c r="K152" s="188"/>
      <c r="L152" s="189"/>
      <c r="M152" s="189"/>
      <c r="N152" s="6"/>
      <c r="O152" s="6"/>
      <c r="P152" s="6"/>
      <c r="Q152" s="169"/>
      <c r="R152" s="6"/>
      <c r="S152" s="6"/>
      <c r="T152" s="169"/>
      <c r="U152" s="6"/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69"/>
      <c r="AF152" s="169"/>
      <c r="AG152" s="169"/>
      <c r="AH152" s="169"/>
      <c r="AI152" s="169"/>
      <c r="AJ152" s="169"/>
      <c r="AK152" s="169"/>
      <c r="AL152" s="169"/>
      <c r="AM152" s="169"/>
      <c r="AN152" s="169"/>
      <c r="AO152" s="169"/>
      <c r="AP152" s="169"/>
      <c r="AQ152" s="169"/>
      <c r="AR152" s="169"/>
    </row>
    <row r="153" spans="1:44" ht="12.5">
      <c r="A153" s="169" t="str">
        <f ca="1">IFERROR(__xludf.DUMMYFUNCTION("""COMPUTED_VALUE"""),"Gary Smith")</f>
        <v>Gary Smith</v>
      </c>
      <c r="B153" s="186">
        <f ca="1">COUNTIF('All Scores'!AJ:AK,A153)</f>
        <v>2</v>
      </c>
      <c r="C153" s="186">
        <f ca="1">IFERROR(__xludf.DUMMYFUNCTION("MIN(FILTER('All Scores'!AI$2:AI$1024, ('All Scores'!AJ$2:AJ$1024 = A153) + ('All Scores'!AK$2:AK$1024 = A153)))"),5)</f>
        <v>5</v>
      </c>
      <c r="D153" s="187">
        <f ca="1">IFERROR(__xludf.DUMMYFUNCTION("AVERAGE(FILTER('All Scores'!AI$2:AI$1024, ('All Scores'!AJ$2:AJ$1024 = A153) + ('All Scores'!AK$2:AK$1024 = A153))
)
"),10)</f>
        <v>10</v>
      </c>
      <c r="E153" s="6">
        <f ca="1">IFERROR(__xludf.DUMMYFUNCTION("SUM(FILTER('All Scores'!AF$2:AF$1024, ('All Scores'!AJ$2:AJ$1024 = A153) + ('All Scores'!AK$2:AK$1024 = A153)))
"),88)</f>
        <v>88</v>
      </c>
      <c r="F153" s="6">
        <f ca="1">IFERROR(__xludf.DUMMYFUNCTION("SUM(FILTER('All Scores'!AD$2:AD$1024, ('All Scores'!AJ$2:AJ$1024 = A153) + ('All Scores'!AK$2:AK$1024 = A153)))
"),31)</f>
        <v>31</v>
      </c>
      <c r="G153" s="21">
        <f t="shared" ca="1" si="0"/>
        <v>0.35227272727272729</v>
      </c>
      <c r="H153" s="169"/>
      <c r="I153" s="169"/>
      <c r="J153" s="6"/>
      <c r="K153" s="188"/>
      <c r="L153" s="189"/>
      <c r="M153" s="189"/>
      <c r="N153" s="6"/>
      <c r="O153" s="6"/>
      <c r="P153" s="6"/>
      <c r="Q153" s="169"/>
      <c r="R153" s="6"/>
      <c r="S153" s="6"/>
      <c r="T153" s="169"/>
      <c r="U153" s="6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69"/>
      <c r="AF153" s="169"/>
      <c r="AG153" s="169"/>
      <c r="AH153" s="169"/>
      <c r="AI153" s="169"/>
      <c r="AJ153" s="169"/>
      <c r="AK153" s="169"/>
      <c r="AL153" s="169"/>
      <c r="AM153" s="169"/>
      <c r="AN153" s="169"/>
      <c r="AO153" s="169"/>
      <c r="AP153" s="169"/>
      <c r="AQ153" s="169"/>
      <c r="AR153" s="169"/>
    </row>
    <row r="154" spans="1:44" ht="12.5">
      <c r="A154" s="169" t="str">
        <f ca="1">IFERROR(__xludf.DUMMYFUNCTION("""COMPUTED_VALUE"""),"Gene Humphries")</f>
        <v>Gene Humphries</v>
      </c>
      <c r="B154" s="186">
        <f ca="1">COUNTIF('All Scores'!AJ:AK,A154)</f>
        <v>1</v>
      </c>
      <c r="C154" s="186">
        <f ca="1">IFERROR(__xludf.DUMMYFUNCTION("MIN(FILTER('All Scores'!AI$2:AI$1024, ('All Scores'!AJ$2:AJ$1024 = A154) + ('All Scores'!AK$2:AK$1024 = A154)))"),7)</f>
        <v>7</v>
      </c>
      <c r="D154" s="187">
        <f ca="1">IFERROR(__xludf.DUMMYFUNCTION("AVERAGE(FILTER('All Scores'!AI$2:AI$1024, ('All Scores'!AJ$2:AJ$1024 = A154) + ('All Scores'!AK$2:AK$1024 = A154))
)
"),7)</f>
        <v>7</v>
      </c>
      <c r="E154" s="6">
        <f ca="1">IFERROR(__xludf.DUMMYFUNCTION("SUM(FILTER('All Scores'!AF$2:AF$1024, ('All Scores'!AJ$2:AJ$1024 = A154) + ('All Scores'!AK$2:AK$1024 = A154)))
"),70)</f>
        <v>70</v>
      </c>
      <c r="F154" s="6">
        <f ca="1">IFERROR(__xludf.DUMMYFUNCTION("SUM(FILTER('All Scores'!AD$2:AD$1024, ('All Scores'!AJ$2:AJ$1024 = A154) + ('All Scores'!AK$2:AK$1024 = A154)))
"),35)</f>
        <v>35</v>
      </c>
      <c r="G154" s="21">
        <f t="shared" ca="1" si="0"/>
        <v>0.5</v>
      </c>
      <c r="H154" s="169"/>
      <c r="I154" s="169"/>
      <c r="J154" s="6"/>
      <c r="K154" s="188"/>
      <c r="L154" s="189"/>
      <c r="M154" s="189"/>
      <c r="N154" s="6"/>
      <c r="O154" s="6"/>
      <c r="P154" s="6"/>
      <c r="Q154" s="169"/>
      <c r="R154" s="6"/>
      <c r="S154" s="6"/>
      <c r="T154" s="169"/>
      <c r="U154" s="6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  <c r="AJ154" s="169"/>
      <c r="AK154" s="169"/>
      <c r="AL154" s="169"/>
      <c r="AM154" s="169"/>
      <c r="AN154" s="169"/>
      <c r="AO154" s="169"/>
      <c r="AP154" s="169"/>
      <c r="AQ154" s="169"/>
      <c r="AR154" s="169"/>
    </row>
    <row r="155" spans="1:44" ht="12.5">
      <c r="A155" s="169" t="str">
        <f ca="1">IFERROR(__xludf.DUMMYFUNCTION("""COMPUTED_VALUE"""),"Genece Brannan")</f>
        <v>Genece Brannan</v>
      </c>
      <c r="B155" s="186">
        <f ca="1">COUNTIF('All Scores'!AJ:AK,A155)</f>
        <v>1</v>
      </c>
      <c r="C155" s="186">
        <f ca="1">IFERROR(__xludf.DUMMYFUNCTION("MIN(FILTER('All Scores'!AI$2:AI$1024, ('All Scores'!AJ$2:AJ$1024 = A155) + ('All Scores'!AK$2:AK$1024 = A155)))"),16)</f>
        <v>16</v>
      </c>
      <c r="D155" s="187">
        <f ca="1">IFERROR(__xludf.DUMMYFUNCTION("AVERAGE(FILTER('All Scores'!AI$2:AI$1024, ('All Scores'!AJ$2:AJ$1024 = A155) + ('All Scores'!AK$2:AK$1024 = A155))
)
"),16)</f>
        <v>16</v>
      </c>
      <c r="E155" s="6">
        <f ca="1">IFERROR(__xludf.DUMMYFUNCTION("SUM(FILTER('All Scores'!AF$2:AF$1024, ('All Scores'!AJ$2:AJ$1024 = A155) + ('All Scores'!AK$2:AK$1024 = A155)))
"),62)</f>
        <v>62</v>
      </c>
      <c r="F155" s="6">
        <f ca="1">IFERROR(__xludf.DUMMYFUNCTION("SUM(FILTER('All Scores'!AD$2:AD$1024, ('All Scores'!AJ$2:AJ$1024 = A155) + ('All Scores'!AK$2:AK$1024 = A155)))
"),18)</f>
        <v>18</v>
      </c>
      <c r="G155" s="21">
        <f t="shared" ca="1" si="0"/>
        <v>0.29032258064516131</v>
      </c>
      <c r="H155" s="169"/>
      <c r="I155" s="169"/>
      <c r="J155" s="6"/>
      <c r="K155" s="188"/>
      <c r="L155" s="189"/>
      <c r="M155" s="189"/>
      <c r="N155" s="6"/>
      <c r="O155" s="6"/>
      <c r="P155" s="6"/>
      <c r="Q155" s="169"/>
      <c r="R155" s="6"/>
      <c r="S155" s="6"/>
      <c r="T155" s="169"/>
      <c r="U155" s="6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  <c r="AJ155" s="169"/>
      <c r="AK155" s="169"/>
      <c r="AL155" s="169"/>
      <c r="AM155" s="169"/>
      <c r="AN155" s="169"/>
      <c r="AO155" s="169"/>
      <c r="AP155" s="169"/>
      <c r="AQ155" s="169"/>
      <c r="AR155" s="169"/>
    </row>
    <row r="156" spans="1:44" ht="12.5">
      <c r="A156" s="169" t="str">
        <f ca="1">IFERROR(__xludf.DUMMYFUNCTION("""COMPUTED_VALUE"""),"George Lopez")</f>
        <v>George Lopez</v>
      </c>
      <c r="B156" s="186">
        <f ca="1">COUNTIF('All Scores'!AJ:AK,A156)</f>
        <v>1</v>
      </c>
      <c r="C156" s="186">
        <f ca="1">IFERROR(__xludf.DUMMYFUNCTION("MIN(FILTER('All Scores'!AI$2:AI$1024, ('All Scores'!AJ$2:AJ$1024 = A156) + ('All Scores'!AK$2:AK$1024 = A156)))"),17)</f>
        <v>17</v>
      </c>
      <c r="D156" s="187">
        <f ca="1">IFERROR(__xludf.DUMMYFUNCTION("AVERAGE(FILTER('All Scores'!AI$2:AI$1024, ('All Scores'!AJ$2:AJ$1024 = A156) + ('All Scores'!AK$2:AK$1024 = A156))
)
"),17)</f>
        <v>17</v>
      </c>
      <c r="E156" s="6">
        <f ca="1">IFERROR(__xludf.DUMMYFUNCTION("SUM(FILTER('All Scores'!AF$2:AF$1024, ('All Scores'!AJ$2:AJ$1024 = A156) + ('All Scores'!AK$2:AK$1024 = A156)))
"),58)</f>
        <v>58</v>
      </c>
      <c r="F156" s="6">
        <f ca="1">IFERROR(__xludf.DUMMYFUNCTION("SUM(FILTER('All Scores'!AD$2:AD$1024, ('All Scores'!AJ$2:AJ$1024 = A156) + ('All Scores'!AK$2:AK$1024 = A156)))
"),29)</f>
        <v>29</v>
      </c>
      <c r="G156" s="21">
        <f t="shared" ca="1" si="0"/>
        <v>0.5</v>
      </c>
      <c r="H156" s="169"/>
      <c r="I156" s="169"/>
      <c r="J156" s="6"/>
      <c r="K156" s="188"/>
      <c r="L156" s="189"/>
      <c r="M156" s="189"/>
      <c r="N156" s="6"/>
      <c r="O156" s="6"/>
      <c r="P156" s="6"/>
      <c r="Q156" s="169"/>
      <c r="R156" s="6"/>
      <c r="S156" s="6"/>
      <c r="T156" s="169"/>
      <c r="U156" s="6"/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69"/>
      <c r="AF156" s="169"/>
      <c r="AG156" s="169"/>
      <c r="AH156" s="169"/>
      <c r="AI156" s="169"/>
      <c r="AJ156" s="169"/>
      <c r="AK156" s="169"/>
      <c r="AL156" s="169"/>
      <c r="AM156" s="169"/>
      <c r="AN156" s="169"/>
      <c r="AO156" s="169"/>
      <c r="AP156" s="169"/>
      <c r="AQ156" s="169"/>
      <c r="AR156" s="169"/>
    </row>
    <row r="157" spans="1:44" ht="12.5">
      <c r="A157" s="169" t="str">
        <f ca="1">IFERROR(__xludf.DUMMYFUNCTION("""COMPUTED_VALUE"""),"Gina Cappuzzo")</f>
        <v>Gina Cappuzzo</v>
      </c>
      <c r="B157" s="186">
        <f ca="1">COUNTIF('All Scores'!AJ:AK,A157)</f>
        <v>1</v>
      </c>
      <c r="C157" s="186">
        <f ca="1">IFERROR(__xludf.DUMMYFUNCTION("MIN(FILTER('All Scores'!AI$2:AI$1024, ('All Scores'!AJ$2:AJ$1024 = A157) + ('All Scores'!AK$2:AK$1024 = A157)))"),12)</f>
        <v>12</v>
      </c>
      <c r="D157" s="187">
        <f ca="1">IFERROR(__xludf.DUMMYFUNCTION("AVERAGE(FILTER('All Scores'!AI$2:AI$1024, ('All Scores'!AJ$2:AJ$1024 = A157) + ('All Scores'!AK$2:AK$1024 = A157))
)
"),12)</f>
        <v>12</v>
      </c>
      <c r="E157" s="6">
        <f ca="1">IFERROR(__xludf.DUMMYFUNCTION("SUM(FILTER('All Scores'!AF$2:AF$1024, ('All Scores'!AJ$2:AJ$1024 = A157) + ('All Scores'!AK$2:AK$1024 = A157)))
"),70)</f>
        <v>70</v>
      </c>
      <c r="F157" s="6">
        <f ca="1">IFERROR(__xludf.DUMMYFUNCTION("SUM(FILTER('All Scores'!AD$2:AD$1024, ('All Scores'!AJ$2:AJ$1024 = A157) + ('All Scores'!AK$2:AK$1024 = A157)))
"),26)</f>
        <v>26</v>
      </c>
      <c r="G157" s="21">
        <f t="shared" ca="1" si="0"/>
        <v>0.37142857142857144</v>
      </c>
      <c r="H157" s="169"/>
      <c r="I157" s="169"/>
      <c r="J157" s="6"/>
      <c r="K157" s="188"/>
      <c r="L157" s="189"/>
      <c r="M157" s="189"/>
      <c r="N157" s="6"/>
      <c r="O157" s="6"/>
      <c r="P157" s="6"/>
      <c r="Q157" s="169"/>
      <c r="R157" s="6"/>
      <c r="S157" s="6"/>
      <c r="T157" s="169"/>
      <c r="U157" s="6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69"/>
      <c r="AN157" s="169"/>
      <c r="AO157" s="169"/>
      <c r="AP157" s="169"/>
      <c r="AQ157" s="169"/>
      <c r="AR157" s="169"/>
    </row>
    <row r="158" spans="1:44" ht="12.5">
      <c r="A158" s="169" t="str">
        <f ca="1">IFERROR(__xludf.DUMMYFUNCTION("""COMPUTED_VALUE"""),"Grant Isom")</f>
        <v>Grant Isom</v>
      </c>
      <c r="B158" s="186">
        <f ca="1">COUNTIF('All Scores'!AJ:AK,A158)</f>
        <v>4</v>
      </c>
      <c r="C158" s="186">
        <f ca="1">IFERROR(__xludf.DUMMYFUNCTION("MIN(FILTER('All Scores'!AI$2:AI$1024, ('All Scores'!AJ$2:AJ$1024 = A158) + ('All Scores'!AK$2:AK$1024 = A158)))"),3)</f>
        <v>3</v>
      </c>
      <c r="D158" s="187">
        <f ca="1">IFERROR(__xludf.DUMMYFUNCTION("AVERAGE(FILTER('All Scores'!AI$2:AI$1024, ('All Scores'!AJ$2:AJ$1024 = A158) + ('All Scores'!AK$2:AK$1024 = A158))
)
"),6.5)</f>
        <v>6.5</v>
      </c>
      <c r="E158" s="6">
        <f ca="1">IFERROR(__xludf.DUMMYFUNCTION("SUM(FILTER('All Scores'!AF$2:AF$1024, ('All Scores'!AJ$2:AJ$1024 = A158) + ('All Scores'!AK$2:AK$1024 = A158)))
"),370)</f>
        <v>370</v>
      </c>
      <c r="F158" s="6">
        <f ca="1">IFERROR(__xludf.DUMMYFUNCTION("SUM(FILTER('All Scores'!AD$2:AD$1024, ('All Scores'!AJ$2:AJ$1024 = A158) + ('All Scores'!AK$2:AK$1024 = A158)))
"),168)</f>
        <v>168</v>
      </c>
      <c r="G158" s="21">
        <f t="shared" ca="1" si="0"/>
        <v>0.45405405405405408</v>
      </c>
      <c r="H158" s="169"/>
      <c r="I158" s="169"/>
      <c r="J158" s="6"/>
      <c r="K158" s="188"/>
      <c r="L158" s="189"/>
      <c r="M158" s="189"/>
      <c r="N158" s="6"/>
      <c r="O158" s="6"/>
      <c r="P158" s="6"/>
      <c r="Q158" s="169"/>
      <c r="R158" s="6"/>
      <c r="S158" s="6"/>
      <c r="T158" s="169"/>
      <c r="U158" s="6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</row>
    <row r="159" spans="1:44" ht="12.5">
      <c r="A159" s="169" t="str">
        <f ca="1">IFERROR(__xludf.DUMMYFUNCTION("""COMPUTED_VALUE"""),"Greg Roith")</f>
        <v>Greg Roith</v>
      </c>
      <c r="B159" s="186">
        <f ca="1">COUNTIF('All Scores'!AJ:AK,A159)</f>
        <v>8</v>
      </c>
      <c r="C159" s="186">
        <f ca="1">IFERROR(__xludf.DUMMYFUNCTION("MIN(FILTER('All Scores'!AI$2:AI$1024, ('All Scores'!AJ$2:AJ$1024 = A159) + ('All Scores'!AK$2:AK$1024 = A159)))"),2)</f>
        <v>2</v>
      </c>
      <c r="D159" s="187">
        <f ca="1">IFERROR(__xludf.DUMMYFUNCTION("AVERAGE(FILTER('All Scores'!AI$2:AI$1024, ('All Scores'!AJ$2:AJ$1024 = A159) + ('All Scores'!AK$2:AK$1024 = A159))
)
"),12.25)</f>
        <v>12.25</v>
      </c>
      <c r="E159" s="6">
        <f ca="1">IFERROR(__xludf.DUMMYFUNCTION("SUM(FILTER('All Scores'!AF$2:AF$1024, ('All Scores'!AJ$2:AJ$1024 = A159) + ('All Scores'!AK$2:AK$1024 = A159)))
"),475)</f>
        <v>475</v>
      </c>
      <c r="F159" s="6">
        <f ca="1">IFERROR(__xludf.DUMMYFUNCTION("SUM(FILTER('All Scores'!AD$2:AD$1024, ('All Scores'!AJ$2:AJ$1024 = A159) + ('All Scores'!AK$2:AK$1024 = A159)))
"),198)</f>
        <v>198</v>
      </c>
      <c r="G159" s="21">
        <f t="shared" ca="1" si="0"/>
        <v>0.4168421052631579</v>
      </c>
      <c r="H159" s="169"/>
      <c r="I159" s="169"/>
      <c r="J159" s="6"/>
      <c r="K159" s="188"/>
      <c r="L159" s="189"/>
      <c r="M159" s="189"/>
      <c r="N159" s="6"/>
      <c r="O159" s="6"/>
      <c r="P159" s="6"/>
      <c r="Q159" s="169"/>
      <c r="R159" s="6"/>
      <c r="S159" s="6"/>
      <c r="T159" s="169"/>
      <c r="U159" s="6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</row>
    <row r="160" spans="1:44" ht="12.5">
      <c r="A160" s="169" t="str">
        <f ca="1">IFERROR(__xludf.DUMMYFUNCTION("""COMPUTED_VALUE"""),"Greg Romer")</f>
        <v>Greg Romer</v>
      </c>
      <c r="B160" s="186">
        <f ca="1">COUNTIF('All Scores'!AJ:AK,A160)</f>
        <v>3</v>
      </c>
      <c r="C160" s="186">
        <f ca="1">IFERROR(__xludf.DUMMYFUNCTION("MIN(FILTER('All Scores'!AI$2:AI$1024, ('All Scores'!AJ$2:AJ$1024 = A160) + ('All Scores'!AK$2:AK$1024 = A160)))"),3)</f>
        <v>3</v>
      </c>
      <c r="D160" s="187">
        <f ca="1">IFERROR(__xludf.DUMMYFUNCTION("AVERAGE(FILTER('All Scores'!AI$2:AI$1024, ('All Scores'!AJ$2:AJ$1024 = A160) + ('All Scores'!AK$2:AK$1024 = A160))
)
"),8.66666666666666)</f>
        <v>8.6666666666666607</v>
      </c>
      <c r="E160" s="6">
        <f ca="1">IFERROR(__xludf.DUMMYFUNCTION("SUM(FILTER('All Scores'!AF$2:AF$1024, ('All Scores'!AJ$2:AJ$1024 = A160) + ('All Scores'!AK$2:AK$1024 = A160)))
"),244)</f>
        <v>244</v>
      </c>
      <c r="F160" s="6">
        <f ca="1">IFERROR(__xludf.DUMMYFUNCTION("SUM(FILTER('All Scores'!AD$2:AD$1024, ('All Scores'!AJ$2:AJ$1024 = A160) + ('All Scores'!AK$2:AK$1024 = A160)))
"),120)</f>
        <v>120</v>
      </c>
      <c r="G160" s="21">
        <f t="shared" ca="1" si="0"/>
        <v>0.49180327868852458</v>
      </c>
      <c r="H160" s="169"/>
      <c r="I160" s="169"/>
      <c r="J160" s="6"/>
      <c r="K160" s="188"/>
      <c r="L160" s="189"/>
      <c r="M160" s="189"/>
      <c r="N160" s="6"/>
      <c r="O160" s="6"/>
      <c r="P160" s="6"/>
      <c r="Q160" s="169"/>
      <c r="R160" s="6"/>
      <c r="S160" s="6"/>
      <c r="T160" s="169"/>
      <c r="U160" s="6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</row>
    <row r="161" spans="1:44" ht="12.5">
      <c r="A161" s="169" t="str">
        <f ca="1">IFERROR(__xludf.DUMMYFUNCTION("""COMPUTED_VALUE"""),"Greg Summers")</f>
        <v>Greg Summers</v>
      </c>
      <c r="B161" s="186">
        <f ca="1">COUNTIF('All Scores'!AJ:AK,A161)</f>
        <v>2</v>
      </c>
      <c r="C161" s="186">
        <f ca="1">IFERROR(__xludf.DUMMYFUNCTION("MIN(FILTER('All Scores'!AI$2:AI$1024, ('All Scores'!AJ$2:AJ$1024 = A161) + ('All Scores'!AK$2:AK$1024 = A161)))"),13)</f>
        <v>13</v>
      </c>
      <c r="D161" s="187">
        <f ca="1">IFERROR(__xludf.DUMMYFUNCTION("AVERAGE(FILTER('All Scores'!AI$2:AI$1024, ('All Scores'!AJ$2:AJ$1024 = A161) + ('All Scores'!AK$2:AK$1024 = A161))
)
"),13)</f>
        <v>13</v>
      </c>
      <c r="E161" s="6">
        <f ca="1">IFERROR(__xludf.DUMMYFUNCTION("SUM(FILTER('All Scores'!AF$2:AF$1024, ('All Scores'!AJ$2:AJ$1024 = A161) + ('All Scores'!AK$2:AK$1024 = A161)))
"),102)</f>
        <v>102</v>
      </c>
      <c r="F161" s="6">
        <f ca="1">IFERROR(__xludf.DUMMYFUNCTION("SUM(FILTER('All Scores'!AD$2:AD$1024, ('All Scores'!AJ$2:AJ$1024 = A161) + ('All Scores'!AK$2:AK$1024 = A161)))
"),39)</f>
        <v>39</v>
      </c>
      <c r="G161" s="21">
        <f t="shared" ca="1" si="0"/>
        <v>0.38235294117647056</v>
      </c>
      <c r="H161" s="169"/>
      <c r="I161" s="169"/>
      <c r="J161" s="6"/>
      <c r="K161" s="188"/>
      <c r="L161" s="189"/>
      <c r="M161" s="189"/>
      <c r="N161" s="6"/>
      <c r="O161" s="6"/>
      <c r="P161" s="6"/>
      <c r="Q161" s="169"/>
      <c r="R161" s="6"/>
      <c r="S161" s="6"/>
      <c r="T161" s="169"/>
      <c r="U161" s="6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</row>
    <row r="162" spans="1:44" ht="12.5">
      <c r="A162" s="169" t="str">
        <f ca="1">IFERROR(__xludf.DUMMYFUNCTION("""COMPUTED_VALUE"""),"Grif Sims")</f>
        <v>Grif Sims</v>
      </c>
      <c r="B162" s="186">
        <f ca="1">COUNTIF('All Scores'!AJ:AK,A162)</f>
        <v>4</v>
      </c>
      <c r="C162" s="186">
        <f ca="1">IFERROR(__xludf.DUMMYFUNCTION("MIN(FILTER('All Scores'!AI$2:AI$1024, ('All Scores'!AJ$2:AJ$1024 = A162) + ('All Scores'!AK$2:AK$1024 = A162)))"),1)</f>
        <v>1</v>
      </c>
      <c r="D162" s="187">
        <f ca="1">IFERROR(__xludf.DUMMYFUNCTION("AVERAGE(FILTER('All Scores'!AI$2:AI$1024, ('All Scores'!AJ$2:AJ$1024 = A162) + ('All Scores'!AK$2:AK$1024 = A162))
)
"),7)</f>
        <v>7</v>
      </c>
      <c r="E162" s="6">
        <f ca="1">IFERROR(__xludf.DUMMYFUNCTION("SUM(FILTER('All Scores'!AF$2:AF$1024, ('All Scores'!AJ$2:AJ$1024 = A162) + ('All Scores'!AK$2:AK$1024 = A162)))
"),338)</f>
        <v>338</v>
      </c>
      <c r="F162" s="6">
        <f ca="1">IFERROR(__xludf.DUMMYFUNCTION("SUM(FILTER('All Scores'!AD$2:AD$1024, ('All Scores'!AJ$2:AJ$1024 = A162) + ('All Scores'!AK$2:AK$1024 = A162)))
"),194)</f>
        <v>194</v>
      </c>
      <c r="G162" s="21">
        <f t="shared" ca="1" si="0"/>
        <v>0.57396449704142016</v>
      </c>
      <c r="H162" s="169"/>
      <c r="I162" s="169"/>
      <c r="J162" s="6"/>
      <c r="K162" s="188"/>
      <c r="L162" s="189"/>
      <c r="M162" s="189"/>
      <c r="N162" s="6"/>
      <c r="O162" s="6"/>
      <c r="P162" s="6"/>
      <c r="Q162" s="169"/>
      <c r="R162" s="6"/>
      <c r="S162" s="6"/>
      <c r="T162" s="169"/>
      <c r="U162" s="6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O162" s="169"/>
      <c r="AP162" s="169"/>
      <c r="AQ162" s="169"/>
      <c r="AR162" s="169"/>
    </row>
    <row r="163" spans="1:44" ht="12.5">
      <c r="A163" s="169" t="str">
        <f ca="1">IFERROR(__xludf.DUMMYFUNCTION("""COMPUTED_VALUE"""),"Heather Cook")</f>
        <v>Heather Cook</v>
      </c>
      <c r="B163" s="186">
        <f ca="1">COUNTIF('All Scores'!AJ:AK,A163)</f>
        <v>1</v>
      </c>
      <c r="C163" s="186">
        <f ca="1">IFERROR(__xludf.DUMMYFUNCTION("MIN(FILTER('All Scores'!AI$2:AI$1024, ('All Scores'!AJ$2:AJ$1024 = A163) + ('All Scores'!AK$2:AK$1024 = A163)))"),4)</f>
        <v>4</v>
      </c>
      <c r="D163" s="187">
        <f ca="1">IFERROR(__xludf.DUMMYFUNCTION("AVERAGE(FILTER('All Scores'!AI$2:AI$1024, ('All Scores'!AJ$2:AJ$1024 = A163) + ('All Scores'!AK$2:AK$1024 = A163))
)
"),4)</f>
        <v>4</v>
      </c>
      <c r="E163" s="6">
        <f ca="1">IFERROR(__xludf.DUMMYFUNCTION("SUM(FILTER('All Scores'!AF$2:AF$1024, ('All Scores'!AJ$2:AJ$1024 = A163) + ('All Scores'!AK$2:AK$1024 = A163)))
"),70)</f>
        <v>70</v>
      </c>
      <c r="F163" s="6">
        <f ca="1">IFERROR(__xludf.DUMMYFUNCTION("SUM(FILTER('All Scores'!AD$2:AD$1024, ('All Scores'!AJ$2:AJ$1024 = A163) + ('All Scores'!AK$2:AK$1024 = A163)))
"),43)</f>
        <v>43</v>
      </c>
      <c r="G163" s="21">
        <f t="shared" ca="1" si="0"/>
        <v>0.61428571428571432</v>
      </c>
      <c r="H163" s="169"/>
      <c r="I163" s="169"/>
      <c r="J163" s="6"/>
      <c r="K163" s="188"/>
      <c r="L163" s="189"/>
      <c r="M163" s="189"/>
      <c r="N163" s="6"/>
      <c r="O163" s="6"/>
      <c r="P163" s="6"/>
      <c r="Q163" s="169"/>
      <c r="R163" s="6"/>
      <c r="S163" s="6"/>
      <c r="T163" s="169"/>
      <c r="U163" s="6"/>
      <c r="V163" s="169"/>
      <c r="W163" s="169"/>
      <c r="X163" s="169"/>
      <c r="Y163" s="169"/>
      <c r="Z163" s="169"/>
      <c r="AA163" s="169"/>
      <c r="AB163" s="169"/>
      <c r="AC163" s="169"/>
      <c r="AD163" s="169"/>
      <c r="AE163" s="169"/>
      <c r="AF163" s="169"/>
      <c r="AG163" s="169"/>
      <c r="AH163" s="169"/>
      <c r="AI163" s="169"/>
      <c r="AJ163" s="169"/>
      <c r="AK163" s="169"/>
      <c r="AL163" s="169"/>
      <c r="AM163" s="169"/>
      <c r="AN163" s="169"/>
      <c r="AO163" s="169"/>
      <c r="AP163" s="169"/>
      <c r="AQ163" s="169"/>
      <c r="AR163" s="169"/>
    </row>
    <row r="164" spans="1:44" ht="12.5">
      <c r="A164" s="169" t="str">
        <f ca="1">IFERROR(__xludf.DUMMYFUNCTION("""COMPUTED_VALUE"""),"Heather Hardy")</f>
        <v>Heather Hardy</v>
      </c>
      <c r="B164" s="186">
        <f ca="1">COUNTIF('All Scores'!AJ:AK,A164)</f>
        <v>1</v>
      </c>
      <c r="C164" s="186">
        <f ca="1">IFERROR(__xludf.DUMMYFUNCTION("MIN(FILTER('All Scores'!AI$2:AI$1024, ('All Scores'!AJ$2:AJ$1024 = A164) + ('All Scores'!AK$2:AK$1024 = A164)))"),12)</f>
        <v>12</v>
      </c>
      <c r="D164" s="187">
        <f ca="1">IFERROR(__xludf.DUMMYFUNCTION("AVERAGE(FILTER('All Scores'!AI$2:AI$1024, ('All Scores'!AJ$2:AJ$1024 = A164) + ('All Scores'!AK$2:AK$1024 = A164))
)
"),12)</f>
        <v>12</v>
      </c>
      <c r="E164" s="6">
        <f ca="1">IFERROR(__xludf.DUMMYFUNCTION("SUM(FILTER('All Scores'!AF$2:AF$1024, ('All Scores'!AJ$2:AJ$1024 = A164) + ('All Scores'!AK$2:AK$1024 = A164)))
"),52)</f>
        <v>52</v>
      </c>
      <c r="F164" s="6">
        <f ca="1">IFERROR(__xludf.DUMMYFUNCTION("SUM(FILTER('All Scores'!AD$2:AD$1024, ('All Scores'!AJ$2:AJ$1024 = A164) + ('All Scores'!AK$2:AK$1024 = A164)))
"),21)</f>
        <v>21</v>
      </c>
      <c r="G164" s="21">
        <f t="shared" ca="1" si="0"/>
        <v>0.40384615384615385</v>
      </c>
      <c r="H164" s="169"/>
      <c r="I164" s="169"/>
      <c r="J164" s="6"/>
      <c r="K164" s="188"/>
      <c r="L164" s="189"/>
      <c r="M164" s="189"/>
      <c r="N164" s="6"/>
      <c r="O164" s="6"/>
      <c r="P164" s="6"/>
      <c r="Q164" s="169"/>
      <c r="R164" s="6"/>
      <c r="S164" s="6"/>
      <c r="T164" s="169"/>
      <c r="U164" s="6"/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69"/>
      <c r="AN164" s="169"/>
      <c r="AO164" s="169"/>
      <c r="AP164" s="169"/>
      <c r="AQ164" s="169"/>
      <c r="AR164" s="169"/>
    </row>
    <row r="165" spans="1:44" ht="12.5">
      <c r="A165" s="169" t="str">
        <f ca="1">IFERROR(__xludf.DUMMYFUNCTION("""COMPUTED_VALUE"""),"Heather Johnson")</f>
        <v>Heather Johnson</v>
      </c>
      <c r="B165" s="186">
        <f ca="1">COUNTIF('All Scores'!AJ:AK,A165)</f>
        <v>1</v>
      </c>
      <c r="C165" s="186">
        <f ca="1">IFERROR(__xludf.DUMMYFUNCTION("MIN(FILTER('All Scores'!AI$2:AI$1024, ('All Scores'!AJ$2:AJ$1024 = A165) + ('All Scores'!AK$2:AK$1024 = A165)))"),7)</f>
        <v>7</v>
      </c>
      <c r="D165" s="187">
        <f ca="1">IFERROR(__xludf.DUMMYFUNCTION("AVERAGE(FILTER('All Scores'!AI$2:AI$1024, ('All Scores'!AJ$2:AJ$1024 = A165) + ('All Scores'!AK$2:AK$1024 = A165))
)
"),7)</f>
        <v>7</v>
      </c>
      <c r="E165" s="6">
        <f ca="1">IFERROR(__xludf.DUMMYFUNCTION("SUM(FILTER('All Scores'!AF$2:AF$1024, ('All Scores'!AJ$2:AJ$1024 = A165) + ('All Scores'!AK$2:AK$1024 = A165)))
"),93)</f>
        <v>93</v>
      </c>
      <c r="F165" s="6">
        <f ca="1">IFERROR(__xludf.DUMMYFUNCTION("SUM(FILTER('All Scores'!AD$2:AD$1024, ('All Scores'!AJ$2:AJ$1024 = A165) + ('All Scores'!AK$2:AK$1024 = A165)))
"),46)</f>
        <v>46</v>
      </c>
      <c r="G165" s="21">
        <f t="shared" ca="1" si="0"/>
        <v>0.4946236559139785</v>
      </c>
      <c r="H165" s="169"/>
      <c r="I165" s="169"/>
      <c r="J165" s="6"/>
      <c r="K165" s="188"/>
      <c r="L165" s="189"/>
      <c r="M165" s="189"/>
      <c r="N165" s="6"/>
      <c r="O165" s="6"/>
      <c r="P165" s="6"/>
      <c r="Q165" s="169"/>
      <c r="R165" s="6"/>
      <c r="S165" s="6"/>
      <c r="T165" s="169"/>
      <c r="U165" s="6"/>
      <c r="V165" s="169"/>
      <c r="W165" s="169"/>
      <c r="X165" s="169"/>
      <c r="Y165" s="169"/>
      <c r="Z165" s="169"/>
      <c r="AA165" s="169"/>
      <c r="AB165" s="169"/>
      <c r="AC165" s="169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69"/>
      <c r="AN165" s="169"/>
      <c r="AO165" s="169"/>
      <c r="AP165" s="169"/>
      <c r="AQ165" s="169"/>
      <c r="AR165" s="169"/>
    </row>
    <row r="166" spans="1:44" ht="12.5">
      <c r="A166" s="169" t="str">
        <f ca="1">IFERROR(__xludf.DUMMYFUNCTION("""COMPUTED_VALUE"""),"Heather Nichols")</f>
        <v>Heather Nichols</v>
      </c>
      <c r="B166" s="186">
        <f ca="1">COUNTIF('All Scores'!AJ:AK,A166)</f>
        <v>1</v>
      </c>
      <c r="C166" s="186">
        <f ca="1">IFERROR(__xludf.DUMMYFUNCTION("MIN(FILTER('All Scores'!AI$2:AI$1024, ('All Scores'!AJ$2:AJ$1024 = A166) + ('All Scores'!AK$2:AK$1024 = A166)))"),12)</f>
        <v>12</v>
      </c>
      <c r="D166" s="187">
        <f ca="1">IFERROR(__xludf.DUMMYFUNCTION("AVERAGE(FILTER('All Scores'!AI$2:AI$1024, ('All Scores'!AJ$2:AJ$1024 = A166) + ('All Scores'!AK$2:AK$1024 = A166))
)
"),12)</f>
        <v>12</v>
      </c>
      <c r="E166" s="6">
        <f ca="1">IFERROR(__xludf.DUMMYFUNCTION("SUM(FILTER('All Scores'!AF$2:AF$1024, ('All Scores'!AJ$2:AJ$1024 = A166) + ('All Scores'!AK$2:AK$1024 = A166)))
"),72)</f>
        <v>72</v>
      </c>
      <c r="F166" s="6">
        <f ca="1">IFERROR(__xludf.DUMMYFUNCTION("SUM(FILTER('All Scores'!AD$2:AD$1024, ('All Scores'!AJ$2:AJ$1024 = A166) + ('All Scores'!AK$2:AK$1024 = A166)))
"),34)</f>
        <v>34</v>
      </c>
      <c r="G166" s="21">
        <f t="shared" ca="1" si="0"/>
        <v>0.47222222222222221</v>
      </c>
      <c r="H166" s="169"/>
      <c r="I166" s="169"/>
      <c r="J166" s="6"/>
      <c r="K166" s="188"/>
      <c r="L166" s="189"/>
      <c r="M166" s="189"/>
      <c r="N166" s="6"/>
      <c r="O166" s="6"/>
      <c r="P166" s="6"/>
      <c r="Q166" s="169"/>
      <c r="R166" s="6"/>
      <c r="S166" s="6"/>
      <c r="T166" s="169"/>
      <c r="U166" s="6"/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69"/>
      <c r="AN166" s="169"/>
      <c r="AO166" s="169"/>
      <c r="AP166" s="169"/>
      <c r="AQ166" s="169"/>
      <c r="AR166" s="169"/>
    </row>
    <row r="167" spans="1:44" ht="12.5">
      <c r="A167" s="169" t="str">
        <f ca="1">IFERROR(__xludf.DUMMYFUNCTION("""COMPUTED_VALUE"""),"Hunter Vincent")</f>
        <v>Hunter Vincent</v>
      </c>
      <c r="B167" s="186">
        <f ca="1">COUNTIF('All Scores'!AJ:AK,A167)</f>
        <v>1</v>
      </c>
      <c r="C167" s="186">
        <f ca="1">IFERROR(__xludf.DUMMYFUNCTION("MIN(FILTER('All Scores'!AI$2:AI$1024, ('All Scores'!AJ$2:AJ$1024 = A167) + ('All Scores'!AK$2:AK$1024 = A167)))"),7)</f>
        <v>7</v>
      </c>
      <c r="D167" s="187">
        <f ca="1">IFERROR(__xludf.DUMMYFUNCTION("AVERAGE(FILTER('All Scores'!AI$2:AI$1024, ('All Scores'!AJ$2:AJ$1024 = A167) + ('All Scores'!AK$2:AK$1024 = A167))
)
"),7)</f>
        <v>7</v>
      </c>
      <c r="E167" s="6">
        <f ca="1">IFERROR(__xludf.DUMMYFUNCTION("SUM(FILTER('All Scores'!AF$2:AF$1024, ('All Scores'!AJ$2:AJ$1024 = A167) + ('All Scores'!AK$2:AK$1024 = A167)))
"),86)</f>
        <v>86</v>
      </c>
      <c r="F167" s="6">
        <f ca="1">IFERROR(__xludf.DUMMYFUNCTION("SUM(FILTER('All Scores'!AD$2:AD$1024, ('All Scores'!AJ$2:AJ$1024 = A167) + ('All Scores'!AK$2:AK$1024 = A167)))
"),40)</f>
        <v>40</v>
      </c>
      <c r="G167" s="21">
        <f t="shared" ca="1" si="0"/>
        <v>0.46511627906976744</v>
      </c>
      <c r="H167" s="169"/>
      <c r="I167" s="169"/>
      <c r="J167" s="6"/>
      <c r="K167" s="188"/>
      <c r="L167" s="189"/>
      <c r="M167" s="189"/>
      <c r="N167" s="6"/>
      <c r="O167" s="6"/>
      <c r="P167" s="6"/>
      <c r="Q167" s="169"/>
      <c r="R167" s="6"/>
      <c r="S167" s="6"/>
      <c r="T167" s="169"/>
      <c r="U167" s="6"/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69"/>
      <c r="AN167" s="169"/>
      <c r="AO167" s="169"/>
      <c r="AP167" s="169"/>
      <c r="AQ167" s="169"/>
      <c r="AR167" s="169"/>
    </row>
    <row r="168" spans="1:44" ht="12.5">
      <c r="A168" s="169" t="str">
        <f ca="1">IFERROR(__xludf.DUMMYFUNCTION("""COMPUTED_VALUE"""),"HyukJin Yun")</f>
        <v>HyukJin Yun</v>
      </c>
      <c r="B168" s="186">
        <f ca="1">COUNTIF('All Scores'!AJ:AK,A168)</f>
        <v>1</v>
      </c>
      <c r="C168" s="186">
        <f ca="1">IFERROR(__xludf.DUMMYFUNCTION("MIN(FILTER('All Scores'!AI$2:AI$1024, ('All Scores'!AJ$2:AJ$1024 = A168) + ('All Scores'!AK$2:AK$1024 = A168)))"),16)</f>
        <v>16</v>
      </c>
      <c r="D168" s="187">
        <f ca="1">IFERROR(__xludf.DUMMYFUNCTION("AVERAGE(FILTER('All Scores'!AI$2:AI$1024, ('All Scores'!AJ$2:AJ$1024 = A168) + ('All Scores'!AK$2:AK$1024 = A168))
)
"),16)</f>
        <v>16</v>
      </c>
      <c r="E168" s="6">
        <f ca="1">IFERROR(__xludf.DUMMYFUNCTION("SUM(FILTER('All Scores'!AF$2:AF$1024, ('All Scores'!AJ$2:AJ$1024 = A168) + ('All Scores'!AK$2:AK$1024 = A168)))
"),53)</f>
        <v>53</v>
      </c>
      <c r="F168" s="6">
        <f ca="1">IFERROR(__xludf.DUMMYFUNCTION("SUM(FILTER('All Scores'!AD$2:AD$1024, ('All Scores'!AJ$2:AJ$1024 = A168) + ('All Scores'!AK$2:AK$1024 = A168)))
"),9)</f>
        <v>9</v>
      </c>
      <c r="G168" s="21">
        <f t="shared" ca="1" si="0"/>
        <v>0.16981132075471697</v>
      </c>
      <c r="H168" s="169"/>
      <c r="I168" s="169"/>
      <c r="J168" s="6"/>
      <c r="K168" s="188"/>
      <c r="L168" s="189"/>
      <c r="M168" s="189"/>
      <c r="N168" s="6"/>
      <c r="O168" s="6"/>
      <c r="P168" s="6"/>
      <c r="Q168" s="169"/>
      <c r="R168" s="6"/>
      <c r="S168" s="6"/>
      <c r="T168" s="169"/>
      <c r="U168" s="6"/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O168" s="169"/>
      <c r="AP168" s="169"/>
      <c r="AQ168" s="169"/>
      <c r="AR168" s="169"/>
    </row>
    <row r="169" spans="1:44" ht="12.5">
      <c r="A169" s="169" t="str">
        <f ca="1">IFERROR(__xludf.DUMMYFUNCTION("""COMPUTED_VALUE"""),"Ian Boat")</f>
        <v>Ian Boat</v>
      </c>
      <c r="B169" s="186">
        <f ca="1">COUNTIF('All Scores'!AJ:AK,A169)</f>
        <v>1</v>
      </c>
      <c r="C169" s="186">
        <f ca="1">IFERROR(__xludf.DUMMYFUNCTION("MIN(FILTER('All Scores'!AI$2:AI$1024, ('All Scores'!AJ$2:AJ$1024 = A169) + ('All Scores'!AK$2:AK$1024 = A169)))"),4)</f>
        <v>4</v>
      </c>
      <c r="D169" s="187">
        <f ca="1">IFERROR(__xludf.DUMMYFUNCTION("AVERAGE(FILTER('All Scores'!AI$2:AI$1024, ('All Scores'!AJ$2:AJ$1024 = A169) + ('All Scores'!AK$2:AK$1024 = A169))
)
"),4)</f>
        <v>4</v>
      </c>
      <c r="E169" s="6">
        <f ca="1">IFERROR(__xludf.DUMMYFUNCTION("SUM(FILTER('All Scores'!AF$2:AF$1024, ('All Scores'!AJ$2:AJ$1024 = A169) + ('All Scores'!AK$2:AK$1024 = A169)))
"),91)</f>
        <v>91</v>
      </c>
      <c r="F169" s="6">
        <f ca="1">IFERROR(__xludf.DUMMYFUNCTION("SUM(FILTER('All Scores'!AD$2:AD$1024, ('All Scores'!AJ$2:AJ$1024 = A169) + ('All Scores'!AK$2:AK$1024 = A169)))
"),56)</f>
        <v>56</v>
      </c>
      <c r="G169" s="21">
        <f t="shared" ca="1" si="0"/>
        <v>0.61538461538461542</v>
      </c>
      <c r="H169" s="169"/>
      <c r="I169" s="169"/>
      <c r="J169" s="6"/>
      <c r="K169" s="188"/>
      <c r="L169" s="189"/>
      <c r="M169" s="189"/>
      <c r="N169" s="6"/>
      <c r="O169" s="6"/>
      <c r="P169" s="6"/>
      <c r="Q169" s="169"/>
      <c r="R169" s="6"/>
      <c r="S169" s="6"/>
      <c r="T169" s="169"/>
      <c r="U169" s="6"/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69"/>
      <c r="AN169" s="169"/>
      <c r="AO169" s="169"/>
      <c r="AP169" s="169"/>
      <c r="AQ169" s="169"/>
      <c r="AR169" s="169"/>
    </row>
    <row r="170" spans="1:44" ht="12.5">
      <c r="A170" s="169" t="str">
        <f ca="1">IFERROR(__xludf.DUMMYFUNCTION("""COMPUTED_VALUE"""),"Imelda Tooey")</f>
        <v>Imelda Tooey</v>
      </c>
      <c r="B170" s="186">
        <f ca="1">COUNTIF('All Scores'!AJ:AK,A170)</f>
        <v>3</v>
      </c>
      <c r="C170" s="186">
        <f ca="1">IFERROR(__xludf.DUMMYFUNCTION("MIN(FILTER('All Scores'!AI$2:AI$1024, ('All Scores'!AJ$2:AJ$1024 = A170) + ('All Scores'!AK$2:AK$1024 = A170)))"),9)</f>
        <v>9</v>
      </c>
      <c r="D170" s="187">
        <f ca="1">IFERROR(__xludf.DUMMYFUNCTION("AVERAGE(FILTER('All Scores'!AI$2:AI$1024, ('All Scores'!AJ$2:AJ$1024 = A170) + ('All Scores'!AK$2:AK$1024 = A170))
)
"),13.3333333333333)</f>
        <v>13.3333333333333</v>
      </c>
      <c r="E170" s="6">
        <f ca="1">IFERROR(__xludf.DUMMYFUNCTION("SUM(FILTER('All Scores'!AF$2:AF$1024, ('All Scores'!AJ$2:AJ$1024 = A170) + ('All Scores'!AK$2:AK$1024 = A170)))
"),175)</f>
        <v>175</v>
      </c>
      <c r="F170" s="6">
        <f ca="1">IFERROR(__xludf.DUMMYFUNCTION("SUM(FILTER('All Scores'!AD$2:AD$1024, ('All Scores'!AJ$2:AJ$1024 = A170) + ('All Scores'!AK$2:AK$1024 = A170)))
"),89)</f>
        <v>89</v>
      </c>
      <c r="G170" s="21">
        <f t="shared" ca="1" si="0"/>
        <v>0.50857142857142856</v>
      </c>
      <c r="H170" s="169"/>
      <c r="I170" s="169"/>
      <c r="J170" s="6"/>
      <c r="K170" s="188"/>
      <c r="L170" s="189"/>
      <c r="M170" s="189"/>
      <c r="N170" s="6"/>
      <c r="O170" s="6"/>
      <c r="P170" s="6"/>
      <c r="Q170" s="169"/>
      <c r="R170" s="6"/>
      <c r="S170" s="6"/>
      <c r="T170" s="169"/>
      <c r="U170" s="6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O170" s="169"/>
      <c r="AP170" s="169"/>
      <c r="AQ170" s="169"/>
      <c r="AR170" s="169"/>
    </row>
    <row r="171" spans="1:44" ht="12.5">
      <c r="A171" s="169" t="str">
        <f ca="1">IFERROR(__xludf.DUMMYFUNCTION("""COMPUTED_VALUE"""),"Irwin Don")</f>
        <v>Irwin Don</v>
      </c>
      <c r="B171" s="186">
        <f ca="1">COUNTIF('All Scores'!AJ:AK,A171)</f>
        <v>8</v>
      </c>
      <c r="C171" s="186">
        <f ca="1">IFERROR(__xludf.DUMMYFUNCTION("MIN(FILTER('All Scores'!AI$2:AI$1024, ('All Scores'!AJ$2:AJ$1024 = A171) + ('All Scores'!AK$2:AK$1024 = A171)))"),2)</f>
        <v>2</v>
      </c>
      <c r="D171" s="187">
        <f ca="1">IFERROR(__xludf.DUMMYFUNCTION("AVERAGE(FILTER('All Scores'!AI$2:AI$1024, ('All Scores'!AJ$2:AJ$1024 = A171) + ('All Scores'!AK$2:AK$1024 = A171))
)
"),8)</f>
        <v>8</v>
      </c>
      <c r="E171" s="6">
        <f ca="1">IFERROR(__xludf.DUMMYFUNCTION("SUM(FILTER('All Scores'!AF$2:AF$1024, ('All Scores'!AJ$2:AJ$1024 = A171) + ('All Scores'!AK$2:AK$1024 = A171)))
"),584)</f>
        <v>584</v>
      </c>
      <c r="F171" s="6">
        <f ca="1">IFERROR(__xludf.DUMMYFUNCTION("SUM(FILTER('All Scores'!AD$2:AD$1024, ('All Scores'!AJ$2:AJ$1024 = A171) + ('All Scores'!AK$2:AK$1024 = A171)))
"),304)</f>
        <v>304</v>
      </c>
      <c r="G171" s="21">
        <f t="shared" ca="1" si="0"/>
        <v>0.52054794520547942</v>
      </c>
      <c r="H171" s="169"/>
      <c r="I171" s="169"/>
      <c r="J171" s="6"/>
      <c r="K171" s="188"/>
      <c r="L171" s="189"/>
      <c r="M171" s="189"/>
      <c r="N171" s="6"/>
      <c r="O171" s="6"/>
      <c r="P171" s="6"/>
      <c r="Q171" s="169"/>
      <c r="R171" s="6"/>
      <c r="S171" s="6"/>
      <c r="T171" s="169"/>
      <c r="U171" s="6"/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69"/>
      <c r="AN171" s="169"/>
      <c r="AO171" s="169"/>
      <c r="AP171" s="169"/>
      <c r="AQ171" s="169"/>
      <c r="AR171" s="169"/>
    </row>
    <row r="172" spans="1:44" ht="12.5">
      <c r="A172" s="169" t="str">
        <f ca="1">IFERROR(__xludf.DUMMYFUNCTION("""COMPUTED_VALUE"""),"Ishmael Alejo")</f>
        <v>Ishmael Alejo</v>
      </c>
      <c r="B172" s="186">
        <f ca="1">COUNTIF('All Scores'!AJ:AK,A172)</f>
        <v>3</v>
      </c>
      <c r="C172" s="186">
        <f ca="1">IFERROR(__xludf.DUMMYFUNCTION("MIN(FILTER('All Scores'!AI$2:AI$1024, ('All Scores'!AJ$2:AJ$1024 = A172) + ('All Scores'!AK$2:AK$1024 = A172)))"),4)</f>
        <v>4</v>
      </c>
      <c r="D172" s="187">
        <f ca="1">IFERROR(__xludf.DUMMYFUNCTION("AVERAGE(FILTER('All Scores'!AI$2:AI$1024, ('All Scores'!AJ$2:AJ$1024 = A172) + ('All Scores'!AK$2:AK$1024 = A172))
)
"),7)</f>
        <v>7</v>
      </c>
      <c r="E172" s="6">
        <f ca="1">IFERROR(__xludf.DUMMYFUNCTION("SUM(FILTER('All Scores'!AF$2:AF$1024, ('All Scores'!AJ$2:AJ$1024 = A172) + ('All Scores'!AK$2:AK$1024 = A172)))
"),244)</f>
        <v>244</v>
      </c>
      <c r="F172" s="6">
        <f ca="1">IFERROR(__xludf.DUMMYFUNCTION("SUM(FILTER('All Scores'!AD$2:AD$1024, ('All Scores'!AJ$2:AJ$1024 = A172) + ('All Scores'!AK$2:AK$1024 = A172)))
"),123)</f>
        <v>123</v>
      </c>
      <c r="G172" s="21">
        <f t="shared" ca="1" si="0"/>
        <v>0.50409836065573765</v>
      </c>
      <c r="H172" s="169"/>
      <c r="I172" s="169"/>
      <c r="J172" s="6"/>
      <c r="K172" s="188"/>
      <c r="L172" s="189"/>
      <c r="M172" s="189"/>
      <c r="N172" s="6"/>
      <c r="O172" s="6"/>
      <c r="P172" s="6"/>
      <c r="Q172" s="169"/>
      <c r="R172" s="6"/>
      <c r="S172" s="6"/>
      <c r="T172" s="169"/>
      <c r="U172" s="6"/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</row>
    <row r="173" spans="1:44" ht="12.5">
      <c r="A173" s="169" t="str">
        <f ca="1">IFERROR(__xludf.DUMMYFUNCTION("""COMPUTED_VALUE"""),"Issa Sullivan")</f>
        <v>Issa Sullivan</v>
      </c>
      <c r="B173" s="186">
        <f ca="1">COUNTIF('All Scores'!AJ:AK,A173)</f>
        <v>1</v>
      </c>
      <c r="C173" s="186">
        <f ca="1">IFERROR(__xludf.DUMMYFUNCTION("MIN(FILTER('All Scores'!AI$2:AI$1024, ('All Scores'!AJ$2:AJ$1024 = A173) + ('All Scores'!AK$2:AK$1024 = A173)))"),1)</f>
        <v>1</v>
      </c>
      <c r="D173" s="187">
        <f ca="1">IFERROR(__xludf.DUMMYFUNCTION("AVERAGE(FILTER('All Scores'!AI$2:AI$1024, ('All Scores'!AJ$2:AJ$1024 = A173) + ('All Scores'!AK$2:AK$1024 = A173))
)
"),1)</f>
        <v>1</v>
      </c>
      <c r="E173" s="6">
        <f ca="1">IFERROR(__xludf.DUMMYFUNCTION("SUM(FILTER('All Scores'!AF$2:AF$1024, ('All Scores'!AJ$2:AJ$1024 = A173) + ('All Scores'!AK$2:AK$1024 = A173)))
"),119)</f>
        <v>119</v>
      </c>
      <c r="F173" s="6">
        <f ca="1">IFERROR(__xludf.DUMMYFUNCTION("SUM(FILTER('All Scores'!AD$2:AD$1024, ('All Scores'!AJ$2:AJ$1024 = A173) + ('All Scores'!AK$2:AK$1024 = A173)))
"),77)</f>
        <v>77</v>
      </c>
      <c r="G173" s="21">
        <f t="shared" ca="1" si="0"/>
        <v>0.6470588235294118</v>
      </c>
      <c r="H173" s="169"/>
      <c r="I173" s="169"/>
      <c r="J173" s="6"/>
      <c r="K173" s="188"/>
      <c r="L173" s="189"/>
      <c r="M173" s="189"/>
      <c r="N173" s="6"/>
      <c r="O173" s="6"/>
      <c r="P173" s="6"/>
      <c r="Q173" s="169"/>
      <c r="R173" s="6"/>
      <c r="S173" s="6"/>
      <c r="T173" s="169"/>
      <c r="U173" s="6"/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169"/>
      <c r="AR173" s="169"/>
    </row>
    <row r="174" spans="1:44" ht="12.5">
      <c r="A174" s="169" t="str">
        <f ca="1">IFERROR(__xludf.DUMMYFUNCTION("""COMPUTED_VALUE"""),"Jack Moorhead")</f>
        <v>Jack Moorhead</v>
      </c>
      <c r="B174" s="186">
        <f ca="1">COUNTIF('All Scores'!AJ:AK,A174)</f>
        <v>1</v>
      </c>
      <c r="C174" s="186">
        <f ca="1">IFERROR(__xludf.DUMMYFUNCTION("MIN(FILTER('All Scores'!AI$2:AI$1024, ('All Scores'!AJ$2:AJ$1024 = A174) + ('All Scores'!AK$2:AK$1024 = A174)))"),14)</f>
        <v>14</v>
      </c>
      <c r="D174" s="187">
        <f ca="1">IFERROR(__xludf.DUMMYFUNCTION("AVERAGE(FILTER('All Scores'!AI$2:AI$1024, ('All Scores'!AJ$2:AJ$1024 = A174) + ('All Scores'!AK$2:AK$1024 = A174))
)
"),14)</f>
        <v>14</v>
      </c>
      <c r="E174" s="6">
        <f ca="1">IFERROR(__xludf.DUMMYFUNCTION("SUM(FILTER('All Scores'!AF$2:AF$1024, ('All Scores'!AJ$2:AJ$1024 = A174) + ('All Scores'!AK$2:AK$1024 = A174)))
"),53)</f>
        <v>53</v>
      </c>
      <c r="F174" s="6">
        <f ca="1">IFERROR(__xludf.DUMMYFUNCTION("SUM(FILTER('All Scores'!AD$2:AD$1024, ('All Scores'!AJ$2:AJ$1024 = A174) + ('All Scores'!AK$2:AK$1024 = A174)))
"),20)</f>
        <v>20</v>
      </c>
      <c r="G174" s="21">
        <f t="shared" ca="1" si="0"/>
        <v>0.37735849056603776</v>
      </c>
      <c r="H174" s="169"/>
      <c r="I174" s="169"/>
      <c r="J174" s="6"/>
      <c r="K174" s="188"/>
      <c r="L174" s="189"/>
      <c r="M174" s="189"/>
      <c r="N174" s="6"/>
      <c r="O174" s="6"/>
      <c r="P174" s="6"/>
      <c r="Q174" s="169"/>
      <c r="R174" s="6"/>
      <c r="S174" s="6"/>
      <c r="T174" s="169"/>
      <c r="U174" s="6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</row>
    <row r="175" spans="1:44" ht="12.5">
      <c r="A175" s="169" t="str">
        <f ca="1">IFERROR(__xludf.DUMMYFUNCTION("""COMPUTED_VALUE"""),"Jack Zupan")</f>
        <v>Jack Zupan</v>
      </c>
      <c r="B175" s="186">
        <f ca="1">COUNTIF('All Scores'!AJ:AK,A175)</f>
        <v>5</v>
      </c>
      <c r="C175" s="186">
        <f ca="1">IFERROR(__xludf.DUMMYFUNCTION("MIN(FILTER('All Scores'!AI$2:AI$1024, ('All Scores'!AJ$2:AJ$1024 = A175) + ('All Scores'!AK$2:AK$1024 = A175)))"),3)</f>
        <v>3</v>
      </c>
      <c r="D175" s="187">
        <f ca="1">IFERROR(__xludf.DUMMYFUNCTION("AVERAGE(FILTER('All Scores'!AI$2:AI$1024, ('All Scores'!AJ$2:AJ$1024 = A175) + ('All Scores'!AK$2:AK$1024 = A175))
)
"),7.4)</f>
        <v>7.4</v>
      </c>
      <c r="E175" s="6">
        <f ca="1">IFERROR(__xludf.DUMMYFUNCTION("SUM(FILTER('All Scores'!AF$2:AF$1024, ('All Scores'!AJ$2:AJ$1024 = A175) + ('All Scores'!AK$2:AK$1024 = A175)))
"),381)</f>
        <v>381</v>
      </c>
      <c r="F175" s="6">
        <f ca="1">IFERROR(__xludf.DUMMYFUNCTION("SUM(FILTER('All Scores'!AD$2:AD$1024, ('All Scores'!AJ$2:AJ$1024 = A175) + ('All Scores'!AK$2:AK$1024 = A175)))
"),205)</f>
        <v>205</v>
      </c>
      <c r="G175" s="21">
        <f t="shared" ca="1" si="0"/>
        <v>0.53805774278215224</v>
      </c>
      <c r="H175" s="169"/>
      <c r="I175" s="169"/>
      <c r="J175" s="6"/>
      <c r="K175" s="188"/>
      <c r="L175" s="189"/>
      <c r="M175" s="189"/>
      <c r="N175" s="6"/>
      <c r="O175" s="6"/>
      <c r="P175" s="6"/>
      <c r="Q175" s="169"/>
      <c r="R175" s="6"/>
      <c r="S175" s="6"/>
      <c r="T175" s="169"/>
      <c r="U175" s="6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</row>
    <row r="176" spans="1:44" ht="12.5">
      <c r="A176" s="169" t="str">
        <f ca="1">IFERROR(__xludf.DUMMYFUNCTION("""COMPUTED_VALUE"""),"Jacob Beck")</f>
        <v>Jacob Beck</v>
      </c>
      <c r="B176" s="186">
        <f ca="1">COUNTIF('All Scores'!AJ:AK,A176)</f>
        <v>2</v>
      </c>
      <c r="C176" s="186">
        <f ca="1">IFERROR(__xludf.DUMMYFUNCTION("MIN(FILTER('All Scores'!AI$2:AI$1024, ('All Scores'!AJ$2:AJ$1024 = A176) + ('All Scores'!AK$2:AK$1024 = A176)))"),3)</f>
        <v>3</v>
      </c>
      <c r="D176" s="187">
        <f ca="1">IFERROR(__xludf.DUMMYFUNCTION("AVERAGE(FILTER('All Scores'!AI$2:AI$1024, ('All Scores'!AJ$2:AJ$1024 = A176) + ('All Scores'!AK$2:AK$1024 = A176))
)
"),4.5)</f>
        <v>4.5</v>
      </c>
      <c r="E176" s="6">
        <f ca="1">IFERROR(__xludf.DUMMYFUNCTION("SUM(FILTER('All Scores'!AF$2:AF$1024, ('All Scores'!AJ$2:AJ$1024 = A176) + ('All Scores'!AK$2:AK$1024 = A176)))
"),198)</f>
        <v>198</v>
      </c>
      <c r="F176" s="6">
        <f ca="1">IFERROR(__xludf.DUMMYFUNCTION("SUM(FILTER('All Scores'!AD$2:AD$1024, ('All Scores'!AJ$2:AJ$1024 = A176) + ('All Scores'!AK$2:AK$1024 = A176)))
"),105)</f>
        <v>105</v>
      </c>
      <c r="G176" s="21">
        <f t="shared" ca="1" si="0"/>
        <v>0.53030303030303028</v>
      </c>
      <c r="H176" s="169"/>
      <c r="I176" s="169"/>
      <c r="J176" s="6"/>
      <c r="K176" s="188"/>
      <c r="L176" s="189"/>
      <c r="M176" s="189"/>
      <c r="N176" s="6"/>
      <c r="O176" s="6"/>
      <c r="P176" s="6"/>
      <c r="Q176" s="169"/>
      <c r="R176" s="6"/>
      <c r="S176" s="6"/>
      <c r="T176" s="169"/>
      <c r="U176" s="6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169"/>
      <c r="AR176" s="169"/>
    </row>
    <row r="177" spans="1:44" ht="12.5">
      <c r="A177" s="169" t="str">
        <f ca="1">IFERROR(__xludf.DUMMYFUNCTION("""COMPUTED_VALUE"""),"Jacqui Jensen")</f>
        <v>Jacqui Jensen</v>
      </c>
      <c r="B177" s="186">
        <f ca="1">COUNTIF('All Scores'!AJ:AK,A177)</f>
        <v>7</v>
      </c>
      <c r="C177" s="186">
        <f ca="1">IFERROR(__xludf.DUMMYFUNCTION("MIN(FILTER('All Scores'!AI$2:AI$1024, ('All Scores'!AJ$2:AJ$1024 = A177) + ('All Scores'!AK$2:AK$1024 = A177)))"),3)</f>
        <v>3</v>
      </c>
      <c r="D177" s="187">
        <f ca="1">IFERROR(__xludf.DUMMYFUNCTION("AVERAGE(FILTER('All Scores'!AI$2:AI$1024, ('All Scores'!AJ$2:AJ$1024 = A177) + ('All Scores'!AK$2:AK$1024 = A177))
)
"),10)</f>
        <v>10</v>
      </c>
      <c r="E177" s="6">
        <f ca="1">IFERROR(__xludf.DUMMYFUNCTION("SUM(FILTER('All Scores'!AF$2:AF$1024, ('All Scores'!AJ$2:AJ$1024 = A177) + ('All Scores'!AK$2:AK$1024 = A177)))
"),460)</f>
        <v>460</v>
      </c>
      <c r="F177" s="6">
        <f ca="1">IFERROR(__xludf.DUMMYFUNCTION("SUM(FILTER('All Scores'!AD$2:AD$1024, ('All Scores'!AJ$2:AJ$1024 = A177) + ('All Scores'!AK$2:AK$1024 = A177)))
"),201)</f>
        <v>201</v>
      </c>
      <c r="G177" s="21">
        <f t="shared" ca="1" si="0"/>
        <v>0.43695652173913041</v>
      </c>
      <c r="H177" s="169"/>
      <c r="I177" s="169"/>
      <c r="J177" s="6"/>
      <c r="K177" s="188"/>
      <c r="L177" s="189"/>
      <c r="M177" s="189"/>
      <c r="N177" s="6"/>
      <c r="O177" s="6"/>
      <c r="P177" s="6"/>
      <c r="Q177" s="169"/>
      <c r="R177" s="6"/>
      <c r="S177" s="6"/>
      <c r="T177" s="169"/>
      <c r="U177" s="6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</row>
    <row r="178" spans="1:44" ht="12.5">
      <c r="A178" s="169" t="str">
        <f ca="1">IFERROR(__xludf.DUMMYFUNCTION("""COMPUTED_VALUE"""),"Jacqui O'Connor")</f>
        <v>Jacqui O'Connor</v>
      </c>
      <c r="B178" s="186">
        <f ca="1">COUNTIF('All Scores'!AJ:AK,A178)</f>
        <v>5</v>
      </c>
      <c r="C178" s="186">
        <f ca="1">IFERROR(__xludf.DUMMYFUNCTION("MIN(FILTER('All Scores'!AI$2:AI$1024, ('All Scores'!AJ$2:AJ$1024 = A178) + ('All Scores'!AK$2:AK$1024 = A178)))"),2)</f>
        <v>2</v>
      </c>
      <c r="D178" s="187">
        <f ca="1">IFERROR(__xludf.DUMMYFUNCTION("AVERAGE(FILTER('All Scores'!AI$2:AI$1024, ('All Scores'!AJ$2:AJ$1024 = A178) + ('All Scores'!AK$2:AK$1024 = A178))
)
"),12)</f>
        <v>12</v>
      </c>
      <c r="E178" s="6">
        <f ca="1">IFERROR(__xludf.DUMMYFUNCTION("SUM(FILTER('All Scores'!AF$2:AF$1024, ('All Scores'!AJ$2:AJ$1024 = A178) + ('All Scores'!AK$2:AK$1024 = A178)))
"),358)</f>
        <v>358</v>
      </c>
      <c r="F178" s="6">
        <f ca="1">IFERROR(__xludf.DUMMYFUNCTION("SUM(FILTER('All Scores'!AD$2:AD$1024, ('All Scores'!AJ$2:AJ$1024 = A178) + ('All Scores'!AK$2:AK$1024 = A178)))
"),173)</f>
        <v>173</v>
      </c>
      <c r="G178" s="21">
        <f t="shared" ca="1" si="0"/>
        <v>0.48324022346368717</v>
      </c>
      <c r="H178" s="169"/>
      <c r="I178" s="169"/>
      <c r="J178" s="6"/>
      <c r="K178" s="188"/>
      <c r="L178" s="189"/>
      <c r="M178" s="189"/>
      <c r="N178" s="6"/>
      <c r="O178" s="6"/>
      <c r="P178" s="6"/>
      <c r="Q178" s="169"/>
      <c r="R178" s="6"/>
      <c r="S178" s="6"/>
      <c r="T178" s="169"/>
      <c r="U178" s="6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69"/>
      <c r="AN178" s="169"/>
      <c r="AO178" s="169"/>
      <c r="AP178" s="169"/>
      <c r="AQ178" s="169"/>
      <c r="AR178" s="169"/>
    </row>
    <row r="179" spans="1:44" ht="12.5">
      <c r="A179" s="169" t="str">
        <f ca="1">IFERROR(__xludf.DUMMYFUNCTION("""COMPUTED_VALUE"""),"Jamie Myers")</f>
        <v>Jamie Myers</v>
      </c>
      <c r="B179" s="186">
        <f ca="1">COUNTIF('All Scores'!AJ:AK,A179)</f>
        <v>5</v>
      </c>
      <c r="C179" s="186">
        <f ca="1">IFERROR(__xludf.DUMMYFUNCTION("MIN(FILTER('All Scores'!AI$2:AI$1024, ('All Scores'!AJ$2:AJ$1024 = A179) + ('All Scores'!AK$2:AK$1024 = A179)))"),2)</f>
        <v>2</v>
      </c>
      <c r="D179" s="187">
        <f ca="1">IFERROR(__xludf.DUMMYFUNCTION("AVERAGE(FILTER('All Scores'!AI$2:AI$1024, ('All Scores'!AJ$2:AJ$1024 = A179) + ('All Scores'!AK$2:AK$1024 = A179))
)
"),7.2)</f>
        <v>7.2</v>
      </c>
      <c r="E179" s="6">
        <f ca="1">IFERROR(__xludf.DUMMYFUNCTION("SUM(FILTER('All Scores'!AF$2:AF$1024, ('All Scores'!AJ$2:AJ$1024 = A179) + ('All Scores'!AK$2:AK$1024 = A179)))
"),381)</f>
        <v>381</v>
      </c>
      <c r="F179" s="6">
        <f ca="1">IFERROR(__xludf.DUMMYFUNCTION("SUM(FILTER('All Scores'!AD$2:AD$1024, ('All Scores'!AJ$2:AJ$1024 = A179) + ('All Scores'!AK$2:AK$1024 = A179)))
"),200)</f>
        <v>200</v>
      </c>
      <c r="G179" s="21">
        <f t="shared" ca="1" si="0"/>
        <v>0.52493438320209973</v>
      </c>
      <c r="H179" s="169"/>
      <c r="I179" s="169"/>
      <c r="J179" s="6"/>
      <c r="K179" s="188"/>
      <c r="L179" s="189"/>
      <c r="M179" s="189"/>
      <c r="N179" s="6"/>
      <c r="O179" s="6"/>
      <c r="P179" s="6"/>
      <c r="Q179" s="169"/>
      <c r="R179" s="6"/>
      <c r="S179" s="6"/>
      <c r="T179" s="169"/>
      <c r="U179" s="6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69"/>
      <c r="AN179" s="169"/>
      <c r="AO179" s="169"/>
      <c r="AP179" s="169"/>
      <c r="AQ179" s="169"/>
      <c r="AR179" s="169"/>
    </row>
    <row r="180" spans="1:44" ht="12.5">
      <c r="A180" s="169" t="str">
        <f ca="1">IFERROR(__xludf.DUMMYFUNCTION("""COMPUTED_VALUE"""),"Jason Bonet")</f>
        <v>Jason Bonet</v>
      </c>
      <c r="B180" s="186">
        <f ca="1">COUNTIF('All Scores'!AJ:AK,A180)</f>
        <v>1</v>
      </c>
      <c r="C180" s="186">
        <f ca="1">IFERROR(__xludf.DUMMYFUNCTION("MIN(FILTER('All Scores'!AI$2:AI$1024, ('All Scores'!AJ$2:AJ$1024 = A180) + ('All Scores'!AK$2:AK$1024 = A180)))"),9)</f>
        <v>9</v>
      </c>
      <c r="D180" s="187">
        <f ca="1">IFERROR(__xludf.DUMMYFUNCTION("AVERAGE(FILTER('All Scores'!AI$2:AI$1024, ('All Scores'!AJ$2:AJ$1024 = A180) + ('All Scores'!AK$2:AK$1024 = A180))
)
"),9)</f>
        <v>9</v>
      </c>
      <c r="E180" s="6">
        <f ca="1">IFERROR(__xludf.DUMMYFUNCTION("SUM(FILTER('All Scores'!AF$2:AF$1024, ('All Scores'!AJ$2:AJ$1024 = A180) + ('All Scores'!AK$2:AK$1024 = A180)))
"),69)</f>
        <v>69</v>
      </c>
      <c r="F180" s="6">
        <f ca="1">IFERROR(__xludf.DUMMYFUNCTION("SUM(FILTER('All Scores'!AD$2:AD$1024, ('All Scores'!AJ$2:AJ$1024 = A180) + ('All Scores'!AK$2:AK$1024 = A180)))
"),34)</f>
        <v>34</v>
      </c>
      <c r="G180" s="21">
        <f t="shared" ca="1" si="0"/>
        <v>0.49275362318840582</v>
      </c>
      <c r="H180" s="169"/>
      <c r="I180" s="169"/>
      <c r="J180" s="6"/>
      <c r="K180" s="188"/>
      <c r="L180" s="189"/>
      <c r="M180" s="189"/>
      <c r="N180" s="6"/>
      <c r="O180" s="6"/>
      <c r="P180" s="6"/>
      <c r="Q180" s="169"/>
      <c r="R180" s="6"/>
      <c r="S180" s="6"/>
      <c r="T180" s="169"/>
      <c r="U180" s="6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</row>
    <row r="181" spans="1:44" ht="12.5">
      <c r="A181" s="169" t="str">
        <f ca="1">IFERROR(__xludf.DUMMYFUNCTION("""COMPUTED_VALUE"""),"Jason Denney")</f>
        <v>Jason Denney</v>
      </c>
      <c r="B181" s="186">
        <f ca="1">COUNTIF('All Scores'!AJ:AK,A181)</f>
        <v>4</v>
      </c>
      <c r="C181" s="186">
        <f ca="1">IFERROR(__xludf.DUMMYFUNCTION("MIN(FILTER('All Scores'!AI$2:AI$1024, ('All Scores'!AJ$2:AJ$1024 = A181) + ('All Scores'!AK$2:AK$1024 = A181)))"),7)</f>
        <v>7</v>
      </c>
      <c r="D181" s="187">
        <f ca="1">IFERROR(__xludf.DUMMYFUNCTION("AVERAGE(FILTER('All Scores'!AI$2:AI$1024, ('All Scores'!AJ$2:AJ$1024 = A181) + ('All Scores'!AK$2:AK$1024 = A181))
)
"),15.25)</f>
        <v>15.25</v>
      </c>
      <c r="E181" s="6">
        <f ca="1">IFERROR(__xludf.DUMMYFUNCTION("SUM(FILTER('All Scores'!AF$2:AF$1024, ('All Scores'!AJ$2:AJ$1024 = A181) + ('All Scores'!AK$2:AK$1024 = A181)))
"),206)</f>
        <v>206</v>
      </c>
      <c r="F181" s="6">
        <f ca="1">IFERROR(__xludf.DUMMYFUNCTION("SUM(FILTER('All Scores'!AD$2:AD$1024, ('All Scores'!AJ$2:AJ$1024 = A181) + ('All Scores'!AK$2:AK$1024 = A181)))
"),92)</f>
        <v>92</v>
      </c>
      <c r="G181" s="21">
        <f t="shared" ca="1" si="0"/>
        <v>0.44660194174757284</v>
      </c>
      <c r="H181" s="169"/>
      <c r="I181" s="169"/>
      <c r="J181" s="6"/>
      <c r="K181" s="188"/>
      <c r="L181" s="189"/>
      <c r="M181" s="189"/>
      <c r="N181" s="6"/>
      <c r="O181" s="6"/>
      <c r="P181" s="6"/>
      <c r="Q181" s="169"/>
      <c r="R181" s="6"/>
      <c r="S181" s="6"/>
      <c r="T181" s="169"/>
      <c r="U181" s="6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69"/>
      <c r="AF181" s="169"/>
      <c r="AG181" s="169"/>
      <c r="AH181" s="169"/>
      <c r="AI181" s="169"/>
      <c r="AJ181" s="169"/>
      <c r="AK181" s="169"/>
      <c r="AL181" s="169"/>
      <c r="AM181" s="169"/>
      <c r="AN181" s="169"/>
      <c r="AO181" s="169"/>
      <c r="AP181" s="169"/>
      <c r="AQ181" s="169"/>
      <c r="AR181" s="169"/>
    </row>
    <row r="182" spans="1:44" ht="12.5">
      <c r="A182" s="169" t="str">
        <f ca="1">IFERROR(__xludf.DUMMYFUNCTION("""COMPUTED_VALUE"""),"Jason Steliga")</f>
        <v>Jason Steliga</v>
      </c>
      <c r="B182" s="186">
        <f ca="1">COUNTIF('All Scores'!AJ:AK,A182)</f>
        <v>4</v>
      </c>
      <c r="C182" s="186">
        <f ca="1">IFERROR(__xludf.DUMMYFUNCTION("MIN(FILTER('All Scores'!AI$2:AI$1024, ('All Scores'!AJ$2:AJ$1024 = A182) + ('All Scores'!AK$2:AK$1024 = A182)))"),3)</f>
        <v>3</v>
      </c>
      <c r="D182" s="187">
        <f ca="1">IFERROR(__xludf.DUMMYFUNCTION("AVERAGE(FILTER('All Scores'!AI$2:AI$1024, ('All Scores'!AJ$2:AJ$1024 = A182) + ('All Scores'!AK$2:AK$1024 = A182))
)
"),8.75)</f>
        <v>8.75</v>
      </c>
      <c r="E182" s="6">
        <f ca="1">IFERROR(__xludf.DUMMYFUNCTION("SUM(FILTER('All Scores'!AF$2:AF$1024, ('All Scores'!AJ$2:AJ$1024 = A182) + ('All Scores'!AK$2:AK$1024 = A182)))
"),329)</f>
        <v>329</v>
      </c>
      <c r="F182" s="6">
        <f ca="1">IFERROR(__xludf.DUMMYFUNCTION("SUM(FILTER('All Scores'!AD$2:AD$1024, ('All Scores'!AJ$2:AJ$1024 = A182) + ('All Scores'!AK$2:AK$1024 = A182)))
"),159)</f>
        <v>159</v>
      </c>
      <c r="G182" s="21">
        <f t="shared" ca="1" si="0"/>
        <v>0.48328267477203646</v>
      </c>
      <c r="H182" s="169"/>
      <c r="I182" s="169"/>
      <c r="J182" s="6"/>
      <c r="K182" s="188"/>
      <c r="L182" s="189"/>
      <c r="M182" s="189"/>
      <c r="N182" s="6"/>
      <c r="O182" s="6"/>
      <c r="P182" s="6"/>
      <c r="Q182" s="169"/>
      <c r="R182" s="6"/>
      <c r="S182" s="6"/>
      <c r="T182" s="169"/>
      <c r="U182" s="6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  <c r="AI182" s="169"/>
      <c r="AJ182" s="169"/>
      <c r="AK182" s="169"/>
      <c r="AL182" s="169"/>
      <c r="AM182" s="169"/>
      <c r="AN182" s="169"/>
      <c r="AO182" s="169"/>
      <c r="AP182" s="169"/>
      <c r="AQ182" s="169"/>
      <c r="AR182" s="169"/>
    </row>
    <row r="183" spans="1:44" ht="12.5">
      <c r="A183" s="169" t="str">
        <f ca="1">IFERROR(__xludf.DUMMYFUNCTION("""COMPUTED_VALUE"""),"Jay Sidie")</f>
        <v>Jay Sidie</v>
      </c>
      <c r="B183" s="186">
        <f ca="1">COUNTIF('All Scores'!AJ:AK,A183)</f>
        <v>2</v>
      </c>
      <c r="C183" s="186">
        <f ca="1">IFERROR(__xludf.DUMMYFUNCTION("MIN(FILTER('All Scores'!AI$2:AI$1024, ('All Scores'!AJ$2:AJ$1024 = A183) + ('All Scores'!AK$2:AK$1024 = A183)))"),4)</f>
        <v>4</v>
      </c>
      <c r="D183" s="187">
        <f ca="1">IFERROR(__xludf.DUMMYFUNCTION("AVERAGE(FILTER('All Scores'!AI$2:AI$1024, ('All Scores'!AJ$2:AJ$1024 = A183) + ('All Scores'!AK$2:AK$1024 = A183))
)
"),4)</f>
        <v>4</v>
      </c>
      <c r="E183" s="6">
        <f ca="1">IFERROR(__xludf.DUMMYFUNCTION("SUM(FILTER('All Scores'!AF$2:AF$1024, ('All Scores'!AJ$2:AJ$1024 = A183) + ('All Scores'!AK$2:AK$1024 = A183)))
"),178)</f>
        <v>178</v>
      </c>
      <c r="F183" s="6">
        <f ca="1">IFERROR(__xludf.DUMMYFUNCTION("SUM(FILTER('All Scores'!AD$2:AD$1024, ('All Scores'!AJ$2:AJ$1024 = A183) + ('All Scores'!AK$2:AK$1024 = A183)))
"),87)</f>
        <v>87</v>
      </c>
      <c r="G183" s="21">
        <f t="shared" ca="1" si="0"/>
        <v>0.4887640449438202</v>
      </c>
      <c r="H183" s="169"/>
      <c r="I183" s="169"/>
      <c r="J183" s="6"/>
      <c r="K183" s="188"/>
      <c r="L183" s="189"/>
      <c r="M183" s="189"/>
      <c r="N183" s="6"/>
      <c r="O183" s="6"/>
      <c r="P183" s="6"/>
      <c r="Q183" s="169"/>
      <c r="R183" s="6"/>
      <c r="S183" s="6"/>
      <c r="T183" s="169"/>
      <c r="U183" s="6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  <c r="AI183" s="169"/>
      <c r="AJ183" s="169"/>
      <c r="AK183" s="169"/>
      <c r="AL183" s="169"/>
      <c r="AM183" s="169"/>
      <c r="AN183" s="169"/>
      <c r="AO183" s="169"/>
      <c r="AP183" s="169"/>
      <c r="AQ183" s="169"/>
      <c r="AR183" s="169"/>
    </row>
    <row r="184" spans="1:44" ht="12.5">
      <c r="A184" s="169" t="str">
        <f ca="1">IFERROR(__xludf.DUMMYFUNCTION("""COMPUTED_VALUE"""),"Jayme Watts")</f>
        <v>Jayme Watts</v>
      </c>
      <c r="B184" s="186">
        <f ca="1">COUNTIF('All Scores'!AJ:AK,A184)</f>
        <v>3</v>
      </c>
      <c r="C184" s="186">
        <f ca="1">IFERROR(__xludf.DUMMYFUNCTION("MIN(FILTER('All Scores'!AI$2:AI$1024, ('All Scores'!AJ$2:AJ$1024 = A184) + ('All Scores'!AK$2:AK$1024 = A184)))"),14)</f>
        <v>14</v>
      </c>
      <c r="D184" s="187">
        <f ca="1">IFERROR(__xludf.DUMMYFUNCTION("AVERAGE(FILTER('All Scores'!AI$2:AI$1024, ('All Scores'!AJ$2:AJ$1024 = A184) + ('All Scores'!AK$2:AK$1024 = A184))
)
"),20.3333333333333)</f>
        <v>20.3333333333333</v>
      </c>
      <c r="E184" s="6">
        <f ca="1">IFERROR(__xludf.DUMMYFUNCTION("SUM(FILTER('All Scores'!AF$2:AF$1024, ('All Scores'!AJ$2:AJ$1024 = A184) + ('All Scores'!AK$2:AK$1024 = A184)))
"),129)</f>
        <v>129</v>
      </c>
      <c r="F184" s="6">
        <f ca="1">IFERROR(__xludf.DUMMYFUNCTION("SUM(FILTER('All Scores'!AD$2:AD$1024, ('All Scores'!AJ$2:AJ$1024 = A184) + ('All Scores'!AK$2:AK$1024 = A184)))
"),32)</f>
        <v>32</v>
      </c>
      <c r="G184" s="21">
        <f t="shared" ca="1" si="0"/>
        <v>0.24806201550387597</v>
      </c>
      <c r="H184" s="169"/>
      <c r="I184" s="169"/>
      <c r="J184" s="6"/>
      <c r="K184" s="188"/>
      <c r="L184" s="189"/>
      <c r="M184" s="189"/>
      <c r="N184" s="6"/>
      <c r="O184" s="6"/>
      <c r="P184" s="6"/>
      <c r="Q184" s="169"/>
      <c r="R184" s="6"/>
      <c r="S184" s="6"/>
      <c r="T184" s="169"/>
      <c r="U184" s="6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  <c r="AI184" s="169"/>
      <c r="AJ184" s="169"/>
      <c r="AK184" s="169"/>
      <c r="AL184" s="169"/>
      <c r="AM184" s="169"/>
      <c r="AN184" s="169"/>
      <c r="AO184" s="169"/>
      <c r="AP184" s="169"/>
      <c r="AQ184" s="169"/>
      <c r="AR184" s="169"/>
    </row>
    <row r="185" spans="1:44" ht="12.5">
      <c r="A185" s="169" t="str">
        <f ca="1">IFERROR(__xludf.DUMMYFUNCTION("""COMPUTED_VALUE"""),"JD Asbell")</f>
        <v>JD Asbell</v>
      </c>
      <c r="B185" s="186">
        <f ca="1">COUNTIF('All Scores'!AJ:AK,A185)</f>
        <v>2</v>
      </c>
      <c r="C185" s="186">
        <f ca="1">IFERROR(__xludf.DUMMYFUNCTION("MIN(FILTER('All Scores'!AI$2:AI$1024, ('All Scores'!AJ$2:AJ$1024 = A185) + ('All Scores'!AK$2:AK$1024 = A185)))"),1)</f>
        <v>1</v>
      </c>
      <c r="D185" s="187">
        <f ca="1">IFERROR(__xludf.DUMMYFUNCTION("AVERAGE(FILTER('All Scores'!AI$2:AI$1024, ('All Scores'!AJ$2:AJ$1024 = A185) + ('All Scores'!AK$2:AK$1024 = A185))
)
"),5.5)</f>
        <v>5.5</v>
      </c>
      <c r="E185" s="6">
        <f ca="1">IFERROR(__xludf.DUMMYFUNCTION("SUM(FILTER('All Scores'!AF$2:AF$1024, ('All Scores'!AJ$2:AJ$1024 = A185) + ('All Scores'!AK$2:AK$1024 = A185)))
"),191)</f>
        <v>191</v>
      </c>
      <c r="F185" s="6">
        <f ca="1">IFERROR(__xludf.DUMMYFUNCTION("SUM(FILTER('All Scores'!AD$2:AD$1024, ('All Scores'!AJ$2:AJ$1024 = A185) + ('All Scores'!AK$2:AK$1024 = A185)))
"),113)</f>
        <v>113</v>
      </c>
      <c r="G185" s="21">
        <f t="shared" ca="1" si="0"/>
        <v>0.59162303664921467</v>
      </c>
      <c r="H185" s="169"/>
      <c r="I185" s="169"/>
      <c r="J185" s="6"/>
      <c r="K185" s="188"/>
      <c r="L185" s="189"/>
      <c r="M185" s="189"/>
      <c r="N185" s="6"/>
      <c r="O185" s="6"/>
      <c r="P185" s="6"/>
      <c r="Q185" s="169"/>
      <c r="R185" s="6"/>
      <c r="S185" s="6"/>
      <c r="T185" s="169"/>
      <c r="U185" s="6"/>
      <c r="V185" s="169"/>
      <c r="W185" s="169"/>
      <c r="X185" s="169"/>
      <c r="Y185" s="169"/>
      <c r="Z185" s="169"/>
      <c r="AA185" s="169"/>
      <c r="AB185" s="169"/>
      <c r="AC185" s="169"/>
      <c r="AD185" s="169"/>
      <c r="AE185" s="169"/>
      <c r="AF185" s="169"/>
      <c r="AG185" s="169"/>
      <c r="AH185" s="169"/>
      <c r="AI185" s="169"/>
      <c r="AJ185" s="169"/>
      <c r="AK185" s="169"/>
      <c r="AL185" s="169"/>
      <c r="AM185" s="169"/>
      <c r="AN185" s="169"/>
      <c r="AO185" s="169"/>
      <c r="AP185" s="169"/>
      <c r="AQ185" s="169"/>
      <c r="AR185" s="169"/>
    </row>
    <row r="186" spans="1:44" ht="12.5">
      <c r="A186" s="169" t="str">
        <f ca="1">IFERROR(__xludf.DUMMYFUNCTION("""COMPUTED_VALUE"""),"Jean Orpin")</f>
        <v>Jean Orpin</v>
      </c>
      <c r="B186" s="186">
        <f ca="1">COUNTIF('All Scores'!AJ:AK,A186)</f>
        <v>1</v>
      </c>
      <c r="C186" s="186">
        <f ca="1">IFERROR(__xludf.DUMMYFUNCTION("MIN(FILTER('All Scores'!AI$2:AI$1024, ('All Scores'!AJ$2:AJ$1024 = A186) + ('All Scores'!AK$2:AK$1024 = A186)))"),10)</f>
        <v>10</v>
      </c>
      <c r="D186" s="187">
        <f ca="1">IFERROR(__xludf.DUMMYFUNCTION("AVERAGE(FILTER('All Scores'!AI$2:AI$1024, ('All Scores'!AJ$2:AJ$1024 = A186) + ('All Scores'!AK$2:AK$1024 = A186))
)
"),10)</f>
        <v>10</v>
      </c>
      <c r="E186" s="6">
        <f ca="1">IFERROR(__xludf.DUMMYFUNCTION("SUM(FILTER('All Scores'!AF$2:AF$1024, ('All Scores'!AJ$2:AJ$1024 = A186) + ('All Scores'!AK$2:AK$1024 = A186)))
"),76)</f>
        <v>76</v>
      </c>
      <c r="F186" s="6">
        <f ca="1">IFERROR(__xludf.DUMMYFUNCTION("SUM(FILTER('All Scores'!AD$2:AD$1024, ('All Scores'!AJ$2:AJ$1024 = A186) + ('All Scores'!AK$2:AK$1024 = A186)))
"),39)</f>
        <v>39</v>
      </c>
      <c r="G186" s="21">
        <f t="shared" ca="1" si="0"/>
        <v>0.51315789473684215</v>
      </c>
      <c r="H186" s="169"/>
      <c r="I186" s="169"/>
      <c r="J186" s="6"/>
      <c r="K186" s="188"/>
      <c r="L186" s="189"/>
      <c r="M186" s="189"/>
      <c r="N186" s="6"/>
      <c r="O186" s="6"/>
      <c r="P186" s="6"/>
      <c r="Q186" s="169"/>
      <c r="R186" s="6"/>
      <c r="S186" s="6"/>
      <c r="T186" s="169"/>
      <c r="U186" s="6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</row>
    <row r="187" spans="1:44" ht="12.5">
      <c r="A187" s="169" t="str">
        <f ca="1">IFERROR(__xludf.DUMMYFUNCTION("""COMPUTED_VALUE"""),"Jeanette Ross")</f>
        <v>Jeanette Ross</v>
      </c>
      <c r="B187" s="186">
        <f ca="1">COUNTIF('All Scores'!AJ:AK,A187)</f>
        <v>1</v>
      </c>
      <c r="C187" s="186">
        <f ca="1">IFERROR(__xludf.DUMMYFUNCTION("MIN(FILTER('All Scores'!AI$2:AI$1024, ('All Scores'!AJ$2:AJ$1024 = A187) + ('All Scores'!AK$2:AK$1024 = A187)))"),16)</f>
        <v>16</v>
      </c>
      <c r="D187" s="187">
        <f ca="1">IFERROR(__xludf.DUMMYFUNCTION("AVERAGE(FILTER('All Scores'!AI$2:AI$1024, ('All Scores'!AJ$2:AJ$1024 = A187) + ('All Scores'!AK$2:AK$1024 = A187))
)
"),16)</f>
        <v>16</v>
      </c>
      <c r="E187" s="6">
        <f ca="1">IFERROR(__xludf.DUMMYFUNCTION("SUM(FILTER('All Scores'!AF$2:AF$1024, ('All Scores'!AJ$2:AJ$1024 = A187) + ('All Scores'!AK$2:AK$1024 = A187)))
"),44)</f>
        <v>44</v>
      </c>
      <c r="F187" s="6">
        <f ca="1">IFERROR(__xludf.DUMMYFUNCTION("SUM(FILTER('All Scores'!AD$2:AD$1024, ('All Scores'!AJ$2:AJ$1024 = A187) + ('All Scores'!AK$2:AK$1024 = A187)))
"),11)</f>
        <v>11</v>
      </c>
      <c r="G187" s="21">
        <f t="shared" ca="1" si="0"/>
        <v>0.25</v>
      </c>
      <c r="H187" s="169"/>
      <c r="I187" s="169"/>
      <c r="J187" s="6"/>
      <c r="K187" s="188"/>
      <c r="L187" s="189"/>
      <c r="M187" s="189"/>
      <c r="N187" s="6"/>
      <c r="O187" s="6"/>
      <c r="P187" s="6"/>
      <c r="Q187" s="169"/>
      <c r="R187" s="6"/>
      <c r="S187" s="6"/>
      <c r="T187" s="169"/>
      <c r="U187" s="6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  <c r="AI187" s="169"/>
      <c r="AJ187" s="169"/>
      <c r="AK187" s="169"/>
      <c r="AL187" s="169"/>
      <c r="AM187" s="169"/>
      <c r="AN187" s="169"/>
      <c r="AO187" s="169"/>
      <c r="AP187" s="169"/>
      <c r="AQ187" s="169"/>
      <c r="AR187" s="169"/>
    </row>
    <row r="188" spans="1:44" ht="12.5">
      <c r="A188" s="169" t="str">
        <f ca="1">IFERROR(__xludf.DUMMYFUNCTION("""COMPUTED_VALUE"""),"Jeff Gibson")</f>
        <v>Jeff Gibson</v>
      </c>
      <c r="B188" s="186">
        <f ca="1">COUNTIF('All Scores'!AJ:AK,A188)</f>
        <v>1</v>
      </c>
      <c r="C188" s="186">
        <f ca="1">IFERROR(__xludf.DUMMYFUNCTION("MIN(FILTER('All Scores'!AI$2:AI$1024, ('All Scores'!AJ$2:AJ$1024 = A188) + ('All Scores'!AK$2:AK$1024 = A188)))"),16)</f>
        <v>16</v>
      </c>
      <c r="D188" s="187">
        <f ca="1">IFERROR(__xludf.DUMMYFUNCTION("AVERAGE(FILTER('All Scores'!AI$2:AI$1024, ('All Scores'!AJ$2:AJ$1024 = A188) + ('All Scores'!AK$2:AK$1024 = A188))
)
"),16)</f>
        <v>16</v>
      </c>
      <c r="E188" s="6">
        <f ca="1">IFERROR(__xludf.DUMMYFUNCTION("SUM(FILTER('All Scores'!AF$2:AF$1024, ('All Scores'!AJ$2:AJ$1024 = A188) + ('All Scores'!AK$2:AK$1024 = A188)))
"),44)</f>
        <v>44</v>
      </c>
      <c r="F188" s="6">
        <f ca="1">IFERROR(__xludf.DUMMYFUNCTION("SUM(FILTER('All Scores'!AD$2:AD$1024, ('All Scores'!AJ$2:AJ$1024 = A188) + ('All Scores'!AK$2:AK$1024 = A188)))
"),11)</f>
        <v>11</v>
      </c>
      <c r="G188" s="21">
        <f t="shared" ca="1" si="0"/>
        <v>0.25</v>
      </c>
      <c r="H188" s="169"/>
      <c r="I188" s="169"/>
      <c r="J188" s="6"/>
      <c r="K188" s="188"/>
      <c r="L188" s="189"/>
      <c r="M188" s="189"/>
      <c r="N188" s="6"/>
      <c r="O188" s="6"/>
      <c r="P188" s="6"/>
      <c r="Q188" s="169"/>
      <c r="R188" s="6"/>
      <c r="S188" s="6"/>
      <c r="T188" s="169"/>
      <c r="U188" s="6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/>
      <c r="AM188" s="169"/>
      <c r="AN188" s="169"/>
      <c r="AO188" s="169"/>
      <c r="AP188" s="169"/>
      <c r="AQ188" s="169"/>
      <c r="AR188" s="169"/>
    </row>
    <row r="189" spans="1:44" ht="12.5">
      <c r="A189" s="169" t="str">
        <f ca="1">IFERROR(__xludf.DUMMYFUNCTION("""COMPUTED_VALUE"""),"Jeff Nelson")</f>
        <v>Jeff Nelson</v>
      </c>
      <c r="B189" s="186">
        <f ca="1">COUNTIF('All Scores'!AJ:AK,A189)</f>
        <v>6</v>
      </c>
      <c r="C189" s="186">
        <f ca="1">IFERROR(__xludf.DUMMYFUNCTION("MIN(FILTER('All Scores'!AI$2:AI$1024, ('All Scores'!AJ$2:AJ$1024 = A189) + ('All Scores'!AK$2:AK$1024 = A189)))"),6)</f>
        <v>6</v>
      </c>
      <c r="D189" s="187">
        <f ca="1">IFERROR(__xludf.DUMMYFUNCTION("AVERAGE(FILTER('All Scores'!AI$2:AI$1024, ('All Scores'!AJ$2:AJ$1024 = A189) + ('All Scores'!AK$2:AK$1024 = A189))
)
"),13.1666666666666)</f>
        <v>13.1666666666666</v>
      </c>
      <c r="E189" s="6">
        <f ca="1">IFERROR(__xludf.DUMMYFUNCTION("SUM(FILTER('All Scores'!AF$2:AF$1024, ('All Scores'!AJ$2:AJ$1024 = A189) + ('All Scores'!AK$2:AK$1024 = A189)))
"),308)</f>
        <v>308</v>
      </c>
      <c r="F189" s="6">
        <f ca="1">IFERROR(__xludf.DUMMYFUNCTION("SUM(FILTER('All Scores'!AD$2:AD$1024, ('All Scores'!AJ$2:AJ$1024 = A189) + ('All Scores'!AK$2:AK$1024 = A189)))
"),136)</f>
        <v>136</v>
      </c>
      <c r="G189" s="21">
        <f t="shared" ca="1" si="0"/>
        <v>0.44155844155844154</v>
      </c>
      <c r="H189" s="169"/>
      <c r="I189" s="169"/>
      <c r="J189" s="6"/>
      <c r="K189" s="188"/>
      <c r="L189" s="189"/>
      <c r="M189" s="189"/>
      <c r="N189" s="6"/>
      <c r="O189" s="6"/>
      <c r="P189" s="6"/>
      <c r="Q189" s="169"/>
      <c r="R189" s="6"/>
      <c r="S189" s="6"/>
      <c r="T189" s="169"/>
      <c r="U189" s="6"/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69"/>
      <c r="AF189" s="169"/>
      <c r="AG189" s="169"/>
      <c r="AH189" s="169"/>
      <c r="AI189" s="169"/>
      <c r="AJ189" s="169"/>
      <c r="AK189" s="169"/>
      <c r="AL189" s="169"/>
      <c r="AM189" s="169"/>
      <c r="AN189" s="169"/>
      <c r="AO189" s="169"/>
      <c r="AP189" s="169"/>
      <c r="AQ189" s="169"/>
      <c r="AR189" s="169"/>
    </row>
    <row r="190" spans="1:44" ht="12.5">
      <c r="A190" s="169" t="str">
        <f ca="1">IFERROR(__xludf.DUMMYFUNCTION("""COMPUTED_VALUE"""),"Jeff Potts")</f>
        <v>Jeff Potts</v>
      </c>
      <c r="B190" s="186">
        <f ca="1">COUNTIF('All Scores'!AJ:AK,A190)</f>
        <v>3</v>
      </c>
      <c r="C190" s="186">
        <f ca="1">IFERROR(__xludf.DUMMYFUNCTION("MIN(FILTER('All Scores'!AI$2:AI$1024, ('All Scores'!AJ$2:AJ$1024 = A190) + ('All Scores'!AK$2:AK$1024 = A190)))"),1)</f>
        <v>1</v>
      </c>
      <c r="D190" s="187">
        <f ca="1">IFERROR(__xludf.DUMMYFUNCTION("AVERAGE(FILTER('All Scores'!AI$2:AI$1024, ('All Scores'!AJ$2:AJ$1024 = A190) + ('All Scores'!AK$2:AK$1024 = A190))
)
"),6)</f>
        <v>6</v>
      </c>
      <c r="E190" s="6">
        <f ca="1">IFERROR(__xludf.DUMMYFUNCTION("SUM(FILTER('All Scores'!AF$2:AF$1024, ('All Scores'!AJ$2:AJ$1024 = A190) + ('All Scores'!AK$2:AK$1024 = A190)))
"),253)</f>
        <v>253</v>
      </c>
      <c r="F190" s="6">
        <f ca="1">IFERROR(__xludf.DUMMYFUNCTION("SUM(FILTER('All Scores'!AD$2:AD$1024, ('All Scores'!AJ$2:AJ$1024 = A190) + ('All Scores'!AK$2:AK$1024 = A190)))
"),152)</f>
        <v>152</v>
      </c>
      <c r="G190" s="21">
        <f t="shared" ca="1" si="0"/>
        <v>0.60079051383399207</v>
      </c>
      <c r="H190" s="169"/>
      <c r="I190" s="169"/>
      <c r="J190" s="6"/>
      <c r="K190" s="188"/>
      <c r="L190" s="189"/>
      <c r="M190" s="189"/>
      <c r="N190" s="6"/>
      <c r="O190" s="6"/>
      <c r="P190" s="6"/>
      <c r="Q190" s="169"/>
      <c r="R190" s="6"/>
      <c r="S190" s="6"/>
      <c r="T190" s="169"/>
      <c r="U190" s="6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  <c r="AJ190" s="169"/>
      <c r="AK190" s="169"/>
      <c r="AL190" s="169"/>
      <c r="AM190" s="169"/>
      <c r="AN190" s="169"/>
      <c r="AO190" s="169"/>
      <c r="AP190" s="169"/>
      <c r="AQ190" s="169"/>
      <c r="AR190" s="169"/>
    </row>
    <row r="191" spans="1:44" ht="12.5">
      <c r="A191" s="169" t="str">
        <f ca="1">IFERROR(__xludf.DUMMYFUNCTION("""COMPUTED_VALUE"""),"Jeff Stockham")</f>
        <v>Jeff Stockham</v>
      </c>
      <c r="B191" s="186">
        <f ca="1">COUNTIF('All Scores'!AJ:AK,A191)</f>
        <v>5</v>
      </c>
      <c r="C191" s="186">
        <f ca="1">IFERROR(__xludf.DUMMYFUNCTION("MIN(FILTER('All Scores'!AI$2:AI$1024, ('All Scores'!AJ$2:AJ$1024 = A191) + ('All Scores'!AK$2:AK$1024 = A191)))"),3)</f>
        <v>3</v>
      </c>
      <c r="D191" s="187">
        <f ca="1">IFERROR(__xludf.DUMMYFUNCTION("AVERAGE(FILTER('All Scores'!AI$2:AI$1024, ('All Scores'!AJ$2:AJ$1024 = A191) + ('All Scores'!AK$2:AK$1024 = A191))
)
"),7.6)</f>
        <v>7.6</v>
      </c>
      <c r="E191" s="6">
        <f ca="1">IFERROR(__xludf.DUMMYFUNCTION("SUM(FILTER('All Scores'!AF$2:AF$1024, ('All Scores'!AJ$2:AJ$1024 = A191) + ('All Scores'!AK$2:AK$1024 = A191)))
"),408)</f>
        <v>408</v>
      </c>
      <c r="F191" s="6">
        <f ca="1">IFERROR(__xludf.DUMMYFUNCTION("SUM(FILTER('All Scores'!AD$2:AD$1024, ('All Scores'!AJ$2:AJ$1024 = A191) + ('All Scores'!AK$2:AK$1024 = A191)))
"),219)</f>
        <v>219</v>
      </c>
      <c r="G191" s="21">
        <f t="shared" ca="1" si="0"/>
        <v>0.53676470588235292</v>
      </c>
      <c r="H191" s="169"/>
      <c r="I191" s="169"/>
      <c r="J191" s="6"/>
      <c r="K191" s="188"/>
      <c r="L191" s="189"/>
      <c r="M191" s="189"/>
      <c r="N191" s="6"/>
      <c r="O191" s="6"/>
      <c r="P191" s="6"/>
      <c r="Q191" s="169"/>
      <c r="R191" s="6"/>
      <c r="S191" s="6"/>
      <c r="T191" s="169"/>
      <c r="U191" s="6"/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69"/>
      <c r="AF191" s="169"/>
      <c r="AG191" s="169"/>
      <c r="AH191" s="169"/>
      <c r="AI191" s="169"/>
      <c r="AJ191" s="169"/>
      <c r="AK191" s="169"/>
      <c r="AL191" s="169"/>
      <c r="AM191" s="169"/>
      <c r="AN191" s="169"/>
      <c r="AO191" s="169"/>
      <c r="AP191" s="169"/>
      <c r="AQ191" s="169"/>
      <c r="AR191" s="169"/>
    </row>
    <row r="192" spans="1:44" ht="12.5">
      <c r="A192" s="169" t="str">
        <f ca="1">IFERROR(__xludf.DUMMYFUNCTION("""COMPUTED_VALUE"""),"Jennifer Barbier")</f>
        <v>Jennifer Barbier</v>
      </c>
      <c r="B192" s="186">
        <f ca="1">COUNTIF('All Scores'!AJ:AK,A192)</f>
        <v>1</v>
      </c>
      <c r="C192" s="186">
        <f ca="1">IFERROR(__xludf.DUMMYFUNCTION("MIN(FILTER('All Scores'!AI$2:AI$1024, ('All Scores'!AJ$2:AJ$1024 = A192) + ('All Scores'!AK$2:AK$1024 = A192)))"),7)</f>
        <v>7</v>
      </c>
      <c r="D192" s="187">
        <f ca="1">IFERROR(__xludf.DUMMYFUNCTION("AVERAGE(FILTER('All Scores'!AI$2:AI$1024, ('All Scores'!AJ$2:AJ$1024 = A192) + ('All Scores'!AK$2:AK$1024 = A192))
)
"),7)</f>
        <v>7</v>
      </c>
      <c r="E192" s="6">
        <f ca="1">IFERROR(__xludf.DUMMYFUNCTION("SUM(FILTER('All Scores'!AF$2:AF$1024, ('All Scores'!AJ$2:AJ$1024 = A192) + ('All Scores'!AK$2:AK$1024 = A192)))
"),76)</f>
        <v>76</v>
      </c>
      <c r="F192" s="6">
        <f ca="1">IFERROR(__xludf.DUMMYFUNCTION("SUM(FILTER('All Scores'!AD$2:AD$1024, ('All Scores'!AJ$2:AJ$1024 = A192) + ('All Scores'!AK$2:AK$1024 = A192)))
"),40)</f>
        <v>40</v>
      </c>
      <c r="G192" s="21">
        <f t="shared" ca="1" si="0"/>
        <v>0.52631578947368418</v>
      </c>
      <c r="H192" s="169"/>
      <c r="I192" s="169"/>
      <c r="J192" s="6"/>
      <c r="K192" s="188"/>
      <c r="L192" s="189"/>
      <c r="M192" s="189"/>
      <c r="N192" s="6"/>
      <c r="O192" s="6"/>
      <c r="P192" s="6"/>
      <c r="Q192" s="169"/>
      <c r="R192" s="6"/>
      <c r="S192" s="6"/>
      <c r="T192" s="169"/>
      <c r="U192" s="6"/>
      <c r="V192" s="169"/>
      <c r="W192" s="169"/>
      <c r="X192" s="169"/>
      <c r="Y192" s="169"/>
      <c r="Z192" s="169"/>
      <c r="AA192" s="169"/>
      <c r="AB192" s="169"/>
      <c r="AC192" s="169"/>
      <c r="AD192" s="169"/>
      <c r="AE192" s="169"/>
      <c r="AF192" s="169"/>
      <c r="AG192" s="169"/>
      <c r="AH192" s="169"/>
      <c r="AI192" s="169"/>
      <c r="AJ192" s="169"/>
      <c r="AK192" s="169"/>
      <c r="AL192" s="169"/>
      <c r="AM192" s="169"/>
      <c r="AN192" s="169"/>
      <c r="AO192" s="169"/>
      <c r="AP192" s="169"/>
      <c r="AQ192" s="169"/>
      <c r="AR192" s="169"/>
    </row>
    <row r="193" spans="1:44" ht="12.5">
      <c r="A193" s="169" t="str">
        <f ca="1">IFERROR(__xludf.DUMMYFUNCTION("""COMPUTED_VALUE"""),"Jennifer Eckert")</f>
        <v>Jennifer Eckert</v>
      </c>
      <c r="B193" s="186">
        <f ca="1">COUNTIF('All Scores'!AJ:AK,A193)</f>
        <v>3</v>
      </c>
      <c r="C193" s="186">
        <f ca="1">IFERROR(__xludf.DUMMYFUNCTION("MIN(FILTER('All Scores'!AI$2:AI$1024, ('All Scores'!AJ$2:AJ$1024 = A193) + ('All Scores'!AK$2:AK$1024 = A193)))"),2)</f>
        <v>2</v>
      </c>
      <c r="D193" s="187">
        <f ca="1">IFERROR(__xludf.DUMMYFUNCTION("AVERAGE(FILTER('All Scores'!AI$2:AI$1024, ('All Scores'!AJ$2:AJ$1024 = A193) + ('All Scores'!AK$2:AK$1024 = A193))
)
"),9.33333333333333)</f>
        <v>9.3333333333333304</v>
      </c>
      <c r="E193" s="6">
        <f ca="1">IFERROR(__xludf.DUMMYFUNCTION("SUM(FILTER('All Scores'!AF$2:AF$1024, ('All Scores'!AJ$2:AJ$1024 = A193) + ('All Scores'!AK$2:AK$1024 = A193)))
"),265)</f>
        <v>265</v>
      </c>
      <c r="F193" s="6">
        <f ca="1">IFERROR(__xludf.DUMMYFUNCTION("SUM(FILTER('All Scores'!AD$2:AD$1024, ('All Scores'!AJ$2:AJ$1024 = A193) + ('All Scores'!AK$2:AK$1024 = A193)))
"),130)</f>
        <v>130</v>
      </c>
      <c r="G193" s="21">
        <f t="shared" ca="1" si="0"/>
        <v>0.49056603773584906</v>
      </c>
      <c r="H193" s="169"/>
      <c r="I193" s="169"/>
      <c r="J193" s="6"/>
      <c r="K193" s="188"/>
      <c r="L193" s="189"/>
      <c r="M193" s="189"/>
      <c r="N193" s="6"/>
      <c r="O193" s="6"/>
      <c r="P193" s="6"/>
      <c r="Q193" s="169"/>
      <c r="R193" s="6"/>
      <c r="S193" s="6"/>
      <c r="T193" s="169"/>
      <c r="U193" s="6"/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69"/>
      <c r="AF193" s="169"/>
      <c r="AG193" s="169"/>
      <c r="AH193" s="169"/>
      <c r="AI193" s="169"/>
      <c r="AJ193" s="169"/>
      <c r="AK193" s="169"/>
      <c r="AL193" s="169"/>
      <c r="AM193" s="169"/>
      <c r="AN193" s="169"/>
      <c r="AO193" s="169"/>
      <c r="AP193" s="169"/>
      <c r="AQ193" s="169"/>
      <c r="AR193" s="169"/>
    </row>
    <row r="194" spans="1:44" ht="12.5">
      <c r="A194" s="169" t="str">
        <f ca="1">IFERROR(__xludf.DUMMYFUNCTION("""COMPUTED_VALUE"""),"Jennifer Hudson")</f>
        <v>Jennifer Hudson</v>
      </c>
      <c r="B194" s="186">
        <f ca="1">COUNTIF('All Scores'!AJ:AK,A194)</f>
        <v>1</v>
      </c>
      <c r="C194" s="186">
        <f ca="1">IFERROR(__xludf.DUMMYFUNCTION("MIN(FILTER('All Scores'!AI$2:AI$1024, ('All Scores'!AJ$2:AJ$1024 = A194) + ('All Scores'!AK$2:AK$1024 = A194)))"),16)</f>
        <v>16</v>
      </c>
      <c r="D194" s="187">
        <f ca="1">IFERROR(__xludf.DUMMYFUNCTION("AVERAGE(FILTER('All Scores'!AI$2:AI$1024, ('All Scores'!AJ$2:AJ$1024 = A194) + ('All Scores'!AK$2:AK$1024 = A194))
)
"),16)</f>
        <v>16</v>
      </c>
      <c r="E194" s="6">
        <f ca="1">IFERROR(__xludf.DUMMYFUNCTION("SUM(FILTER('All Scores'!AF$2:AF$1024, ('All Scores'!AJ$2:AJ$1024 = A194) + ('All Scores'!AK$2:AK$1024 = A194)))
"),59)</f>
        <v>59</v>
      </c>
      <c r="F194" s="6">
        <f ca="1">IFERROR(__xludf.DUMMYFUNCTION("SUM(FILTER('All Scores'!AD$2:AD$1024, ('All Scores'!AJ$2:AJ$1024 = A194) + ('All Scores'!AK$2:AK$1024 = A194)))
"),15)</f>
        <v>15</v>
      </c>
      <c r="G194" s="21">
        <f t="shared" ca="1" si="0"/>
        <v>0.25423728813559321</v>
      </c>
      <c r="H194" s="169"/>
      <c r="I194" s="169"/>
      <c r="J194" s="6"/>
      <c r="K194" s="188"/>
      <c r="L194" s="189"/>
      <c r="M194" s="189"/>
      <c r="N194" s="6"/>
      <c r="O194" s="6"/>
      <c r="P194" s="6"/>
      <c r="Q194" s="169"/>
      <c r="R194" s="6"/>
      <c r="S194" s="6"/>
      <c r="T194" s="169"/>
      <c r="U194" s="6"/>
      <c r="V194" s="169"/>
      <c r="W194" s="169"/>
      <c r="X194" s="169"/>
      <c r="Y194" s="169"/>
      <c r="Z194" s="169"/>
      <c r="AA194" s="169"/>
      <c r="AB194" s="169"/>
      <c r="AC194" s="169"/>
      <c r="AD194" s="169"/>
      <c r="AE194" s="169"/>
      <c r="AF194" s="169"/>
      <c r="AG194" s="169"/>
      <c r="AH194" s="169"/>
      <c r="AI194" s="169"/>
      <c r="AJ194" s="169"/>
      <c r="AK194" s="169"/>
      <c r="AL194" s="169"/>
      <c r="AM194" s="169"/>
      <c r="AN194" s="169"/>
      <c r="AO194" s="169"/>
      <c r="AP194" s="169"/>
      <c r="AQ194" s="169"/>
      <c r="AR194" s="169"/>
    </row>
    <row r="195" spans="1:44" ht="12.5">
      <c r="A195" s="169" t="str">
        <f ca="1">IFERROR(__xludf.DUMMYFUNCTION("""COMPUTED_VALUE"""),"Jennifer Schreiber")</f>
        <v>Jennifer Schreiber</v>
      </c>
      <c r="B195" s="186">
        <f ca="1">COUNTIF('All Scores'!AJ:AK,A195)</f>
        <v>1</v>
      </c>
      <c r="C195" s="186">
        <f ca="1">IFERROR(__xludf.DUMMYFUNCTION("MIN(FILTER('All Scores'!AI$2:AI$1024, ('All Scores'!AJ$2:AJ$1024 = A195) + ('All Scores'!AK$2:AK$1024 = A195)))"),16)</f>
        <v>16</v>
      </c>
      <c r="D195" s="187">
        <f ca="1">IFERROR(__xludf.DUMMYFUNCTION("AVERAGE(FILTER('All Scores'!AI$2:AI$1024, ('All Scores'!AJ$2:AJ$1024 = A195) + ('All Scores'!AK$2:AK$1024 = A195))
)
"),16)</f>
        <v>16</v>
      </c>
      <c r="E195" s="6">
        <f ca="1">IFERROR(__xludf.DUMMYFUNCTION("SUM(FILTER('All Scores'!AF$2:AF$1024, ('All Scores'!AJ$2:AJ$1024 = A195) + ('All Scores'!AK$2:AK$1024 = A195)))
"),62)</f>
        <v>62</v>
      </c>
      <c r="F195" s="6">
        <f ca="1">IFERROR(__xludf.DUMMYFUNCTION("SUM(FILTER('All Scores'!AD$2:AD$1024, ('All Scores'!AJ$2:AJ$1024 = A195) + ('All Scores'!AK$2:AK$1024 = A195)))
"),18)</f>
        <v>18</v>
      </c>
      <c r="G195" s="21">
        <f t="shared" ca="1" si="0"/>
        <v>0.29032258064516131</v>
      </c>
      <c r="H195" s="169"/>
      <c r="I195" s="169"/>
      <c r="J195" s="6"/>
      <c r="K195" s="188"/>
      <c r="L195" s="189"/>
      <c r="M195" s="189"/>
      <c r="N195" s="6"/>
      <c r="O195" s="6"/>
      <c r="P195" s="6"/>
      <c r="Q195" s="169"/>
      <c r="R195" s="6"/>
      <c r="S195" s="6"/>
      <c r="T195" s="169"/>
      <c r="U195" s="6"/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/>
      <c r="AM195" s="169"/>
      <c r="AN195" s="169"/>
      <c r="AO195" s="169"/>
      <c r="AP195" s="169"/>
      <c r="AQ195" s="169"/>
      <c r="AR195" s="169"/>
    </row>
    <row r="196" spans="1:44" ht="12.5">
      <c r="A196" s="169" t="str">
        <f ca="1">IFERROR(__xludf.DUMMYFUNCTION("""COMPUTED_VALUE"""),"Jennifer Shore")</f>
        <v>Jennifer Shore</v>
      </c>
      <c r="B196" s="186">
        <f ca="1">COUNTIF('All Scores'!AJ:AK,A196)</f>
        <v>3</v>
      </c>
      <c r="C196" s="186">
        <f ca="1">IFERROR(__xludf.DUMMYFUNCTION("MIN(FILTER('All Scores'!AI$2:AI$1024, ('All Scores'!AJ$2:AJ$1024 = A196) + ('All Scores'!AK$2:AK$1024 = A196)))"),11)</f>
        <v>11</v>
      </c>
      <c r="D196" s="187">
        <f ca="1">IFERROR(__xludf.DUMMYFUNCTION("AVERAGE(FILTER('All Scores'!AI$2:AI$1024, ('All Scores'!AJ$2:AJ$1024 = A196) + ('All Scores'!AK$2:AK$1024 = A196))
)
"),13.6666666666666)</f>
        <v>13.6666666666666</v>
      </c>
      <c r="E196" s="6">
        <f ca="1">IFERROR(__xludf.DUMMYFUNCTION("SUM(FILTER('All Scores'!AF$2:AF$1024, ('All Scores'!AJ$2:AJ$1024 = A196) + ('All Scores'!AK$2:AK$1024 = A196)))
"),156)</f>
        <v>156</v>
      </c>
      <c r="F196" s="6">
        <f ca="1">IFERROR(__xludf.DUMMYFUNCTION("SUM(FILTER('All Scores'!AD$2:AD$1024, ('All Scores'!AJ$2:AJ$1024 = A196) + ('All Scores'!AK$2:AK$1024 = A196)))
"),74)</f>
        <v>74</v>
      </c>
      <c r="G196" s="21">
        <f t="shared" ca="1" si="0"/>
        <v>0.47435897435897434</v>
      </c>
      <c r="H196" s="169"/>
      <c r="I196" s="169"/>
      <c r="J196" s="6"/>
      <c r="K196" s="188"/>
      <c r="L196" s="189"/>
      <c r="M196" s="189"/>
      <c r="N196" s="6"/>
      <c r="O196" s="6"/>
      <c r="P196" s="6"/>
      <c r="Q196" s="169"/>
      <c r="R196" s="6"/>
      <c r="S196" s="6"/>
      <c r="T196" s="169"/>
      <c r="U196" s="6"/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69"/>
      <c r="AN196" s="169"/>
      <c r="AO196" s="169"/>
      <c r="AP196" s="169"/>
      <c r="AQ196" s="169"/>
      <c r="AR196" s="169"/>
    </row>
    <row r="197" spans="1:44" ht="12.5">
      <c r="A197" s="169" t="str">
        <f ca="1">IFERROR(__xludf.DUMMYFUNCTION("""COMPUTED_VALUE"""),"Jennifer Stolte")</f>
        <v>Jennifer Stolte</v>
      </c>
      <c r="B197" s="186">
        <f ca="1">COUNTIF('All Scores'!AJ:AK,A197)</f>
        <v>1</v>
      </c>
      <c r="C197" s="186">
        <f ca="1">IFERROR(__xludf.DUMMYFUNCTION("MIN(FILTER('All Scores'!AI$2:AI$1024, ('All Scores'!AJ$2:AJ$1024 = A197) + ('All Scores'!AK$2:AK$1024 = A197)))"),19)</f>
        <v>19</v>
      </c>
      <c r="D197" s="187">
        <f ca="1">IFERROR(__xludf.DUMMYFUNCTION("AVERAGE(FILTER('All Scores'!AI$2:AI$1024, ('All Scores'!AJ$2:AJ$1024 = A197) + ('All Scores'!AK$2:AK$1024 = A197))
)
"),19)</f>
        <v>19</v>
      </c>
      <c r="E197" s="6">
        <f ca="1">IFERROR(__xludf.DUMMYFUNCTION("SUM(FILTER('All Scores'!AF$2:AF$1024, ('All Scores'!AJ$2:AJ$1024 = A197) + ('All Scores'!AK$2:AK$1024 = A197)))
"),52)</f>
        <v>52</v>
      </c>
      <c r="F197" s="6">
        <f ca="1">IFERROR(__xludf.DUMMYFUNCTION("SUM(FILTER('All Scores'!AD$2:AD$1024, ('All Scores'!AJ$2:AJ$1024 = A197) + ('All Scores'!AK$2:AK$1024 = A197)))
"),25)</f>
        <v>25</v>
      </c>
      <c r="G197" s="21">
        <f t="shared" ca="1" si="0"/>
        <v>0.48076923076923078</v>
      </c>
      <c r="H197" s="169"/>
      <c r="I197" s="169"/>
      <c r="J197" s="6"/>
      <c r="K197" s="188"/>
      <c r="L197" s="189"/>
      <c r="M197" s="189"/>
      <c r="N197" s="6"/>
      <c r="O197" s="6"/>
      <c r="P197" s="6"/>
      <c r="Q197" s="169"/>
      <c r="R197" s="6"/>
      <c r="S197" s="6"/>
      <c r="T197" s="169"/>
      <c r="U197" s="6"/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69"/>
      <c r="AF197" s="169"/>
      <c r="AG197" s="169"/>
      <c r="AH197" s="169"/>
      <c r="AI197" s="169"/>
      <c r="AJ197" s="169"/>
      <c r="AK197" s="169"/>
      <c r="AL197" s="169"/>
      <c r="AM197" s="169"/>
      <c r="AN197" s="169"/>
      <c r="AO197" s="169"/>
      <c r="AP197" s="169"/>
      <c r="AQ197" s="169"/>
      <c r="AR197" s="169"/>
    </row>
    <row r="198" spans="1:44" ht="12.5">
      <c r="A198" s="169" t="str">
        <f ca="1">IFERROR(__xludf.DUMMYFUNCTION("""COMPUTED_VALUE"""),"Jenny Carpenter")</f>
        <v>Jenny Carpenter</v>
      </c>
      <c r="B198" s="186">
        <f ca="1">COUNTIF('All Scores'!AJ:AK,A198)</f>
        <v>5</v>
      </c>
      <c r="C198" s="186">
        <f ca="1">IFERROR(__xludf.DUMMYFUNCTION("MIN(FILTER('All Scores'!AI$2:AI$1024, ('All Scores'!AJ$2:AJ$1024 = A198) + ('All Scores'!AK$2:AK$1024 = A198)))"),2)</f>
        <v>2</v>
      </c>
      <c r="D198" s="187">
        <f ca="1">IFERROR(__xludf.DUMMYFUNCTION("AVERAGE(FILTER('All Scores'!AI$2:AI$1024, ('All Scores'!AJ$2:AJ$1024 = A198) + ('All Scores'!AK$2:AK$1024 = A198))
)
"),7.6)</f>
        <v>7.6</v>
      </c>
      <c r="E198" s="6">
        <f ca="1">IFERROR(__xludf.DUMMYFUNCTION("SUM(FILTER('All Scores'!AF$2:AF$1024, ('All Scores'!AJ$2:AJ$1024 = A198) + ('All Scores'!AK$2:AK$1024 = A198)))
"),381)</f>
        <v>381</v>
      </c>
      <c r="F198" s="6">
        <f ca="1">IFERROR(__xludf.DUMMYFUNCTION("SUM(FILTER('All Scores'!AD$2:AD$1024, ('All Scores'!AJ$2:AJ$1024 = A198) + ('All Scores'!AK$2:AK$1024 = A198)))
"),215)</f>
        <v>215</v>
      </c>
      <c r="G198" s="21">
        <f t="shared" ca="1" si="0"/>
        <v>0.56430446194225725</v>
      </c>
      <c r="H198" s="169"/>
      <c r="I198" s="169"/>
      <c r="J198" s="6"/>
      <c r="K198" s="188"/>
      <c r="L198" s="189"/>
      <c r="M198" s="189"/>
      <c r="N198" s="6"/>
      <c r="O198" s="6"/>
      <c r="P198" s="6"/>
      <c r="Q198" s="169"/>
      <c r="R198" s="6"/>
      <c r="S198" s="6"/>
      <c r="T198" s="169"/>
      <c r="U198" s="6"/>
      <c r="V198" s="169"/>
      <c r="W198" s="169"/>
      <c r="X198" s="169"/>
      <c r="Y198" s="169"/>
      <c r="Z198" s="169"/>
      <c r="AA198" s="169"/>
      <c r="AB198" s="169"/>
      <c r="AC198" s="169"/>
      <c r="AD198" s="169"/>
      <c r="AE198" s="169"/>
      <c r="AF198" s="169"/>
      <c r="AG198" s="169"/>
      <c r="AH198" s="169"/>
      <c r="AI198" s="169"/>
      <c r="AJ198" s="169"/>
      <c r="AK198" s="169"/>
      <c r="AL198" s="169"/>
      <c r="AM198" s="169"/>
      <c r="AN198" s="169"/>
      <c r="AO198" s="169"/>
      <c r="AP198" s="169"/>
      <c r="AQ198" s="169"/>
      <c r="AR198" s="169"/>
    </row>
    <row r="199" spans="1:44" ht="12.5">
      <c r="A199" s="169" t="str">
        <f ca="1">IFERROR(__xludf.DUMMYFUNCTION("""COMPUTED_VALUE"""),"Jeremie Wilson")</f>
        <v>Jeremie Wilson</v>
      </c>
      <c r="B199" s="186">
        <f ca="1">COUNTIF('All Scores'!AJ:AK,A199)</f>
        <v>7</v>
      </c>
      <c r="C199" s="186">
        <f ca="1">IFERROR(__xludf.DUMMYFUNCTION("MIN(FILTER('All Scores'!AI$2:AI$1024, ('All Scores'!AJ$2:AJ$1024 = A199) + ('All Scores'!AK$2:AK$1024 = A199)))"),1)</f>
        <v>1</v>
      </c>
      <c r="D199" s="187">
        <f ca="1">IFERROR(__xludf.DUMMYFUNCTION("AVERAGE(FILTER('All Scores'!AI$2:AI$1024, ('All Scores'!AJ$2:AJ$1024 = A199) + ('All Scores'!AK$2:AK$1024 = A199))
)
"),7.14285714285714)</f>
        <v>7.1428571428571397</v>
      </c>
      <c r="E199" s="6">
        <f ca="1">IFERROR(__xludf.DUMMYFUNCTION("SUM(FILTER('All Scores'!AF$2:AF$1024, ('All Scores'!AJ$2:AJ$1024 = A199) + ('All Scores'!AK$2:AK$1024 = A199)))
"),636)</f>
        <v>636</v>
      </c>
      <c r="F199" s="6">
        <f ca="1">IFERROR(__xludf.DUMMYFUNCTION("SUM(FILTER('All Scores'!AD$2:AD$1024, ('All Scores'!AJ$2:AJ$1024 = A199) + ('All Scores'!AK$2:AK$1024 = A199)))
"),329)</f>
        <v>329</v>
      </c>
      <c r="G199" s="21">
        <f t="shared" ca="1" si="0"/>
        <v>0.51729559748427678</v>
      </c>
      <c r="H199" s="169"/>
      <c r="I199" s="169"/>
      <c r="J199" s="6"/>
      <c r="K199" s="188"/>
      <c r="L199" s="189"/>
      <c r="M199" s="189"/>
      <c r="N199" s="6"/>
      <c r="O199" s="6"/>
      <c r="P199" s="6"/>
      <c r="Q199" s="169"/>
      <c r="R199" s="6"/>
      <c r="S199" s="6"/>
      <c r="T199" s="169"/>
      <c r="U199" s="6"/>
      <c r="V199" s="169"/>
      <c r="W199" s="169"/>
      <c r="X199" s="169"/>
      <c r="Y199" s="169"/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/>
      <c r="AM199" s="169"/>
      <c r="AN199" s="169"/>
      <c r="AO199" s="169"/>
      <c r="AP199" s="169"/>
      <c r="AQ199" s="169"/>
      <c r="AR199" s="169"/>
    </row>
    <row r="200" spans="1:44" ht="12.5">
      <c r="A200" s="169" t="str">
        <f ca="1">IFERROR(__xludf.DUMMYFUNCTION("""COMPUTED_VALUE"""),"Jeremy Burd")</f>
        <v>Jeremy Burd</v>
      </c>
      <c r="B200" s="186">
        <f ca="1">COUNTIF('All Scores'!AJ:AK,A200)</f>
        <v>1</v>
      </c>
      <c r="C200" s="186">
        <f ca="1">IFERROR(__xludf.DUMMYFUNCTION("MIN(FILTER('All Scores'!AI$2:AI$1024, ('All Scores'!AJ$2:AJ$1024 = A200) + ('All Scores'!AK$2:AK$1024 = A200)))"),15)</f>
        <v>15</v>
      </c>
      <c r="D200" s="187">
        <f ca="1">IFERROR(__xludf.DUMMYFUNCTION("AVERAGE(FILTER('All Scores'!AI$2:AI$1024, ('All Scores'!AJ$2:AJ$1024 = A200) + ('All Scores'!AK$2:AK$1024 = A200))
)
"),15)</f>
        <v>15</v>
      </c>
      <c r="E200" s="6">
        <f ca="1">IFERROR(__xludf.DUMMYFUNCTION("SUM(FILTER('All Scores'!AF$2:AF$1024, ('All Scores'!AJ$2:AJ$1024 = A200) + ('All Scores'!AK$2:AK$1024 = A200)))
"),44)</f>
        <v>44</v>
      </c>
      <c r="F200" s="6">
        <f ca="1">IFERROR(__xludf.DUMMYFUNCTION("SUM(FILTER('All Scores'!AD$2:AD$1024, ('All Scores'!AJ$2:AJ$1024 = A200) + ('All Scores'!AK$2:AK$1024 = A200)))
"),11)</f>
        <v>11</v>
      </c>
      <c r="G200" s="21">
        <f t="shared" ca="1" si="0"/>
        <v>0.25</v>
      </c>
      <c r="H200" s="169"/>
      <c r="I200" s="169"/>
      <c r="J200" s="6"/>
      <c r="K200" s="188"/>
      <c r="L200" s="189"/>
      <c r="M200" s="189"/>
      <c r="N200" s="6"/>
      <c r="O200" s="6"/>
      <c r="P200" s="6"/>
      <c r="Q200" s="169"/>
      <c r="R200" s="6"/>
      <c r="S200" s="6"/>
      <c r="T200" s="169"/>
      <c r="U200" s="6"/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69"/>
      <c r="AF200" s="169"/>
      <c r="AG200" s="169"/>
      <c r="AH200" s="169"/>
      <c r="AI200" s="169"/>
      <c r="AJ200" s="169"/>
      <c r="AK200" s="169"/>
      <c r="AL200" s="169"/>
      <c r="AM200" s="169"/>
      <c r="AN200" s="169"/>
      <c r="AO200" s="169"/>
      <c r="AP200" s="169"/>
      <c r="AQ200" s="169"/>
      <c r="AR200" s="169"/>
    </row>
    <row r="201" spans="1:44" ht="12.5">
      <c r="A201" s="169" t="str">
        <f ca="1">IFERROR(__xludf.DUMMYFUNCTION("""COMPUTED_VALUE"""),"Jim Bell")</f>
        <v>Jim Bell</v>
      </c>
      <c r="B201" s="186">
        <f ca="1">COUNTIF('All Scores'!AJ:AK,A201)</f>
        <v>1</v>
      </c>
      <c r="C201" s="186">
        <f ca="1">IFERROR(__xludf.DUMMYFUNCTION("MIN(FILTER('All Scores'!AI$2:AI$1024, ('All Scores'!AJ$2:AJ$1024 = A201) + ('All Scores'!AK$2:AK$1024 = A201)))"),8)</f>
        <v>8</v>
      </c>
      <c r="D201" s="187">
        <f ca="1">IFERROR(__xludf.DUMMYFUNCTION("AVERAGE(FILTER('All Scores'!AI$2:AI$1024, ('All Scores'!AJ$2:AJ$1024 = A201) + ('All Scores'!AK$2:AK$1024 = A201))
)
"),8)</f>
        <v>8</v>
      </c>
      <c r="E201" s="6">
        <f ca="1">IFERROR(__xludf.DUMMYFUNCTION("SUM(FILTER('All Scores'!AF$2:AF$1024, ('All Scores'!AJ$2:AJ$1024 = A201) + ('All Scores'!AK$2:AK$1024 = A201)))
"),44)</f>
        <v>44</v>
      </c>
      <c r="F201" s="6">
        <f ca="1">IFERROR(__xludf.DUMMYFUNCTION("SUM(FILTER('All Scores'!AD$2:AD$1024, ('All Scores'!AJ$2:AJ$1024 = A201) + ('All Scores'!AK$2:AK$1024 = A201)))
"),26)</f>
        <v>26</v>
      </c>
      <c r="G201" s="21">
        <f t="shared" ca="1" si="0"/>
        <v>0.59090909090909094</v>
      </c>
      <c r="H201" s="169"/>
      <c r="I201" s="169"/>
      <c r="J201" s="6"/>
      <c r="K201" s="188"/>
      <c r="L201" s="189"/>
      <c r="M201" s="189"/>
      <c r="N201" s="6"/>
      <c r="O201" s="6"/>
      <c r="P201" s="6"/>
      <c r="Q201" s="169"/>
      <c r="R201" s="6"/>
      <c r="S201" s="6"/>
      <c r="T201" s="169"/>
      <c r="U201" s="6"/>
      <c r="V201" s="169"/>
      <c r="W201" s="169"/>
      <c r="X201" s="169"/>
      <c r="Y201" s="169"/>
      <c r="Z201" s="169"/>
      <c r="AA201" s="169"/>
      <c r="AB201" s="169"/>
      <c r="AC201" s="169"/>
      <c r="AD201" s="169"/>
      <c r="AE201" s="169"/>
      <c r="AF201" s="169"/>
      <c r="AG201" s="169"/>
      <c r="AH201" s="169"/>
      <c r="AI201" s="169"/>
      <c r="AJ201" s="169"/>
      <c r="AK201" s="169"/>
      <c r="AL201" s="169"/>
      <c r="AM201" s="169"/>
      <c r="AN201" s="169"/>
      <c r="AO201" s="169"/>
      <c r="AP201" s="169"/>
      <c r="AQ201" s="169"/>
      <c r="AR201" s="169"/>
    </row>
    <row r="202" spans="1:44" ht="12.5">
      <c r="A202" s="169" t="str">
        <f ca="1">IFERROR(__xludf.DUMMYFUNCTION("""COMPUTED_VALUE"""),"Joan Liechty")</f>
        <v>Joan Liechty</v>
      </c>
      <c r="B202" s="186">
        <f ca="1">COUNTIF('All Scores'!AJ:AK,A202)</f>
        <v>2</v>
      </c>
      <c r="C202" s="186">
        <f ca="1">IFERROR(__xludf.DUMMYFUNCTION("MIN(FILTER('All Scores'!AI$2:AI$1024, ('All Scores'!AJ$2:AJ$1024 = A202) + ('All Scores'!AK$2:AK$1024 = A202)))"),3)</f>
        <v>3</v>
      </c>
      <c r="D202" s="187">
        <f ca="1">IFERROR(__xludf.DUMMYFUNCTION("AVERAGE(FILTER('All Scores'!AI$2:AI$1024, ('All Scores'!AJ$2:AJ$1024 = A202) + ('All Scores'!AK$2:AK$1024 = A202))
)
"),9.5)</f>
        <v>9.5</v>
      </c>
      <c r="E202" s="6">
        <f ca="1">IFERROR(__xludf.DUMMYFUNCTION("SUM(FILTER('All Scores'!AF$2:AF$1024, ('All Scores'!AJ$2:AJ$1024 = A202) + ('All Scores'!AK$2:AK$1024 = A202)))
"),152)</f>
        <v>152</v>
      </c>
      <c r="F202" s="6">
        <f ca="1">IFERROR(__xludf.DUMMYFUNCTION("SUM(FILTER('All Scores'!AD$2:AD$1024, ('All Scores'!AJ$2:AJ$1024 = A202) + ('All Scores'!AK$2:AK$1024 = A202)))
"),78)</f>
        <v>78</v>
      </c>
      <c r="G202" s="21">
        <f t="shared" ca="1" si="0"/>
        <v>0.51315789473684215</v>
      </c>
      <c r="H202" s="169"/>
      <c r="I202" s="169"/>
      <c r="J202" s="6"/>
      <c r="K202" s="188"/>
      <c r="L202" s="189"/>
      <c r="M202" s="189"/>
      <c r="N202" s="6"/>
      <c r="O202" s="6"/>
      <c r="P202" s="6"/>
      <c r="Q202" s="169"/>
      <c r="R202" s="6"/>
      <c r="S202" s="6"/>
      <c r="T202" s="169"/>
      <c r="U202" s="6"/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69"/>
      <c r="AF202" s="169"/>
      <c r="AG202" s="169"/>
      <c r="AH202" s="169"/>
      <c r="AI202" s="169"/>
      <c r="AJ202" s="169"/>
      <c r="AK202" s="169"/>
      <c r="AL202" s="169"/>
      <c r="AM202" s="169"/>
      <c r="AN202" s="169"/>
      <c r="AO202" s="169"/>
      <c r="AP202" s="169"/>
      <c r="AQ202" s="169"/>
      <c r="AR202" s="169"/>
    </row>
    <row r="203" spans="1:44" ht="12.5">
      <c r="A203" s="169" t="str">
        <f ca="1">IFERROR(__xludf.DUMMYFUNCTION("""COMPUTED_VALUE"""),"JoAnn Figueroa")</f>
        <v>JoAnn Figueroa</v>
      </c>
      <c r="B203" s="186">
        <f ca="1">COUNTIF('All Scores'!AJ:AK,A203)</f>
        <v>3</v>
      </c>
      <c r="C203" s="186">
        <f ca="1">IFERROR(__xludf.DUMMYFUNCTION("MIN(FILTER('All Scores'!AI$2:AI$1024, ('All Scores'!AJ$2:AJ$1024 = A203) + ('All Scores'!AK$2:AK$1024 = A203)))"),6)</f>
        <v>6</v>
      </c>
      <c r="D203" s="187">
        <f ca="1">IFERROR(__xludf.DUMMYFUNCTION("AVERAGE(FILTER('All Scores'!AI$2:AI$1024, ('All Scores'!AJ$2:AJ$1024 = A203) + ('All Scores'!AK$2:AK$1024 = A203))
)
"),8.66666666666666)</f>
        <v>8.6666666666666607</v>
      </c>
      <c r="E203" s="6">
        <f ca="1">IFERROR(__xludf.DUMMYFUNCTION("SUM(FILTER('All Scores'!AF$2:AF$1024, ('All Scores'!AJ$2:AJ$1024 = A203) + ('All Scores'!AK$2:AK$1024 = A203)))
"),202)</f>
        <v>202</v>
      </c>
      <c r="F203" s="6">
        <f ca="1">IFERROR(__xludf.DUMMYFUNCTION("SUM(FILTER('All Scores'!AD$2:AD$1024, ('All Scores'!AJ$2:AJ$1024 = A203) + ('All Scores'!AK$2:AK$1024 = A203)))
"),101)</f>
        <v>101</v>
      </c>
      <c r="G203" s="21">
        <f t="shared" ca="1" si="0"/>
        <v>0.5</v>
      </c>
      <c r="H203" s="169"/>
      <c r="I203" s="169"/>
      <c r="J203" s="6"/>
      <c r="K203" s="188"/>
      <c r="L203" s="189"/>
      <c r="M203" s="189"/>
      <c r="N203" s="6"/>
      <c r="O203" s="6"/>
      <c r="P203" s="6"/>
      <c r="Q203" s="169"/>
      <c r="R203" s="6"/>
      <c r="S203" s="6"/>
      <c r="T203" s="169"/>
      <c r="U203" s="6"/>
      <c r="V203" s="169"/>
      <c r="W203" s="169"/>
      <c r="X203" s="169"/>
      <c r="Y203" s="169"/>
      <c r="Z203" s="169"/>
      <c r="AA203" s="169"/>
      <c r="AB203" s="169"/>
      <c r="AC203" s="169"/>
      <c r="AD203" s="169"/>
      <c r="AE203" s="169"/>
      <c r="AF203" s="169"/>
      <c r="AG203" s="169"/>
      <c r="AH203" s="169"/>
      <c r="AI203" s="169"/>
      <c r="AJ203" s="169"/>
      <c r="AK203" s="169"/>
      <c r="AL203" s="169"/>
      <c r="AM203" s="169"/>
      <c r="AN203" s="169"/>
      <c r="AO203" s="169"/>
      <c r="AP203" s="169"/>
      <c r="AQ203" s="169"/>
      <c r="AR203" s="169"/>
    </row>
    <row r="204" spans="1:44" ht="12.5">
      <c r="A204" s="169" t="str">
        <f ca="1">IFERROR(__xludf.DUMMYFUNCTION("""COMPUTED_VALUE"""),"Jodi Hanish")</f>
        <v>Jodi Hanish</v>
      </c>
      <c r="B204" s="186">
        <f ca="1">COUNTIF('All Scores'!AJ:AK,A204)</f>
        <v>1</v>
      </c>
      <c r="C204" s="186">
        <f ca="1">IFERROR(__xludf.DUMMYFUNCTION("MIN(FILTER('All Scores'!AI$2:AI$1024, ('All Scores'!AJ$2:AJ$1024 = A204) + ('All Scores'!AK$2:AK$1024 = A204)))"),2)</f>
        <v>2</v>
      </c>
      <c r="D204" s="187">
        <f ca="1">IFERROR(__xludf.DUMMYFUNCTION("AVERAGE(FILTER('All Scores'!AI$2:AI$1024, ('All Scores'!AJ$2:AJ$1024 = A204) + ('All Scores'!AK$2:AK$1024 = A204))
)
"),2)</f>
        <v>2</v>
      </c>
      <c r="E204" s="6">
        <f ca="1">IFERROR(__xludf.DUMMYFUNCTION("SUM(FILTER('All Scores'!AF$2:AF$1024, ('All Scores'!AJ$2:AJ$1024 = A204) + ('All Scores'!AK$2:AK$1024 = A204)))
"),129)</f>
        <v>129</v>
      </c>
      <c r="F204" s="6">
        <f ca="1">IFERROR(__xludf.DUMMYFUNCTION("SUM(FILTER('All Scores'!AD$2:AD$1024, ('All Scores'!AJ$2:AJ$1024 = A204) + ('All Scores'!AK$2:AK$1024 = A204)))
"),66)</f>
        <v>66</v>
      </c>
      <c r="G204" s="21">
        <f t="shared" ca="1" si="0"/>
        <v>0.51162790697674421</v>
      </c>
      <c r="H204" s="169"/>
      <c r="I204" s="169"/>
      <c r="J204" s="6"/>
      <c r="K204" s="188"/>
      <c r="L204" s="189"/>
      <c r="M204" s="189"/>
      <c r="N204" s="6"/>
      <c r="O204" s="6"/>
      <c r="P204" s="6"/>
      <c r="Q204" s="169"/>
      <c r="R204" s="6"/>
      <c r="S204" s="6"/>
      <c r="T204" s="169"/>
      <c r="U204" s="6"/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69"/>
      <c r="AF204" s="169"/>
      <c r="AG204" s="169"/>
      <c r="AH204" s="169"/>
      <c r="AI204" s="169"/>
      <c r="AJ204" s="169"/>
      <c r="AK204" s="169"/>
      <c r="AL204" s="169"/>
      <c r="AM204" s="169"/>
      <c r="AN204" s="169"/>
      <c r="AO204" s="169"/>
      <c r="AP204" s="169"/>
      <c r="AQ204" s="169"/>
      <c r="AR204" s="169"/>
    </row>
    <row r="205" spans="1:44" ht="12.5">
      <c r="A205" s="169" t="str">
        <f ca="1">IFERROR(__xludf.DUMMYFUNCTION("""COMPUTED_VALUE"""),"Jodi Wilson")</f>
        <v>Jodi Wilson</v>
      </c>
      <c r="B205" s="186">
        <f ca="1">COUNTIF('All Scores'!AJ:AK,A205)</f>
        <v>2</v>
      </c>
      <c r="C205" s="186">
        <f ca="1">IFERROR(__xludf.DUMMYFUNCTION("MIN(FILTER('All Scores'!AI$2:AI$1024, ('All Scores'!AJ$2:AJ$1024 = A205) + ('All Scores'!AK$2:AK$1024 = A205)))"),3)</f>
        <v>3</v>
      </c>
      <c r="D205" s="187">
        <f ca="1">IFERROR(__xludf.DUMMYFUNCTION("AVERAGE(FILTER('All Scores'!AI$2:AI$1024, ('All Scores'!AJ$2:AJ$1024 = A205) + ('All Scores'!AK$2:AK$1024 = A205))
)
"),15)</f>
        <v>15</v>
      </c>
      <c r="E205" s="6">
        <f ca="1">IFERROR(__xludf.DUMMYFUNCTION("SUM(FILTER('All Scores'!AF$2:AF$1024, ('All Scores'!AJ$2:AJ$1024 = A205) + ('All Scores'!AK$2:AK$1024 = A205)))
"),157)</f>
        <v>157</v>
      </c>
      <c r="F205" s="6">
        <f ca="1">IFERROR(__xludf.DUMMYFUNCTION("SUM(FILTER('All Scores'!AD$2:AD$1024, ('All Scores'!AJ$2:AJ$1024 = A205) + ('All Scores'!AK$2:AK$1024 = A205)))
"),78)</f>
        <v>78</v>
      </c>
      <c r="G205" s="21">
        <f t="shared" ca="1" si="0"/>
        <v>0.49681528662420382</v>
      </c>
      <c r="H205" s="169"/>
      <c r="I205" s="169"/>
      <c r="J205" s="6"/>
      <c r="K205" s="188"/>
      <c r="L205" s="189"/>
      <c r="M205" s="189"/>
      <c r="N205" s="6"/>
      <c r="O205" s="6"/>
      <c r="P205" s="6"/>
      <c r="Q205" s="169"/>
      <c r="R205" s="6"/>
      <c r="S205" s="6"/>
      <c r="T205" s="169"/>
      <c r="U205" s="6"/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69"/>
      <c r="AF205" s="169"/>
      <c r="AG205" s="169"/>
      <c r="AH205" s="169"/>
      <c r="AI205" s="169"/>
      <c r="AJ205" s="169"/>
      <c r="AK205" s="169"/>
      <c r="AL205" s="169"/>
      <c r="AM205" s="169"/>
      <c r="AN205" s="169"/>
      <c r="AO205" s="169"/>
      <c r="AP205" s="169"/>
      <c r="AQ205" s="169"/>
      <c r="AR205" s="169"/>
    </row>
    <row r="206" spans="1:44" ht="12.5">
      <c r="A206" s="169" t="str">
        <f ca="1">IFERROR(__xludf.DUMMYFUNCTION("""COMPUTED_VALUE"""),"Joe Jacelone")</f>
        <v>Joe Jacelone</v>
      </c>
      <c r="B206" s="186">
        <f ca="1">COUNTIF('All Scores'!AJ:AK,A206)</f>
        <v>1</v>
      </c>
      <c r="C206" s="186">
        <f ca="1">IFERROR(__xludf.DUMMYFUNCTION("MIN(FILTER('All Scores'!AI$2:AI$1024, ('All Scores'!AJ$2:AJ$1024 = A206) + ('All Scores'!AK$2:AK$1024 = A206)))"),4)</f>
        <v>4</v>
      </c>
      <c r="D206" s="187">
        <f ca="1">IFERROR(__xludf.DUMMYFUNCTION("AVERAGE(FILTER('All Scores'!AI$2:AI$1024, ('All Scores'!AJ$2:AJ$1024 = A206) + ('All Scores'!AK$2:AK$1024 = A206))
)
"),4)</f>
        <v>4</v>
      </c>
      <c r="E206" s="6">
        <f ca="1">IFERROR(__xludf.DUMMYFUNCTION("SUM(FILTER('All Scores'!AF$2:AF$1024, ('All Scores'!AJ$2:AJ$1024 = A206) + ('All Scores'!AK$2:AK$1024 = A206)))
"),81)</f>
        <v>81</v>
      </c>
      <c r="F206" s="6">
        <f ca="1">IFERROR(__xludf.DUMMYFUNCTION("SUM(FILTER('All Scores'!AD$2:AD$1024, ('All Scores'!AJ$2:AJ$1024 = A206) + ('All Scores'!AK$2:AK$1024 = A206)))
"),46)</f>
        <v>46</v>
      </c>
      <c r="G206" s="21">
        <f t="shared" ca="1" si="0"/>
        <v>0.5679012345679012</v>
      </c>
      <c r="H206" s="169"/>
      <c r="I206" s="169"/>
      <c r="J206" s="6"/>
      <c r="K206" s="188"/>
      <c r="L206" s="189"/>
      <c r="M206" s="189"/>
      <c r="N206" s="6"/>
      <c r="O206" s="6"/>
      <c r="P206" s="6"/>
      <c r="Q206" s="169"/>
      <c r="R206" s="6"/>
      <c r="S206" s="6"/>
      <c r="T206" s="169"/>
      <c r="U206" s="6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</row>
    <row r="207" spans="1:44" ht="12.5">
      <c r="A207" s="169" t="str">
        <f ca="1">IFERROR(__xludf.DUMMYFUNCTION("""COMPUTED_VALUE"""),"Joe Lucas")</f>
        <v>Joe Lucas</v>
      </c>
      <c r="B207" s="186">
        <f ca="1">COUNTIF('All Scores'!AJ:AK,A207)</f>
        <v>1</v>
      </c>
      <c r="C207" s="186">
        <f ca="1">IFERROR(__xludf.DUMMYFUNCTION("MIN(FILTER('All Scores'!AI$2:AI$1024, ('All Scores'!AJ$2:AJ$1024 = A207) + ('All Scores'!AK$2:AK$1024 = A207)))"),13)</f>
        <v>13</v>
      </c>
      <c r="D207" s="187">
        <f ca="1">IFERROR(__xludf.DUMMYFUNCTION("AVERAGE(FILTER('All Scores'!AI$2:AI$1024, ('All Scores'!AJ$2:AJ$1024 = A207) + ('All Scores'!AK$2:AK$1024 = A207))
)
"),13)</f>
        <v>13</v>
      </c>
      <c r="E207" s="6">
        <f ca="1">IFERROR(__xludf.DUMMYFUNCTION("SUM(FILTER('All Scores'!AF$2:AF$1024, ('All Scores'!AJ$2:AJ$1024 = A207) + ('All Scores'!AK$2:AK$1024 = A207)))
"),65)</f>
        <v>65</v>
      </c>
      <c r="F207" s="6">
        <f ca="1">IFERROR(__xludf.DUMMYFUNCTION("SUM(FILTER('All Scores'!AD$2:AD$1024, ('All Scores'!AJ$2:AJ$1024 = A207) + ('All Scores'!AK$2:AK$1024 = A207)))
"),34)</f>
        <v>34</v>
      </c>
      <c r="G207" s="21">
        <f t="shared" ca="1" si="0"/>
        <v>0.52307692307692311</v>
      </c>
      <c r="H207" s="169"/>
      <c r="I207" s="169"/>
      <c r="J207" s="6"/>
      <c r="K207" s="188"/>
      <c r="L207" s="189"/>
      <c r="M207" s="189"/>
      <c r="N207" s="6"/>
      <c r="O207" s="6"/>
      <c r="P207" s="6"/>
      <c r="Q207" s="169"/>
      <c r="R207" s="6"/>
      <c r="S207" s="6"/>
      <c r="T207" s="169"/>
      <c r="U207" s="6"/>
      <c r="V207" s="169"/>
      <c r="W207" s="169"/>
      <c r="X207" s="169"/>
      <c r="Y207" s="169"/>
      <c r="Z207" s="169"/>
      <c r="AA207" s="169"/>
      <c r="AB207" s="169"/>
      <c r="AC207" s="169"/>
      <c r="AD207" s="169"/>
      <c r="AE207" s="169"/>
      <c r="AF207" s="169"/>
      <c r="AG207" s="169"/>
      <c r="AH207" s="169"/>
      <c r="AI207" s="169"/>
      <c r="AJ207" s="169"/>
      <c r="AK207" s="169"/>
      <c r="AL207" s="169"/>
      <c r="AM207" s="169"/>
      <c r="AN207" s="169"/>
      <c r="AO207" s="169"/>
      <c r="AP207" s="169"/>
      <c r="AQ207" s="169"/>
      <c r="AR207" s="169"/>
    </row>
    <row r="208" spans="1:44" ht="12.5">
      <c r="A208" s="169" t="str">
        <f ca="1">IFERROR(__xludf.DUMMYFUNCTION("""COMPUTED_VALUE"""),"Joe Rishmany")</f>
        <v>Joe Rishmany</v>
      </c>
      <c r="B208" s="186">
        <f ca="1">COUNTIF('All Scores'!AJ:AK,A208)</f>
        <v>3</v>
      </c>
      <c r="C208" s="186">
        <f ca="1">IFERROR(__xludf.DUMMYFUNCTION("MIN(FILTER('All Scores'!AI$2:AI$1024, ('All Scores'!AJ$2:AJ$1024 = A208) + ('All Scores'!AK$2:AK$1024 = A208)))"),7)</f>
        <v>7</v>
      </c>
      <c r="D208" s="187">
        <f ca="1">IFERROR(__xludf.DUMMYFUNCTION("AVERAGE(FILTER('All Scores'!AI$2:AI$1024, ('All Scores'!AJ$2:AJ$1024 = A208) + ('All Scores'!AK$2:AK$1024 = A208))
)
"),9)</f>
        <v>9</v>
      </c>
      <c r="E208" s="6">
        <f ca="1">IFERROR(__xludf.DUMMYFUNCTION("SUM(FILTER('All Scores'!AF$2:AF$1024, ('All Scores'!AJ$2:AJ$1024 = A208) + ('All Scores'!AK$2:AK$1024 = A208)))
"),212)</f>
        <v>212</v>
      </c>
      <c r="F208" s="6">
        <f ca="1">IFERROR(__xludf.DUMMYFUNCTION("SUM(FILTER('All Scores'!AD$2:AD$1024, ('All Scores'!AJ$2:AJ$1024 = A208) + ('All Scores'!AK$2:AK$1024 = A208)))
"),99)</f>
        <v>99</v>
      </c>
      <c r="G208" s="21">
        <f t="shared" ca="1" si="0"/>
        <v>0.46698113207547171</v>
      </c>
      <c r="H208" s="169"/>
      <c r="I208" s="169"/>
      <c r="J208" s="6"/>
      <c r="K208" s="188"/>
      <c r="L208" s="189"/>
      <c r="M208" s="189"/>
      <c r="N208" s="6"/>
      <c r="O208" s="6"/>
      <c r="P208" s="6"/>
      <c r="Q208" s="169"/>
      <c r="R208" s="6"/>
      <c r="S208" s="6"/>
      <c r="T208" s="169"/>
      <c r="U208" s="6"/>
      <c r="V208" s="169"/>
      <c r="W208" s="169"/>
      <c r="X208" s="169"/>
      <c r="Y208" s="169"/>
      <c r="Z208" s="169"/>
      <c r="AA208" s="169"/>
      <c r="AB208" s="169"/>
      <c r="AC208" s="169"/>
      <c r="AD208" s="169"/>
      <c r="AE208" s="169"/>
      <c r="AF208" s="169"/>
      <c r="AG208" s="169"/>
      <c r="AH208" s="169"/>
      <c r="AI208" s="169"/>
      <c r="AJ208" s="169"/>
      <c r="AK208" s="169"/>
      <c r="AL208" s="169"/>
      <c r="AM208" s="169"/>
      <c r="AN208" s="169"/>
      <c r="AO208" s="169"/>
      <c r="AP208" s="169"/>
      <c r="AQ208" s="169"/>
      <c r="AR208" s="169"/>
    </row>
    <row r="209" spans="1:44" ht="12.5">
      <c r="A209" s="169" t="str">
        <f ca="1">IFERROR(__xludf.DUMMYFUNCTION("""COMPUTED_VALUE"""),"Joe Thomas")</f>
        <v>Joe Thomas</v>
      </c>
      <c r="B209" s="186">
        <f ca="1">COUNTIF('All Scores'!AJ:AK,A209)</f>
        <v>1</v>
      </c>
      <c r="C209" s="186">
        <f ca="1">IFERROR(__xludf.DUMMYFUNCTION("MIN(FILTER('All Scores'!AI$2:AI$1024, ('All Scores'!AJ$2:AJ$1024 = A209) + ('All Scores'!AK$2:AK$1024 = A209)))"),6)</f>
        <v>6</v>
      </c>
      <c r="D209" s="187">
        <f ca="1">IFERROR(__xludf.DUMMYFUNCTION("AVERAGE(FILTER('All Scores'!AI$2:AI$1024, ('All Scores'!AJ$2:AJ$1024 = A209) + ('All Scores'!AK$2:AK$1024 = A209))
)
"),6)</f>
        <v>6</v>
      </c>
      <c r="E209" s="6">
        <f ca="1">IFERROR(__xludf.DUMMYFUNCTION("SUM(FILTER('All Scores'!AF$2:AF$1024, ('All Scores'!AJ$2:AJ$1024 = A209) + ('All Scores'!AK$2:AK$1024 = A209)))
"),76)</f>
        <v>76</v>
      </c>
      <c r="F209" s="6">
        <f ca="1">IFERROR(__xludf.DUMMYFUNCTION("SUM(FILTER('All Scores'!AD$2:AD$1024, ('All Scores'!AJ$2:AJ$1024 = A209) + ('All Scores'!AK$2:AK$1024 = A209)))
"),41)</f>
        <v>41</v>
      </c>
      <c r="G209" s="21">
        <f t="shared" ca="1" si="0"/>
        <v>0.53947368421052633</v>
      </c>
      <c r="H209" s="169"/>
      <c r="I209" s="169"/>
      <c r="J209" s="6"/>
      <c r="K209" s="188"/>
      <c r="L209" s="189"/>
      <c r="M209" s="189"/>
      <c r="N209" s="6"/>
      <c r="O209" s="6"/>
      <c r="P209" s="6"/>
      <c r="Q209" s="169"/>
      <c r="R209" s="6"/>
      <c r="S209" s="6"/>
      <c r="T209" s="169"/>
      <c r="U209" s="6"/>
      <c r="V209" s="169"/>
      <c r="W209" s="169"/>
      <c r="X209" s="169"/>
      <c r="Y209" s="169"/>
      <c r="Z209" s="169"/>
      <c r="AA209" s="169"/>
      <c r="AB209" s="169"/>
      <c r="AC209" s="169"/>
      <c r="AD209" s="169"/>
      <c r="AE209" s="169"/>
      <c r="AF209" s="169"/>
      <c r="AG209" s="169"/>
      <c r="AH209" s="169"/>
      <c r="AI209" s="169"/>
      <c r="AJ209" s="169"/>
      <c r="AK209" s="169"/>
      <c r="AL209" s="169"/>
      <c r="AM209" s="169"/>
      <c r="AN209" s="169"/>
      <c r="AO209" s="169"/>
      <c r="AP209" s="169"/>
      <c r="AQ209" s="169"/>
      <c r="AR209" s="169"/>
    </row>
    <row r="210" spans="1:44" ht="12.5">
      <c r="A210" s="169" t="str">
        <f ca="1">IFERROR(__xludf.DUMMYFUNCTION("""COMPUTED_VALUE"""),"Joe Zucht")</f>
        <v>Joe Zucht</v>
      </c>
      <c r="B210" s="186">
        <f ca="1">COUNTIF('All Scores'!AJ:AK,A210)</f>
        <v>7</v>
      </c>
      <c r="C210" s="186">
        <f ca="1">IFERROR(__xludf.DUMMYFUNCTION("MIN(FILTER('All Scores'!AI$2:AI$1024, ('All Scores'!AJ$2:AJ$1024 = A210) + ('All Scores'!AK$2:AK$1024 = A210)))"),1)</f>
        <v>1</v>
      </c>
      <c r="D210" s="187">
        <f ca="1">IFERROR(__xludf.DUMMYFUNCTION("AVERAGE(FILTER('All Scores'!AI$2:AI$1024, ('All Scores'!AJ$2:AJ$1024 = A210) + ('All Scores'!AK$2:AK$1024 = A210))
)
"),9.14285714285714)</f>
        <v>9.1428571428571406</v>
      </c>
      <c r="E210" s="6">
        <f ca="1">IFERROR(__xludf.DUMMYFUNCTION("SUM(FILTER('All Scores'!AF$2:AF$1024, ('All Scores'!AJ$2:AJ$1024 = A210) + ('All Scores'!AK$2:AK$1024 = A210)))
"),494)</f>
        <v>494</v>
      </c>
      <c r="F210" s="6">
        <f ca="1">IFERROR(__xludf.DUMMYFUNCTION("SUM(FILTER('All Scores'!AD$2:AD$1024, ('All Scores'!AJ$2:AJ$1024 = A210) + ('All Scores'!AK$2:AK$1024 = A210)))
"),286)</f>
        <v>286</v>
      </c>
      <c r="G210" s="21">
        <f t="shared" ca="1" si="0"/>
        <v>0.57894736842105265</v>
      </c>
      <c r="H210" s="169"/>
      <c r="I210" s="169"/>
      <c r="J210" s="6"/>
      <c r="K210" s="188"/>
      <c r="L210" s="189"/>
      <c r="M210" s="189"/>
      <c r="N210" s="6"/>
      <c r="O210" s="6"/>
      <c r="P210" s="6"/>
      <c r="Q210" s="169"/>
      <c r="R210" s="6"/>
      <c r="S210" s="6"/>
      <c r="T210" s="169"/>
      <c r="U210" s="6"/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  <c r="AJ210" s="169"/>
      <c r="AK210" s="169"/>
      <c r="AL210" s="169"/>
      <c r="AM210" s="169"/>
      <c r="AN210" s="169"/>
      <c r="AO210" s="169"/>
      <c r="AP210" s="169"/>
      <c r="AQ210" s="169"/>
      <c r="AR210" s="169"/>
    </row>
    <row r="211" spans="1:44" ht="12.5">
      <c r="A211" s="169" t="str">
        <f ca="1">IFERROR(__xludf.DUMMYFUNCTION("""COMPUTED_VALUE"""),"Joey Rathbone")</f>
        <v>Joey Rathbone</v>
      </c>
      <c r="B211" s="186">
        <f ca="1">COUNTIF('All Scores'!AJ:AK,A211)</f>
        <v>2</v>
      </c>
      <c r="C211" s="186">
        <f ca="1">IFERROR(__xludf.DUMMYFUNCTION("MIN(FILTER('All Scores'!AI$2:AI$1024, ('All Scores'!AJ$2:AJ$1024 = A211) + ('All Scores'!AK$2:AK$1024 = A211)))"),4)</f>
        <v>4</v>
      </c>
      <c r="D211" s="187">
        <f ca="1">IFERROR(__xludf.DUMMYFUNCTION("AVERAGE(FILTER('All Scores'!AI$2:AI$1024, ('All Scores'!AJ$2:AJ$1024 = A211) + ('All Scores'!AK$2:AK$1024 = A211))
)
"),8.5)</f>
        <v>8.5</v>
      </c>
      <c r="E211" s="6">
        <f ca="1">IFERROR(__xludf.DUMMYFUNCTION("SUM(FILTER('All Scores'!AF$2:AF$1024, ('All Scores'!AJ$2:AJ$1024 = A211) + ('All Scores'!AK$2:AK$1024 = A211)))
"),126)</f>
        <v>126</v>
      </c>
      <c r="F211" s="6">
        <f ca="1">IFERROR(__xludf.DUMMYFUNCTION("SUM(FILTER('All Scores'!AD$2:AD$1024, ('All Scores'!AJ$2:AJ$1024 = A211) + ('All Scores'!AK$2:AK$1024 = A211)))
"),60)</f>
        <v>60</v>
      </c>
      <c r="G211" s="21">
        <f t="shared" ca="1" si="0"/>
        <v>0.47619047619047616</v>
      </c>
      <c r="H211" s="169"/>
      <c r="I211" s="169"/>
      <c r="J211" s="6"/>
      <c r="K211" s="188"/>
      <c r="L211" s="189"/>
      <c r="M211" s="189"/>
      <c r="N211" s="6"/>
      <c r="O211" s="6"/>
      <c r="P211" s="6"/>
      <c r="Q211" s="169"/>
      <c r="R211" s="6"/>
      <c r="S211" s="6"/>
      <c r="T211" s="169"/>
      <c r="U211" s="6"/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69"/>
      <c r="AF211" s="169"/>
      <c r="AG211" s="169"/>
      <c r="AH211" s="169"/>
      <c r="AI211" s="169"/>
      <c r="AJ211" s="169"/>
      <c r="AK211" s="169"/>
      <c r="AL211" s="169"/>
      <c r="AM211" s="169"/>
      <c r="AN211" s="169"/>
      <c r="AO211" s="169"/>
      <c r="AP211" s="169"/>
      <c r="AQ211" s="169"/>
      <c r="AR211" s="169"/>
    </row>
    <row r="212" spans="1:44" ht="12.5">
      <c r="A212" s="169" t="str">
        <f ca="1">IFERROR(__xludf.DUMMYFUNCTION("""COMPUTED_VALUE"""),"John Craig")</f>
        <v>John Craig</v>
      </c>
      <c r="B212" s="186">
        <f ca="1">COUNTIF('All Scores'!AJ:AK,A212)</f>
        <v>1</v>
      </c>
      <c r="C212" s="186">
        <f ca="1">IFERROR(__xludf.DUMMYFUNCTION("MIN(FILTER('All Scores'!AI$2:AI$1024, ('All Scores'!AJ$2:AJ$1024 = A212) + ('All Scores'!AK$2:AK$1024 = A212)))"),30)</f>
        <v>30</v>
      </c>
      <c r="D212" s="187">
        <f ca="1">IFERROR(__xludf.DUMMYFUNCTION("AVERAGE(FILTER('All Scores'!AI$2:AI$1024, ('All Scores'!AJ$2:AJ$1024 = A212) + ('All Scores'!AK$2:AK$1024 = A212))
)
"),30)</f>
        <v>30</v>
      </c>
      <c r="E212" s="6">
        <f ca="1">IFERROR(__xludf.DUMMYFUNCTION("SUM(FILTER('All Scores'!AF$2:AF$1024, ('All Scores'!AJ$2:AJ$1024 = A212) + ('All Scores'!AK$2:AK$1024 = A212)))
"),52)</f>
        <v>52</v>
      </c>
      <c r="F212" s="6">
        <f ca="1">IFERROR(__xludf.DUMMYFUNCTION("SUM(FILTER('All Scores'!AD$2:AD$1024, ('All Scores'!AJ$2:AJ$1024 = A212) + ('All Scores'!AK$2:AK$1024 = A212)))
"),19)</f>
        <v>19</v>
      </c>
      <c r="G212" s="21">
        <f t="shared" ca="1" si="0"/>
        <v>0.36538461538461536</v>
      </c>
      <c r="H212" s="169"/>
      <c r="I212" s="169"/>
      <c r="J212" s="6"/>
      <c r="K212" s="188"/>
      <c r="L212" s="189"/>
      <c r="M212" s="189"/>
      <c r="N212" s="6"/>
      <c r="O212" s="6"/>
      <c r="P212" s="6"/>
      <c r="Q212" s="169"/>
      <c r="R212" s="6"/>
      <c r="S212" s="6"/>
      <c r="T212" s="169"/>
      <c r="U212" s="6"/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69"/>
      <c r="AF212" s="169"/>
      <c r="AG212" s="169"/>
      <c r="AH212" s="169"/>
      <c r="AI212" s="169"/>
      <c r="AJ212" s="169"/>
      <c r="AK212" s="169"/>
      <c r="AL212" s="169"/>
      <c r="AM212" s="169"/>
      <c r="AN212" s="169"/>
      <c r="AO212" s="169"/>
      <c r="AP212" s="169"/>
      <c r="AQ212" s="169"/>
      <c r="AR212" s="169"/>
    </row>
    <row r="213" spans="1:44" ht="12.5">
      <c r="A213" s="169" t="str">
        <f ca="1">IFERROR(__xludf.DUMMYFUNCTION("""COMPUTED_VALUE"""),"John Evatt")</f>
        <v>John Evatt</v>
      </c>
      <c r="B213" s="186">
        <f ca="1">COUNTIF('All Scores'!AJ:AK,A213)</f>
        <v>11</v>
      </c>
      <c r="C213" s="186">
        <f ca="1">IFERROR(__xludf.DUMMYFUNCTION("MIN(FILTER('All Scores'!AI$2:AI$1024, ('All Scores'!AJ$2:AJ$1024 = A213) + ('All Scores'!AK$2:AK$1024 = A213)))"),1)</f>
        <v>1</v>
      </c>
      <c r="D213" s="187">
        <f ca="1">IFERROR(__xludf.DUMMYFUNCTION("AVERAGE(FILTER('All Scores'!AI$2:AI$1024, ('All Scores'!AJ$2:AJ$1024 = A213) + ('All Scores'!AK$2:AK$1024 = A213))
)
"),7.72727272727272)</f>
        <v>7.7272727272727204</v>
      </c>
      <c r="E213" s="6">
        <f ca="1">IFERROR(__xludf.DUMMYFUNCTION("SUM(FILTER('All Scores'!AF$2:AF$1024, ('All Scores'!AJ$2:AJ$1024 = A213) + ('All Scores'!AK$2:AK$1024 = A213)))
"),750)</f>
        <v>750</v>
      </c>
      <c r="F213" s="6">
        <f ca="1">IFERROR(__xludf.DUMMYFUNCTION("SUM(FILTER('All Scores'!AD$2:AD$1024, ('All Scores'!AJ$2:AJ$1024 = A213) + ('All Scores'!AK$2:AK$1024 = A213)))
"),395)</f>
        <v>395</v>
      </c>
      <c r="G213" s="21">
        <f t="shared" ca="1" si="0"/>
        <v>0.52666666666666662</v>
      </c>
      <c r="H213" s="169"/>
      <c r="I213" s="169"/>
      <c r="J213" s="6"/>
      <c r="K213" s="188"/>
      <c r="L213" s="189"/>
      <c r="M213" s="189"/>
      <c r="N213" s="6"/>
      <c r="O213" s="6"/>
      <c r="P213" s="6"/>
      <c r="Q213" s="169"/>
      <c r="R213" s="6"/>
      <c r="S213" s="6"/>
      <c r="T213" s="169"/>
      <c r="U213" s="6"/>
      <c r="V213" s="169"/>
      <c r="W213" s="169"/>
      <c r="X213" s="169"/>
      <c r="Y213" s="169"/>
      <c r="Z213" s="169"/>
      <c r="AA213" s="169"/>
      <c r="AB213" s="169"/>
      <c r="AC213" s="169"/>
      <c r="AD213" s="169"/>
      <c r="AE213" s="169"/>
      <c r="AF213" s="169"/>
      <c r="AG213" s="169"/>
      <c r="AH213" s="169"/>
      <c r="AI213" s="169"/>
      <c r="AJ213" s="169"/>
      <c r="AK213" s="169"/>
      <c r="AL213" s="169"/>
      <c r="AM213" s="169"/>
      <c r="AN213" s="169"/>
      <c r="AO213" s="169"/>
      <c r="AP213" s="169"/>
      <c r="AQ213" s="169"/>
      <c r="AR213" s="169"/>
    </row>
    <row r="214" spans="1:44" ht="12.5">
      <c r="A214" s="169" t="str">
        <f ca="1">IFERROR(__xludf.DUMMYFUNCTION("""COMPUTED_VALUE"""),"John Nestor")</f>
        <v>John Nestor</v>
      </c>
      <c r="B214" s="186">
        <f ca="1">COUNTIF('All Scores'!AJ:AK,A214)</f>
        <v>7</v>
      </c>
      <c r="C214" s="186">
        <f ca="1">IFERROR(__xludf.DUMMYFUNCTION("MIN(FILTER('All Scores'!AI$2:AI$1024, ('All Scores'!AJ$2:AJ$1024 = A214) + ('All Scores'!AK$2:AK$1024 = A214)))"),6)</f>
        <v>6</v>
      </c>
      <c r="D214" s="187">
        <f ca="1">IFERROR(__xludf.DUMMYFUNCTION("AVERAGE(FILTER('All Scores'!AI$2:AI$1024, ('All Scores'!AJ$2:AJ$1024 = A214) + ('All Scores'!AK$2:AK$1024 = A214))
)
"),13)</f>
        <v>13</v>
      </c>
      <c r="E214" s="6">
        <f ca="1">IFERROR(__xludf.DUMMYFUNCTION("SUM(FILTER('All Scores'!AF$2:AF$1024, ('All Scores'!AJ$2:AJ$1024 = A214) + ('All Scores'!AK$2:AK$1024 = A214)))
"),376)</f>
        <v>376</v>
      </c>
      <c r="F214" s="6">
        <f ca="1">IFERROR(__xludf.DUMMYFUNCTION("SUM(FILTER('All Scores'!AD$2:AD$1024, ('All Scores'!AJ$2:AJ$1024 = A214) + ('All Scores'!AK$2:AK$1024 = A214)))
"),165)</f>
        <v>165</v>
      </c>
      <c r="G214" s="21">
        <f t="shared" ca="1" si="0"/>
        <v>0.43882978723404253</v>
      </c>
      <c r="H214" s="169"/>
      <c r="I214" s="169"/>
      <c r="J214" s="6"/>
      <c r="K214" s="188"/>
      <c r="L214" s="189"/>
      <c r="M214" s="189"/>
      <c r="N214" s="6"/>
      <c r="O214" s="6"/>
      <c r="P214" s="6"/>
      <c r="Q214" s="169"/>
      <c r="R214" s="6"/>
      <c r="S214" s="6"/>
      <c r="T214" s="169"/>
      <c r="U214" s="6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</row>
    <row r="215" spans="1:44" ht="12.5">
      <c r="A215" s="169" t="str">
        <f ca="1">IFERROR(__xludf.DUMMYFUNCTION("""COMPUTED_VALUE"""),"John Purugganan")</f>
        <v>John Purugganan</v>
      </c>
      <c r="B215" s="186">
        <f ca="1">COUNTIF('All Scores'!AJ:AK,A215)</f>
        <v>2</v>
      </c>
      <c r="C215" s="186">
        <f ca="1">IFERROR(__xludf.DUMMYFUNCTION("MIN(FILTER('All Scores'!AI$2:AI$1024, ('All Scores'!AJ$2:AJ$1024 = A215) + ('All Scores'!AK$2:AK$1024 = A215)))"),10)</f>
        <v>10</v>
      </c>
      <c r="D215" s="187">
        <f ca="1">IFERROR(__xludf.DUMMYFUNCTION("AVERAGE(FILTER('All Scores'!AI$2:AI$1024, ('All Scores'!AJ$2:AJ$1024 = A215) + ('All Scores'!AK$2:AK$1024 = A215))
)
"),11)</f>
        <v>11</v>
      </c>
      <c r="E215" s="6">
        <f ca="1">IFERROR(__xludf.DUMMYFUNCTION("SUM(FILTER('All Scores'!AF$2:AF$1024, ('All Scores'!AJ$2:AJ$1024 = A215) + ('All Scores'!AK$2:AK$1024 = A215)))
"),103)</f>
        <v>103</v>
      </c>
      <c r="F215" s="6">
        <f ca="1">IFERROR(__xludf.DUMMYFUNCTION("SUM(FILTER('All Scores'!AD$2:AD$1024, ('All Scores'!AJ$2:AJ$1024 = A215) + ('All Scores'!AK$2:AK$1024 = A215)))
"),46)</f>
        <v>46</v>
      </c>
      <c r="G215" s="21">
        <f t="shared" ca="1" si="0"/>
        <v>0.44660194174757284</v>
      </c>
      <c r="H215" s="169"/>
      <c r="I215" s="169"/>
      <c r="J215" s="6"/>
      <c r="K215" s="188"/>
      <c r="L215" s="189"/>
      <c r="M215" s="189"/>
      <c r="N215" s="6"/>
      <c r="O215" s="6"/>
      <c r="P215" s="6"/>
      <c r="Q215" s="169"/>
      <c r="R215" s="6"/>
      <c r="S215" s="6"/>
      <c r="T215" s="169"/>
      <c r="U215" s="6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  <c r="AJ215" s="169"/>
      <c r="AK215" s="169"/>
      <c r="AL215" s="169"/>
      <c r="AM215" s="169"/>
      <c r="AN215" s="169"/>
      <c r="AO215" s="169"/>
      <c r="AP215" s="169"/>
      <c r="AQ215" s="169"/>
      <c r="AR215" s="169"/>
    </row>
    <row r="216" spans="1:44" ht="12.5">
      <c r="A216" s="169" t="str">
        <f ca="1">IFERROR(__xludf.DUMMYFUNCTION("""COMPUTED_VALUE"""),"John Schlueter")</f>
        <v>John Schlueter</v>
      </c>
      <c r="B216" s="186">
        <f ca="1">COUNTIF('All Scores'!AJ:AK,A216)</f>
        <v>1</v>
      </c>
      <c r="C216" s="186">
        <f ca="1">IFERROR(__xludf.DUMMYFUNCTION("MIN(FILTER('All Scores'!AI$2:AI$1024, ('All Scores'!AJ$2:AJ$1024 = A216) + ('All Scores'!AK$2:AK$1024 = A216)))"),9)</f>
        <v>9</v>
      </c>
      <c r="D216" s="187">
        <f ca="1">IFERROR(__xludf.DUMMYFUNCTION("AVERAGE(FILTER('All Scores'!AI$2:AI$1024, ('All Scores'!AJ$2:AJ$1024 = A216) + ('All Scores'!AK$2:AK$1024 = A216))
)
"),9)</f>
        <v>9</v>
      </c>
      <c r="E216" s="6">
        <f ca="1">IFERROR(__xludf.DUMMYFUNCTION("SUM(FILTER('All Scores'!AF$2:AF$1024, ('All Scores'!AJ$2:AJ$1024 = A216) + ('All Scores'!AK$2:AK$1024 = A216)))
"),87)</f>
        <v>87</v>
      </c>
      <c r="F216" s="6">
        <f ca="1">IFERROR(__xludf.DUMMYFUNCTION("SUM(FILTER('All Scores'!AD$2:AD$1024, ('All Scores'!AJ$2:AJ$1024 = A216) + ('All Scores'!AK$2:AK$1024 = A216)))
"),40)</f>
        <v>40</v>
      </c>
      <c r="G216" s="21">
        <f t="shared" ca="1" si="0"/>
        <v>0.45977011494252873</v>
      </c>
      <c r="H216" s="169"/>
      <c r="I216" s="169"/>
      <c r="J216" s="6"/>
      <c r="K216" s="188"/>
      <c r="L216" s="189"/>
      <c r="M216" s="189"/>
      <c r="N216" s="6"/>
      <c r="O216" s="6"/>
      <c r="P216" s="6"/>
      <c r="Q216" s="169"/>
      <c r="R216" s="6"/>
      <c r="S216" s="6"/>
      <c r="T216" s="169"/>
      <c r="U216" s="6"/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69"/>
      <c r="AF216" s="169"/>
      <c r="AG216" s="169"/>
      <c r="AH216" s="169"/>
      <c r="AI216" s="169"/>
      <c r="AJ216" s="169"/>
      <c r="AK216" s="169"/>
      <c r="AL216" s="169"/>
      <c r="AM216" s="169"/>
      <c r="AN216" s="169"/>
      <c r="AO216" s="169"/>
      <c r="AP216" s="169"/>
      <c r="AQ216" s="169"/>
      <c r="AR216" s="169"/>
    </row>
    <row r="217" spans="1:44" ht="12.5">
      <c r="A217" s="169" t="str">
        <f ca="1">IFERROR(__xludf.DUMMYFUNCTION("""COMPUTED_VALUE"""),"John Shehan")</f>
        <v>John Shehan</v>
      </c>
      <c r="B217" s="186">
        <f ca="1">COUNTIF('All Scores'!AJ:AK,A217)</f>
        <v>1</v>
      </c>
      <c r="C217" s="186">
        <f ca="1">IFERROR(__xludf.DUMMYFUNCTION("MIN(FILTER('All Scores'!AI$2:AI$1024, ('All Scores'!AJ$2:AJ$1024 = A217) + ('All Scores'!AK$2:AK$1024 = A217)))"),8)</f>
        <v>8</v>
      </c>
      <c r="D217" s="187">
        <f ca="1">IFERROR(__xludf.DUMMYFUNCTION("AVERAGE(FILTER('All Scores'!AI$2:AI$1024, ('All Scores'!AJ$2:AJ$1024 = A217) + ('All Scores'!AK$2:AK$1024 = A217))
)
"),8)</f>
        <v>8</v>
      </c>
      <c r="E217" s="6">
        <f ca="1">IFERROR(__xludf.DUMMYFUNCTION("SUM(FILTER('All Scores'!AF$2:AF$1024, ('All Scores'!AJ$2:AJ$1024 = A217) + ('All Scores'!AK$2:AK$1024 = A217)))
"),60)</f>
        <v>60</v>
      </c>
      <c r="F217" s="6">
        <f ca="1">IFERROR(__xludf.DUMMYFUNCTION("SUM(FILTER('All Scores'!AD$2:AD$1024, ('All Scores'!AJ$2:AJ$1024 = A217) + ('All Scores'!AK$2:AK$1024 = A217)))
"),27)</f>
        <v>27</v>
      </c>
      <c r="G217" s="21">
        <f t="shared" ca="1" si="0"/>
        <v>0.45</v>
      </c>
      <c r="H217" s="169"/>
      <c r="I217" s="169"/>
      <c r="J217" s="6"/>
      <c r="K217" s="188"/>
      <c r="L217" s="189"/>
      <c r="M217" s="189"/>
      <c r="N217" s="6"/>
      <c r="O217" s="6"/>
      <c r="P217" s="6"/>
      <c r="Q217" s="169"/>
      <c r="R217" s="6"/>
      <c r="S217" s="6"/>
      <c r="T217" s="169"/>
      <c r="U217" s="6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69"/>
      <c r="AF217" s="169"/>
      <c r="AG217" s="169"/>
      <c r="AH217" s="169"/>
      <c r="AI217" s="169"/>
      <c r="AJ217" s="169"/>
      <c r="AK217" s="169"/>
      <c r="AL217" s="169"/>
      <c r="AM217" s="169"/>
      <c r="AN217" s="169"/>
      <c r="AO217" s="169"/>
      <c r="AP217" s="169"/>
      <c r="AQ217" s="169"/>
      <c r="AR217" s="169"/>
    </row>
    <row r="218" spans="1:44" ht="12.5">
      <c r="A218" s="169" t="str">
        <f ca="1">IFERROR(__xludf.DUMMYFUNCTION("""COMPUTED_VALUE"""),"John Stauffer")</f>
        <v>John Stauffer</v>
      </c>
      <c r="B218" s="186">
        <f ca="1">COUNTIF('All Scores'!AJ:AK,A218)</f>
        <v>6</v>
      </c>
      <c r="C218" s="186">
        <f ca="1">IFERROR(__xludf.DUMMYFUNCTION("MIN(FILTER('All Scores'!AI$2:AI$1024, ('All Scores'!AJ$2:AJ$1024 = A218) + ('All Scores'!AK$2:AK$1024 = A218)))"),1)</f>
        <v>1</v>
      </c>
      <c r="D218" s="187">
        <f ca="1">IFERROR(__xludf.DUMMYFUNCTION("AVERAGE(FILTER('All Scores'!AI$2:AI$1024, ('All Scores'!AJ$2:AJ$1024 = A218) + ('All Scores'!AK$2:AK$1024 = A218))
)
"),5)</f>
        <v>5</v>
      </c>
      <c r="E218" s="6">
        <f ca="1">IFERROR(__xludf.DUMMYFUNCTION("SUM(FILTER('All Scores'!AF$2:AF$1024, ('All Scores'!AJ$2:AJ$1024 = A218) + ('All Scores'!AK$2:AK$1024 = A218)))
"),535)</f>
        <v>535</v>
      </c>
      <c r="F218" s="6">
        <f ca="1">IFERROR(__xludf.DUMMYFUNCTION("SUM(FILTER('All Scores'!AD$2:AD$1024, ('All Scores'!AJ$2:AJ$1024 = A218) + ('All Scores'!AK$2:AK$1024 = A218)))
"),301)</f>
        <v>301</v>
      </c>
      <c r="G218" s="21">
        <f t="shared" ca="1" si="0"/>
        <v>0.56261682242990652</v>
      </c>
      <c r="H218" s="169"/>
      <c r="I218" s="169"/>
      <c r="J218" s="6"/>
      <c r="K218" s="188"/>
      <c r="L218" s="189"/>
      <c r="M218" s="189"/>
      <c r="N218" s="6"/>
      <c r="O218" s="6"/>
      <c r="P218" s="6"/>
      <c r="Q218" s="169"/>
      <c r="R218" s="6"/>
      <c r="S218" s="6"/>
      <c r="T218" s="169"/>
      <c r="U218" s="6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69"/>
      <c r="AN218" s="169"/>
      <c r="AO218" s="169"/>
      <c r="AP218" s="169"/>
      <c r="AQ218" s="169"/>
      <c r="AR218" s="169"/>
    </row>
    <row r="219" spans="1:44" ht="12.5">
      <c r="A219" s="169" t="str">
        <f ca="1">IFERROR(__xludf.DUMMYFUNCTION("""COMPUTED_VALUE"""),"John Stolte")</f>
        <v>John Stolte</v>
      </c>
      <c r="B219" s="186">
        <f ca="1">COUNTIF('All Scores'!AJ:AK,A219)</f>
        <v>6</v>
      </c>
      <c r="C219" s="186">
        <f ca="1">IFERROR(__xludf.DUMMYFUNCTION("MIN(FILTER('All Scores'!AI$2:AI$1024, ('All Scores'!AJ$2:AJ$1024 = A219) + ('All Scores'!AK$2:AK$1024 = A219)))"),2)</f>
        <v>2</v>
      </c>
      <c r="D219" s="187">
        <f ca="1">IFERROR(__xludf.DUMMYFUNCTION("AVERAGE(FILTER('All Scores'!AI$2:AI$1024, ('All Scores'!AJ$2:AJ$1024 = A219) + ('All Scores'!AK$2:AK$1024 = A219))
)
"),7.66666666666666)</f>
        <v>7.6666666666666599</v>
      </c>
      <c r="E219" s="6">
        <f ca="1">IFERROR(__xludf.DUMMYFUNCTION("SUM(FILTER('All Scores'!AF$2:AF$1024, ('All Scores'!AJ$2:AJ$1024 = A219) + ('All Scores'!AK$2:AK$1024 = A219)))
"),447)</f>
        <v>447</v>
      </c>
      <c r="F219" s="6">
        <f ca="1">IFERROR(__xludf.DUMMYFUNCTION("SUM(FILTER('All Scores'!AD$2:AD$1024, ('All Scores'!AJ$2:AJ$1024 = A219) + ('All Scores'!AK$2:AK$1024 = A219)))
"),238)</f>
        <v>238</v>
      </c>
      <c r="G219" s="21">
        <f t="shared" ca="1" si="0"/>
        <v>0.53243847874720363</v>
      </c>
      <c r="H219" s="169"/>
      <c r="I219" s="169"/>
      <c r="J219" s="6"/>
      <c r="K219" s="188"/>
      <c r="L219" s="189"/>
      <c r="M219" s="189"/>
      <c r="N219" s="6"/>
      <c r="O219" s="6"/>
      <c r="P219" s="6"/>
      <c r="Q219" s="169"/>
      <c r="R219" s="6"/>
      <c r="S219" s="6"/>
      <c r="T219" s="169"/>
      <c r="U219" s="6"/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69"/>
      <c r="AF219" s="169"/>
      <c r="AG219" s="169"/>
      <c r="AH219" s="169"/>
      <c r="AI219" s="169"/>
      <c r="AJ219" s="169"/>
      <c r="AK219" s="169"/>
      <c r="AL219" s="169"/>
      <c r="AM219" s="169"/>
      <c r="AN219" s="169"/>
      <c r="AO219" s="169"/>
      <c r="AP219" s="169"/>
      <c r="AQ219" s="169"/>
      <c r="AR219" s="169"/>
    </row>
    <row r="220" spans="1:44" ht="12.5">
      <c r="A220" s="169" t="str">
        <f ca="1">IFERROR(__xludf.DUMMYFUNCTION("""COMPUTED_VALUE"""),"Jon Bichelmeyer")</f>
        <v>Jon Bichelmeyer</v>
      </c>
      <c r="B220" s="186">
        <f ca="1">COUNTIF('All Scores'!AJ:AK,A220)</f>
        <v>1</v>
      </c>
      <c r="C220" s="186">
        <f ca="1">IFERROR(__xludf.DUMMYFUNCTION("MIN(FILTER('All Scores'!AI$2:AI$1024, ('All Scores'!AJ$2:AJ$1024 = A220) + ('All Scores'!AK$2:AK$1024 = A220)))"),16)</f>
        <v>16</v>
      </c>
      <c r="D220" s="187">
        <f ca="1">IFERROR(__xludf.DUMMYFUNCTION("AVERAGE(FILTER('All Scores'!AI$2:AI$1024, ('All Scores'!AJ$2:AJ$1024 = A220) + ('All Scores'!AK$2:AK$1024 = A220))
)
"),16)</f>
        <v>16</v>
      </c>
      <c r="E220" s="6">
        <f ca="1">IFERROR(__xludf.DUMMYFUNCTION("SUM(FILTER('All Scores'!AF$2:AF$1024, ('All Scores'!AJ$2:AJ$1024 = A220) + ('All Scores'!AK$2:AK$1024 = A220)))
"),40)</f>
        <v>40</v>
      </c>
      <c r="F220" s="6">
        <f ca="1">IFERROR(__xludf.DUMMYFUNCTION("SUM(FILTER('All Scores'!AD$2:AD$1024, ('All Scores'!AJ$2:AJ$1024 = A220) + ('All Scores'!AK$2:AK$1024 = A220)))
"),7)</f>
        <v>7</v>
      </c>
      <c r="G220" s="21">
        <f t="shared" ca="1" si="0"/>
        <v>0.17499999999999999</v>
      </c>
      <c r="H220" s="169"/>
      <c r="I220" s="169"/>
      <c r="J220" s="6"/>
      <c r="K220" s="188"/>
      <c r="L220" s="189"/>
      <c r="M220" s="189"/>
      <c r="N220" s="6"/>
      <c r="O220" s="6"/>
      <c r="P220" s="6"/>
      <c r="Q220" s="169"/>
      <c r="R220" s="6"/>
      <c r="S220" s="6"/>
      <c r="T220" s="169"/>
      <c r="U220" s="6"/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69"/>
      <c r="AF220" s="169"/>
      <c r="AG220" s="169"/>
      <c r="AH220" s="169"/>
      <c r="AI220" s="169"/>
      <c r="AJ220" s="169"/>
      <c r="AK220" s="169"/>
      <c r="AL220" s="169"/>
      <c r="AM220" s="169"/>
      <c r="AN220" s="169"/>
      <c r="AO220" s="169"/>
      <c r="AP220" s="169"/>
      <c r="AQ220" s="169"/>
      <c r="AR220" s="169"/>
    </row>
    <row r="221" spans="1:44" ht="12.5">
      <c r="A221" s="169" t="str">
        <f ca="1">IFERROR(__xludf.DUMMYFUNCTION("""COMPUTED_VALUE"""),"Jon Carenza")</f>
        <v>Jon Carenza</v>
      </c>
      <c r="B221" s="186">
        <f ca="1">COUNTIF('All Scores'!AJ:AK,A221)</f>
        <v>1</v>
      </c>
      <c r="C221" s="186">
        <f ca="1">IFERROR(__xludf.DUMMYFUNCTION("MIN(FILTER('All Scores'!AI$2:AI$1024, ('All Scores'!AJ$2:AJ$1024 = A221) + ('All Scores'!AK$2:AK$1024 = A221)))"),8)</f>
        <v>8</v>
      </c>
      <c r="D221" s="187">
        <f ca="1">IFERROR(__xludf.DUMMYFUNCTION("AVERAGE(FILTER('All Scores'!AI$2:AI$1024, ('All Scores'!AJ$2:AJ$1024 = A221) + ('All Scores'!AK$2:AK$1024 = A221))
)
"),8)</f>
        <v>8</v>
      </c>
      <c r="E221" s="6">
        <f ca="1">IFERROR(__xludf.DUMMYFUNCTION("SUM(FILTER('All Scores'!AF$2:AF$1024, ('All Scores'!AJ$2:AJ$1024 = A221) + ('All Scores'!AK$2:AK$1024 = A221)))
"),44)</f>
        <v>44</v>
      </c>
      <c r="F221" s="6">
        <f ca="1">IFERROR(__xludf.DUMMYFUNCTION("SUM(FILTER('All Scores'!AD$2:AD$1024, ('All Scores'!AJ$2:AJ$1024 = A221) + ('All Scores'!AK$2:AK$1024 = A221)))
"),26)</f>
        <v>26</v>
      </c>
      <c r="G221" s="21">
        <f t="shared" ca="1" si="0"/>
        <v>0.59090909090909094</v>
      </c>
      <c r="H221" s="169"/>
      <c r="I221" s="169"/>
      <c r="J221" s="6"/>
      <c r="K221" s="188"/>
      <c r="L221" s="189"/>
      <c r="M221" s="189"/>
      <c r="N221" s="6"/>
      <c r="O221" s="6"/>
      <c r="P221" s="6"/>
      <c r="Q221" s="169"/>
      <c r="R221" s="6"/>
      <c r="S221" s="6"/>
      <c r="T221" s="169"/>
      <c r="U221" s="6"/>
      <c r="V221" s="169"/>
      <c r="W221" s="169"/>
      <c r="X221" s="169"/>
      <c r="Y221" s="169"/>
      <c r="Z221" s="169"/>
      <c r="AA221" s="169"/>
      <c r="AB221" s="169"/>
      <c r="AC221" s="169"/>
      <c r="AD221" s="169"/>
      <c r="AE221" s="169"/>
      <c r="AF221" s="169"/>
      <c r="AG221" s="169"/>
      <c r="AH221" s="169"/>
      <c r="AI221" s="169"/>
      <c r="AJ221" s="169"/>
      <c r="AK221" s="169"/>
      <c r="AL221" s="169"/>
      <c r="AM221" s="169"/>
      <c r="AN221" s="169"/>
      <c r="AO221" s="169"/>
      <c r="AP221" s="169"/>
      <c r="AQ221" s="169"/>
      <c r="AR221" s="169"/>
    </row>
    <row r="222" spans="1:44" ht="12.5">
      <c r="A222" s="169" t="str">
        <f ca="1">IFERROR(__xludf.DUMMYFUNCTION("""COMPUTED_VALUE"""),"Jordan Haas")</f>
        <v>Jordan Haas</v>
      </c>
      <c r="B222" s="186">
        <f ca="1">COUNTIF('All Scores'!AJ:AK,A222)</f>
        <v>2</v>
      </c>
      <c r="C222" s="186">
        <f ca="1">IFERROR(__xludf.DUMMYFUNCTION("MIN(FILTER('All Scores'!AI$2:AI$1024, ('All Scores'!AJ$2:AJ$1024 = A222) + ('All Scores'!AK$2:AK$1024 = A222)))"),3)</f>
        <v>3</v>
      </c>
      <c r="D222" s="187">
        <f ca="1">IFERROR(__xludf.DUMMYFUNCTION("AVERAGE(FILTER('All Scores'!AI$2:AI$1024, ('All Scores'!AJ$2:AJ$1024 = A222) + ('All Scores'!AK$2:AK$1024 = A222))
)
"),4)</f>
        <v>4</v>
      </c>
      <c r="E222" s="6">
        <f ca="1">IFERROR(__xludf.DUMMYFUNCTION("SUM(FILTER('All Scores'!AF$2:AF$1024, ('All Scores'!AJ$2:AJ$1024 = A222) + ('All Scores'!AK$2:AK$1024 = A222)))
"),173)</f>
        <v>173</v>
      </c>
      <c r="F222" s="6">
        <f ca="1">IFERROR(__xludf.DUMMYFUNCTION("SUM(FILTER('All Scores'!AD$2:AD$1024, ('All Scores'!AJ$2:AJ$1024 = A222) + ('All Scores'!AK$2:AK$1024 = A222)))
"),97)</f>
        <v>97</v>
      </c>
      <c r="G222" s="21">
        <f t="shared" ca="1" si="0"/>
        <v>0.56069364161849711</v>
      </c>
      <c r="H222" s="169"/>
      <c r="I222" s="169"/>
      <c r="J222" s="6"/>
      <c r="K222" s="188"/>
      <c r="L222" s="189"/>
      <c r="M222" s="189"/>
      <c r="N222" s="6"/>
      <c r="O222" s="6"/>
      <c r="P222" s="6"/>
      <c r="Q222" s="169"/>
      <c r="R222" s="6"/>
      <c r="S222" s="6"/>
      <c r="T222" s="169"/>
      <c r="U222" s="6"/>
      <c r="V222" s="169"/>
      <c r="W222" s="169"/>
      <c r="X222" s="169"/>
      <c r="Y222" s="169"/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69"/>
      <c r="AN222" s="169"/>
      <c r="AO222" s="169"/>
      <c r="AP222" s="169"/>
      <c r="AQ222" s="169"/>
      <c r="AR222" s="169"/>
    </row>
    <row r="223" spans="1:44" ht="12.5">
      <c r="A223" s="169" t="str">
        <f ca="1">IFERROR(__xludf.DUMMYFUNCTION("""COMPUTED_VALUE"""),"Jordan Watts")</f>
        <v>Jordan Watts</v>
      </c>
      <c r="B223" s="186">
        <f ca="1">COUNTIF('All Scores'!AJ:AK,A223)</f>
        <v>2</v>
      </c>
      <c r="C223" s="186">
        <f ca="1">IFERROR(__xludf.DUMMYFUNCTION("MIN(FILTER('All Scores'!AI$2:AI$1024, ('All Scores'!AJ$2:AJ$1024 = A223) + ('All Scores'!AK$2:AK$1024 = A223)))"),15)</f>
        <v>15</v>
      </c>
      <c r="D223" s="187">
        <f ca="1">IFERROR(__xludf.DUMMYFUNCTION("AVERAGE(FILTER('All Scores'!AI$2:AI$1024, ('All Scores'!AJ$2:AJ$1024 = A223) + ('All Scores'!AK$2:AK$1024 = A223))
)
"),15.5)</f>
        <v>15.5</v>
      </c>
      <c r="E223" s="6">
        <f ca="1">IFERROR(__xludf.DUMMYFUNCTION("SUM(FILTER('All Scores'!AF$2:AF$1024, ('All Scores'!AJ$2:AJ$1024 = A223) + ('All Scores'!AK$2:AK$1024 = A223)))
"),110)</f>
        <v>110</v>
      </c>
      <c r="F223" s="6">
        <f ca="1">IFERROR(__xludf.DUMMYFUNCTION("SUM(FILTER('All Scores'!AD$2:AD$1024, ('All Scores'!AJ$2:AJ$1024 = A223) + ('All Scores'!AK$2:AK$1024 = A223)))
"),28)</f>
        <v>28</v>
      </c>
      <c r="G223" s="21">
        <f t="shared" ca="1" si="0"/>
        <v>0.25454545454545452</v>
      </c>
      <c r="H223" s="169"/>
      <c r="I223" s="169"/>
      <c r="J223" s="6"/>
      <c r="K223" s="188"/>
      <c r="L223" s="189"/>
      <c r="M223" s="189"/>
      <c r="N223" s="6"/>
      <c r="O223" s="6"/>
      <c r="P223" s="6"/>
      <c r="Q223" s="169"/>
      <c r="R223" s="6"/>
      <c r="S223" s="6"/>
      <c r="T223" s="169"/>
      <c r="U223" s="6"/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69"/>
      <c r="AF223" s="169"/>
      <c r="AG223" s="169"/>
      <c r="AH223" s="169"/>
      <c r="AI223" s="169"/>
      <c r="AJ223" s="169"/>
      <c r="AK223" s="169"/>
      <c r="AL223" s="169"/>
      <c r="AM223" s="169"/>
      <c r="AN223" s="169"/>
      <c r="AO223" s="169"/>
      <c r="AP223" s="169"/>
      <c r="AQ223" s="169"/>
      <c r="AR223" s="169"/>
    </row>
    <row r="224" spans="1:44" ht="12.5">
      <c r="A224" s="169" t="str">
        <f ca="1">IFERROR(__xludf.DUMMYFUNCTION("""COMPUTED_VALUE"""),"Josh Draves-Kellerman")</f>
        <v>Josh Draves-Kellerman</v>
      </c>
      <c r="B224" s="186">
        <f ca="1">COUNTIF('All Scores'!AJ:AK,A224)</f>
        <v>1</v>
      </c>
      <c r="C224" s="186">
        <f ca="1">IFERROR(__xludf.DUMMYFUNCTION("MIN(FILTER('All Scores'!AI$2:AI$1024, ('All Scores'!AJ$2:AJ$1024 = A224) + ('All Scores'!AK$2:AK$1024 = A224)))"),9)</f>
        <v>9</v>
      </c>
      <c r="D224" s="187">
        <f ca="1">IFERROR(__xludf.DUMMYFUNCTION("AVERAGE(FILTER('All Scores'!AI$2:AI$1024, ('All Scores'!AJ$2:AJ$1024 = A224) + ('All Scores'!AK$2:AK$1024 = A224))
)
"),9)</f>
        <v>9</v>
      </c>
      <c r="E224" s="6">
        <f ca="1">IFERROR(__xludf.DUMMYFUNCTION("SUM(FILTER('All Scores'!AF$2:AF$1024, ('All Scores'!AJ$2:AJ$1024 = A224) + ('All Scores'!AK$2:AK$1024 = A224)))
"),84)</f>
        <v>84</v>
      </c>
      <c r="F224" s="6">
        <f ca="1">IFERROR(__xludf.DUMMYFUNCTION("SUM(FILTER('All Scores'!AD$2:AD$1024, ('All Scores'!AJ$2:AJ$1024 = A224) + ('All Scores'!AK$2:AK$1024 = A224)))
"),38)</f>
        <v>38</v>
      </c>
      <c r="G224" s="21">
        <f t="shared" ca="1" si="0"/>
        <v>0.45238095238095238</v>
      </c>
      <c r="H224" s="169"/>
      <c r="I224" s="169"/>
      <c r="J224" s="6"/>
      <c r="K224" s="188"/>
      <c r="L224" s="189"/>
      <c r="M224" s="189"/>
      <c r="N224" s="6"/>
      <c r="O224" s="6"/>
      <c r="P224" s="6"/>
      <c r="Q224" s="169"/>
      <c r="R224" s="6"/>
      <c r="S224" s="6"/>
      <c r="T224" s="169"/>
      <c r="U224" s="6"/>
      <c r="V224" s="169"/>
      <c r="W224" s="169"/>
      <c r="X224" s="169"/>
      <c r="Y224" s="169"/>
      <c r="Z224" s="169"/>
      <c r="AA224" s="169"/>
      <c r="AB224" s="169"/>
      <c r="AC224" s="169"/>
      <c r="AD224" s="169"/>
      <c r="AE224" s="169"/>
      <c r="AF224" s="169"/>
      <c r="AG224" s="169"/>
      <c r="AH224" s="169"/>
      <c r="AI224" s="169"/>
      <c r="AJ224" s="169"/>
      <c r="AK224" s="169"/>
      <c r="AL224" s="169"/>
      <c r="AM224" s="169"/>
      <c r="AN224" s="169"/>
      <c r="AO224" s="169"/>
      <c r="AP224" s="169"/>
      <c r="AQ224" s="169"/>
      <c r="AR224" s="169"/>
    </row>
    <row r="225" spans="1:44" ht="12.5">
      <c r="A225" s="169" t="str">
        <f ca="1">IFERROR(__xludf.DUMMYFUNCTION("""COMPUTED_VALUE"""),"Josh Freeman")</f>
        <v>Josh Freeman</v>
      </c>
      <c r="B225" s="186">
        <f ca="1">COUNTIF('All Scores'!AJ:AK,A225)</f>
        <v>1</v>
      </c>
      <c r="C225" s="186">
        <f ca="1">IFERROR(__xludf.DUMMYFUNCTION("MIN(FILTER('All Scores'!AI$2:AI$1024, ('All Scores'!AJ$2:AJ$1024 = A225) + ('All Scores'!AK$2:AK$1024 = A225)))"),12)</f>
        <v>12</v>
      </c>
      <c r="D225" s="187">
        <f ca="1">IFERROR(__xludf.DUMMYFUNCTION("AVERAGE(FILTER('All Scores'!AI$2:AI$1024, ('All Scores'!AJ$2:AJ$1024 = A225) + ('All Scores'!AK$2:AK$1024 = A225))
)
"),12)</f>
        <v>12</v>
      </c>
      <c r="E225" s="6">
        <f ca="1">IFERROR(__xludf.DUMMYFUNCTION("SUM(FILTER('All Scores'!AF$2:AF$1024, ('All Scores'!AJ$2:AJ$1024 = A225) + ('All Scores'!AK$2:AK$1024 = A225)))
"),69)</f>
        <v>69</v>
      </c>
      <c r="F225" s="6">
        <f ca="1">IFERROR(__xludf.DUMMYFUNCTION("SUM(FILTER('All Scores'!AD$2:AD$1024, ('All Scores'!AJ$2:AJ$1024 = A225) + ('All Scores'!AK$2:AK$1024 = A225)))
"),27)</f>
        <v>27</v>
      </c>
      <c r="G225" s="21">
        <f t="shared" ca="1" si="0"/>
        <v>0.39130434782608697</v>
      </c>
      <c r="H225" s="169"/>
      <c r="I225" s="169"/>
      <c r="J225" s="6"/>
      <c r="K225" s="188"/>
      <c r="L225" s="189"/>
      <c r="M225" s="189"/>
      <c r="N225" s="6"/>
      <c r="O225" s="6"/>
      <c r="P225" s="6"/>
      <c r="Q225" s="169"/>
      <c r="R225" s="6"/>
      <c r="S225" s="6"/>
      <c r="T225" s="169"/>
      <c r="U225" s="6"/>
      <c r="V225" s="169"/>
      <c r="W225" s="169"/>
      <c r="X225" s="169"/>
      <c r="Y225" s="169"/>
      <c r="Z225" s="169"/>
      <c r="AA225" s="169"/>
      <c r="AB225" s="169"/>
      <c r="AC225" s="169"/>
      <c r="AD225" s="169"/>
      <c r="AE225" s="169"/>
      <c r="AF225" s="169"/>
      <c r="AG225" s="169"/>
      <c r="AH225" s="169"/>
      <c r="AI225" s="169"/>
      <c r="AJ225" s="169"/>
      <c r="AK225" s="169"/>
      <c r="AL225" s="169"/>
      <c r="AM225" s="169"/>
      <c r="AN225" s="169"/>
      <c r="AO225" s="169"/>
      <c r="AP225" s="169"/>
      <c r="AQ225" s="169"/>
      <c r="AR225" s="169"/>
    </row>
    <row r="226" spans="1:44" ht="12.5">
      <c r="A226" s="169" t="str">
        <f ca="1">IFERROR(__xludf.DUMMYFUNCTION("""COMPUTED_VALUE"""),"Josh Weber")</f>
        <v>Josh Weber</v>
      </c>
      <c r="B226" s="186">
        <f ca="1">COUNTIF('All Scores'!AJ:AK,A226)</f>
        <v>4</v>
      </c>
      <c r="C226" s="186">
        <f ca="1">IFERROR(__xludf.DUMMYFUNCTION("MIN(FILTER('All Scores'!AI$2:AI$1024, ('All Scores'!AJ$2:AJ$1024 = A226) + ('All Scores'!AK$2:AK$1024 = A226)))"),2)</f>
        <v>2</v>
      </c>
      <c r="D226" s="187">
        <f ca="1">IFERROR(__xludf.DUMMYFUNCTION("AVERAGE(FILTER('All Scores'!AI$2:AI$1024, ('All Scores'!AJ$2:AJ$1024 = A226) + ('All Scores'!AK$2:AK$1024 = A226))
)
"),11)</f>
        <v>11</v>
      </c>
      <c r="E226" s="6">
        <f ca="1">IFERROR(__xludf.DUMMYFUNCTION("SUM(FILTER('All Scores'!AF$2:AF$1024, ('All Scores'!AJ$2:AJ$1024 = A226) + ('All Scores'!AK$2:AK$1024 = A226)))
"),319)</f>
        <v>319</v>
      </c>
      <c r="F226" s="6">
        <f ca="1">IFERROR(__xludf.DUMMYFUNCTION("SUM(FILTER('All Scores'!AD$2:AD$1024, ('All Scores'!AJ$2:AJ$1024 = A226) + ('All Scores'!AK$2:AK$1024 = A226)))
"),133)</f>
        <v>133</v>
      </c>
      <c r="G226" s="21">
        <f t="shared" ca="1" si="0"/>
        <v>0.41692789968652039</v>
      </c>
      <c r="H226" s="169"/>
      <c r="I226" s="169"/>
      <c r="J226" s="6"/>
      <c r="K226" s="188"/>
      <c r="L226" s="189"/>
      <c r="M226" s="189"/>
      <c r="N226" s="6"/>
      <c r="O226" s="6"/>
      <c r="P226" s="6"/>
      <c r="Q226" s="169"/>
      <c r="R226" s="6"/>
      <c r="S226" s="6"/>
      <c r="T226" s="169"/>
      <c r="U226" s="6"/>
      <c r="V226" s="169"/>
      <c r="W226" s="169"/>
      <c r="X226" s="169"/>
      <c r="Y226" s="169"/>
      <c r="Z226" s="169"/>
      <c r="AA226" s="169"/>
      <c r="AB226" s="169"/>
      <c r="AC226" s="169"/>
      <c r="AD226" s="169"/>
      <c r="AE226" s="169"/>
      <c r="AF226" s="169"/>
      <c r="AG226" s="169"/>
      <c r="AH226" s="169"/>
      <c r="AI226" s="169"/>
      <c r="AJ226" s="169"/>
      <c r="AK226" s="169"/>
      <c r="AL226" s="169"/>
      <c r="AM226" s="169"/>
      <c r="AN226" s="169"/>
      <c r="AO226" s="169"/>
      <c r="AP226" s="169"/>
      <c r="AQ226" s="169"/>
      <c r="AR226" s="169"/>
    </row>
    <row r="227" spans="1:44" ht="12.5">
      <c r="A227" s="169" t="str">
        <f ca="1">IFERROR(__xludf.DUMMYFUNCTION("""COMPUTED_VALUE"""),"Joyce Widgren")</f>
        <v>Joyce Widgren</v>
      </c>
      <c r="B227" s="186">
        <f ca="1">COUNTIF('All Scores'!AJ:AK,A227)</f>
        <v>1</v>
      </c>
      <c r="C227" s="186">
        <f ca="1">IFERROR(__xludf.DUMMYFUNCTION("MIN(FILTER('All Scores'!AI$2:AI$1024, ('All Scores'!AJ$2:AJ$1024 = A227) + ('All Scores'!AK$2:AK$1024 = A227)))"),15)</f>
        <v>15</v>
      </c>
      <c r="D227" s="187">
        <f ca="1">IFERROR(__xludf.DUMMYFUNCTION("AVERAGE(FILTER('All Scores'!AI$2:AI$1024, ('All Scores'!AJ$2:AJ$1024 = A227) + ('All Scores'!AK$2:AK$1024 = A227))
)
"),15)</f>
        <v>15</v>
      </c>
      <c r="E227" s="6">
        <f ca="1">IFERROR(__xludf.DUMMYFUNCTION("SUM(FILTER('All Scores'!AF$2:AF$1024, ('All Scores'!AJ$2:AJ$1024 = A227) + ('All Scores'!AK$2:AK$1024 = A227)))
"),47)</f>
        <v>47</v>
      </c>
      <c r="F227" s="6">
        <f ca="1">IFERROR(__xludf.DUMMYFUNCTION("SUM(FILTER('All Scores'!AD$2:AD$1024, ('All Scores'!AJ$2:AJ$1024 = A227) + ('All Scores'!AK$2:AK$1024 = A227)))
"),14)</f>
        <v>14</v>
      </c>
      <c r="G227" s="21">
        <f t="shared" ca="1" si="0"/>
        <v>0.2978723404255319</v>
      </c>
      <c r="H227" s="169"/>
      <c r="I227" s="169"/>
      <c r="J227" s="6"/>
      <c r="K227" s="188"/>
      <c r="L227" s="189"/>
      <c r="M227" s="189"/>
      <c r="N227" s="6"/>
      <c r="O227" s="6"/>
      <c r="P227" s="6"/>
      <c r="Q227" s="169"/>
      <c r="R227" s="6"/>
      <c r="S227" s="6"/>
      <c r="T227" s="169"/>
      <c r="U227" s="6"/>
      <c r="V227" s="169"/>
      <c r="W227" s="169"/>
      <c r="X227" s="169"/>
      <c r="Y227" s="169"/>
      <c r="Z227" s="169"/>
      <c r="AA227" s="169"/>
      <c r="AB227" s="169"/>
      <c r="AC227" s="169"/>
      <c r="AD227" s="169"/>
      <c r="AE227" s="169"/>
      <c r="AF227" s="169"/>
      <c r="AG227" s="169"/>
      <c r="AH227" s="169"/>
      <c r="AI227" s="169"/>
      <c r="AJ227" s="169"/>
      <c r="AK227" s="169"/>
      <c r="AL227" s="169"/>
      <c r="AM227" s="169"/>
      <c r="AN227" s="169"/>
      <c r="AO227" s="169"/>
      <c r="AP227" s="169"/>
      <c r="AQ227" s="169"/>
      <c r="AR227" s="169"/>
    </row>
    <row r="228" spans="1:44" ht="12.5">
      <c r="A228" s="169" t="str">
        <f ca="1">IFERROR(__xludf.DUMMYFUNCTION("""COMPUTED_VALUE"""),"Juergen Massey")</f>
        <v>Juergen Massey</v>
      </c>
      <c r="B228" s="186">
        <f ca="1">COUNTIF('All Scores'!AJ:AK,A228)</f>
        <v>1</v>
      </c>
      <c r="C228" s="186">
        <f ca="1">IFERROR(__xludf.DUMMYFUNCTION("MIN(FILTER('All Scores'!AI$2:AI$1024, ('All Scores'!AJ$2:AJ$1024 = A228) + ('All Scores'!AK$2:AK$1024 = A228)))"),7)</f>
        <v>7</v>
      </c>
      <c r="D228" s="187">
        <f ca="1">IFERROR(__xludf.DUMMYFUNCTION("AVERAGE(FILTER('All Scores'!AI$2:AI$1024, ('All Scores'!AJ$2:AJ$1024 = A228) + ('All Scores'!AK$2:AK$1024 = A228))
)
"),7)</f>
        <v>7</v>
      </c>
      <c r="E228" s="6">
        <f ca="1">IFERROR(__xludf.DUMMYFUNCTION("SUM(FILTER('All Scores'!AF$2:AF$1024, ('All Scores'!AJ$2:AJ$1024 = A228) + ('All Scores'!AK$2:AK$1024 = A228)))
"),67)</f>
        <v>67</v>
      </c>
      <c r="F228" s="6">
        <f ca="1">IFERROR(__xludf.DUMMYFUNCTION("SUM(FILTER('All Scores'!AD$2:AD$1024, ('All Scores'!AJ$2:AJ$1024 = A228) + ('All Scores'!AK$2:AK$1024 = A228)))
"),35)</f>
        <v>35</v>
      </c>
      <c r="G228" s="21">
        <f t="shared" ca="1" si="0"/>
        <v>0.52238805970149249</v>
      </c>
      <c r="H228" s="169"/>
      <c r="I228" s="169"/>
      <c r="J228" s="6"/>
      <c r="K228" s="188"/>
      <c r="L228" s="189"/>
      <c r="M228" s="189"/>
      <c r="N228" s="6"/>
      <c r="O228" s="6"/>
      <c r="P228" s="6"/>
      <c r="Q228" s="169"/>
      <c r="R228" s="6"/>
      <c r="S228" s="6"/>
      <c r="T228" s="169"/>
      <c r="U228" s="6"/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69"/>
      <c r="AF228" s="169"/>
      <c r="AG228" s="169"/>
      <c r="AH228" s="169"/>
      <c r="AI228" s="169"/>
      <c r="AJ228" s="169"/>
      <c r="AK228" s="169"/>
      <c r="AL228" s="169"/>
      <c r="AM228" s="169"/>
      <c r="AN228" s="169"/>
      <c r="AO228" s="169"/>
      <c r="AP228" s="169"/>
      <c r="AQ228" s="169"/>
      <c r="AR228" s="169"/>
    </row>
    <row r="229" spans="1:44" ht="12.5">
      <c r="A229" s="169" t="str">
        <f ca="1">IFERROR(__xludf.DUMMYFUNCTION("""COMPUTED_VALUE"""),"Juli McGuire")</f>
        <v>Juli McGuire</v>
      </c>
      <c r="B229" s="186">
        <f ca="1">COUNTIF('All Scores'!AJ:AK,A229)</f>
        <v>1</v>
      </c>
      <c r="C229" s="186">
        <f ca="1">IFERROR(__xludf.DUMMYFUNCTION("MIN(FILTER('All Scores'!AI$2:AI$1024, ('All Scores'!AJ$2:AJ$1024 = A229) + ('All Scores'!AK$2:AK$1024 = A229)))"),8)</f>
        <v>8</v>
      </c>
      <c r="D229" s="187">
        <f ca="1">IFERROR(__xludf.DUMMYFUNCTION("AVERAGE(FILTER('All Scores'!AI$2:AI$1024, ('All Scores'!AJ$2:AJ$1024 = A229) + ('All Scores'!AK$2:AK$1024 = A229))
)
"),8)</f>
        <v>8</v>
      </c>
      <c r="E229" s="6">
        <f ca="1">IFERROR(__xludf.DUMMYFUNCTION("SUM(FILTER('All Scores'!AF$2:AF$1024, ('All Scores'!AJ$2:AJ$1024 = A229) + ('All Scores'!AK$2:AK$1024 = A229)))
"),83)</f>
        <v>83</v>
      </c>
      <c r="F229" s="6">
        <f ca="1">IFERROR(__xludf.DUMMYFUNCTION("SUM(FILTER('All Scores'!AD$2:AD$1024, ('All Scores'!AJ$2:AJ$1024 = A229) + ('All Scores'!AK$2:AK$1024 = A229)))
"),45)</f>
        <v>45</v>
      </c>
      <c r="G229" s="21">
        <f t="shared" ca="1" si="0"/>
        <v>0.54216867469879515</v>
      </c>
      <c r="H229" s="169"/>
      <c r="I229" s="169"/>
      <c r="J229" s="6"/>
      <c r="K229" s="188"/>
      <c r="L229" s="189"/>
      <c r="M229" s="189"/>
      <c r="N229" s="6"/>
      <c r="O229" s="6"/>
      <c r="P229" s="6"/>
      <c r="Q229" s="169"/>
      <c r="R229" s="6"/>
      <c r="S229" s="6"/>
      <c r="T229" s="169"/>
      <c r="U229" s="6"/>
      <c r="V229" s="169"/>
      <c r="W229" s="169"/>
      <c r="X229" s="169"/>
      <c r="Y229" s="169"/>
      <c r="Z229" s="169"/>
      <c r="AA229" s="169"/>
      <c r="AB229" s="169"/>
      <c r="AC229" s="169"/>
      <c r="AD229" s="169"/>
      <c r="AE229" s="169"/>
      <c r="AF229" s="169"/>
      <c r="AG229" s="169"/>
      <c r="AH229" s="169"/>
      <c r="AI229" s="169"/>
      <c r="AJ229" s="169"/>
      <c r="AK229" s="169"/>
      <c r="AL229" s="169"/>
      <c r="AM229" s="169"/>
      <c r="AN229" s="169"/>
      <c r="AO229" s="169"/>
      <c r="AP229" s="169"/>
      <c r="AQ229" s="169"/>
      <c r="AR229" s="169"/>
    </row>
    <row r="230" spans="1:44" ht="12.5">
      <c r="A230" s="169" t="str">
        <f ca="1">IFERROR(__xludf.DUMMYFUNCTION("""COMPUTED_VALUE"""),"Julianna Norgren")</f>
        <v>Julianna Norgren</v>
      </c>
      <c r="B230" s="186">
        <f ca="1">COUNTIF('All Scores'!AJ:AK,A230)</f>
        <v>3</v>
      </c>
      <c r="C230" s="186">
        <f ca="1">IFERROR(__xludf.DUMMYFUNCTION("MIN(FILTER('All Scores'!AI$2:AI$1024, ('All Scores'!AJ$2:AJ$1024 = A230) + ('All Scores'!AK$2:AK$1024 = A230)))"),2)</f>
        <v>2</v>
      </c>
      <c r="D230" s="187">
        <f ca="1">IFERROR(__xludf.DUMMYFUNCTION("AVERAGE(FILTER('All Scores'!AI$2:AI$1024, ('All Scores'!AJ$2:AJ$1024 = A230) + ('All Scores'!AK$2:AK$1024 = A230))
)
"),8.66666666666666)</f>
        <v>8.6666666666666607</v>
      </c>
      <c r="E230" s="6">
        <f ca="1">IFERROR(__xludf.DUMMYFUNCTION("SUM(FILTER('All Scores'!AF$2:AF$1024, ('All Scores'!AJ$2:AJ$1024 = A230) + ('All Scores'!AK$2:AK$1024 = A230)))
"),247)</f>
        <v>247</v>
      </c>
      <c r="F230" s="6">
        <f ca="1">IFERROR(__xludf.DUMMYFUNCTION("SUM(FILTER('All Scores'!AD$2:AD$1024, ('All Scores'!AJ$2:AJ$1024 = A230) + ('All Scores'!AK$2:AK$1024 = A230)))
"),120)</f>
        <v>120</v>
      </c>
      <c r="G230" s="21">
        <f t="shared" ca="1" si="0"/>
        <v>0.48582995951417002</v>
      </c>
      <c r="H230" s="169"/>
      <c r="I230" s="169"/>
      <c r="J230" s="6"/>
      <c r="K230" s="188"/>
      <c r="L230" s="189"/>
      <c r="M230" s="189"/>
      <c r="N230" s="6"/>
      <c r="O230" s="6"/>
      <c r="P230" s="6"/>
      <c r="Q230" s="169"/>
      <c r="R230" s="6"/>
      <c r="S230" s="6"/>
      <c r="T230" s="169"/>
      <c r="U230" s="6"/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69"/>
      <c r="AF230" s="169"/>
      <c r="AG230" s="169"/>
      <c r="AH230" s="169"/>
      <c r="AI230" s="169"/>
      <c r="AJ230" s="169"/>
      <c r="AK230" s="169"/>
      <c r="AL230" s="169"/>
      <c r="AM230" s="169"/>
      <c r="AN230" s="169"/>
      <c r="AO230" s="169"/>
      <c r="AP230" s="169"/>
      <c r="AQ230" s="169"/>
      <c r="AR230" s="169"/>
    </row>
    <row r="231" spans="1:44" ht="12.5">
      <c r="A231" s="169" t="str">
        <f ca="1">IFERROR(__xludf.DUMMYFUNCTION("""COMPUTED_VALUE"""),"Julie Cecil")</f>
        <v>Julie Cecil</v>
      </c>
      <c r="B231" s="186">
        <f ca="1">COUNTIF('All Scores'!AJ:AK,A231)</f>
        <v>1</v>
      </c>
      <c r="C231" s="186">
        <f ca="1">IFERROR(__xludf.DUMMYFUNCTION("MIN(FILTER('All Scores'!AI$2:AI$1024, ('All Scores'!AJ$2:AJ$1024 = A231) + ('All Scores'!AK$2:AK$1024 = A231)))"),7)</f>
        <v>7</v>
      </c>
      <c r="D231" s="187">
        <f ca="1">IFERROR(__xludf.DUMMYFUNCTION("AVERAGE(FILTER('All Scores'!AI$2:AI$1024, ('All Scores'!AJ$2:AJ$1024 = A231) + ('All Scores'!AK$2:AK$1024 = A231))
)
"),7)</f>
        <v>7</v>
      </c>
      <c r="E231" s="6">
        <f ca="1">IFERROR(__xludf.DUMMYFUNCTION("SUM(FILTER('All Scores'!AF$2:AF$1024, ('All Scores'!AJ$2:AJ$1024 = A231) + ('All Scores'!AK$2:AK$1024 = A231)))
"),96)</f>
        <v>96</v>
      </c>
      <c r="F231" s="6">
        <f ca="1">IFERROR(__xludf.DUMMYFUNCTION("SUM(FILTER('All Scores'!AD$2:AD$1024, ('All Scores'!AJ$2:AJ$1024 = A231) + ('All Scores'!AK$2:AK$1024 = A231)))
"),49)</f>
        <v>49</v>
      </c>
      <c r="G231" s="21">
        <f t="shared" ca="1" si="0"/>
        <v>0.51041666666666663</v>
      </c>
      <c r="H231" s="169"/>
      <c r="I231" s="169"/>
      <c r="J231" s="6"/>
      <c r="K231" s="188"/>
      <c r="L231" s="189"/>
      <c r="M231" s="189"/>
      <c r="N231" s="6"/>
      <c r="O231" s="6"/>
      <c r="P231" s="6"/>
      <c r="Q231" s="169"/>
      <c r="R231" s="6"/>
      <c r="S231" s="6"/>
      <c r="T231" s="169"/>
      <c r="U231" s="6"/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69"/>
      <c r="AF231" s="169"/>
      <c r="AG231" s="169"/>
      <c r="AH231" s="169"/>
      <c r="AI231" s="169"/>
      <c r="AJ231" s="169"/>
      <c r="AK231" s="169"/>
      <c r="AL231" s="169"/>
      <c r="AM231" s="169"/>
      <c r="AN231" s="169"/>
      <c r="AO231" s="169"/>
      <c r="AP231" s="169"/>
      <c r="AQ231" s="169"/>
      <c r="AR231" s="169"/>
    </row>
    <row r="232" spans="1:44" ht="12.5">
      <c r="A232" s="169" t="str">
        <f ca="1">IFERROR(__xludf.DUMMYFUNCTION("""COMPUTED_VALUE"""),"Julie Fuller")</f>
        <v>Julie Fuller</v>
      </c>
      <c r="B232" s="186">
        <f ca="1">COUNTIF('All Scores'!AJ:AK,A232)</f>
        <v>1</v>
      </c>
      <c r="C232" s="186">
        <f ca="1">IFERROR(__xludf.DUMMYFUNCTION("MIN(FILTER('All Scores'!AI$2:AI$1024, ('All Scores'!AJ$2:AJ$1024 = A232) + ('All Scores'!AK$2:AK$1024 = A232)))"),12)</f>
        <v>12</v>
      </c>
      <c r="D232" s="187">
        <f ca="1">IFERROR(__xludf.DUMMYFUNCTION("AVERAGE(FILTER('All Scores'!AI$2:AI$1024, ('All Scores'!AJ$2:AJ$1024 = A232) + ('All Scores'!AK$2:AK$1024 = A232))
)
"),12)</f>
        <v>12</v>
      </c>
      <c r="E232" s="6">
        <f ca="1">IFERROR(__xludf.DUMMYFUNCTION("SUM(FILTER('All Scores'!AF$2:AF$1024, ('All Scores'!AJ$2:AJ$1024 = A232) + ('All Scores'!AK$2:AK$1024 = A232)))
"),52)</f>
        <v>52</v>
      </c>
      <c r="F232" s="6">
        <f ca="1">IFERROR(__xludf.DUMMYFUNCTION("SUM(FILTER('All Scores'!AD$2:AD$1024, ('All Scores'!AJ$2:AJ$1024 = A232) + ('All Scores'!AK$2:AK$1024 = A232)))
"),23)</f>
        <v>23</v>
      </c>
      <c r="G232" s="21">
        <f t="shared" ca="1" si="0"/>
        <v>0.44230769230769229</v>
      </c>
      <c r="H232" s="169"/>
      <c r="I232" s="169"/>
      <c r="J232" s="6"/>
      <c r="K232" s="188"/>
      <c r="L232" s="189"/>
      <c r="M232" s="189"/>
      <c r="N232" s="6"/>
      <c r="O232" s="6"/>
      <c r="P232" s="6"/>
      <c r="Q232" s="169"/>
      <c r="R232" s="6"/>
      <c r="S232" s="6"/>
      <c r="T232" s="169"/>
      <c r="U232" s="6"/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69"/>
      <c r="AF232" s="169"/>
      <c r="AG232" s="169"/>
      <c r="AH232" s="169"/>
      <c r="AI232" s="169"/>
      <c r="AJ232" s="169"/>
      <c r="AK232" s="169"/>
      <c r="AL232" s="169"/>
      <c r="AM232" s="169"/>
      <c r="AN232" s="169"/>
      <c r="AO232" s="169"/>
      <c r="AP232" s="169"/>
      <c r="AQ232" s="169"/>
      <c r="AR232" s="169"/>
    </row>
    <row r="233" spans="1:44" ht="12.5">
      <c r="A233" s="169" t="str">
        <f ca="1">IFERROR(__xludf.DUMMYFUNCTION("""COMPUTED_VALUE"""),"Julie Gibson")</f>
        <v>Julie Gibson</v>
      </c>
      <c r="B233" s="186">
        <f ca="1">COUNTIF('All Scores'!AJ:AK,A233)</f>
        <v>1</v>
      </c>
      <c r="C233" s="186">
        <f ca="1">IFERROR(__xludf.DUMMYFUNCTION("MIN(FILTER('All Scores'!AI$2:AI$1024, ('All Scores'!AJ$2:AJ$1024 = A233) + ('All Scores'!AK$2:AK$1024 = A233)))"),16)</f>
        <v>16</v>
      </c>
      <c r="D233" s="187">
        <f ca="1">IFERROR(__xludf.DUMMYFUNCTION("AVERAGE(FILTER('All Scores'!AI$2:AI$1024, ('All Scores'!AJ$2:AJ$1024 = A233) + ('All Scores'!AK$2:AK$1024 = A233))
)
"),16)</f>
        <v>16</v>
      </c>
      <c r="E233" s="6">
        <f ca="1">IFERROR(__xludf.DUMMYFUNCTION("SUM(FILTER('All Scores'!AF$2:AF$1024, ('All Scores'!AJ$2:AJ$1024 = A233) + ('All Scores'!AK$2:AK$1024 = A233)))
"),58)</f>
        <v>58</v>
      </c>
      <c r="F233" s="6">
        <f ca="1">IFERROR(__xludf.DUMMYFUNCTION("SUM(FILTER('All Scores'!AD$2:AD$1024, ('All Scores'!AJ$2:AJ$1024 = A233) + ('All Scores'!AK$2:AK$1024 = A233)))
"),14)</f>
        <v>14</v>
      </c>
      <c r="G233" s="21">
        <f t="shared" ca="1" si="0"/>
        <v>0.2413793103448276</v>
      </c>
      <c r="H233" s="169"/>
      <c r="I233" s="169"/>
      <c r="J233" s="6"/>
      <c r="K233" s="188"/>
      <c r="L233" s="189"/>
      <c r="M233" s="189"/>
      <c r="N233" s="6"/>
      <c r="O233" s="6"/>
      <c r="P233" s="6"/>
      <c r="Q233" s="169"/>
      <c r="R233" s="6"/>
      <c r="S233" s="6"/>
      <c r="T233" s="169"/>
      <c r="U233" s="6"/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169"/>
      <c r="AG233" s="169"/>
      <c r="AH233" s="169"/>
      <c r="AI233" s="169"/>
      <c r="AJ233" s="169"/>
      <c r="AK233" s="169"/>
      <c r="AL233" s="169"/>
      <c r="AM233" s="169"/>
      <c r="AN233" s="169"/>
      <c r="AO233" s="169"/>
      <c r="AP233" s="169"/>
      <c r="AQ233" s="169"/>
      <c r="AR233" s="169"/>
    </row>
    <row r="234" spans="1:44" ht="12.5">
      <c r="A234" s="169" t="str">
        <f ca="1">IFERROR(__xludf.DUMMYFUNCTION("""COMPUTED_VALUE"""),"Justin Hoffman")</f>
        <v>Justin Hoffman</v>
      </c>
      <c r="B234" s="186">
        <f ca="1">COUNTIF('All Scores'!AJ:AK,A234)</f>
        <v>9</v>
      </c>
      <c r="C234" s="186">
        <f ca="1">IFERROR(__xludf.DUMMYFUNCTION("MIN(FILTER('All Scores'!AI$2:AI$1024, ('All Scores'!AJ$2:AJ$1024 = A234) + ('All Scores'!AK$2:AK$1024 = A234)))"),1)</f>
        <v>1</v>
      </c>
      <c r="D234" s="187">
        <f ca="1">IFERROR(__xludf.DUMMYFUNCTION("AVERAGE(FILTER('All Scores'!AI$2:AI$1024, ('All Scores'!AJ$2:AJ$1024 = A234) + ('All Scores'!AK$2:AK$1024 = A234))
)
"),7.66666666666666)</f>
        <v>7.6666666666666599</v>
      </c>
      <c r="E234" s="6">
        <f ca="1">IFERROR(__xludf.DUMMYFUNCTION("SUM(FILTER('All Scores'!AF$2:AF$1024, ('All Scores'!AJ$2:AJ$1024 = A234) + ('All Scores'!AK$2:AK$1024 = A234)))
"),753)</f>
        <v>753</v>
      </c>
      <c r="F234" s="6">
        <f ca="1">IFERROR(__xludf.DUMMYFUNCTION("SUM(FILTER('All Scores'!AD$2:AD$1024, ('All Scores'!AJ$2:AJ$1024 = A234) + ('All Scores'!AK$2:AK$1024 = A234)))
"),384)</f>
        <v>384</v>
      </c>
      <c r="G234" s="21">
        <f t="shared" ca="1" si="0"/>
        <v>0.50996015936254979</v>
      </c>
      <c r="H234" s="169"/>
      <c r="I234" s="169"/>
      <c r="J234" s="6"/>
      <c r="K234" s="188"/>
      <c r="L234" s="189"/>
      <c r="M234" s="189"/>
      <c r="N234" s="6"/>
      <c r="O234" s="6"/>
      <c r="P234" s="6"/>
      <c r="Q234" s="169"/>
      <c r="R234" s="6"/>
      <c r="S234" s="6"/>
      <c r="T234" s="169"/>
      <c r="U234" s="6"/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169"/>
      <c r="AI234" s="169"/>
      <c r="AJ234" s="169"/>
      <c r="AK234" s="169"/>
      <c r="AL234" s="169"/>
      <c r="AM234" s="169"/>
      <c r="AN234" s="169"/>
      <c r="AO234" s="169"/>
      <c r="AP234" s="169"/>
      <c r="AQ234" s="169"/>
      <c r="AR234" s="169"/>
    </row>
    <row r="235" spans="1:44" ht="12.5">
      <c r="A235" s="169" t="str">
        <f ca="1">IFERROR(__xludf.DUMMYFUNCTION("""COMPUTED_VALUE"""),"Justin Metcalf")</f>
        <v>Justin Metcalf</v>
      </c>
      <c r="B235" s="186">
        <f ca="1">COUNTIF('All Scores'!AJ:AK,A235)</f>
        <v>2</v>
      </c>
      <c r="C235" s="186">
        <f ca="1">IFERROR(__xludf.DUMMYFUNCTION("MIN(FILTER('All Scores'!AI$2:AI$1024, ('All Scores'!AJ$2:AJ$1024 = A235) + ('All Scores'!AK$2:AK$1024 = A235)))"),16)</f>
        <v>16</v>
      </c>
      <c r="D235" s="187">
        <f ca="1">IFERROR(__xludf.DUMMYFUNCTION("AVERAGE(FILTER('All Scores'!AI$2:AI$1024, ('All Scores'!AJ$2:AJ$1024 = A235) + ('All Scores'!AK$2:AK$1024 = A235))
)
"),16)</f>
        <v>16</v>
      </c>
      <c r="E235" s="6">
        <f ca="1">IFERROR(__xludf.DUMMYFUNCTION("SUM(FILTER('All Scores'!AF$2:AF$1024, ('All Scores'!AJ$2:AJ$1024 = A235) + ('All Scores'!AK$2:AK$1024 = A235)))
"),120)</f>
        <v>120</v>
      </c>
      <c r="F235" s="6">
        <f ca="1">IFERROR(__xludf.DUMMYFUNCTION("SUM(FILTER('All Scores'!AD$2:AD$1024, ('All Scores'!AJ$2:AJ$1024 = A235) + ('All Scores'!AK$2:AK$1024 = A235)))
"),32)</f>
        <v>32</v>
      </c>
      <c r="G235" s="21">
        <f t="shared" ca="1" si="0"/>
        <v>0.26666666666666666</v>
      </c>
      <c r="H235" s="169"/>
      <c r="I235" s="169"/>
      <c r="J235" s="6"/>
      <c r="K235" s="188"/>
      <c r="L235" s="189"/>
      <c r="M235" s="189"/>
      <c r="N235" s="6"/>
      <c r="O235" s="6"/>
      <c r="P235" s="6"/>
      <c r="Q235" s="169"/>
      <c r="R235" s="6"/>
      <c r="S235" s="6"/>
      <c r="T235" s="169"/>
      <c r="U235" s="6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69"/>
      <c r="AN235" s="169"/>
      <c r="AO235" s="169"/>
      <c r="AP235" s="169"/>
      <c r="AQ235" s="169"/>
      <c r="AR235" s="169"/>
    </row>
    <row r="236" spans="1:44" ht="12.5">
      <c r="A236" s="169" t="str">
        <f ca="1">IFERROR(__xludf.DUMMYFUNCTION("""COMPUTED_VALUE"""),"Justin Winner")</f>
        <v>Justin Winner</v>
      </c>
      <c r="B236" s="186">
        <f ca="1">COUNTIF('All Scores'!AJ:AK,A236)</f>
        <v>3</v>
      </c>
      <c r="C236" s="186">
        <f ca="1">IFERROR(__xludf.DUMMYFUNCTION("MIN(FILTER('All Scores'!AI$2:AI$1024, ('All Scores'!AJ$2:AJ$1024 = A236) + ('All Scores'!AK$2:AK$1024 = A236)))"),1)</f>
        <v>1</v>
      </c>
      <c r="D236" s="187">
        <f ca="1">IFERROR(__xludf.DUMMYFUNCTION("AVERAGE(FILTER('All Scores'!AI$2:AI$1024, ('All Scores'!AJ$2:AJ$1024 = A236) + ('All Scores'!AK$2:AK$1024 = A236))
)
"),3.33333333333333)</f>
        <v>3.3333333333333299</v>
      </c>
      <c r="E236" s="6">
        <f ca="1">IFERROR(__xludf.DUMMYFUNCTION("SUM(FILTER('All Scores'!AF$2:AF$1024, ('All Scores'!AJ$2:AJ$1024 = A236) + ('All Scores'!AK$2:AK$1024 = A236)))
"),303)</f>
        <v>303</v>
      </c>
      <c r="F236" s="6">
        <f ca="1">IFERROR(__xludf.DUMMYFUNCTION("SUM(FILTER('All Scores'!AD$2:AD$1024, ('All Scores'!AJ$2:AJ$1024 = A236) + ('All Scores'!AK$2:AK$1024 = A236)))
"),188)</f>
        <v>188</v>
      </c>
      <c r="G236" s="21">
        <f t="shared" ca="1" si="0"/>
        <v>0.62046204620462042</v>
      </c>
      <c r="H236" s="169"/>
      <c r="I236" s="169"/>
      <c r="J236" s="6"/>
      <c r="K236" s="188"/>
      <c r="L236" s="189"/>
      <c r="M236" s="189"/>
      <c r="N236" s="6"/>
      <c r="O236" s="6"/>
      <c r="P236" s="6"/>
      <c r="Q236" s="169"/>
      <c r="R236" s="6"/>
      <c r="S236" s="6"/>
      <c r="T236" s="169"/>
      <c r="U236" s="6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  <c r="AI236" s="169"/>
      <c r="AJ236" s="169"/>
      <c r="AK236" s="169"/>
      <c r="AL236" s="169"/>
      <c r="AM236" s="169"/>
      <c r="AN236" s="169"/>
      <c r="AO236" s="169"/>
      <c r="AP236" s="169"/>
      <c r="AQ236" s="169"/>
      <c r="AR236" s="169"/>
    </row>
    <row r="237" spans="1:44" ht="12.5">
      <c r="A237" s="169" t="str">
        <f ca="1">IFERROR(__xludf.DUMMYFUNCTION("""COMPUTED_VALUE"""),"Kandy Terpstra")</f>
        <v>Kandy Terpstra</v>
      </c>
      <c r="B237" s="186">
        <f ca="1">COUNTIF('All Scores'!AJ:AK,A237)</f>
        <v>1</v>
      </c>
      <c r="C237" s="186">
        <f ca="1">IFERROR(__xludf.DUMMYFUNCTION("MIN(FILTER('All Scores'!AI$2:AI$1024, ('All Scores'!AJ$2:AJ$1024 = A237) + ('All Scores'!AK$2:AK$1024 = A237)))"),30)</f>
        <v>30</v>
      </c>
      <c r="D237" s="187">
        <f ca="1">IFERROR(__xludf.DUMMYFUNCTION("AVERAGE(FILTER('All Scores'!AI$2:AI$1024, ('All Scores'!AJ$2:AJ$1024 = A237) + ('All Scores'!AK$2:AK$1024 = A237))
)
"),30)</f>
        <v>30</v>
      </c>
      <c r="E237" s="6">
        <f ca="1">IFERROR(__xludf.DUMMYFUNCTION("SUM(FILTER('All Scores'!AF$2:AF$1024, ('All Scores'!AJ$2:AJ$1024 = A237) + ('All Scores'!AK$2:AK$1024 = A237)))
"),52)</f>
        <v>52</v>
      </c>
      <c r="F237" s="6">
        <f ca="1">IFERROR(__xludf.DUMMYFUNCTION("SUM(FILTER('All Scores'!AD$2:AD$1024, ('All Scores'!AJ$2:AJ$1024 = A237) + ('All Scores'!AK$2:AK$1024 = A237)))
"),19)</f>
        <v>19</v>
      </c>
      <c r="G237" s="21">
        <f t="shared" ca="1" si="0"/>
        <v>0.36538461538461536</v>
      </c>
      <c r="H237" s="169"/>
      <c r="I237" s="169"/>
      <c r="J237" s="6"/>
      <c r="K237" s="188"/>
      <c r="L237" s="189"/>
      <c r="M237" s="189"/>
      <c r="N237" s="6"/>
      <c r="O237" s="6"/>
      <c r="P237" s="6"/>
      <c r="Q237" s="169"/>
      <c r="R237" s="6"/>
      <c r="S237" s="6"/>
      <c r="T237" s="169"/>
      <c r="U237" s="6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</row>
    <row r="238" spans="1:44" ht="12.5">
      <c r="A238" s="169" t="str">
        <f ca="1">IFERROR(__xludf.DUMMYFUNCTION("""COMPUTED_VALUE"""),"Kansas Dreps")</f>
        <v>Kansas Dreps</v>
      </c>
      <c r="B238" s="186">
        <f ca="1">COUNTIF('All Scores'!AJ:AK,A238)</f>
        <v>1</v>
      </c>
      <c r="C238" s="186">
        <f ca="1">IFERROR(__xludf.DUMMYFUNCTION("MIN(FILTER('All Scores'!AI$2:AI$1024, ('All Scores'!AJ$2:AJ$1024 = A238) + ('All Scores'!AK$2:AK$1024 = A238)))"),31)</f>
        <v>31</v>
      </c>
      <c r="D238" s="187">
        <f ca="1">IFERROR(__xludf.DUMMYFUNCTION("AVERAGE(FILTER('All Scores'!AI$2:AI$1024, ('All Scores'!AJ$2:AJ$1024 = A238) + ('All Scores'!AK$2:AK$1024 = A238))
)
"),31)</f>
        <v>31</v>
      </c>
      <c r="E238" s="6">
        <f ca="1">IFERROR(__xludf.DUMMYFUNCTION("SUM(FILTER('All Scores'!AF$2:AF$1024, ('All Scores'!AJ$2:AJ$1024 = A238) + ('All Scores'!AK$2:AK$1024 = A238)))
"),52)</f>
        <v>52</v>
      </c>
      <c r="F238" s="6">
        <f ca="1">IFERROR(__xludf.DUMMYFUNCTION("SUM(FILTER('All Scores'!AD$2:AD$1024, ('All Scores'!AJ$2:AJ$1024 = A238) + ('All Scores'!AK$2:AK$1024 = A238)))
"),19)</f>
        <v>19</v>
      </c>
      <c r="G238" s="21">
        <f t="shared" ca="1" si="0"/>
        <v>0.36538461538461536</v>
      </c>
      <c r="H238" s="169"/>
      <c r="I238" s="169"/>
      <c r="J238" s="6"/>
      <c r="K238" s="188"/>
      <c r="L238" s="189"/>
      <c r="M238" s="189"/>
      <c r="N238" s="6"/>
      <c r="O238" s="6"/>
      <c r="P238" s="6"/>
      <c r="Q238" s="169"/>
      <c r="R238" s="6"/>
      <c r="S238" s="6"/>
      <c r="T238" s="169"/>
      <c r="U238" s="6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169"/>
      <c r="AI238" s="169"/>
      <c r="AJ238" s="169"/>
      <c r="AK238" s="169"/>
      <c r="AL238" s="169"/>
      <c r="AM238" s="169"/>
      <c r="AN238" s="169"/>
      <c r="AO238" s="169"/>
      <c r="AP238" s="169"/>
      <c r="AQ238" s="169"/>
      <c r="AR238" s="169"/>
    </row>
    <row r="239" spans="1:44" ht="12.5">
      <c r="A239" s="169" t="str">
        <f ca="1">IFERROR(__xludf.DUMMYFUNCTION("""COMPUTED_VALUE"""),"Karen Luchinsky")</f>
        <v>Karen Luchinsky</v>
      </c>
      <c r="B239" s="186">
        <f ca="1">COUNTIF('All Scores'!AJ:AK,A239)</f>
        <v>1</v>
      </c>
      <c r="C239" s="186">
        <f ca="1">IFERROR(__xludf.DUMMYFUNCTION("MIN(FILTER('All Scores'!AI$2:AI$1024, ('All Scores'!AJ$2:AJ$1024 = A239) + ('All Scores'!AK$2:AK$1024 = A239)))"),12)</f>
        <v>12</v>
      </c>
      <c r="D239" s="187">
        <f ca="1">IFERROR(__xludf.DUMMYFUNCTION("AVERAGE(FILTER('All Scores'!AI$2:AI$1024, ('All Scores'!AJ$2:AJ$1024 = A239) + ('All Scores'!AK$2:AK$1024 = A239))
)
"),12)</f>
        <v>12</v>
      </c>
      <c r="E239" s="6">
        <f ca="1">IFERROR(__xludf.DUMMYFUNCTION("SUM(FILTER('All Scores'!AF$2:AF$1024, ('All Scores'!AJ$2:AJ$1024 = A239) + ('All Scores'!AK$2:AK$1024 = A239)))
"),72)</f>
        <v>72</v>
      </c>
      <c r="F239" s="6">
        <f ca="1">IFERROR(__xludf.DUMMYFUNCTION("SUM(FILTER('All Scores'!AD$2:AD$1024, ('All Scores'!AJ$2:AJ$1024 = A239) + ('All Scores'!AK$2:AK$1024 = A239)))
"),32)</f>
        <v>32</v>
      </c>
      <c r="G239" s="21">
        <f t="shared" ca="1" si="0"/>
        <v>0.44444444444444442</v>
      </c>
      <c r="H239" s="169"/>
      <c r="I239" s="169"/>
      <c r="J239" s="6"/>
      <c r="K239" s="188"/>
      <c r="L239" s="189"/>
      <c r="M239" s="189"/>
      <c r="N239" s="6"/>
      <c r="O239" s="6"/>
      <c r="P239" s="6"/>
      <c r="Q239" s="169"/>
      <c r="R239" s="6"/>
      <c r="S239" s="6"/>
      <c r="T239" s="169"/>
      <c r="U239" s="6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169"/>
      <c r="AI239" s="169"/>
      <c r="AJ239" s="169"/>
      <c r="AK239" s="169"/>
      <c r="AL239" s="169"/>
      <c r="AM239" s="169"/>
      <c r="AN239" s="169"/>
      <c r="AO239" s="169"/>
      <c r="AP239" s="169"/>
      <c r="AQ239" s="169"/>
      <c r="AR239" s="169"/>
    </row>
    <row r="240" spans="1:44" ht="12.5">
      <c r="A240" s="169" t="str">
        <f ca="1">IFERROR(__xludf.DUMMYFUNCTION("""COMPUTED_VALUE"""),"Kari Lemons")</f>
        <v>Kari Lemons</v>
      </c>
      <c r="B240" s="186">
        <f ca="1">COUNTIF('All Scores'!AJ:AK,A240)</f>
        <v>1</v>
      </c>
      <c r="C240" s="186">
        <f ca="1">IFERROR(__xludf.DUMMYFUNCTION("MIN(FILTER('All Scores'!AI$2:AI$1024, ('All Scores'!AJ$2:AJ$1024 = A240) + ('All Scores'!AK$2:AK$1024 = A240)))"),12)</f>
        <v>12</v>
      </c>
      <c r="D240" s="187">
        <f ca="1">IFERROR(__xludf.DUMMYFUNCTION("AVERAGE(FILTER('All Scores'!AI$2:AI$1024, ('All Scores'!AJ$2:AJ$1024 = A240) + ('All Scores'!AK$2:AK$1024 = A240))
)
"),12)</f>
        <v>12</v>
      </c>
      <c r="E240" s="6">
        <f ca="1">IFERROR(__xludf.DUMMYFUNCTION("SUM(FILTER('All Scores'!AF$2:AF$1024, ('All Scores'!AJ$2:AJ$1024 = A240) + ('All Scores'!AK$2:AK$1024 = A240)))
"),72)</f>
        <v>72</v>
      </c>
      <c r="F240" s="6">
        <f ca="1">IFERROR(__xludf.DUMMYFUNCTION("SUM(FILTER('All Scores'!AD$2:AD$1024, ('All Scores'!AJ$2:AJ$1024 = A240) + ('All Scores'!AK$2:AK$1024 = A240)))
"),33)</f>
        <v>33</v>
      </c>
      <c r="G240" s="21">
        <f t="shared" ca="1" si="0"/>
        <v>0.45833333333333331</v>
      </c>
      <c r="H240" s="169"/>
      <c r="I240" s="169"/>
      <c r="J240" s="6"/>
      <c r="K240" s="188"/>
      <c r="L240" s="189"/>
      <c r="M240" s="189"/>
      <c r="N240" s="6"/>
      <c r="O240" s="6"/>
      <c r="P240" s="6"/>
      <c r="Q240" s="169"/>
      <c r="R240" s="6"/>
      <c r="S240" s="6"/>
      <c r="T240" s="169"/>
      <c r="U240" s="6"/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69"/>
      <c r="AF240" s="169"/>
      <c r="AG240" s="169"/>
      <c r="AH240" s="169"/>
      <c r="AI240" s="169"/>
      <c r="AJ240" s="169"/>
      <c r="AK240" s="169"/>
      <c r="AL240" s="169"/>
      <c r="AM240" s="169"/>
      <c r="AN240" s="169"/>
      <c r="AO240" s="169"/>
      <c r="AP240" s="169"/>
      <c r="AQ240" s="169"/>
      <c r="AR240" s="169"/>
    </row>
    <row r="241" spans="1:44" ht="12.5">
      <c r="A241" s="169" t="str">
        <f ca="1">IFERROR(__xludf.DUMMYFUNCTION("""COMPUTED_VALUE"""),"Kathy Goggin")</f>
        <v>Kathy Goggin</v>
      </c>
      <c r="B241" s="186">
        <f ca="1">COUNTIF('All Scores'!AJ:AK,A241)</f>
        <v>1</v>
      </c>
      <c r="C241" s="186">
        <f ca="1">IFERROR(__xludf.DUMMYFUNCTION("MIN(FILTER('All Scores'!AI$2:AI$1024, ('All Scores'!AJ$2:AJ$1024 = A241) + ('All Scores'!AK$2:AK$1024 = A241)))"),8)</f>
        <v>8</v>
      </c>
      <c r="D241" s="187">
        <f ca="1">IFERROR(__xludf.DUMMYFUNCTION("AVERAGE(FILTER('All Scores'!AI$2:AI$1024, ('All Scores'!AJ$2:AJ$1024 = A241) + ('All Scores'!AK$2:AK$1024 = A241))
)
"),8)</f>
        <v>8</v>
      </c>
      <c r="E241" s="6">
        <f ca="1">IFERROR(__xludf.DUMMYFUNCTION("SUM(FILTER('All Scores'!AF$2:AF$1024, ('All Scores'!AJ$2:AJ$1024 = A241) + ('All Scores'!AK$2:AK$1024 = A241)))
"),66)</f>
        <v>66</v>
      </c>
      <c r="F241" s="6">
        <f ca="1">IFERROR(__xludf.DUMMYFUNCTION("SUM(FILTER('All Scores'!AD$2:AD$1024, ('All Scores'!AJ$2:AJ$1024 = A241) + ('All Scores'!AK$2:AK$1024 = A241)))
"),38)</f>
        <v>38</v>
      </c>
      <c r="G241" s="21">
        <f t="shared" ca="1" si="0"/>
        <v>0.5757575757575758</v>
      </c>
      <c r="H241" s="169"/>
      <c r="I241" s="169"/>
      <c r="J241" s="6"/>
      <c r="K241" s="188"/>
      <c r="L241" s="189"/>
      <c r="M241" s="189"/>
      <c r="N241" s="6"/>
      <c r="O241" s="6"/>
      <c r="P241" s="6"/>
      <c r="Q241" s="169"/>
      <c r="R241" s="6"/>
      <c r="S241" s="6"/>
      <c r="T241" s="169"/>
      <c r="U241" s="6"/>
      <c r="V241" s="169"/>
      <c r="W241" s="169"/>
      <c r="X241" s="169"/>
      <c r="Y241" s="169"/>
      <c r="Z241" s="169"/>
      <c r="AA241" s="169"/>
      <c r="AB241" s="169"/>
      <c r="AC241" s="169"/>
      <c r="AD241" s="169"/>
      <c r="AE241" s="169"/>
      <c r="AF241" s="169"/>
      <c r="AG241" s="169"/>
      <c r="AH241" s="169"/>
      <c r="AI241" s="169"/>
      <c r="AJ241" s="169"/>
      <c r="AK241" s="169"/>
      <c r="AL241" s="169"/>
      <c r="AM241" s="169"/>
      <c r="AN241" s="169"/>
      <c r="AO241" s="169"/>
      <c r="AP241" s="169"/>
      <c r="AQ241" s="169"/>
      <c r="AR241" s="169"/>
    </row>
    <row r="242" spans="1:44" ht="12.5">
      <c r="A242" s="169" t="str">
        <f ca="1">IFERROR(__xludf.DUMMYFUNCTION("""COMPUTED_VALUE"""),"Katie Bolton")</f>
        <v>Katie Bolton</v>
      </c>
      <c r="B242" s="186">
        <f ca="1">COUNTIF('All Scores'!AJ:AK,A242)</f>
        <v>1</v>
      </c>
      <c r="C242" s="186">
        <f ca="1">IFERROR(__xludf.DUMMYFUNCTION("MIN(FILTER('All Scores'!AI$2:AI$1024, ('All Scores'!AJ$2:AJ$1024 = A242) + ('All Scores'!AK$2:AK$1024 = A242)))"),3)</f>
        <v>3</v>
      </c>
      <c r="D242" s="187">
        <f ca="1">IFERROR(__xludf.DUMMYFUNCTION("AVERAGE(FILTER('All Scores'!AI$2:AI$1024, ('All Scores'!AJ$2:AJ$1024 = A242) + ('All Scores'!AK$2:AK$1024 = A242))
)
"),3)</f>
        <v>3</v>
      </c>
      <c r="E242" s="6">
        <f ca="1">IFERROR(__xludf.DUMMYFUNCTION("SUM(FILTER('All Scores'!AF$2:AF$1024, ('All Scores'!AJ$2:AJ$1024 = A242) + ('All Scores'!AK$2:AK$1024 = A242)))
"),89)</f>
        <v>89</v>
      </c>
      <c r="F242" s="6">
        <f ca="1">IFERROR(__xludf.DUMMYFUNCTION("SUM(FILTER('All Scores'!AD$2:AD$1024, ('All Scores'!AJ$2:AJ$1024 = A242) + ('All Scores'!AK$2:AK$1024 = A242)))
"),50)</f>
        <v>50</v>
      </c>
      <c r="G242" s="21">
        <f t="shared" ca="1" si="0"/>
        <v>0.5617977528089888</v>
      </c>
      <c r="H242" s="169"/>
      <c r="I242" s="169"/>
      <c r="J242" s="6"/>
      <c r="K242" s="188"/>
      <c r="L242" s="189"/>
      <c r="M242" s="189"/>
      <c r="N242" s="6"/>
      <c r="O242" s="6"/>
      <c r="P242" s="6"/>
      <c r="Q242" s="169"/>
      <c r="R242" s="6"/>
      <c r="S242" s="6"/>
      <c r="T242" s="169"/>
      <c r="U242" s="6"/>
      <c r="V242" s="169"/>
      <c r="W242" s="169"/>
      <c r="X242" s="169"/>
      <c r="Y242" s="169"/>
      <c r="Z242" s="169"/>
      <c r="AA242" s="169"/>
      <c r="AB242" s="169"/>
      <c r="AC242" s="169"/>
      <c r="AD242" s="169"/>
      <c r="AE242" s="169"/>
      <c r="AF242" s="169"/>
      <c r="AG242" s="169"/>
      <c r="AH242" s="169"/>
      <c r="AI242" s="169"/>
      <c r="AJ242" s="169"/>
      <c r="AK242" s="169"/>
      <c r="AL242" s="169"/>
      <c r="AM242" s="169"/>
      <c r="AN242" s="169"/>
      <c r="AO242" s="169"/>
      <c r="AP242" s="169"/>
      <c r="AQ242" s="169"/>
      <c r="AR242" s="169"/>
    </row>
    <row r="243" spans="1:44" ht="12.5">
      <c r="A243" s="169" t="str">
        <f ca="1">IFERROR(__xludf.DUMMYFUNCTION("""COMPUTED_VALUE"""),"Katie Zoldak")</f>
        <v>Katie Zoldak</v>
      </c>
      <c r="B243" s="186">
        <f ca="1">COUNTIF('All Scores'!AJ:AK,A243)</f>
        <v>1</v>
      </c>
      <c r="C243" s="186">
        <f ca="1">IFERROR(__xludf.DUMMYFUNCTION("MIN(FILTER('All Scores'!AI$2:AI$1024, ('All Scores'!AJ$2:AJ$1024 = A243) + ('All Scores'!AK$2:AK$1024 = A243)))"),9)</f>
        <v>9</v>
      </c>
      <c r="D243" s="187">
        <f ca="1">IFERROR(__xludf.DUMMYFUNCTION("AVERAGE(FILTER('All Scores'!AI$2:AI$1024, ('All Scores'!AJ$2:AJ$1024 = A243) + ('All Scores'!AK$2:AK$1024 = A243))
)
"),9)</f>
        <v>9</v>
      </c>
      <c r="E243" s="6">
        <f ca="1">IFERROR(__xludf.DUMMYFUNCTION("SUM(FILTER('All Scores'!AF$2:AF$1024, ('All Scores'!AJ$2:AJ$1024 = A243) + ('All Scores'!AK$2:AK$1024 = A243)))
"),85)</f>
        <v>85</v>
      </c>
      <c r="F243" s="6">
        <f ca="1">IFERROR(__xludf.DUMMYFUNCTION("SUM(FILTER('All Scores'!AD$2:AD$1024, ('All Scores'!AJ$2:AJ$1024 = A243) + ('All Scores'!AK$2:AK$1024 = A243)))
"),39)</f>
        <v>39</v>
      </c>
      <c r="G243" s="21">
        <f t="shared" ca="1" si="0"/>
        <v>0.45882352941176469</v>
      </c>
      <c r="H243" s="169"/>
      <c r="I243" s="169"/>
      <c r="J243" s="6"/>
      <c r="K243" s="188"/>
      <c r="L243" s="189"/>
      <c r="M243" s="189"/>
      <c r="N243" s="6"/>
      <c r="O243" s="6"/>
      <c r="P243" s="6"/>
      <c r="Q243" s="169"/>
      <c r="R243" s="6"/>
      <c r="S243" s="6"/>
      <c r="T243" s="169"/>
      <c r="U243" s="6"/>
      <c r="V243" s="169"/>
      <c r="W243" s="169"/>
      <c r="X243" s="169"/>
      <c r="Y243" s="169"/>
      <c r="Z243" s="169"/>
      <c r="AA243" s="169"/>
      <c r="AB243" s="169"/>
      <c r="AC243" s="169"/>
      <c r="AD243" s="169"/>
      <c r="AE243" s="169"/>
      <c r="AF243" s="169"/>
      <c r="AG243" s="169"/>
      <c r="AH243" s="169"/>
      <c r="AI243" s="169"/>
      <c r="AJ243" s="169"/>
      <c r="AK243" s="169"/>
      <c r="AL243" s="169"/>
      <c r="AM243" s="169"/>
      <c r="AN243" s="169"/>
      <c r="AO243" s="169"/>
      <c r="AP243" s="169"/>
      <c r="AQ243" s="169"/>
      <c r="AR243" s="169"/>
    </row>
    <row r="244" spans="1:44" ht="12.5">
      <c r="A244" s="169" t="str">
        <f ca="1">IFERROR(__xludf.DUMMYFUNCTION("""COMPUTED_VALUE"""),"Katy Gondring")</f>
        <v>Katy Gondring</v>
      </c>
      <c r="B244" s="186">
        <f ca="1">COUNTIF('All Scores'!AJ:AK,A244)</f>
        <v>4</v>
      </c>
      <c r="C244" s="186">
        <f ca="1">IFERROR(__xludf.DUMMYFUNCTION("MIN(FILTER('All Scores'!AI$2:AI$1024, ('All Scores'!AJ$2:AJ$1024 = A244) + ('All Scores'!AK$2:AK$1024 = A244)))"),1)</f>
        <v>1</v>
      </c>
      <c r="D244" s="187">
        <f ca="1">IFERROR(__xludf.DUMMYFUNCTION("AVERAGE(FILTER('All Scores'!AI$2:AI$1024, ('All Scores'!AJ$2:AJ$1024 = A244) + ('All Scores'!AK$2:AK$1024 = A244))
)
"),4.75)</f>
        <v>4.75</v>
      </c>
      <c r="E244" s="6">
        <f ca="1">IFERROR(__xludf.DUMMYFUNCTION("SUM(FILTER('All Scores'!AF$2:AF$1024, ('All Scores'!AJ$2:AJ$1024 = A244) + ('All Scores'!AK$2:AK$1024 = A244)))
"),350)</f>
        <v>350</v>
      </c>
      <c r="F244" s="6">
        <f ca="1">IFERROR(__xludf.DUMMYFUNCTION("SUM(FILTER('All Scores'!AD$2:AD$1024, ('All Scores'!AJ$2:AJ$1024 = A244) + ('All Scores'!AK$2:AK$1024 = A244)))
"),200)</f>
        <v>200</v>
      </c>
      <c r="G244" s="21">
        <f t="shared" ca="1" si="0"/>
        <v>0.5714285714285714</v>
      </c>
      <c r="H244" s="169"/>
      <c r="I244" s="169"/>
      <c r="J244" s="6"/>
      <c r="K244" s="188"/>
      <c r="L244" s="189"/>
      <c r="M244" s="189"/>
      <c r="N244" s="6"/>
      <c r="O244" s="6"/>
      <c r="P244" s="6"/>
      <c r="Q244" s="169"/>
      <c r="R244" s="6"/>
      <c r="S244" s="6"/>
      <c r="T244" s="169"/>
      <c r="U244" s="6"/>
      <c r="V244" s="169"/>
      <c r="W244" s="169"/>
      <c r="X244" s="169"/>
      <c r="Y244" s="169"/>
      <c r="Z244" s="169"/>
      <c r="AA244" s="169"/>
      <c r="AB244" s="169"/>
      <c r="AC244" s="169"/>
      <c r="AD244" s="169"/>
      <c r="AE244" s="169"/>
      <c r="AF244" s="169"/>
      <c r="AG244" s="169"/>
      <c r="AH244" s="169"/>
      <c r="AI244" s="169"/>
      <c r="AJ244" s="169"/>
      <c r="AK244" s="169"/>
      <c r="AL244" s="169"/>
      <c r="AM244" s="169"/>
      <c r="AN244" s="169"/>
      <c r="AO244" s="169"/>
      <c r="AP244" s="169"/>
      <c r="AQ244" s="169"/>
      <c r="AR244" s="169"/>
    </row>
    <row r="245" spans="1:44" ht="12.5">
      <c r="A245" s="169" t="str">
        <f ca="1">IFERROR(__xludf.DUMMYFUNCTION("""COMPUTED_VALUE"""),"Keely Schneider")</f>
        <v>Keely Schneider</v>
      </c>
      <c r="B245" s="186">
        <f ca="1">COUNTIF('All Scores'!AJ:AK,A245)</f>
        <v>5</v>
      </c>
      <c r="C245" s="186">
        <f ca="1">IFERROR(__xludf.DUMMYFUNCTION("MIN(FILTER('All Scores'!AI$2:AI$1024, ('All Scores'!AJ$2:AJ$1024 = A245) + ('All Scores'!AK$2:AK$1024 = A245)))"),1)</f>
        <v>1</v>
      </c>
      <c r="D245" s="187">
        <f ca="1">IFERROR(__xludf.DUMMYFUNCTION("AVERAGE(FILTER('All Scores'!AI$2:AI$1024, ('All Scores'!AJ$2:AJ$1024 = A245) + ('All Scores'!AK$2:AK$1024 = A245))
)
"),7.2)</f>
        <v>7.2</v>
      </c>
      <c r="E245" s="6">
        <f ca="1">IFERROR(__xludf.DUMMYFUNCTION("SUM(FILTER('All Scores'!AF$2:AF$1024, ('All Scores'!AJ$2:AJ$1024 = A245) + ('All Scores'!AK$2:AK$1024 = A245)))
"),390)</f>
        <v>390</v>
      </c>
      <c r="F245" s="6">
        <f ca="1">IFERROR(__xludf.DUMMYFUNCTION("SUM(FILTER('All Scores'!AD$2:AD$1024, ('All Scores'!AJ$2:AJ$1024 = A245) + ('All Scores'!AK$2:AK$1024 = A245)))
"),202)</f>
        <v>202</v>
      </c>
      <c r="G245" s="21">
        <f t="shared" ca="1" si="0"/>
        <v>0.517948717948718</v>
      </c>
      <c r="H245" s="169"/>
      <c r="I245" s="169"/>
      <c r="J245" s="6"/>
      <c r="K245" s="188"/>
      <c r="L245" s="189"/>
      <c r="M245" s="189"/>
      <c r="N245" s="6"/>
      <c r="O245" s="6"/>
      <c r="P245" s="6"/>
      <c r="Q245" s="169"/>
      <c r="R245" s="6"/>
      <c r="S245" s="6"/>
      <c r="T245" s="169"/>
      <c r="U245" s="6"/>
      <c r="V245" s="169"/>
      <c r="W245" s="169"/>
      <c r="X245" s="169"/>
      <c r="Y245" s="169"/>
      <c r="Z245" s="169"/>
      <c r="AA245" s="169"/>
      <c r="AB245" s="169"/>
      <c r="AC245" s="169"/>
      <c r="AD245" s="169"/>
      <c r="AE245" s="169"/>
      <c r="AF245" s="169"/>
      <c r="AG245" s="169"/>
      <c r="AH245" s="169"/>
      <c r="AI245" s="169"/>
      <c r="AJ245" s="169"/>
      <c r="AK245" s="169"/>
      <c r="AL245" s="169"/>
      <c r="AM245" s="169"/>
      <c r="AN245" s="169"/>
      <c r="AO245" s="169"/>
      <c r="AP245" s="169"/>
      <c r="AQ245" s="169"/>
      <c r="AR245" s="169"/>
    </row>
    <row r="246" spans="1:44" ht="12.5">
      <c r="A246" s="169" t="str">
        <f ca="1">IFERROR(__xludf.DUMMYFUNCTION("""COMPUTED_VALUE"""),"Keith August")</f>
        <v>Keith August</v>
      </c>
      <c r="B246" s="186">
        <f ca="1">COUNTIF('All Scores'!AJ:AK,A246)</f>
        <v>7</v>
      </c>
      <c r="C246" s="186">
        <f ca="1">IFERROR(__xludf.DUMMYFUNCTION("MIN(FILTER('All Scores'!AI$2:AI$1024, ('All Scores'!AJ$2:AJ$1024 = A246) + ('All Scores'!AK$2:AK$1024 = A246)))"),4)</f>
        <v>4</v>
      </c>
      <c r="D246" s="187">
        <f ca="1">IFERROR(__xludf.DUMMYFUNCTION("AVERAGE(FILTER('All Scores'!AI$2:AI$1024, ('All Scores'!AJ$2:AJ$1024 = A246) + ('All Scores'!AK$2:AK$1024 = A246))
)
"),8)</f>
        <v>8</v>
      </c>
      <c r="E246" s="6">
        <f ca="1">IFERROR(__xludf.DUMMYFUNCTION("SUM(FILTER('All Scores'!AF$2:AF$1024, ('All Scores'!AJ$2:AJ$1024 = A246) + ('All Scores'!AK$2:AK$1024 = A246)))
"),452)</f>
        <v>452</v>
      </c>
      <c r="F246" s="6">
        <f ca="1">IFERROR(__xludf.DUMMYFUNCTION("SUM(FILTER('All Scores'!AD$2:AD$1024, ('All Scores'!AJ$2:AJ$1024 = A246) + ('All Scores'!AK$2:AK$1024 = A246)))
"),232)</f>
        <v>232</v>
      </c>
      <c r="G246" s="21">
        <f t="shared" ca="1" si="0"/>
        <v>0.51327433628318586</v>
      </c>
      <c r="H246" s="169"/>
      <c r="I246" s="169"/>
      <c r="J246" s="6"/>
      <c r="K246" s="188"/>
      <c r="L246" s="189"/>
      <c r="M246" s="189"/>
      <c r="N246" s="6"/>
      <c r="O246" s="6"/>
      <c r="P246" s="6"/>
      <c r="Q246" s="169"/>
      <c r="R246" s="6"/>
      <c r="S246" s="6"/>
      <c r="T246" s="169"/>
      <c r="U246" s="6"/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169"/>
      <c r="AI246" s="169"/>
      <c r="AJ246" s="169"/>
      <c r="AK246" s="169"/>
      <c r="AL246" s="169"/>
      <c r="AM246" s="169"/>
      <c r="AN246" s="169"/>
      <c r="AO246" s="169"/>
      <c r="AP246" s="169"/>
      <c r="AQ246" s="169"/>
      <c r="AR246" s="169"/>
    </row>
    <row r="247" spans="1:44" ht="12.5">
      <c r="A247" s="169" t="str">
        <f ca="1">IFERROR(__xludf.DUMMYFUNCTION("""COMPUTED_VALUE"""),"Keith Campbell")</f>
        <v>Keith Campbell</v>
      </c>
      <c r="B247" s="186">
        <f ca="1">COUNTIF('All Scores'!AJ:AK,A247)</f>
        <v>2</v>
      </c>
      <c r="C247" s="186">
        <f ca="1">IFERROR(__xludf.DUMMYFUNCTION("MIN(FILTER('All Scores'!AI$2:AI$1024, ('All Scores'!AJ$2:AJ$1024 = A247) + ('All Scores'!AK$2:AK$1024 = A247)))"),8)</f>
        <v>8</v>
      </c>
      <c r="D247" s="187">
        <f ca="1">IFERROR(__xludf.DUMMYFUNCTION("AVERAGE(FILTER('All Scores'!AI$2:AI$1024, ('All Scores'!AJ$2:AJ$1024 = A247) + ('All Scores'!AK$2:AK$1024 = A247))
)
"),8)</f>
        <v>8</v>
      </c>
      <c r="E247" s="6">
        <f ca="1">IFERROR(__xludf.DUMMYFUNCTION("SUM(FILTER('All Scores'!AF$2:AF$1024, ('All Scores'!AJ$2:AJ$1024 = A247) + ('All Scores'!AK$2:AK$1024 = A247)))
"),140)</f>
        <v>140</v>
      </c>
      <c r="F247" s="6">
        <f ca="1">IFERROR(__xludf.DUMMYFUNCTION("SUM(FILTER('All Scores'!AD$2:AD$1024, ('All Scores'!AJ$2:AJ$1024 = A247) + ('All Scores'!AK$2:AK$1024 = A247)))
"),76)</f>
        <v>76</v>
      </c>
      <c r="G247" s="21">
        <f t="shared" ca="1" si="0"/>
        <v>0.54285714285714282</v>
      </c>
      <c r="H247" s="169"/>
      <c r="I247" s="169"/>
      <c r="J247" s="6"/>
      <c r="K247" s="188"/>
      <c r="L247" s="189"/>
      <c r="M247" s="189"/>
      <c r="N247" s="6"/>
      <c r="O247" s="6"/>
      <c r="P247" s="6"/>
      <c r="Q247" s="169"/>
      <c r="R247" s="6"/>
      <c r="S247" s="6"/>
      <c r="T247" s="169"/>
      <c r="U247" s="6"/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169"/>
      <c r="AI247" s="169"/>
      <c r="AJ247" s="169"/>
      <c r="AK247" s="169"/>
      <c r="AL247" s="169"/>
      <c r="AM247" s="169"/>
      <c r="AN247" s="169"/>
      <c r="AO247" s="169"/>
      <c r="AP247" s="169"/>
      <c r="AQ247" s="169"/>
      <c r="AR247" s="169"/>
    </row>
    <row r="248" spans="1:44" ht="12.5">
      <c r="A248" s="169" t="str">
        <f ca="1">IFERROR(__xludf.DUMMYFUNCTION("""COMPUTED_VALUE"""),"Kelcei Glasgow")</f>
        <v>Kelcei Glasgow</v>
      </c>
      <c r="B248" s="186">
        <f ca="1">COUNTIF('All Scores'!AJ:AK,A248)</f>
        <v>4</v>
      </c>
      <c r="C248" s="186">
        <f ca="1">IFERROR(__xludf.DUMMYFUNCTION("MIN(FILTER('All Scores'!AI$2:AI$1024, ('All Scores'!AJ$2:AJ$1024 = A248) + ('All Scores'!AK$2:AK$1024 = A248)))"),2)</f>
        <v>2</v>
      </c>
      <c r="D248" s="187">
        <f ca="1">IFERROR(__xludf.DUMMYFUNCTION("AVERAGE(FILTER('All Scores'!AI$2:AI$1024, ('All Scores'!AJ$2:AJ$1024 = A248) + ('All Scores'!AK$2:AK$1024 = A248))
)
"),7.5)</f>
        <v>7.5</v>
      </c>
      <c r="E248" s="6">
        <f ca="1">IFERROR(__xludf.DUMMYFUNCTION("SUM(FILTER('All Scores'!AF$2:AF$1024, ('All Scores'!AJ$2:AJ$1024 = A248) + ('All Scores'!AK$2:AK$1024 = A248)))
"),306)</f>
        <v>306</v>
      </c>
      <c r="F248" s="6">
        <f ca="1">IFERROR(__xludf.DUMMYFUNCTION("SUM(FILTER('All Scores'!AD$2:AD$1024, ('All Scores'!AJ$2:AJ$1024 = A248) + ('All Scores'!AK$2:AK$1024 = A248)))
"),161)</f>
        <v>161</v>
      </c>
      <c r="G248" s="21">
        <f t="shared" ca="1" si="0"/>
        <v>0.52614379084967322</v>
      </c>
      <c r="H248" s="169"/>
      <c r="I248" s="169"/>
      <c r="J248" s="6"/>
      <c r="K248" s="188"/>
      <c r="L248" s="189"/>
      <c r="M248" s="189"/>
      <c r="N248" s="6"/>
      <c r="O248" s="6"/>
      <c r="P248" s="6"/>
      <c r="Q248" s="169"/>
      <c r="R248" s="6"/>
      <c r="S248" s="6"/>
      <c r="T248" s="169"/>
      <c r="U248" s="6"/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69"/>
      <c r="AF248" s="169"/>
      <c r="AG248" s="169"/>
      <c r="AH248" s="169"/>
      <c r="AI248" s="169"/>
      <c r="AJ248" s="169"/>
      <c r="AK248" s="169"/>
      <c r="AL248" s="169"/>
      <c r="AM248" s="169"/>
      <c r="AN248" s="169"/>
      <c r="AO248" s="169"/>
      <c r="AP248" s="169"/>
      <c r="AQ248" s="169"/>
      <c r="AR248" s="169"/>
    </row>
    <row r="249" spans="1:44" ht="12.5">
      <c r="A249" s="169" t="str">
        <f ca="1">IFERROR(__xludf.DUMMYFUNCTION("""COMPUTED_VALUE"""),"Kelly Dreyer Wright")</f>
        <v>Kelly Dreyer Wright</v>
      </c>
      <c r="B249" s="186">
        <f ca="1">COUNTIF('All Scores'!AJ:AK,A249)</f>
        <v>1</v>
      </c>
      <c r="C249" s="186">
        <f ca="1">IFERROR(__xludf.DUMMYFUNCTION("MIN(FILTER('All Scores'!AI$2:AI$1024, ('All Scores'!AJ$2:AJ$1024 = A249) + ('All Scores'!AK$2:AK$1024 = A249)))"),14)</f>
        <v>14</v>
      </c>
      <c r="D249" s="187">
        <f ca="1">IFERROR(__xludf.DUMMYFUNCTION("AVERAGE(FILTER('All Scores'!AI$2:AI$1024, ('All Scores'!AJ$2:AJ$1024 = A249) + ('All Scores'!AK$2:AK$1024 = A249))
)
"),14)</f>
        <v>14</v>
      </c>
      <c r="E249" s="6">
        <f ca="1">IFERROR(__xludf.DUMMYFUNCTION("SUM(FILTER('All Scores'!AF$2:AF$1024, ('All Scores'!AJ$2:AJ$1024 = A249) + ('All Scores'!AK$2:AK$1024 = A249)))
"),61)</f>
        <v>61</v>
      </c>
      <c r="F249" s="6">
        <f ca="1">IFERROR(__xludf.DUMMYFUNCTION("SUM(FILTER('All Scores'!AD$2:AD$1024, ('All Scores'!AJ$2:AJ$1024 = A249) + ('All Scores'!AK$2:AK$1024 = A249)))
"),32)</f>
        <v>32</v>
      </c>
      <c r="G249" s="21">
        <f t="shared" ca="1" si="0"/>
        <v>0.52459016393442626</v>
      </c>
      <c r="H249" s="169"/>
      <c r="I249" s="169"/>
      <c r="J249" s="6"/>
      <c r="K249" s="188"/>
      <c r="L249" s="189"/>
      <c r="M249" s="189"/>
      <c r="N249" s="6"/>
      <c r="O249" s="6"/>
      <c r="P249" s="6"/>
      <c r="Q249" s="169"/>
      <c r="R249" s="6"/>
      <c r="S249" s="6"/>
      <c r="T249" s="169"/>
      <c r="U249" s="6"/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69"/>
      <c r="AF249" s="169"/>
      <c r="AG249" s="169"/>
      <c r="AH249" s="169"/>
      <c r="AI249" s="169"/>
      <c r="AJ249" s="169"/>
      <c r="AK249" s="169"/>
      <c r="AL249" s="169"/>
      <c r="AM249" s="169"/>
      <c r="AN249" s="169"/>
      <c r="AO249" s="169"/>
      <c r="AP249" s="169"/>
      <c r="AQ249" s="169"/>
      <c r="AR249" s="169"/>
    </row>
    <row r="250" spans="1:44" ht="12.5">
      <c r="A250" s="169" t="str">
        <f ca="1">IFERROR(__xludf.DUMMYFUNCTION("""COMPUTED_VALUE"""),"Kerri Brocker")</f>
        <v>Kerri Brocker</v>
      </c>
      <c r="B250" s="186">
        <f ca="1">COUNTIF('All Scores'!AJ:AK,A250)</f>
        <v>3</v>
      </c>
      <c r="C250" s="186">
        <f ca="1">IFERROR(__xludf.DUMMYFUNCTION("MIN(FILTER('All Scores'!AI$2:AI$1024, ('All Scores'!AJ$2:AJ$1024 = A250) + ('All Scores'!AK$2:AK$1024 = A250)))"),7)</f>
        <v>7</v>
      </c>
      <c r="D250" s="187">
        <f ca="1">IFERROR(__xludf.DUMMYFUNCTION("AVERAGE(FILTER('All Scores'!AI$2:AI$1024, ('All Scores'!AJ$2:AJ$1024 = A250) + ('All Scores'!AK$2:AK$1024 = A250))
)
"),11.6666666666666)</f>
        <v>11.6666666666666</v>
      </c>
      <c r="E250" s="6">
        <f ca="1">IFERROR(__xludf.DUMMYFUNCTION("SUM(FILTER('All Scores'!AF$2:AF$1024, ('All Scores'!AJ$2:AJ$1024 = A250) + ('All Scores'!AK$2:AK$1024 = A250)))
"),209)</f>
        <v>209</v>
      </c>
      <c r="F250" s="6">
        <f ca="1">IFERROR(__xludf.DUMMYFUNCTION("SUM(FILTER('All Scores'!AD$2:AD$1024, ('All Scores'!AJ$2:AJ$1024 = A250) + ('All Scores'!AK$2:AK$1024 = A250)))
"),84)</f>
        <v>84</v>
      </c>
      <c r="G250" s="21">
        <f t="shared" ca="1" si="0"/>
        <v>0.40191387559808611</v>
      </c>
      <c r="H250" s="169"/>
      <c r="I250" s="169"/>
      <c r="J250" s="6"/>
      <c r="K250" s="188"/>
      <c r="L250" s="189"/>
      <c r="M250" s="189"/>
      <c r="N250" s="6"/>
      <c r="O250" s="6"/>
      <c r="P250" s="6"/>
      <c r="Q250" s="169"/>
      <c r="R250" s="6"/>
      <c r="S250" s="6"/>
      <c r="T250" s="169"/>
      <c r="U250" s="6"/>
      <c r="V250" s="169"/>
      <c r="W250" s="169"/>
      <c r="X250" s="169"/>
      <c r="Y250" s="169"/>
      <c r="Z250" s="169"/>
      <c r="AA250" s="169"/>
      <c r="AB250" s="169"/>
      <c r="AC250" s="169"/>
      <c r="AD250" s="169"/>
      <c r="AE250" s="169"/>
      <c r="AF250" s="169"/>
      <c r="AG250" s="169"/>
      <c r="AH250" s="169"/>
      <c r="AI250" s="169"/>
      <c r="AJ250" s="169"/>
      <c r="AK250" s="169"/>
      <c r="AL250" s="169"/>
      <c r="AM250" s="169"/>
      <c r="AN250" s="169"/>
      <c r="AO250" s="169"/>
      <c r="AP250" s="169"/>
      <c r="AQ250" s="169"/>
      <c r="AR250" s="169"/>
    </row>
    <row r="251" spans="1:44" ht="12.5">
      <c r="A251" s="169" t="str">
        <f ca="1">IFERROR(__xludf.DUMMYFUNCTION("""COMPUTED_VALUE"""),"Kerry Helmuth")</f>
        <v>Kerry Helmuth</v>
      </c>
      <c r="B251" s="186">
        <f ca="1">COUNTIF('All Scores'!AJ:AK,A251)</f>
        <v>1</v>
      </c>
      <c r="C251" s="186">
        <f ca="1">IFERROR(__xludf.DUMMYFUNCTION("MIN(FILTER('All Scores'!AI$2:AI$1024, ('All Scores'!AJ$2:AJ$1024 = A251) + ('All Scores'!AK$2:AK$1024 = A251)))"),18)</f>
        <v>18</v>
      </c>
      <c r="D251" s="187">
        <f ca="1">IFERROR(__xludf.DUMMYFUNCTION("AVERAGE(FILTER('All Scores'!AI$2:AI$1024, ('All Scores'!AJ$2:AJ$1024 = A251) + ('All Scores'!AK$2:AK$1024 = A251))
)
"),18)</f>
        <v>18</v>
      </c>
      <c r="E251" s="6">
        <f ca="1">IFERROR(__xludf.DUMMYFUNCTION("SUM(FILTER('All Scores'!AF$2:AF$1024, ('All Scores'!AJ$2:AJ$1024 = A251) + ('All Scores'!AK$2:AK$1024 = A251)))
"),48)</f>
        <v>48</v>
      </c>
      <c r="F251" s="6">
        <f ca="1">IFERROR(__xludf.DUMMYFUNCTION("SUM(FILTER('All Scores'!AD$2:AD$1024, ('All Scores'!AJ$2:AJ$1024 = A251) + ('All Scores'!AK$2:AK$1024 = A251)))
"),25)</f>
        <v>25</v>
      </c>
      <c r="G251" s="21">
        <f t="shared" ca="1" si="0"/>
        <v>0.52083333333333337</v>
      </c>
      <c r="H251" s="169"/>
      <c r="I251" s="169"/>
      <c r="J251" s="6"/>
      <c r="K251" s="188"/>
      <c r="L251" s="189"/>
      <c r="M251" s="189"/>
      <c r="N251" s="6"/>
      <c r="O251" s="6"/>
      <c r="P251" s="6"/>
      <c r="Q251" s="169"/>
      <c r="R251" s="6"/>
      <c r="S251" s="6"/>
      <c r="T251" s="169"/>
      <c r="U251" s="6"/>
      <c r="V251" s="169"/>
      <c r="W251" s="169"/>
      <c r="X251" s="169"/>
      <c r="Y251" s="169"/>
      <c r="Z251" s="169"/>
      <c r="AA251" s="169"/>
      <c r="AB251" s="169"/>
      <c r="AC251" s="169"/>
      <c r="AD251" s="169"/>
      <c r="AE251" s="169"/>
      <c r="AF251" s="169"/>
      <c r="AG251" s="169"/>
      <c r="AH251" s="169"/>
      <c r="AI251" s="169"/>
      <c r="AJ251" s="169"/>
      <c r="AK251" s="169"/>
      <c r="AL251" s="169"/>
      <c r="AM251" s="169"/>
      <c r="AN251" s="169"/>
      <c r="AO251" s="169"/>
      <c r="AP251" s="169"/>
      <c r="AQ251" s="169"/>
      <c r="AR251" s="169"/>
    </row>
    <row r="252" spans="1:44" ht="12.5">
      <c r="A252" s="169" t="str">
        <f ca="1">IFERROR(__xludf.DUMMYFUNCTION("""COMPUTED_VALUE"""),"Kevin O'Dwyer")</f>
        <v>Kevin O'Dwyer</v>
      </c>
      <c r="B252" s="186">
        <f ca="1">COUNTIF('All Scores'!AJ:AK,A252)</f>
        <v>2</v>
      </c>
      <c r="C252" s="186">
        <f ca="1">IFERROR(__xludf.DUMMYFUNCTION("MIN(FILTER('All Scores'!AI$2:AI$1024, ('All Scores'!AJ$2:AJ$1024 = A252) + ('All Scores'!AK$2:AK$1024 = A252)))"),3)</f>
        <v>3</v>
      </c>
      <c r="D252" s="187">
        <f ca="1">IFERROR(__xludf.DUMMYFUNCTION("AVERAGE(FILTER('All Scores'!AI$2:AI$1024, ('All Scores'!AJ$2:AJ$1024 = A252) + ('All Scores'!AK$2:AK$1024 = A252))
)
"),4)</f>
        <v>4</v>
      </c>
      <c r="E252" s="6">
        <f ca="1">IFERROR(__xludf.DUMMYFUNCTION("SUM(FILTER('All Scores'!AF$2:AF$1024, ('All Scores'!AJ$2:AJ$1024 = A252) + ('All Scores'!AK$2:AK$1024 = A252)))
"),125)</f>
        <v>125</v>
      </c>
      <c r="F252" s="6">
        <f ca="1">IFERROR(__xludf.DUMMYFUNCTION("SUM(FILTER('All Scores'!AD$2:AD$1024, ('All Scores'!AJ$2:AJ$1024 = A252) + ('All Scores'!AK$2:AK$1024 = A252)))
"),79)</f>
        <v>79</v>
      </c>
      <c r="G252" s="21">
        <f t="shared" ca="1" si="0"/>
        <v>0.63200000000000001</v>
      </c>
      <c r="H252" s="169"/>
      <c r="I252" s="169"/>
      <c r="J252" s="6"/>
      <c r="K252" s="188"/>
      <c r="L252" s="189"/>
      <c r="M252" s="189"/>
      <c r="N252" s="6"/>
      <c r="O252" s="6"/>
      <c r="P252" s="6"/>
      <c r="Q252" s="169"/>
      <c r="R252" s="6"/>
      <c r="S252" s="6"/>
      <c r="T252" s="169"/>
      <c r="U252" s="6"/>
      <c r="V252" s="169"/>
      <c r="W252" s="169"/>
      <c r="X252" s="169"/>
      <c r="Y252" s="169"/>
      <c r="Z252" s="169"/>
      <c r="AA252" s="169"/>
      <c r="AB252" s="169"/>
      <c r="AC252" s="169"/>
      <c r="AD252" s="169"/>
      <c r="AE252" s="169"/>
      <c r="AF252" s="169"/>
      <c r="AG252" s="169"/>
      <c r="AH252" s="169"/>
      <c r="AI252" s="169"/>
      <c r="AJ252" s="169"/>
      <c r="AK252" s="169"/>
      <c r="AL252" s="169"/>
      <c r="AM252" s="169"/>
      <c r="AN252" s="169"/>
      <c r="AO252" s="169"/>
      <c r="AP252" s="169"/>
      <c r="AQ252" s="169"/>
      <c r="AR252" s="169"/>
    </row>
    <row r="253" spans="1:44" ht="12.5">
      <c r="A253" s="169" t="str">
        <f ca="1">IFERROR(__xludf.DUMMYFUNCTION("""COMPUTED_VALUE"""),"Kevin O'Farrell")</f>
        <v>Kevin O'Farrell</v>
      </c>
      <c r="B253" s="186">
        <f ca="1">COUNTIF('All Scores'!AJ:AK,A253)</f>
        <v>3</v>
      </c>
      <c r="C253" s="186">
        <f ca="1">IFERROR(__xludf.DUMMYFUNCTION("MIN(FILTER('All Scores'!AI$2:AI$1024, ('All Scores'!AJ$2:AJ$1024 = A253) + ('All Scores'!AK$2:AK$1024 = A253)))"),8)</f>
        <v>8</v>
      </c>
      <c r="D253" s="187">
        <f ca="1">IFERROR(__xludf.DUMMYFUNCTION("AVERAGE(FILTER('All Scores'!AI$2:AI$1024, ('All Scores'!AJ$2:AJ$1024 = A253) + ('All Scores'!AK$2:AK$1024 = A253))
)
"),17)</f>
        <v>17</v>
      </c>
      <c r="E253" s="6">
        <f ca="1">IFERROR(__xludf.DUMMYFUNCTION("SUM(FILTER('All Scores'!AF$2:AF$1024, ('All Scores'!AJ$2:AJ$1024 = A253) + ('All Scores'!AK$2:AK$1024 = A253)))
"),181)</f>
        <v>181</v>
      </c>
      <c r="F253" s="6">
        <f ca="1">IFERROR(__xludf.DUMMYFUNCTION("SUM(FILTER('All Scores'!AD$2:AD$1024, ('All Scores'!AJ$2:AJ$1024 = A253) + ('All Scores'!AK$2:AK$1024 = A253)))
"),86)</f>
        <v>86</v>
      </c>
      <c r="G253" s="21">
        <f t="shared" ca="1" si="0"/>
        <v>0.47513812154696133</v>
      </c>
      <c r="H253" s="169"/>
      <c r="I253" s="169"/>
      <c r="J253" s="6"/>
      <c r="K253" s="188"/>
      <c r="L253" s="189"/>
      <c r="M253" s="189"/>
      <c r="N253" s="6"/>
      <c r="O253" s="6"/>
      <c r="P253" s="6"/>
      <c r="Q253" s="169"/>
      <c r="R253" s="6"/>
      <c r="S253" s="6"/>
      <c r="T253" s="169"/>
      <c r="U253" s="6"/>
      <c r="V253" s="169"/>
      <c r="W253" s="169"/>
      <c r="X253" s="169"/>
      <c r="Y253" s="169"/>
      <c r="Z253" s="169"/>
      <c r="AA253" s="169"/>
      <c r="AB253" s="169"/>
      <c r="AC253" s="169"/>
      <c r="AD253" s="169"/>
      <c r="AE253" s="169"/>
      <c r="AF253" s="169"/>
      <c r="AG253" s="169"/>
      <c r="AH253" s="169"/>
      <c r="AI253" s="169"/>
      <c r="AJ253" s="169"/>
      <c r="AK253" s="169"/>
      <c r="AL253" s="169"/>
      <c r="AM253" s="169"/>
      <c r="AN253" s="169"/>
      <c r="AO253" s="169"/>
      <c r="AP253" s="169"/>
      <c r="AQ253" s="169"/>
      <c r="AR253" s="169"/>
    </row>
    <row r="254" spans="1:44" ht="12.5">
      <c r="A254" s="169" t="str">
        <f ca="1">IFERROR(__xludf.DUMMYFUNCTION("""COMPUTED_VALUE"""),"Kevin Phillips")</f>
        <v>Kevin Phillips</v>
      </c>
      <c r="B254" s="186">
        <f ca="1">COUNTIF('All Scores'!AJ:AK,A254)</f>
        <v>1</v>
      </c>
      <c r="C254" s="186">
        <f ca="1">IFERROR(__xludf.DUMMYFUNCTION("MIN(FILTER('All Scores'!AI$2:AI$1024, ('All Scores'!AJ$2:AJ$1024 = A254) + ('All Scores'!AK$2:AK$1024 = A254)))"),9)</f>
        <v>9</v>
      </c>
      <c r="D254" s="187">
        <f ca="1">IFERROR(__xludf.DUMMYFUNCTION("AVERAGE(FILTER('All Scores'!AI$2:AI$1024, ('All Scores'!AJ$2:AJ$1024 = A254) + ('All Scores'!AK$2:AK$1024 = A254))
)
"),9)</f>
        <v>9</v>
      </c>
      <c r="E254" s="6">
        <f ca="1">IFERROR(__xludf.DUMMYFUNCTION("SUM(FILTER('All Scores'!AF$2:AF$1024, ('All Scores'!AJ$2:AJ$1024 = A254) + ('All Scores'!AK$2:AK$1024 = A254)))
"),58)</f>
        <v>58</v>
      </c>
      <c r="F254" s="6">
        <f ca="1">IFERROR(__xludf.DUMMYFUNCTION("SUM(FILTER('All Scores'!AD$2:AD$1024, ('All Scores'!AJ$2:AJ$1024 = A254) + ('All Scores'!AK$2:AK$1024 = A254)))
"),27)</f>
        <v>27</v>
      </c>
      <c r="G254" s="21">
        <f t="shared" ca="1" si="0"/>
        <v>0.46551724137931033</v>
      </c>
      <c r="H254" s="169"/>
      <c r="I254" s="169"/>
      <c r="J254" s="6"/>
      <c r="K254" s="188"/>
      <c r="L254" s="189"/>
      <c r="M254" s="189"/>
      <c r="N254" s="6"/>
      <c r="O254" s="6"/>
      <c r="P254" s="6"/>
      <c r="Q254" s="169"/>
      <c r="R254" s="6"/>
      <c r="S254" s="6"/>
      <c r="T254" s="169"/>
      <c r="U254" s="6"/>
      <c r="V254" s="169"/>
      <c r="W254" s="169"/>
      <c r="X254" s="169"/>
      <c r="Y254" s="169"/>
      <c r="Z254" s="169"/>
      <c r="AA254" s="169"/>
      <c r="AB254" s="169"/>
      <c r="AC254" s="169"/>
      <c r="AD254" s="169"/>
      <c r="AE254" s="169"/>
      <c r="AF254" s="169"/>
      <c r="AG254" s="169"/>
      <c r="AH254" s="169"/>
      <c r="AI254" s="169"/>
      <c r="AJ254" s="169"/>
      <c r="AK254" s="169"/>
      <c r="AL254" s="169"/>
      <c r="AM254" s="169"/>
      <c r="AN254" s="169"/>
      <c r="AO254" s="169"/>
      <c r="AP254" s="169"/>
      <c r="AQ254" s="169"/>
      <c r="AR254" s="169"/>
    </row>
    <row r="255" spans="1:44" ht="12.5">
      <c r="A255" s="169" t="str">
        <f ca="1">IFERROR(__xludf.DUMMYFUNCTION("""COMPUTED_VALUE"""),"Kim Hanson")</f>
        <v>Kim Hanson</v>
      </c>
      <c r="B255" s="186">
        <f ca="1">COUNTIF('All Scores'!AJ:AK,A255)</f>
        <v>2</v>
      </c>
      <c r="C255" s="186">
        <f ca="1">IFERROR(__xludf.DUMMYFUNCTION("MIN(FILTER('All Scores'!AI$2:AI$1024, ('All Scores'!AJ$2:AJ$1024 = A255) + ('All Scores'!AK$2:AK$1024 = A255)))"),16)</f>
        <v>16</v>
      </c>
      <c r="D255" s="187">
        <f ca="1">IFERROR(__xludf.DUMMYFUNCTION("AVERAGE(FILTER('All Scores'!AI$2:AI$1024, ('All Scores'!AJ$2:AJ$1024 = A255) + ('All Scores'!AK$2:AK$1024 = A255))
)
"),17)</f>
        <v>17</v>
      </c>
      <c r="E255" s="6">
        <f ca="1">IFERROR(__xludf.DUMMYFUNCTION("SUM(FILTER('All Scores'!AF$2:AF$1024, ('All Scores'!AJ$2:AJ$1024 = A255) + ('All Scores'!AK$2:AK$1024 = A255)))
"),121)</f>
        <v>121</v>
      </c>
      <c r="F255" s="6">
        <f ca="1">IFERROR(__xludf.DUMMYFUNCTION("SUM(FILTER('All Scores'!AD$2:AD$1024, ('All Scores'!AJ$2:AJ$1024 = A255) + ('All Scores'!AK$2:AK$1024 = A255)))
"),57)</f>
        <v>57</v>
      </c>
      <c r="G255" s="21">
        <f t="shared" ca="1" si="0"/>
        <v>0.47107438016528924</v>
      </c>
      <c r="H255" s="169"/>
      <c r="I255" s="169"/>
      <c r="J255" s="6"/>
      <c r="K255" s="188"/>
      <c r="L255" s="189"/>
      <c r="M255" s="189"/>
      <c r="N255" s="6"/>
      <c r="O255" s="6"/>
      <c r="P255" s="6"/>
      <c r="Q255" s="169"/>
      <c r="R255" s="6"/>
      <c r="S255" s="6"/>
      <c r="T255" s="169"/>
      <c r="U255" s="6"/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69"/>
      <c r="AN255" s="169"/>
      <c r="AO255" s="169"/>
      <c r="AP255" s="169"/>
      <c r="AQ255" s="169"/>
      <c r="AR255" s="169"/>
    </row>
    <row r="256" spans="1:44" ht="12.5">
      <c r="A256" s="169" t="str">
        <f ca="1">IFERROR(__xludf.DUMMYFUNCTION("""COMPUTED_VALUE"""),"Kim Hunt")</f>
        <v>Kim Hunt</v>
      </c>
      <c r="B256" s="186">
        <f ca="1">COUNTIF('All Scores'!AJ:AK,A256)</f>
        <v>3</v>
      </c>
      <c r="C256" s="186">
        <f ca="1">IFERROR(__xludf.DUMMYFUNCTION("MIN(FILTER('All Scores'!AI$2:AI$1024, ('All Scores'!AJ$2:AJ$1024 = A256) + ('All Scores'!AK$2:AK$1024 = A256)))"),4)</f>
        <v>4</v>
      </c>
      <c r="D256" s="187">
        <f ca="1">IFERROR(__xludf.DUMMYFUNCTION("AVERAGE(FILTER('All Scores'!AI$2:AI$1024, ('All Scores'!AJ$2:AJ$1024 = A256) + ('All Scores'!AK$2:AK$1024 = A256))
)
"),17.6666666666666)</f>
        <v>17.6666666666666</v>
      </c>
      <c r="E256" s="6">
        <f ca="1">IFERROR(__xludf.DUMMYFUNCTION("SUM(FILTER('All Scores'!AF$2:AF$1024, ('All Scores'!AJ$2:AJ$1024 = A256) + ('All Scores'!AK$2:AK$1024 = A256)))
"),199)</f>
        <v>199</v>
      </c>
      <c r="F256" s="6">
        <f ca="1">IFERROR(__xludf.DUMMYFUNCTION("SUM(FILTER('All Scores'!AD$2:AD$1024, ('All Scores'!AJ$2:AJ$1024 = A256) + ('All Scores'!AK$2:AK$1024 = A256)))
"),101)</f>
        <v>101</v>
      </c>
      <c r="G256" s="21">
        <f t="shared" ca="1" si="0"/>
        <v>0.50753768844221103</v>
      </c>
      <c r="H256" s="169"/>
      <c r="I256" s="169"/>
      <c r="J256" s="6"/>
      <c r="K256" s="188"/>
      <c r="L256" s="189"/>
      <c r="M256" s="189"/>
      <c r="N256" s="6"/>
      <c r="O256" s="6"/>
      <c r="P256" s="6"/>
      <c r="Q256" s="169"/>
      <c r="R256" s="6"/>
      <c r="S256" s="6"/>
      <c r="T256" s="169"/>
      <c r="U256" s="6"/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69"/>
      <c r="AF256" s="169"/>
      <c r="AG256" s="169"/>
      <c r="AH256" s="169"/>
      <c r="AI256" s="169"/>
      <c r="AJ256" s="169"/>
      <c r="AK256" s="169"/>
      <c r="AL256" s="169"/>
      <c r="AM256" s="169"/>
      <c r="AN256" s="169"/>
      <c r="AO256" s="169"/>
      <c r="AP256" s="169"/>
      <c r="AQ256" s="169"/>
      <c r="AR256" s="169"/>
    </row>
    <row r="257" spans="1:44" ht="12.5">
      <c r="A257" s="169" t="str">
        <f ca="1">IFERROR(__xludf.DUMMYFUNCTION("""COMPUTED_VALUE"""),"Kim Lee")</f>
        <v>Kim Lee</v>
      </c>
      <c r="B257" s="186">
        <f ca="1">COUNTIF('All Scores'!AJ:AK,A257)</f>
        <v>2</v>
      </c>
      <c r="C257" s="186">
        <f ca="1">IFERROR(__xludf.DUMMYFUNCTION("MIN(FILTER('All Scores'!AI$2:AI$1024, ('All Scores'!AJ$2:AJ$1024 = A257) + ('All Scores'!AK$2:AK$1024 = A257)))"),4)</f>
        <v>4</v>
      </c>
      <c r="D257" s="187">
        <f ca="1">IFERROR(__xludf.DUMMYFUNCTION("AVERAGE(FILTER('All Scores'!AI$2:AI$1024, ('All Scores'!AJ$2:AJ$1024 = A257) + ('All Scores'!AK$2:AK$1024 = A257))
)
"),8.5)</f>
        <v>8.5</v>
      </c>
      <c r="E257" s="6">
        <f ca="1">IFERROR(__xludf.DUMMYFUNCTION("SUM(FILTER('All Scores'!AF$2:AF$1024, ('All Scores'!AJ$2:AJ$1024 = A257) + ('All Scores'!AK$2:AK$1024 = A257)))
"),141)</f>
        <v>141</v>
      </c>
      <c r="F257" s="6">
        <f ca="1">IFERROR(__xludf.DUMMYFUNCTION("SUM(FILTER('All Scores'!AD$2:AD$1024, ('All Scores'!AJ$2:AJ$1024 = A257) + ('All Scores'!AK$2:AK$1024 = A257)))
"),64)</f>
        <v>64</v>
      </c>
      <c r="G257" s="21">
        <f t="shared" ref="G257:G458" ca="1" si="2">F257/E257</f>
        <v>0.45390070921985815</v>
      </c>
      <c r="H257" s="169"/>
      <c r="I257" s="169"/>
      <c r="J257" s="6"/>
      <c r="K257" s="188"/>
      <c r="L257" s="189"/>
      <c r="M257" s="189"/>
      <c r="N257" s="6"/>
      <c r="O257" s="6"/>
      <c r="P257" s="6"/>
      <c r="Q257" s="169"/>
      <c r="R257" s="6"/>
      <c r="S257" s="6"/>
      <c r="T257" s="169"/>
      <c r="U257" s="6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169"/>
      <c r="AI257" s="169"/>
      <c r="AJ257" s="169"/>
      <c r="AK257" s="169"/>
      <c r="AL257" s="169"/>
      <c r="AM257" s="169"/>
      <c r="AN257" s="169"/>
      <c r="AO257" s="169"/>
      <c r="AP257" s="169"/>
      <c r="AQ257" s="169"/>
      <c r="AR257" s="169"/>
    </row>
    <row r="258" spans="1:44" ht="12.5">
      <c r="A258" s="169" t="str">
        <f ca="1">IFERROR(__xludf.DUMMYFUNCTION("""COMPUTED_VALUE"""),"Krista Shelton")</f>
        <v>Krista Shelton</v>
      </c>
      <c r="B258" s="186">
        <f ca="1">COUNTIF('All Scores'!AJ:AK,A258)</f>
        <v>1</v>
      </c>
      <c r="C258" s="186">
        <f ca="1">IFERROR(__xludf.DUMMYFUNCTION("MIN(FILTER('All Scores'!AI$2:AI$1024, ('All Scores'!AJ$2:AJ$1024 = A258) + ('All Scores'!AK$2:AK$1024 = A258)))"),5)</f>
        <v>5</v>
      </c>
      <c r="D258" s="187">
        <f ca="1">IFERROR(__xludf.DUMMYFUNCTION("AVERAGE(FILTER('All Scores'!AI$2:AI$1024, ('All Scores'!AJ$2:AJ$1024 = A258) + ('All Scores'!AK$2:AK$1024 = A258))
)
"),5)</f>
        <v>5</v>
      </c>
      <c r="E258" s="6">
        <f ca="1">IFERROR(__xludf.DUMMYFUNCTION("SUM(FILTER('All Scores'!AF$2:AF$1024, ('All Scores'!AJ$2:AJ$1024 = A258) + ('All Scores'!AK$2:AK$1024 = A258)))
"),92)</f>
        <v>92</v>
      </c>
      <c r="F258" s="6">
        <f ca="1">IFERROR(__xludf.DUMMYFUNCTION("SUM(FILTER('All Scores'!AD$2:AD$1024, ('All Scores'!AJ$2:AJ$1024 = A258) + ('All Scores'!AK$2:AK$1024 = A258)))
"),54)</f>
        <v>54</v>
      </c>
      <c r="G258" s="21">
        <f t="shared" ca="1" si="2"/>
        <v>0.58695652173913049</v>
      </c>
      <c r="H258" s="169"/>
      <c r="I258" s="169"/>
      <c r="J258" s="6"/>
      <c r="K258" s="188"/>
      <c r="L258" s="189"/>
      <c r="M258" s="189"/>
      <c r="N258" s="6"/>
      <c r="O258" s="6"/>
      <c r="P258" s="6"/>
      <c r="Q258" s="169"/>
      <c r="R258" s="6"/>
      <c r="S258" s="6"/>
      <c r="T258" s="169"/>
      <c r="U258" s="6"/>
      <c r="V258" s="169"/>
      <c r="W258" s="169"/>
      <c r="X258" s="169"/>
      <c r="Y258" s="169"/>
      <c r="Z258" s="169"/>
      <c r="AA258" s="169"/>
      <c r="AB258" s="169"/>
      <c r="AC258" s="169"/>
      <c r="AD258" s="169"/>
      <c r="AE258" s="169"/>
      <c r="AF258" s="169"/>
      <c r="AG258" s="169"/>
      <c r="AH258" s="169"/>
      <c r="AI258" s="169"/>
      <c r="AJ258" s="169"/>
      <c r="AK258" s="169"/>
      <c r="AL258" s="169"/>
      <c r="AM258" s="169"/>
      <c r="AN258" s="169"/>
      <c r="AO258" s="169"/>
      <c r="AP258" s="169"/>
      <c r="AQ258" s="169"/>
      <c r="AR258" s="169"/>
    </row>
    <row r="259" spans="1:44" ht="12.5">
      <c r="A259" s="169" t="str">
        <f ca="1">IFERROR(__xludf.DUMMYFUNCTION("""COMPUTED_VALUE"""),"Kristen Doherty")</f>
        <v>Kristen Doherty</v>
      </c>
      <c r="B259" s="186">
        <f ca="1">COUNTIF('All Scores'!AJ:AK,A259)</f>
        <v>1</v>
      </c>
      <c r="C259" s="186">
        <f ca="1">IFERROR(__xludf.DUMMYFUNCTION("MIN(FILTER('All Scores'!AI$2:AI$1024, ('All Scores'!AJ$2:AJ$1024 = A259) + ('All Scores'!AK$2:AK$1024 = A259)))"),2)</f>
        <v>2</v>
      </c>
      <c r="D259" s="187">
        <f ca="1">IFERROR(__xludf.DUMMYFUNCTION("AVERAGE(FILTER('All Scores'!AI$2:AI$1024, ('All Scores'!AJ$2:AJ$1024 = A259) + ('All Scores'!AK$2:AK$1024 = A259))
)
"),2)</f>
        <v>2</v>
      </c>
      <c r="E259" s="6">
        <f ca="1">IFERROR(__xludf.DUMMYFUNCTION("SUM(FILTER('All Scores'!AF$2:AF$1024, ('All Scores'!AJ$2:AJ$1024 = A259) + ('All Scores'!AK$2:AK$1024 = A259)))
"),124)</f>
        <v>124</v>
      </c>
      <c r="F259" s="6">
        <f ca="1">IFERROR(__xludf.DUMMYFUNCTION("SUM(FILTER('All Scores'!AD$2:AD$1024, ('All Scores'!AJ$2:AJ$1024 = A259) + ('All Scores'!AK$2:AK$1024 = A259)))
"),72)</f>
        <v>72</v>
      </c>
      <c r="G259" s="21">
        <f t="shared" ca="1" si="2"/>
        <v>0.58064516129032262</v>
      </c>
      <c r="H259" s="169"/>
      <c r="I259" s="169"/>
      <c r="J259" s="6"/>
      <c r="K259" s="188"/>
      <c r="L259" s="189"/>
      <c r="M259" s="189"/>
      <c r="N259" s="6"/>
      <c r="O259" s="6"/>
      <c r="P259" s="6"/>
      <c r="Q259" s="169"/>
      <c r="R259" s="6"/>
      <c r="S259" s="6"/>
      <c r="T259" s="169"/>
      <c r="U259" s="6"/>
      <c r="V259" s="169"/>
      <c r="W259" s="169"/>
      <c r="X259" s="169"/>
      <c r="Y259" s="169"/>
      <c r="Z259" s="169"/>
      <c r="AA259" s="169"/>
      <c r="AB259" s="169"/>
      <c r="AC259" s="169"/>
      <c r="AD259" s="169"/>
      <c r="AE259" s="169"/>
      <c r="AF259" s="169"/>
      <c r="AG259" s="169"/>
      <c r="AH259" s="169"/>
      <c r="AI259" s="169"/>
      <c r="AJ259" s="169"/>
      <c r="AK259" s="169"/>
      <c r="AL259" s="169"/>
      <c r="AM259" s="169"/>
      <c r="AN259" s="169"/>
      <c r="AO259" s="169"/>
      <c r="AP259" s="169"/>
      <c r="AQ259" s="169"/>
      <c r="AR259" s="169"/>
    </row>
    <row r="260" spans="1:44" ht="12.5">
      <c r="A260" s="169" t="str">
        <f ca="1">IFERROR(__xludf.DUMMYFUNCTION("""COMPUTED_VALUE"""),"Kristen Emerson")</f>
        <v>Kristen Emerson</v>
      </c>
      <c r="B260" s="186">
        <f ca="1">COUNTIF('All Scores'!AJ:AK,A260)</f>
        <v>2</v>
      </c>
      <c r="C260" s="186">
        <f ca="1">IFERROR(__xludf.DUMMYFUNCTION("MIN(FILTER('All Scores'!AI$2:AI$1024, ('All Scores'!AJ$2:AJ$1024 = A260) + ('All Scores'!AK$2:AK$1024 = A260)))"),24)</f>
        <v>24</v>
      </c>
      <c r="D260" s="187">
        <f ca="1">IFERROR(__xludf.DUMMYFUNCTION("AVERAGE(FILTER('All Scores'!AI$2:AI$1024, ('All Scores'!AJ$2:AJ$1024 = A260) + ('All Scores'!AK$2:AK$1024 = A260))
)
"),27.5)</f>
        <v>27.5</v>
      </c>
      <c r="E260" s="6">
        <f ca="1">IFERROR(__xludf.DUMMYFUNCTION("SUM(FILTER('All Scores'!AF$2:AF$1024, ('All Scores'!AJ$2:AJ$1024 = A260) + ('All Scores'!AK$2:AK$1024 = A260)))
"),95)</f>
        <v>95</v>
      </c>
      <c r="F260" s="6">
        <f ca="1">IFERROR(__xludf.DUMMYFUNCTION("SUM(FILTER('All Scores'!AD$2:AD$1024, ('All Scores'!AJ$2:AJ$1024 = A260) + ('All Scores'!AK$2:AK$1024 = A260)))
"),32)</f>
        <v>32</v>
      </c>
      <c r="G260" s="21">
        <f t="shared" ca="1" si="2"/>
        <v>0.33684210526315789</v>
      </c>
      <c r="H260" s="169"/>
      <c r="I260" s="169"/>
      <c r="J260" s="6"/>
      <c r="K260" s="188"/>
      <c r="L260" s="189"/>
      <c r="M260" s="189"/>
      <c r="N260" s="6"/>
      <c r="O260" s="6"/>
      <c r="P260" s="6"/>
      <c r="Q260" s="169"/>
      <c r="R260" s="6"/>
      <c r="S260" s="6"/>
      <c r="T260" s="169"/>
      <c r="U260" s="6"/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  <c r="AJ260" s="169"/>
      <c r="AK260" s="169"/>
      <c r="AL260" s="169"/>
      <c r="AM260" s="169"/>
      <c r="AN260" s="169"/>
      <c r="AO260" s="169"/>
      <c r="AP260" s="169"/>
      <c r="AQ260" s="169"/>
      <c r="AR260" s="169"/>
    </row>
    <row r="261" spans="1:44" ht="12.5">
      <c r="A261" s="169" t="str">
        <f ca="1">IFERROR(__xludf.DUMMYFUNCTION("""COMPUTED_VALUE"""),"Kristi Colgan")</f>
        <v>Kristi Colgan</v>
      </c>
      <c r="B261" s="186">
        <f ca="1">COUNTIF('All Scores'!AJ:AK,A261)</f>
        <v>2</v>
      </c>
      <c r="C261" s="186">
        <f ca="1">IFERROR(__xludf.DUMMYFUNCTION("MIN(FILTER('All Scores'!AI$2:AI$1024, ('All Scores'!AJ$2:AJ$1024 = A261) + ('All Scores'!AK$2:AK$1024 = A261)))"),25)</f>
        <v>25</v>
      </c>
      <c r="D261" s="187">
        <f ca="1">IFERROR(__xludf.DUMMYFUNCTION("AVERAGE(FILTER('All Scores'!AI$2:AI$1024, ('All Scores'!AJ$2:AJ$1024 = A261) + ('All Scores'!AK$2:AK$1024 = A261))
)
"),27)</f>
        <v>27</v>
      </c>
      <c r="E261" s="6">
        <f ca="1">IFERROR(__xludf.DUMMYFUNCTION("SUM(FILTER('All Scores'!AF$2:AF$1024, ('All Scores'!AJ$2:AJ$1024 = A261) + ('All Scores'!AK$2:AK$1024 = A261)))
"),99)</f>
        <v>99</v>
      </c>
      <c r="F261" s="6">
        <f ca="1">IFERROR(__xludf.DUMMYFUNCTION("SUM(FILTER('All Scores'!AD$2:AD$1024, ('All Scores'!AJ$2:AJ$1024 = A261) + ('All Scores'!AK$2:AK$1024 = A261)))
"),35)</f>
        <v>35</v>
      </c>
      <c r="G261" s="21">
        <f t="shared" ca="1" si="2"/>
        <v>0.35353535353535354</v>
      </c>
      <c r="H261" s="169"/>
      <c r="I261" s="169"/>
      <c r="J261" s="6"/>
      <c r="K261" s="188"/>
      <c r="L261" s="189"/>
      <c r="M261" s="189"/>
      <c r="N261" s="6"/>
      <c r="O261" s="6"/>
      <c r="P261" s="6"/>
      <c r="Q261" s="169"/>
      <c r="R261" s="6"/>
      <c r="S261" s="6"/>
      <c r="T261" s="169"/>
      <c r="U261" s="6"/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  <c r="AJ261" s="169"/>
      <c r="AK261" s="169"/>
      <c r="AL261" s="169"/>
      <c r="AM261" s="169"/>
      <c r="AN261" s="169"/>
      <c r="AO261" s="169"/>
      <c r="AP261" s="169"/>
      <c r="AQ261" s="169"/>
      <c r="AR261" s="169"/>
    </row>
    <row r="262" spans="1:44" ht="12.5">
      <c r="A262" s="169" t="str">
        <f ca="1">IFERROR(__xludf.DUMMYFUNCTION("""COMPUTED_VALUE"""),"Kristin Heurtin")</f>
        <v>Kristin Heurtin</v>
      </c>
      <c r="B262" s="186">
        <f ca="1">COUNTIF('All Scores'!AJ:AK,A262)</f>
        <v>2</v>
      </c>
      <c r="C262" s="186">
        <f ca="1">IFERROR(__xludf.DUMMYFUNCTION("MIN(FILTER('All Scores'!AI$2:AI$1024, ('All Scores'!AJ$2:AJ$1024 = A262) + ('All Scores'!AK$2:AK$1024 = A262)))"),10)</f>
        <v>10</v>
      </c>
      <c r="D262" s="187">
        <f ca="1">IFERROR(__xludf.DUMMYFUNCTION("AVERAGE(FILTER('All Scores'!AI$2:AI$1024, ('All Scores'!AJ$2:AJ$1024 = A262) + ('All Scores'!AK$2:AK$1024 = A262))
)
"),10.5)</f>
        <v>10.5</v>
      </c>
      <c r="E262" s="6">
        <f ca="1">IFERROR(__xludf.DUMMYFUNCTION("SUM(FILTER('All Scores'!AF$2:AF$1024, ('All Scores'!AJ$2:AJ$1024 = A262) + ('All Scores'!AK$2:AK$1024 = A262)))
"),137)</f>
        <v>137</v>
      </c>
      <c r="F262" s="6">
        <f ca="1">IFERROR(__xludf.DUMMYFUNCTION("SUM(FILTER('All Scores'!AD$2:AD$1024, ('All Scores'!AJ$2:AJ$1024 = A262) + ('All Scores'!AK$2:AK$1024 = A262)))
"),63)</f>
        <v>63</v>
      </c>
      <c r="G262" s="21">
        <f t="shared" ca="1" si="2"/>
        <v>0.45985401459854014</v>
      </c>
      <c r="H262" s="169"/>
      <c r="I262" s="169"/>
      <c r="J262" s="6"/>
      <c r="K262" s="188"/>
      <c r="L262" s="189"/>
      <c r="M262" s="189"/>
      <c r="N262" s="6"/>
      <c r="O262" s="6"/>
      <c r="P262" s="6"/>
      <c r="Q262" s="169"/>
      <c r="R262" s="6"/>
      <c r="S262" s="6"/>
      <c r="T262" s="169"/>
      <c r="U262" s="6"/>
      <c r="V262" s="169"/>
      <c r="W262" s="169"/>
      <c r="X262" s="169"/>
      <c r="Y262" s="169"/>
      <c r="Z262" s="169"/>
      <c r="AA262" s="169"/>
      <c r="AB262" s="169"/>
      <c r="AC262" s="169"/>
      <c r="AD262" s="169"/>
      <c r="AE262" s="169"/>
      <c r="AF262" s="169"/>
      <c r="AG262" s="169"/>
      <c r="AH262" s="169"/>
      <c r="AI262" s="169"/>
      <c r="AJ262" s="169"/>
      <c r="AK262" s="169"/>
      <c r="AL262" s="169"/>
      <c r="AM262" s="169"/>
      <c r="AN262" s="169"/>
      <c r="AO262" s="169"/>
      <c r="AP262" s="169"/>
      <c r="AQ262" s="169"/>
      <c r="AR262" s="169"/>
    </row>
    <row r="263" spans="1:44" ht="12.5">
      <c r="A263" s="169" t="str">
        <f ca="1">IFERROR(__xludf.DUMMYFUNCTION("""COMPUTED_VALUE"""),"Kristy Ecton")</f>
        <v>Kristy Ecton</v>
      </c>
      <c r="B263" s="186">
        <f ca="1">COUNTIF('All Scores'!AJ:AK,A263)</f>
        <v>6</v>
      </c>
      <c r="C263" s="186">
        <f ca="1">IFERROR(__xludf.DUMMYFUNCTION("MIN(FILTER('All Scores'!AI$2:AI$1024, ('All Scores'!AJ$2:AJ$1024 = A263) + ('All Scores'!AK$2:AK$1024 = A263)))"),6)</f>
        <v>6</v>
      </c>
      <c r="D263" s="187">
        <f ca="1">IFERROR(__xludf.DUMMYFUNCTION("AVERAGE(FILTER('All Scores'!AI$2:AI$1024, ('All Scores'!AJ$2:AJ$1024 = A263) + ('All Scores'!AK$2:AK$1024 = A263))
)
"),9.5)</f>
        <v>9.5</v>
      </c>
      <c r="E263" s="6">
        <f ca="1">IFERROR(__xludf.DUMMYFUNCTION("SUM(FILTER('All Scores'!AF$2:AF$1024, ('All Scores'!AJ$2:AJ$1024 = A263) + ('All Scores'!AK$2:AK$1024 = A263)))
"),508)</f>
        <v>508</v>
      </c>
      <c r="F263" s="6">
        <f ca="1">IFERROR(__xludf.DUMMYFUNCTION("SUM(FILTER('All Scores'!AD$2:AD$1024, ('All Scores'!AJ$2:AJ$1024 = A263) + ('All Scores'!AK$2:AK$1024 = A263)))
"),220)</f>
        <v>220</v>
      </c>
      <c r="G263" s="21">
        <f t="shared" ca="1" si="2"/>
        <v>0.43307086614173229</v>
      </c>
      <c r="H263" s="169"/>
      <c r="I263" s="169"/>
      <c r="J263" s="6"/>
      <c r="K263" s="188"/>
      <c r="L263" s="189"/>
      <c r="M263" s="189"/>
      <c r="N263" s="6"/>
      <c r="O263" s="6"/>
      <c r="P263" s="6"/>
      <c r="Q263" s="169"/>
      <c r="R263" s="6"/>
      <c r="S263" s="6"/>
      <c r="T263" s="169"/>
      <c r="U263" s="6"/>
      <c r="V263" s="169"/>
      <c r="W263" s="169"/>
      <c r="X263" s="169"/>
      <c r="Y263" s="169"/>
      <c r="Z263" s="169"/>
      <c r="AA263" s="169"/>
      <c r="AB263" s="169"/>
      <c r="AC263" s="169"/>
      <c r="AD263" s="169"/>
      <c r="AE263" s="169"/>
      <c r="AF263" s="169"/>
      <c r="AG263" s="169"/>
      <c r="AH263" s="169"/>
      <c r="AI263" s="169"/>
      <c r="AJ263" s="169"/>
      <c r="AK263" s="169"/>
      <c r="AL263" s="169"/>
      <c r="AM263" s="169"/>
      <c r="AN263" s="169"/>
      <c r="AO263" s="169"/>
      <c r="AP263" s="169"/>
      <c r="AQ263" s="169"/>
      <c r="AR263" s="169"/>
    </row>
    <row r="264" spans="1:44" ht="12.5">
      <c r="A264" s="169" t="str">
        <f ca="1">IFERROR(__xludf.DUMMYFUNCTION("""COMPUTED_VALUE"""),"Lara Golike")</f>
        <v>Lara Golike</v>
      </c>
      <c r="B264" s="186">
        <f ca="1">COUNTIF('All Scores'!AJ:AK,A264)</f>
        <v>1</v>
      </c>
      <c r="C264" s="186">
        <f ca="1">IFERROR(__xludf.DUMMYFUNCTION("MIN(FILTER('All Scores'!AI$2:AI$1024, ('All Scores'!AJ$2:AJ$1024 = A264) + ('All Scores'!AK$2:AK$1024 = A264)))"),10)</f>
        <v>10</v>
      </c>
      <c r="D264" s="187">
        <f ca="1">IFERROR(__xludf.DUMMYFUNCTION("AVERAGE(FILTER('All Scores'!AI$2:AI$1024, ('All Scores'!AJ$2:AJ$1024 = A264) + ('All Scores'!AK$2:AK$1024 = A264))
)
"),10)</f>
        <v>10</v>
      </c>
      <c r="E264" s="6">
        <f ca="1">IFERROR(__xludf.DUMMYFUNCTION("SUM(FILTER('All Scores'!AF$2:AF$1024, ('All Scores'!AJ$2:AJ$1024 = A264) + ('All Scores'!AK$2:AK$1024 = A264)))
"),50)</f>
        <v>50</v>
      </c>
      <c r="F264" s="6">
        <f ca="1">IFERROR(__xludf.DUMMYFUNCTION("SUM(FILTER('All Scores'!AD$2:AD$1024, ('All Scores'!AJ$2:AJ$1024 = A264) + ('All Scores'!AK$2:AK$1024 = A264)))
"),27)</f>
        <v>27</v>
      </c>
      <c r="G264" s="21">
        <f t="shared" ca="1" si="2"/>
        <v>0.54</v>
      </c>
      <c r="H264" s="169"/>
      <c r="I264" s="169"/>
      <c r="J264" s="6"/>
      <c r="K264" s="188"/>
      <c r="L264" s="189"/>
      <c r="M264" s="189"/>
      <c r="N264" s="6"/>
      <c r="O264" s="6"/>
      <c r="P264" s="6"/>
      <c r="Q264" s="169"/>
      <c r="R264" s="6"/>
      <c r="S264" s="6"/>
      <c r="T264" s="169"/>
      <c r="U264" s="6"/>
      <c r="V264" s="169"/>
      <c r="W264" s="169"/>
      <c r="X264" s="169"/>
      <c r="Y264" s="169"/>
      <c r="Z264" s="169"/>
      <c r="AA264" s="169"/>
      <c r="AB264" s="169"/>
      <c r="AC264" s="169"/>
      <c r="AD264" s="169"/>
      <c r="AE264" s="169"/>
      <c r="AF264" s="169"/>
      <c r="AG264" s="169"/>
      <c r="AH264" s="169"/>
      <c r="AI264" s="169"/>
      <c r="AJ264" s="169"/>
      <c r="AK264" s="169"/>
      <c r="AL264" s="169"/>
      <c r="AM264" s="169"/>
      <c r="AN264" s="169"/>
      <c r="AO264" s="169"/>
      <c r="AP264" s="169"/>
      <c r="AQ264" s="169"/>
      <c r="AR264" s="169"/>
    </row>
    <row r="265" spans="1:44" ht="12.5">
      <c r="A265" s="169" t="str">
        <f ca="1">IFERROR(__xludf.DUMMYFUNCTION("""COMPUTED_VALUE"""),"Larry D'Amico")</f>
        <v>Larry D'Amico</v>
      </c>
      <c r="B265" s="186">
        <f ca="1">COUNTIF('All Scores'!AJ:AK,A265)</f>
        <v>1</v>
      </c>
      <c r="C265" s="186">
        <f ca="1">IFERROR(__xludf.DUMMYFUNCTION("MIN(FILTER('All Scores'!AI$2:AI$1024, ('All Scores'!AJ$2:AJ$1024 = A265) + ('All Scores'!AK$2:AK$1024 = A265)))"),9)</f>
        <v>9</v>
      </c>
      <c r="D265" s="187">
        <f ca="1">IFERROR(__xludf.DUMMYFUNCTION("AVERAGE(FILTER('All Scores'!AI$2:AI$1024, ('All Scores'!AJ$2:AJ$1024 = A265) + ('All Scores'!AK$2:AK$1024 = A265))
)
"),9)</f>
        <v>9</v>
      </c>
      <c r="E265" s="6">
        <f ca="1">IFERROR(__xludf.DUMMYFUNCTION("SUM(FILTER('All Scores'!AF$2:AF$1024, ('All Scores'!AJ$2:AJ$1024 = A265) + ('All Scores'!AK$2:AK$1024 = A265)))
"),49)</f>
        <v>49</v>
      </c>
      <c r="F265" s="6">
        <f ca="1">IFERROR(__xludf.DUMMYFUNCTION("SUM(FILTER('All Scores'!AD$2:AD$1024, ('All Scores'!AJ$2:AJ$1024 = A265) + ('All Scores'!AK$2:AK$1024 = A265)))
"),27)</f>
        <v>27</v>
      </c>
      <c r="G265" s="21">
        <f t="shared" ca="1" si="2"/>
        <v>0.55102040816326525</v>
      </c>
      <c r="H265" s="169"/>
      <c r="I265" s="169"/>
      <c r="J265" s="6"/>
      <c r="K265" s="188"/>
      <c r="L265" s="189"/>
      <c r="M265" s="189"/>
      <c r="N265" s="6"/>
      <c r="O265" s="6"/>
      <c r="P265" s="6"/>
      <c r="Q265" s="169"/>
      <c r="R265" s="6"/>
      <c r="S265" s="6"/>
      <c r="T265" s="169"/>
      <c r="U265" s="6"/>
      <c r="V265" s="169"/>
      <c r="W265" s="169"/>
      <c r="X265" s="169"/>
      <c r="Y265" s="169"/>
      <c r="Z265" s="169"/>
      <c r="AA265" s="169"/>
      <c r="AB265" s="169"/>
      <c r="AC265" s="169"/>
      <c r="AD265" s="169"/>
      <c r="AE265" s="169"/>
      <c r="AF265" s="169"/>
      <c r="AG265" s="169"/>
      <c r="AH265" s="169"/>
      <c r="AI265" s="169"/>
      <c r="AJ265" s="169"/>
      <c r="AK265" s="169"/>
      <c r="AL265" s="169"/>
      <c r="AM265" s="169"/>
      <c r="AN265" s="169"/>
      <c r="AO265" s="169"/>
      <c r="AP265" s="169"/>
      <c r="AQ265" s="169"/>
      <c r="AR265" s="169"/>
    </row>
    <row r="266" spans="1:44" ht="12.5">
      <c r="A266" s="169" t="str">
        <f ca="1">IFERROR(__xludf.DUMMYFUNCTION("""COMPUTED_VALUE"""),"Laura Schoenekase")</f>
        <v>Laura Schoenekase</v>
      </c>
      <c r="B266" s="186">
        <f ca="1">COUNTIF('All Scores'!AJ:AK,A266)</f>
        <v>4</v>
      </c>
      <c r="C266" s="186">
        <f ca="1">IFERROR(__xludf.DUMMYFUNCTION("MIN(FILTER('All Scores'!AI$2:AI$1024, ('All Scores'!AJ$2:AJ$1024 = A266) + ('All Scores'!AK$2:AK$1024 = A266)))"),7)</f>
        <v>7</v>
      </c>
      <c r="D266" s="187">
        <f ca="1">IFERROR(__xludf.DUMMYFUNCTION("AVERAGE(FILTER('All Scores'!AI$2:AI$1024, ('All Scores'!AJ$2:AJ$1024 = A266) + ('All Scores'!AK$2:AK$1024 = A266))
)
"),12.25)</f>
        <v>12.25</v>
      </c>
      <c r="E266" s="6">
        <f ca="1">IFERROR(__xludf.DUMMYFUNCTION("SUM(FILTER('All Scores'!AF$2:AF$1024, ('All Scores'!AJ$2:AJ$1024 = A266) + ('All Scores'!AK$2:AK$1024 = A266)))
"),260)</f>
        <v>260</v>
      </c>
      <c r="F266" s="6">
        <f ca="1">IFERROR(__xludf.DUMMYFUNCTION("SUM(FILTER('All Scores'!AD$2:AD$1024, ('All Scores'!AJ$2:AJ$1024 = A266) + ('All Scores'!AK$2:AK$1024 = A266)))
"),113)</f>
        <v>113</v>
      </c>
      <c r="G266" s="21">
        <f t="shared" ca="1" si="2"/>
        <v>0.43461538461538463</v>
      </c>
      <c r="H266" s="169"/>
      <c r="I266" s="169"/>
      <c r="J266" s="6"/>
      <c r="K266" s="188"/>
      <c r="L266" s="189"/>
      <c r="M266" s="189"/>
      <c r="N266" s="6"/>
      <c r="O266" s="6"/>
      <c r="P266" s="6"/>
      <c r="Q266" s="169"/>
      <c r="R266" s="6"/>
      <c r="S266" s="6"/>
      <c r="T266" s="169"/>
      <c r="U266" s="6"/>
      <c r="V266" s="169"/>
      <c r="W266" s="169"/>
      <c r="X266" s="169"/>
      <c r="Y266" s="169"/>
      <c r="Z266" s="169"/>
      <c r="AA266" s="169"/>
      <c r="AB266" s="169"/>
      <c r="AC266" s="169"/>
      <c r="AD266" s="169"/>
      <c r="AE266" s="169"/>
      <c r="AF266" s="169"/>
      <c r="AG266" s="169"/>
      <c r="AH266" s="169"/>
      <c r="AI266" s="169"/>
      <c r="AJ266" s="169"/>
      <c r="AK266" s="169"/>
      <c r="AL266" s="169"/>
      <c r="AM266" s="169"/>
      <c r="AN266" s="169"/>
      <c r="AO266" s="169"/>
      <c r="AP266" s="169"/>
      <c r="AQ266" s="169"/>
      <c r="AR266" s="169"/>
    </row>
    <row r="267" spans="1:44" ht="12.5">
      <c r="A267" s="169" t="str">
        <f ca="1">IFERROR(__xludf.DUMMYFUNCTION("""COMPUTED_VALUE"""),"Lauren Liguore")</f>
        <v>Lauren Liguore</v>
      </c>
      <c r="B267" s="186">
        <f ca="1">COUNTIF('All Scores'!AJ:AK,A267)</f>
        <v>4</v>
      </c>
      <c r="C267" s="186">
        <f ca="1">IFERROR(__xludf.DUMMYFUNCTION("MIN(FILTER('All Scores'!AI$2:AI$1024, ('All Scores'!AJ$2:AJ$1024 = A267) + ('All Scores'!AK$2:AK$1024 = A267)))"),6)</f>
        <v>6</v>
      </c>
      <c r="D267" s="187">
        <f ca="1">IFERROR(__xludf.DUMMYFUNCTION("AVERAGE(FILTER('All Scores'!AI$2:AI$1024, ('All Scores'!AJ$2:AJ$1024 = A267) + ('All Scores'!AK$2:AK$1024 = A267))
)
"),11)</f>
        <v>11</v>
      </c>
      <c r="E267" s="6">
        <f ca="1">IFERROR(__xludf.DUMMYFUNCTION("SUM(FILTER('All Scores'!AF$2:AF$1024, ('All Scores'!AJ$2:AJ$1024 = A267) + ('All Scores'!AK$2:AK$1024 = A267)))
"),280)</f>
        <v>280</v>
      </c>
      <c r="F267" s="6">
        <f ca="1">IFERROR(__xludf.DUMMYFUNCTION("SUM(FILTER('All Scores'!AD$2:AD$1024, ('All Scores'!AJ$2:AJ$1024 = A267) + ('All Scores'!AK$2:AK$1024 = A267)))
"),138)</f>
        <v>138</v>
      </c>
      <c r="G267" s="21">
        <f t="shared" ca="1" si="2"/>
        <v>0.49285714285714288</v>
      </c>
      <c r="H267" s="169"/>
      <c r="I267" s="169"/>
      <c r="J267" s="6"/>
      <c r="K267" s="188"/>
      <c r="L267" s="189"/>
      <c r="M267" s="189"/>
      <c r="N267" s="6"/>
      <c r="O267" s="6"/>
      <c r="P267" s="6"/>
      <c r="Q267" s="169"/>
      <c r="R267" s="6"/>
      <c r="S267" s="6"/>
      <c r="T267" s="169"/>
      <c r="U267" s="6"/>
      <c r="V267" s="169"/>
      <c r="W267" s="169"/>
      <c r="X267" s="169"/>
      <c r="Y267" s="169"/>
      <c r="Z267" s="169"/>
      <c r="AA267" s="169"/>
      <c r="AB267" s="169"/>
      <c r="AC267" s="169"/>
      <c r="AD267" s="169"/>
      <c r="AE267" s="169"/>
      <c r="AF267" s="169"/>
      <c r="AG267" s="169"/>
      <c r="AH267" s="169"/>
      <c r="AI267" s="169"/>
      <c r="AJ267" s="169"/>
      <c r="AK267" s="169"/>
      <c r="AL267" s="169"/>
      <c r="AM267" s="169"/>
      <c r="AN267" s="169"/>
      <c r="AO267" s="169"/>
      <c r="AP267" s="169"/>
      <c r="AQ267" s="169"/>
      <c r="AR267" s="169"/>
    </row>
    <row r="268" spans="1:44" ht="12.5">
      <c r="A268" s="169" t="str">
        <f ca="1">IFERROR(__xludf.DUMMYFUNCTION("""COMPUTED_VALUE"""),"Laurie Fox")</f>
        <v>Laurie Fox</v>
      </c>
      <c r="B268" s="186">
        <f ca="1">COUNTIF('All Scores'!AJ:AK,A268)</f>
        <v>1</v>
      </c>
      <c r="C268" s="186">
        <f ca="1">IFERROR(__xludf.DUMMYFUNCTION("MIN(FILTER('All Scores'!AI$2:AI$1024, ('All Scores'!AJ$2:AJ$1024 = A268) + ('All Scores'!AK$2:AK$1024 = A268)))"),16)</f>
        <v>16</v>
      </c>
      <c r="D268" s="187">
        <f ca="1">IFERROR(__xludf.DUMMYFUNCTION("AVERAGE(FILTER('All Scores'!AI$2:AI$1024, ('All Scores'!AJ$2:AJ$1024 = A268) + ('All Scores'!AK$2:AK$1024 = A268))
)
"),16)</f>
        <v>16</v>
      </c>
      <c r="E268" s="6">
        <f ca="1">IFERROR(__xludf.DUMMYFUNCTION("SUM(FILTER('All Scores'!AF$2:AF$1024, ('All Scores'!AJ$2:AJ$1024 = A268) + ('All Scores'!AK$2:AK$1024 = A268)))
"),63)</f>
        <v>63</v>
      </c>
      <c r="F268" s="6">
        <f ca="1">IFERROR(__xludf.DUMMYFUNCTION("SUM(FILTER('All Scores'!AD$2:AD$1024, ('All Scores'!AJ$2:AJ$1024 = A268) + ('All Scores'!AK$2:AK$1024 = A268)))
"),19)</f>
        <v>19</v>
      </c>
      <c r="G268" s="21">
        <f t="shared" ca="1" si="2"/>
        <v>0.30158730158730157</v>
      </c>
      <c r="H268" s="169"/>
      <c r="I268" s="169"/>
      <c r="J268" s="6"/>
      <c r="K268" s="188"/>
      <c r="L268" s="189"/>
      <c r="M268" s="189"/>
      <c r="N268" s="6"/>
      <c r="O268" s="6"/>
      <c r="P268" s="6"/>
      <c r="Q268" s="169"/>
      <c r="R268" s="6"/>
      <c r="S268" s="6"/>
      <c r="T268" s="169"/>
      <c r="U268" s="6"/>
      <c r="V268" s="169"/>
      <c r="W268" s="169"/>
      <c r="X268" s="169"/>
      <c r="Y268" s="169"/>
      <c r="Z268" s="169"/>
      <c r="AA268" s="169"/>
      <c r="AB268" s="169"/>
      <c r="AC268" s="169"/>
      <c r="AD268" s="169"/>
      <c r="AE268" s="169"/>
      <c r="AF268" s="169"/>
      <c r="AG268" s="169"/>
      <c r="AH268" s="169"/>
      <c r="AI268" s="169"/>
      <c r="AJ268" s="169"/>
      <c r="AK268" s="169"/>
      <c r="AL268" s="169"/>
      <c r="AM268" s="169"/>
      <c r="AN268" s="169"/>
      <c r="AO268" s="169"/>
      <c r="AP268" s="169"/>
      <c r="AQ268" s="169"/>
      <c r="AR268" s="169"/>
    </row>
    <row r="269" spans="1:44" ht="12.5">
      <c r="A269" s="169" t="str">
        <f ca="1">IFERROR(__xludf.DUMMYFUNCTION("""COMPUTED_VALUE"""),"Lee Moore")</f>
        <v>Lee Moore</v>
      </c>
      <c r="B269" s="186">
        <f ca="1">COUNTIF('All Scores'!AJ:AK,A269)</f>
        <v>1</v>
      </c>
      <c r="C269" s="186">
        <f ca="1">IFERROR(__xludf.DUMMYFUNCTION("MIN(FILTER('All Scores'!AI$2:AI$1024, ('All Scores'!AJ$2:AJ$1024 = A269) + ('All Scores'!AK$2:AK$1024 = A269)))"),13)</f>
        <v>13</v>
      </c>
      <c r="D269" s="187">
        <f ca="1">IFERROR(__xludf.DUMMYFUNCTION("AVERAGE(FILTER('All Scores'!AI$2:AI$1024, ('All Scores'!AJ$2:AJ$1024 = A269) + ('All Scores'!AK$2:AK$1024 = A269))
)
"),13)</f>
        <v>13</v>
      </c>
      <c r="E269" s="6">
        <f ca="1">IFERROR(__xludf.DUMMYFUNCTION("SUM(FILTER('All Scores'!AF$2:AF$1024, ('All Scores'!AJ$2:AJ$1024 = A269) + ('All Scores'!AK$2:AK$1024 = A269)))
"),49)</f>
        <v>49</v>
      </c>
      <c r="F269" s="6">
        <f ca="1">IFERROR(__xludf.DUMMYFUNCTION("SUM(FILTER('All Scores'!AD$2:AD$1024, ('All Scores'!AJ$2:AJ$1024 = A269) + ('All Scores'!AK$2:AK$1024 = A269)))
"),21)</f>
        <v>21</v>
      </c>
      <c r="G269" s="21">
        <f t="shared" ca="1" si="2"/>
        <v>0.42857142857142855</v>
      </c>
      <c r="H269" s="169"/>
      <c r="I269" s="169"/>
      <c r="J269" s="6"/>
      <c r="K269" s="188"/>
      <c r="L269" s="189"/>
      <c r="M269" s="189"/>
      <c r="N269" s="6"/>
      <c r="O269" s="6"/>
      <c r="P269" s="6"/>
      <c r="Q269" s="169"/>
      <c r="R269" s="6"/>
      <c r="S269" s="6"/>
      <c r="T269" s="169"/>
      <c r="U269" s="6"/>
      <c r="V269" s="169"/>
      <c r="W269" s="169"/>
      <c r="X269" s="169"/>
      <c r="Y269" s="169"/>
      <c r="Z269" s="169"/>
      <c r="AA269" s="169"/>
      <c r="AB269" s="169"/>
      <c r="AC269" s="169"/>
      <c r="AD269" s="169"/>
      <c r="AE269" s="169"/>
      <c r="AF269" s="169"/>
      <c r="AG269" s="169"/>
      <c r="AH269" s="169"/>
      <c r="AI269" s="169"/>
      <c r="AJ269" s="169"/>
      <c r="AK269" s="169"/>
      <c r="AL269" s="169"/>
      <c r="AM269" s="169"/>
      <c r="AN269" s="169"/>
      <c r="AO269" s="169"/>
      <c r="AP269" s="169"/>
      <c r="AQ269" s="169"/>
      <c r="AR269" s="169"/>
    </row>
    <row r="270" spans="1:44" ht="12.5">
      <c r="A270" s="169" t="str">
        <f ca="1">IFERROR(__xludf.DUMMYFUNCTION("""COMPUTED_VALUE"""),"Lindsay Shannon")</f>
        <v>Lindsay Shannon</v>
      </c>
      <c r="B270" s="186">
        <f ca="1">COUNTIF('All Scores'!AJ:AK,A270)</f>
        <v>1</v>
      </c>
      <c r="C270" s="186">
        <f ca="1">IFERROR(__xludf.DUMMYFUNCTION("MIN(FILTER('All Scores'!AI$2:AI$1024, ('All Scores'!AJ$2:AJ$1024 = A270) + ('All Scores'!AK$2:AK$1024 = A270)))"),11)</f>
        <v>11</v>
      </c>
      <c r="D270" s="187">
        <f ca="1">IFERROR(__xludf.DUMMYFUNCTION("AVERAGE(FILTER('All Scores'!AI$2:AI$1024, ('All Scores'!AJ$2:AJ$1024 = A270) + ('All Scores'!AK$2:AK$1024 = A270))
)
"),11)</f>
        <v>11</v>
      </c>
      <c r="E270" s="6">
        <f ca="1">IFERROR(__xludf.DUMMYFUNCTION("SUM(FILTER('All Scores'!AF$2:AF$1024, ('All Scores'!AJ$2:AJ$1024 = A270) + ('All Scores'!AK$2:AK$1024 = A270)))
"),52)</f>
        <v>52</v>
      </c>
      <c r="F270" s="6">
        <f ca="1">IFERROR(__xludf.DUMMYFUNCTION("SUM(FILTER('All Scores'!AD$2:AD$1024, ('All Scores'!AJ$2:AJ$1024 = A270) + ('All Scores'!AK$2:AK$1024 = A270)))
"),23)</f>
        <v>23</v>
      </c>
      <c r="G270" s="21">
        <f t="shared" ca="1" si="2"/>
        <v>0.44230769230769229</v>
      </c>
      <c r="H270" s="169"/>
      <c r="I270" s="169"/>
      <c r="J270" s="6"/>
      <c r="K270" s="188"/>
      <c r="L270" s="189"/>
      <c r="M270" s="189"/>
      <c r="N270" s="6"/>
      <c r="O270" s="6"/>
      <c r="P270" s="6"/>
      <c r="Q270" s="169"/>
      <c r="R270" s="6"/>
      <c r="S270" s="6"/>
      <c r="T270" s="169"/>
      <c r="U270" s="6"/>
      <c r="V270" s="169"/>
      <c r="W270" s="169"/>
      <c r="X270" s="169"/>
      <c r="Y270" s="169"/>
      <c r="Z270" s="169"/>
      <c r="AA270" s="169"/>
      <c r="AB270" s="169"/>
      <c r="AC270" s="169"/>
      <c r="AD270" s="169"/>
      <c r="AE270" s="169"/>
      <c r="AF270" s="169"/>
      <c r="AG270" s="169"/>
      <c r="AH270" s="169"/>
      <c r="AI270" s="169"/>
      <c r="AJ270" s="169"/>
      <c r="AK270" s="169"/>
      <c r="AL270" s="169"/>
      <c r="AM270" s="169"/>
      <c r="AN270" s="169"/>
      <c r="AO270" s="169"/>
      <c r="AP270" s="169"/>
      <c r="AQ270" s="169"/>
      <c r="AR270" s="169"/>
    </row>
    <row r="271" spans="1:44" ht="12.5">
      <c r="A271" s="169" t="str">
        <f ca="1">IFERROR(__xludf.DUMMYFUNCTION("""COMPUTED_VALUE"""),"Lindsey Kalivoda")</f>
        <v>Lindsey Kalivoda</v>
      </c>
      <c r="B271" s="186">
        <f ca="1">COUNTIF('All Scores'!AJ:AK,A271)</f>
        <v>3</v>
      </c>
      <c r="C271" s="186">
        <f ca="1">IFERROR(__xludf.DUMMYFUNCTION("MIN(FILTER('All Scores'!AI$2:AI$1024, ('All Scores'!AJ$2:AJ$1024 = A271) + ('All Scores'!AK$2:AK$1024 = A271)))"),6)</f>
        <v>6</v>
      </c>
      <c r="D271" s="187">
        <f ca="1">IFERROR(__xludf.DUMMYFUNCTION("AVERAGE(FILTER('All Scores'!AI$2:AI$1024, ('All Scores'!AJ$2:AJ$1024 = A271) + ('All Scores'!AK$2:AK$1024 = A271))
)
"),6.66666666666666)</f>
        <v>6.6666666666666599</v>
      </c>
      <c r="E271" s="6">
        <f ca="1">IFERROR(__xludf.DUMMYFUNCTION("SUM(FILTER('All Scores'!AF$2:AF$1024, ('All Scores'!AJ$2:AJ$1024 = A271) + ('All Scores'!AK$2:AK$1024 = A271)))
"),253)</f>
        <v>253</v>
      </c>
      <c r="F271" s="6">
        <f ca="1">IFERROR(__xludf.DUMMYFUNCTION("SUM(FILTER('All Scores'!AD$2:AD$1024, ('All Scores'!AJ$2:AJ$1024 = A271) + ('All Scores'!AK$2:AK$1024 = A271)))
"),136)</f>
        <v>136</v>
      </c>
      <c r="G271" s="21">
        <f t="shared" ca="1" si="2"/>
        <v>0.53754940711462451</v>
      </c>
      <c r="H271" s="169"/>
      <c r="I271" s="169"/>
      <c r="J271" s="6"/>
      <c r="K271" s="188"/>
      <c r="L271" s="189"/>
      <c r="M271" s="189"/>
      <c r="N271" s="6"/>
      <c r="O271" s="6"/>
      <c r="P271" s="6"/>
      <c r="Q271" s="169"/>
      <c r="R271" s="6"/>
      <c r="S271" s="6"/>
      <c r="T271" s="169"/>
      <c r="U271" s="6"/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169"/>
      <c r="AI271" s="169"/>
      <c r="AJ271" s="169"/>
      <c r="AK271" s="169"/>
      <c r="AL271" s="169"/>
      <c r="AM271" s="169"/>
      <c r="AN271" s="169"/>
      <c r="AO271" s="169"/>
      <c r="AP271" s="169"/>
      <c r="AQ271" s="169"/>
      <c r="AR271" s="169"/>
    </row>
    <row r="272" spans="1:44" ht="12.5">
      <c r="A272" s="169" t="str">
        <f ca="1">IFERROR(__xludf.DUMMYFUNCTION("""COMPUTED_VALUE"""),"Lindsey Klusman")</f>
        <v>Lindsey Klusman</v>
      </c>
      <c r="B272" s="186">
        <f ca="1">COUNTIF('All Scores'!AJ:AK,A272)</f>
        <v>1</v>
      </c>
      <c r="C272" s="186">
        <f ca="1">IFERROR(__xludf.DUMMYFUNCTION("MIN(FILTER('All Scores'!AI$2:AI$1024, ('All Scores'!AJ$2:AJ$1024 = A272) + ('All Scores'!AK$2:AK$1024 = A272)))"),16)</f>
        <v>16</v>
      </c>
      <c r="D272" s="187">
        <f ca="1">IFERROR(__xludf.DUMMYFUNCTION("AVERAGE(FILTER('All Scores'!AI$2:AI$1024, ('All Scores'!AJ$2:AJ$1024 = A272) + ('All Scores'!AK$2:AK$1024 = A272))
)
"),16)</f>
        <v>16</v>
      </c>
      <c r="E272" s="6">
        <f ca="1">IFERROR(__xludf.DUMMYFUNCTION("SUM(FILTER('All Scores'!AF$2:AF$1024, ('All Scores'!AJ$2:AJ$1024 = A272) + ('All Scores'!AK$2:AK$1024 = A272)))
"),63)</f>
        <v>63</v>
      </c>
      <c r="F272" s="6">
        <f ca="1">IFERROR(__xludf.DUMMYFUNCTION("SUM(FILTER('All Scores'!AD$2:AD$1024, ('All Scores'!AJ$2:AJ$1024 = A272) + ('All Scores'!AK$2:AK$1024 = A272)))
"),19)</f>
        <v>19</v>
      </c>
      <c r="G272" s="21">
        <f t="shared" ca="1" si="2"/>
        <v>0.30158730158730157</v>
      </c>
      <c r="H272" s="169"/>
      <c r="I272" s="169"/>
      <c r="J272" s="6"/>
      <c r="K272" s="188"/>
      <c r="L272" s="189"/>
      <c r="M272" s="189"/>
      <c r="N272" s="6"/>
      <c r="O272" s="6"/>
      <c r="P272" s="6"/>
      <c r="Q272" s="169"/>
      <c r="R272" s="6"/>
      <c r="S272" s="6"/>
      <c r="T272" s="169"/>
      <c r="U272" s="6"/>
      <c r="V272" s="169"/>
      <c r="W272" s="169"/>
      <c r="X272" s="169"/>
      <c r="Y272" s="169"/>
      <c r="Z272" s="169"/>
      <c r="AA272" s="169"/>
      <c r="AB272" s="169"/>
      <c r="AC272" s="169"/>
      <c r="AD272" s="169"/>
      <c r="AE272" s="169"/>
      <c r="AF272" s="169"/>
      <c r="AG272" s="169"/>
      <c r="AH272" s="169"/>
      <c r="AI272" s="169"/>
      <c r="AJ272" s="169"/>
      <c r="AK272" s="169"/>
      <c r="AL272" s="169"/>
      <c r="AM272" s="169"/>
      <c r="AN272" s="169"/>
      <c r="AO272" s="169"/>
      <c r="AP272" s="169"/>
      <c r="AQ272" s="169"/>
      <c r="AR272" s="169"/>
    </row>
    <row r="273" spans="1:44" ht="12.5">
      <c r="A273" s="169" t="str">
        <f ca="1">IFERROR(__xludf.DUMMYFUNCTION("""COMPUTED_VALUE"""),"Lisa Shaffer")</f>
        <v>Lisa Shaffer</v>
      </c>
      <c r="B273" s="186">
        <f ca="1">COUNTIF('All Scores'!AJ:AK,A273)</f>
        <v>1</v>
      </c>
      <c r="C273" s="186">
        <f ca="1">IFERROR(__xludf.DUMMYFUNCTION("MIN(FILTER('All Scores'!AI$2:AI$1024, ('All Scores'!AJ$2:AJ$1024 = A273) + ('All Scores'!AK$2:AK$1024 = A273)))"),14)</f>
        <v>14</v>
      </c>
      <c r="D273" s="187">
        <f ca="1">IFERROR(__xludf.DUMMYFUNCTION("AVERAGE(FILTER('All Scores'!AI$2:AI$1024, ('All Scores'!AJ$2:AJ$1024 = A273) + ('All Scores'!AK$2:AK$1024 = A273))
)
"),14)</f>
        <v>14</v>
      </c>
      <c r="E273" s="6">
        <f ca="1">IFERROR(__xludf.DUMMYFUNCTION("SUM(FILTER('All Scores'!AF$2:AF$1024, ('All Scores'!AJ$2:AJ$1024 = A273) + ('All Scores'!AK$2:AK$1024 = A273)))
"),66)</f>
        <v>66</v>
      </c>
      <c r="F273" s="6">
        <f ca="1">IFERROR(__xludf.DUMMYFUNCTION("SUM(FILTER('All Scores'!AD$2:AD$1024, ('All Scores'!AJ$2:AJ$1024 = A273) + ('All Scores'!AK$2:AK$1024 = A273)))
"),26)</f>
        <v>26</v>
      </c>
      <c r="G273" s="21">
        <f t="shared" ca="1" si="2"/>
        <v>0.39393939393939392</v>
      </c>
      <c r="H273" s="169"/>
      <c r="I273" s="169"/>
      <c r="J273" s="6"/>
      <c r="K273" s="188"/>
      <c r="L273" s="189"/>
      <c r="M273" s="189"/>
      <c r="N273" s="6"/>
      <c r="O273" s="6"/>
      <c r="P273" s="6"/>
      <c r="Q273" s="169"/>
      <c r="R273" s="6"/>
      <c r="S273" s="6"/>
      <c r="T273" s="169"/>
      <c r="U273" s="6"/>
      <c r="V273" s="169"/>
      <c r="W273" s="169"/>
      <c r="X273" s="169"/>
      <c r="Y273" s="169"/>
      <c r="Z273" s="169"/>
      <c r="AA273" s="169"/>
      <c r="AB273" s="169"/>
      <c r="AC273" s="169"/>
      <c r="AD273" s="169"/>
      <c r="AE273" s="169"/>
      <c r="AF273" s="169"/>
      <c r="AG273" s="169"/>
      <c r="AH273" s="169"/>
      <c r="AI273" s="169"/>
      <c r="AJ273" s="169"/>
      <c r="AK273" s="169"/>
      <c r="AL273" s="169"/>
      <c r="AM273" s="169"/>
      <c r="AN273" s="169"/>
      <c r="AO273" s="169"/>
      <c r="AP273" s="169"/>
      <c r="AQ273" s="169"/>
      <c r="AR273" s="169"/>
    </row>
    <row r="274" spans="1:44" ht="12.5">
      <c r="A274" s="169" t="str">
        <f ca="1">IFERROR(__xludf.DUMMYFUNCTION("""COMPUTED_VALUE"""),"Liz Decker")</f>
        <v>Liz Decker</v>
      </c>
      <c r="B274" s="186">
        <f ca="1">COUNTIF('All Scores'!AJ:AK,A274)</f>
        <v>2</v>
      </c>
      <c r="C274" s="186">
        <f ca="1">IFERROR(__xludf.DUMMYFUNCTION("MIN(FILTER('All Scores'!AI$2:AI$1024, ('All Scores'!AJ$2:AJ$1024 = A274) + ('All Scores'!AK$2:AK$1024 = A274)))"),1)</f>
        <v>1</v>
      </c>
      <c r="D274" s="187">
        <f ca="1">IFERROR(__xludf.DUMMYFUNCTION("AVERAGE(FILTER('All Scores'!AI$2:AI$1024, ('All Scores'!AJ$2:AJ$1024 = A274) + ('All Scores'!AK$2:AK$1024 = A274))
)
"),5.5)</f>
        <v>5.5</v>
      </c>
      <c r="E274" s="6">
        <f ca="1">IFERROR(__xludf.DUMMYFUNCTION("SUM(FILTER('All Scores'!AF$2:AF$1024, ('All Scores'!AJ$2:AJ$1024 = A274) + ('All Scores'!AK$2:AK$1024 = A274)))
"),179)</f>
        <v>179</v>
      </c>
      <c r="F274" s="6">
        <f ca="1">IFERROR(__xludf.DUMMYFUNCTION("SUM(FILTER('All Scores'!AD$2:AD$1024, ('All Scores'!AJ$2:AJ$1024 = A274) + ('All Scores'!AK$2:AK$1024 = A274)))
"),111)</f>
        <v>111</v>
      </c>
      <c r="G274" s="21">
        <f t="shared" ca="1" si="2"/>
        <v>0.62011173184357538</v>
      </c>
      <c r="H274" s="169"/>
      <c r="I274" s="169"/>
      <c r="J274" s="6"/>
      <c r="K274" s="188"/>
      <c r="L274" s="189"/>
      <c r="M274" s="189"/>
      <c r="N274" s="6"/>
      <c r="O274" s="6"/>
      <c r="P274" s="6"/>
      <c r="Q274" s="169"/>
      <c r="R274" s="6"/>
      <c r="S274" s="6"/>
      <c r="T274" s="169"/>
      <c r="U274" s="6"/>
      <c r="V274" s="169"/>
      <c r="W274" s="169"/>
      <c r="X274" s="169"/>
      <c r="Y274" s="169"/>
      <c r="Z274" s="169"/>
      <c r="AA274" s="169"/>
      <c r="AB274" s="169"/>
      <c r="AC274" s="169"/>
      <c r="AD274" s="169"/>
      <c r="AE274" s="169"/>
      <c r="AF274" s="169"/>
      <c r="AG274" s="169"/>
      <c r="AH274" s="169"/>
      <c r="AI274" s="169"/>
      <c r="AJ274" s="169"/>
      <c r="AK274" s="169"/>
      <c r="AL274" s="169"/>
      <c r="AM274" s="169"/>
      <c r="AN274" s="169"/>
      <c r="AO274" s="169"/>
      <c r="AP274" s="169"/>
      <c r="AQ274" s="169"/>
      <c r="AR274" s="169"/>
    </row>
    <row r="275" spans="1:44" ht="12.5">
      <c r="A275" s="169" t="str">
        <f ca="1">IFERROR(__xludf.DUMMYFUNCTION("""COMPUTED_VALUE"""),"Lois McKinley")</f>
        <v>Lois McKinley</v>
      </c>
      <c r="B275" s="186">
        <f ca="1">COUNTIF('All Scores'!AJ:AK,A275)</f>
        <v>1</v>
      </c>
      <c r="C275" s="186">
        <f ca="1">IFERROR(__xludf.DUMMYFUNCTION("MIN(FILTER('All Scores'!AI$2:AI$1024, ('All Scores'!AJ$2:AJ$1024 = A275) + ('All Scores'!AK$2:AK$1024 = A275)))"),11)</f>
        <v>11</v>
      </c>
      <c r="D275" s="187">
        <f ca="1">IFERROR(__xludf.DUMMYFUNCTION("AVERAGE(FILTER('All Scores'!AI$2:AI$1024, ('All Scores'!AJ$2:AJ$1024 = A275) + ('All Scores'!AK$2:AK$1024 = A275))
)
"),11)</f>
        <v>11</v>
      </c>
      <c r="E275" s="6">
        <f ca="1">IFERROR(__xludf.DUMMYFUNCTION("SUM(FILTER('All Scores'!AF$2:AF$1024, ('All Scores'!AJ$2:AJ$1024 = A275) + ('All Scores'!AK$2:AK$1024 = A275)))
"),52)</f>
        <v>52</v>
      </c>
      <c r="F275" s="6">
        <f ca="1">IFERROR(__xludf.DUMMYFUNCTION("SUM(FILTER('All Scores'!AD$2:AD$1024, ('All Scores'!AJ$2:AJ$1024 = A275) + ('All Scores'!AK$2:AK$1024 = A275)))
"),23)</f>
        <v>23</v>
      </c>
      <c r="G275" s="21">
        <f t="shared" ca="1" si="2"/>
        <v>0.44230769230769229</v>
      </c>
      <c r="H275" s="169"/>
      <c r="I275" s="169"/>
      <c r="J275" s="6"/>
      <c r="K275" s="188"/>
      <c r="L275" s="189"/>
      <c r="M275" s="189"/>
      <c r="N275" s="6"/>
      <c r="O275" s="6"/>
      <c r="P275" s="6"/>
      <c r="Q275" s="169"/>
      <c r="R275" s="6"/>
      <c r="S275" s="6"/>
      <c r="T275" s="169"/>
      <c r="U275" s="6"/>
      <c r="V275" s="169"/>
      <c r="W275" s="169"/>
      <c r="X275" s="169"/>
      <c r="Y275" s="169"/>
      <c r="Z275" s="169"/>
      <c r="AA275" s="169"/>
      <c r="AB275" s="169"/>
      <c r="AC275" s="169"/>
      <c r="AD275" s="169"/>
      <c r="AE275" s="169"/>
      <c r="AF275" s="169"/>
      <c r="AG275" s="169"/>
      <c r="AH275" s="169"/>
      <c r="AI275" s="169"/>
      <c r="AJ275" s="169"/>
      <c r="AK275" s="169"/>
      <c r="AL275" s="169"/>
      <c r="AM275" s="169"/>
      <c r="AN275" s="169"/>
      <c r="AO275" s="169"/>
      <c r="AP275" s="169"/>
      <c r="AQ275" s="169"/>
      <c r="AR275" s="169"/>
    </row>
    <row r="276" spans="1:44" ht="12.5">
      <c r="A276" s="169" t="str">
        <f ca="1">IFERROR(__xludf.DUMMYFUNCTION("""COMPUTED_VALUE"""),"Loras Heck")</f>
        <v>Loras Heck</v>
      </c>
      <c r="B276" s="186">
        <f ca="1">COUNTIF('All Scores'!AJ:AK,A276)</f>
        <v>10</v>
      </c>
      <c r="C276" s="186">
        <f ca="1">IFERROR(__xludf.DUMMYFUNCTION("MIN(FILTER('All Scores'!AI$2:AI$1024, ('All Scores'!AJ$2:AJ$1024 = A276) + ('All Scores'!AK$2:AK$1024 = A276)))"),1)</f>
        <v>1</v>
      </c>
      <c r="D276" s="187">
        <f ca="1">IFERROR(__xludf.DUMMYFUNCTION("AVERAGE(FILTER('All Scores'!AI$2:AI$1024, ('All Scores'!AJ$2:AJ$1024 = A276) + ('All Scores'!AK$2:AK$1024 = A276))
)
"),7.7)</f>
        <v>7.7</v>
      </c>
      <c r="E276" s="6">
        <f ca="1">IFERROR(__xludf.DUMMYFUNCTION("SUM(FILTER('All Scores'!AF$2:AF$1024, ('All Scores'!AJ$2:AJ$1024 = A276) + ('All Scores'!AK$2:AK$1024 = A276)))
"),806)</f>
        <v>806</v>
      </c>
      <c r="F276" s="6">
        <f ca="1">IFERROR(__xludf.DUMMYFUNCTION("SUM(FILTER('All Scores'!AD$2:AD$1024, ('All Scores'!AJ$2:AJ$1024 = A276) + ('All Scores'!AK$2:AK$1024 = A276)))
"),404)</f>
        <v>404</v>
      </c>
      <c r="G276" s="21">
        <f t="shared" ca="1" si="2"/>
        <v>0.50124069478908184</v>
      </c>
      <c r="H276" s="169"/>
      <c r="I276" s="169"/>
      <c r="J276" s="6"/>
      <c r="K276" s="188"/>
      <c r="L276" s="189"/>
      <c r="M276" s="189"/>
      <c r="N276" s="6"/>
      <c r="O276" s="6"/>
      <c r="P276" s="6"/>
      <c r="Q276" s="169"/>
      <c r="R276" s="6"/>
      <c r="S276" s="6"/>
      <c r="T276" s="169"/>
      <c r="U276" s="6"/>
      <c r="V276" s="169"/>
      <c r="W276" s="169"/>
      <c r="X276" s="169"/>
      <c r="Y276" s="169"/>
      <c r="Z276" s="169"/>
      <c r="AA276" s="169"/>
      <c r="AB276" s="169"/>
      <c r="AC276" s="169"/>
      <c r="AD276" s="169"/>
      <c r="AE276" s="169"/>
      <c r="AF276" s="169"/>
      <c r="AG276" s="169"/>
      <c r="AH276" s="169"/>
      <c r="AI276" s="169"/>
      <c r="AJ276" s="169"/>
      <c r="AK276" s="169"/>
      <c r="AL276" s="169"/>
      <c r="AM276" s="169"/>
      <c r="AN276" s="169"/>
      <c r="AO276" s="169"/>
      <c r="AP276" s="169"/>
      <c r="AQ276" s="169"/>
      <c r="AR276" s="169"/>
    </row>
    <row r="277" spans="1:44" ht="12.5">
      <c r="A277" s="169" t="str">
        <f ca="1">IFERROR(__xludf.DUMMYFUNCTION("""COMPUTED_VALUE"""),"Loren Ginden")</f>
        <v>Loren Ginden</v>
      </c>
      <c r="B277" s="186">
        <f ca="1">COUNTIF('All Scores'!AJ:AK,A277)</f>
        <v>2</v>
      </c>
      <c r="C277" s="186">
        <f ca="1">IFERROR(__xludf.DUMMYFUNCTION("MIN(FILTER('All Scores'!AI$2:AI$1024, ('All Scores'!AJ$2:AJ$1024 = A277) + ('All Scores'!AK$2:AK$1024 = A277)))"),8)</f>
        <v>8</v>
      </c>
      <c r="D277" s="187">
        <f ca="1">IFERROR(__xludf.DUMMYFUNCTION("AVERAGE(FILTER('All Scores'!AI$2:AI$1024, ('All Scores'!AJ$2:AJ$1024 = A277) + ('All Scores'!AK$2:AK$1024 = A277))
)
"),11)</f>
        <v>11</v>
      </c>
      <c r="E277" s="6">
        <f ca="1">IFERROR(__xludf.DUMMYFUNCTION("SUM(FILTER('All Scores'!AF$2:AF$1024, ('All Scores'!AJ$2:AJ$1024 = A277) + ('All Scores'!AK$2:AK$1024 = A277)))
"),137)</f>
        <v>137</v>
      </c>
      <c r="F277" s="6">
        <f ca="1">IFERROR(__xludf.DUMMYFUNCTION("SUM(FILTER('All Scores'!AD$2:AD$1024, ('All Scores'!AJ$2:AJ$1024 = A277) + ('All Scores'!AK$2:AK$1024 = A277)))
"),61)</f>
        <v>61</v>
      </c>
      <c r="G277" s="21">
        <f t="shared" ca="1" si="2"/>
        <v>0.44525547445255476</v>
      </c>
      <c r="H277" s="169"/>
      <c r="I277" s="169"/>
      <c r="J277" s="6"/>
      <c r="K277" s="188"/>
      <c r="L277" s="189"/>
      <c r="M277" s="189"/>
      <c r="N277" s="6"/>
      <c r="O277" s="6"/>
      <c r="P277" s="6"/>
      <c r="Q277" s="169"/>
      <c r="R277" s="6"/>
      <c r="S277" s="6"/>
      <c r="T277" s="169"/>
      <c r="U277" s="6"/>
      <c r="V277" s="169"/>
      <c r="W277" s="169"/>
      <c r="X277" s="169"/>
      <c r="Y277" s="169"/>
      <c r="Z277" s="169"/>
      <c r="AA277" s="169"/>
      <c r="AB277" s="169"/>
      <c r="AC277" s="169"/>
      <c r="AD277" s="169"/>
      <c r="AE277" s="169"/>
      <c r="AF277" s="169"/>
      <c r="AG277" s="169"/>
      <c r="AH277" s="169"/>
      <c r="AI277" s="169"/>
      <c r="AJ277" s="169"/>
      <c r="AK277" s="169"/>
      <c r="AL277" s="169"/>
      <c r="AM277" s="169"/>
      <c r="AN277" s="169"/>
      <c r="AO277" s="169"/>
      <c r="AP277" s="169"/>
      <c r="AQ277" s="169"/>
      <c r="AR277" s="169"/>
    </row>
    <row r="278" spans="1:44" ht="12.5">
      <c r="A278" s="169" t="str">
        <f ca="1">IFERROR(__xludf.DUMMYFUNCTION("""COMPUTED_VALUE"""),"Lorie Wilson")</f>
        <v>Lorie Wilson</v>
      </c>
      <c r="B278" s="186">
        <f ca="1">COUNTIF('All Scores'!AJ:AK,A278)</f>
        <v>1</v>
      </c>
      <c r="C278" s="186">
        <f ca="1">IFERROR(__xludf.DUMMYFUNCTION("MIN(FILTER('All Scores'!AI$2:AI$1024, ('All Scores'!AJ$2:AJ$1024 = A278) + ('All Scores'!AK$2:AK$1024 = A278)))"),9)</f>
        <v>9</v>
      </c>
      <c r="D278" s="187">
        <f ca="1">IFERROR(__xludf.DUMMYFUNCTION("AVERAGE(FILTER('All Scores'!AI$2:AI$1024, ('All Scores'!AJ$2:AJ$1024 = A278) + ('All Scores'!AK$2:AK$1024 = A278))
)
"),9)</f>
        <v>9</v>
      </c>
      <c r="E278" s="6">
        <f ca="1">IFERROR(__xludf.DUMMYFUNCTION("SUM(FILTER('All Scores'!AF$2:AF$1024, ('All Scores'!AJ$2:AJ$1024 = A278) + ('All Scores'!AK$2:AK$1024 = A278)))
"),70)</f>
        <v>70</v>
      </c>
      <c r="F278" s="6">
        <f ca="1">IFERROR(__xludf.DUMMYFUNCTION("SUM(FILTER('All Scores'!AD$2:AD$1024, ('All Scores'!AJ$2:AJ$1024 = A278) + ('All Scores'!AK$2:AK$1024 = A278)))
"),41)</f>
        <v>41</v>
      </c>
      <c r="G278" s="21">
        <f t="shared" ca="1" si="2"/>
        <v>0.58571428571428574</v>
      </c>
      <c r="H278" s="169"/>
      <c r="I278" s="169"/>
      <c r="J278" s="6"/>
      <c r="K278" s="188"/>
      <c r="L278" s="189"/>
      <c r="M278" s="189"/>
      <c r="N278" s="6"/>
      <c r="O278" s="6"/>
      <c r="P278" s="6"/>
      <c r="Q278" s="169"/>
      <c r="R278" s="6"/>
      <c r="S278" s="6"/>
      <c r="T278" s="169"/>
      <c r="U278" s="6"/>
      <c r="V278" s="169"/>
      <c r="W278" s="169"/>
      <c r="X278" s="169"/>
      <c r="Y278" s="169"/>
      <c r="Z278" s="169"/>
      <c r="AA278" s="169"/>
      <c r="AB278" s="169"/>
      <c r="AC278" s="169"/>
      <c r="AD278" s="169"/>
      <c r="AE278" s="169"/>
      <c r="AF278" s="169"/>
      <c r="AG278" s="169"/>
      <c r="AH278" s="169"/>
      <c r="AI278" s="169"/>
      <c r="AJ278" s="169"/>
      <c r="AK278" s="169"/>
      <c r="AL278" s="169"/>
      <c r="AM278" s="169"/>
      <c r="AN278" s="169"/>
      <c r="AO278" s="169"/>
      <c r="AP278" s="169"/>
      <c r="AQ278" s="169"/>
      <c r="AR278" s="169"/>
    </row>
    <row r="279" spans="1:44" ht="12.5">
      <c r="A279" s="169" t="str">
        <f ca="1">IFERROR(__xludf.DUMMYFUNCTION("""COMPUTED_VALUE"""),"Lynn Potter")</f>
        <v>Lynn Potter</v>
      </c>
      <c r="B279" s="186">
        <f ca="1">COUNTIF('All Scores'!AJ:AK,A279)</f>
        <v>2</v>
      </c>
      <c r="C279" s="186">
        <f ca="1">IFERROR(__xludf.DUMMYFUNCTION("MIN(FILTER('All Scores'!AI$2:AI$1024, ('All Scores'!AJ$2:AJ$1024 = A279) + ('All Scores'!AK$2:AK$1024 = A279)))"),6)</f>
        <v>6</v>
      </c>
      <c r="D279" s="187">
        <f ca="1">IFERROR(__xludf.DUMMYFUNCTION("AVERAGE(FILTER('All Scores'!AI$2:AI$1024, ('All Scores'!AJ$2:AJ$1024 = A279) + ('All Scores'!AK$2:AK$1024 = A279))
)
"),9)</f>
        <v>9</v>
      </c>
      <c r="E279" s="6">
        <f ca="1">IFERROR(__xludf.DUMMYFUNCTION("SUM(FILTER('All Scores'!AF$2:AF$1024, ('All Scores'!AJ$2:AJ$1024 = A279) + ('All Scores'!AK$2:AK$1024 = A279)))
"),162)</f>
        <v>162</v>
      </c>
      <c r="F279" s="6">
        <f ca="1">IFERROR(__xludf.DUMMYFUNCTION("SUM(FILTER('All Scores'!AD$2:AD$1024, ('All Scores'!AJ$2:AJ$1024 = A279) + ('All Scores'!AK$2:AK$1024 = A279)))
"),90)</f>
        <v>90</v>
      </c>
      <c r="G279" s="21">
        <f t="shared" ca="1" si="2"/>
        <v>0.55555555555555558</v>
      </c>
      <c r="H279" s="169"/>
      <c r="I279" s="169"/>
      <c r="J279" s="6"/>
      <c r="K279" s="188"/>
      <c r="L279" s="189"/>
      <c r="M279" s="189"/>
      <c r="N279" s="6"/>
      <c r="O279" s="6"/>
      <c r="P279" s="6"/>
      <c r="Q279" s="169"/>
      <c r="R279" s="6"/>
      <c r="S279" s="6"/>
      <c r="T279" s="169"/>
      <c r="U279" s="6"/>
      <c r="V279" s="169"/>
      <c r="W279" s="169"/>
      <c r="X279" s="169"/>
      <c r="Y279" s="169"/>
      <c r="Z279" s="169"/>
      <c r="AA279" s="169"/>
      <c r="AB279" s="169"/>
      <c r="AC279" s="169"/>
      <c r="AD279" s="169"/>
      <c r="AE279" s="169"/>
      <c r="AF279" s="169"/>
      <c r="AG279" s="169"/>
      <c r="AH279" s="169"/>
      <c r="AI279" s="169"/>
      <c r="AJ279" s="169"/>
      <c r="AK279" s="169"/>
      <c r="AL279" s="169"/>
      <c r="AM279" s="169"/>
      <c r="AN279" s="169"/>
      <c r="AO279" s="169"/>
      <c r="AP279" s="169"/>
      <c r="AQ279" s="169"/>
      <c r="AR279" s="169"/>
    </row>
    <row r="280" spans="1:44" ht="12.5">
      <c r="A280" s="169" t="str">
        <f ca="1">IFERROR(__xludf.DUMMYFUNCTION("""COMPUTED_VALUE"""),"Maki True")</f>
        <v>Maki True</v>
      </c>
      <c r="B280" s="186">
        <f ca="1">COUNTIF('All Scores'!AJ:AK,A280)</f>
        <v>2</v>
      </c>
      <c r="C280" s="186">
        <f ca="1">IFERROR(__xludf.DUMMYFUNCTION("MIN(FILTER('All Scores'!AI$2:AI$1024, ('All Scores'!AJ$2:AJ$1024 = A280) + ('All Scores'!AK$2:AK$1024 = A280)))"),13)</f>
        <v>13</v>
      </c>
      <c r="D280" s="187">
        <f ca="1">IFERROR(__xludf.DUMMYFUNCTION("AVERAGE(FILTER('All Scores'!AI$2:AI$1024, ('All Scores'!AJ$2:AJ$1024 = A280) + ('All Scores'!AK$2:AK$1024 = A280))
)
"),14.5)</f>
        <v>14.5</v>
      </c>
      <c r="E280" s="6">
        <f ca="1">IFERROR(__xludf.DUMMYFUNCTION("SUM(FILTER('All Scores'!AF$2:AF$1024, ('All Scores'!AJ$2:AJ$1024 = A280) + ('All Scores'!AK$2:AK$1024 = A280)))
"),118)</f>
        <v>118</v>
      </c>
      <c r="F280" s="6">
        <f ca="1">IFERROR(__xludf.DUMMYFUNCTION("SUM(FILTER('All Scores'!AD$2:AD$1024, ('All Scores'!AJ$2:AJ$1024 = A280) + ('All Scores'!AK$2:AK$1024 = A280)))
"),41)</f>
        <v>41</v>
      </c>
      <c r="G280" s="21">
        <f t="shared" ca="1" si="2"/>
        <v>0.34745762711864409</v>
      </c>
      <c r="H280" s="169"/>
      <c r="I280" s="169"/>
      <c r="J280" s="6"/>
      <c r="K280" s="188"/>
      <c r="L280" s="189"/>
      <c r="M280" s="189"/>
      <c r="N280" s="6"/>
      <c r="O280" s="6"/>
      <c r="P280" s="6"/>
      <c r="Q280" s="169"/>
      <c r="R280" s="6"/>
      <c r="S280" s="6"/>
      <c r="T280" s="169"/>
      <c r="U280" s="6"/>
      <c r="V280" s="169"/>
      <c r="W280" s="169"/>
      <c r="X280" s="169"/>
      <c r="Y280" s="169"/>
      <c r="Z280" s="169"/>
      <c r="AA280" s="169"/>
      <c r="AB280" s="169"/>
      <c r="AC280" s="169"/>
      <c r="AD280" s="169"/>
      <c r="AE280" s="169"/>
      <c r="AF280" s="169"/>
      <c r="AG280" s="169"/>
      <c r="AH280" s="169"/>
      <c r="AI280" s="169"/>
      <c r="AJ280" s="169"/>
      <c r="AK280" s="169"/>
      <c r="AL280" s="169"/>
      <c r="AM280" s="169"/>
      <c r="AN280" s="169"/>
      <c r="AO280" s="169"/>
      <c r="AP280" s="169"/>
      <c r="AQ280" s="169"/>
      <c r="AR280" s="169"/>
    </row>
    <row r="281" spans="1:44" ht="12.5">
      <c r="A281" s="169" t="str">
        <f ca="1">IFERROR(__xludf.DUMMYFUNCTION("""COMPUTED_VALUE"""),"Mallory Daniels")</f>
        <v>Mallory Daniels</v>
      </c>
      <c r="B281" s="186">
        <f ca="1">COUNTIF('All Scores'!AJ:AK,A281)</f>
        <v>3</v>
      </c>
      <c r="C281" s="186">
        <f ca="1">IFERROR(__xludf.DUMMYFUNCTION("MIN(FILTER('All Scores'!AI$2:AI$1024, ('All Scores'!AJ$2:AJ$1024 = A281) + ('All Scores'!AK$2:AK$1024 = A281)))"),2)</f>
        <v>2</v>
      </c>
      <c r="D281" s="187">
        <f ca="1">IFERROR(__xludf.DUMMYFUNCTION("AVERAGE(FILTER('All Scores'!AI$2:AI$1024, ('All Scores'!AJ$2:AJ$1024 = A281) + ('All Scores'!AK$2:AK$1024 = A281))
)
"),6.33333333333333)</f>
        <v>6.3333333333333304</v>
      </c>
      <c r="E281" s="6">
        <f ca="1">IFERROR(__xludf.DUMMYFUNCTION("SUM(FILTER('All Scores'!AF$2:AF$1024, ('All Scores'!AJ$2:AJ$1024 = A281) + ('All Scores'!AK$2:AK$1024 = A281)))
"),260)</f>
        <v>260</v>
      </c>
      <c r="F281" s="6">
        <f ca="1">IFERROR(__xludf.DUMMYFUNCTION("SUM(FILTER('All Scores'!AD$2:AD$1024, ('All Scores'!AJ$2:AJ$1024 = A281) + ('All Scores'!AK$2:AK$1024 = A281)))
"),155)</f>
        <v>155</v>
      </c>
      <c r="G281" s="21">
        <f t="shared" ca="1" si="2"/>
        <v>0.59615384615384615</v>
      </c>
      <c r="H281" s="169"/>
      <c r="I281" s="169"/>
      <c r="J281" s="6"/>
      <c r="K281" s="188"/>
      <c r="L281" s="189"/>
      <c r="M281" s="189"/>
      <c r="N281" s="6"/>
      <c r="O281" s="6"/>
      <c r="P281" s="6"/>
      <c r="Q281" s="169"/>
      <c r="R281" s="6"/>
      <c r="S281" s="6"/>
      <c r="T281" s="169"/>
      <c r="U281" s="6"/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169"/>
      <c r="AI281" s="169"/>
      <c r="AJ281" s="169"/>
      <c r="AK281" s="169"/>
      <c r="AL281" s="169"/>
      <c r="AM281" s="169"/>
      <c r="AN281" s="169"/>
      <c r="AO281" s="169"/>
      <c r="AP281" s="169"/>
      <c r="AQ281" s="169"/>
      <c r="AR281" s="169"/>
    </row>
    <row r="282" spans="1:44" ht="12.5">
      <c r="A282" s="169" t="str">
        <f ca="1">IFERROR(__xludf.DUMMYFUNCTION("""COMPUTED_VALUE"""),"Mallory Plungkhen")</f>
        <v>Mallory Plungkhen</v>
      </c>
      <c r="B282" s="186">
        <f ca="1">COUNTIF('All Scores'!AJ:AK,A282)</f>
        <v>1</v>
      </c>
      <c r="C282" s="186">
        <f ca="1">IFERROR(__xludf.DUMMYFUNCTION("MIN(FILTER('All Scores'!AI$2:AI$1024, ('All Scores'!AJ$2:AJ$1024 = A282) + ('All Scores'!AK$2:AK$1024 = A282)))"),4)</f>
        <v>4</v>
      </c>
      <c r="D282" s="187">
        <f ca="1">IFERROR(__xludf.DUMMYFUNCTION("AVERAGE(FILTER('All Scores'!AI$2:AI$1024, ('All Scores'!AJ$2:AJ$1024 = A282) + ('All Scores'!AK$2:AK$1024 = A282))
)
"),4)</f>
        <v>4</v>
      </c>
      <c r="E282" s="6">
        <f ca="1">IFERROR(__xludf.DUMMYFUNCTION("SUM(FILTER('All Scores'!AF$2:AF$1024, ('All Scores'!AJ$2:AJ$1024 = A282) + ('All Scores'!AK$2:AK$1024 = A282)))
"),92)</f>
        <v>92</v>
      </c>
      <c r="F282" s="6">
        <f ca="1">IFERROR(__xludf.DUMMYFUNCTION("SUM(FILTER('All Scores'!AD$2:AD$1024, ('All Scores'!AJ$2:AJ$1024 = A282) + ('All Scores'!AK$2:AK$1024 = A282)))
"),48)</f>
        <v>48</v>
      </c>
      <c r="G282" s="21">
        <f t="shared" ca="1" si="2"/>
        <v>0.52173913043478259</v>
      </c>
      <c r="H282" s="169"/>
      <c r="I282" s="169"/>
      <c r="J282" s="6"/>
      <c r="K282" s="188"/>
      <c r="L282" s="189"/>
      <c r="M282" s="189"/>
      <c r="N282" s="6"/>
      <c r="O282" s="6"/>
      <c r="P282" s="6"/>
      <c r="Q282" s="169"/>
      <c r="R282" s="6"/>
      <c r="S282" s="6"/>
      <c r="T282" s="169"/>
      <c r="U282" s="6"/>
      <c r="V282" s="169"/>
      <c r="W282" s="169"/>
      <c r="X282" s="169"/>
      <c r="Y282" s="169"/>
      <c r="Z282" s="169"/>
      <c r="AA282" s="169"/>
      <c r="AB282" s="169"/>
      <c r="AC282" s="169"/>
      <c r="AD282" s="169"/>
      <c r="AE282" s="169"/>
      <c r="AF282" s="169"/>
      <c r="AG282" s="169"/>
      <c r="AH282" s="169"/>
      <c r="AI282" s="169"/>
      <c r="AJ282" s="169"/>
      <c r="AK282" s="169"/>
      <c r="AL282" s="169"/>
      <c r="AM282" s="169"/>
      <c r="AN282" s="169"/>
      <c r="AO282" s="169"/>
      <c r="AP282" s="169"/>
      <c r="AQ282" s="169"/>
      <c r="AR282" s="169"/>
    </row>
    <row r="283" spans="1:44" ht="12.5">
      <c r="A283" s="169" t="str">
        <f ca="1">IFERROR(__xludf.DUMMYFUNCTION("""COMPUTED_VALUE"""),"Marc Richard")</f>
        <v>Marc Richard</v>
      </c>
      <c r="B283" s="186">
        <f ca="1">COUNTIF('All Scores'!AJ:AK,A283)</f>
        <v>4</v>
      </c>
      <c r="C283" s="186">
        <f ca="1">IFERROR(__xludf.DUMMYFUNCTION("MIN(FILTER('All Scores'!AI$2:AI$1024, ('All Scores'!AJ$2:AJ$1024 = A283) + ('All Scores'!AK$2:AK$1024 = A283)))"),1)</f>
        <v>1</v>
      </c>
      <c r="D283" s="187">
        <f ca="1">IFERROR(__xludf.DUMMYFUNCTION("AVERAGE(FILTER('All Scores'!AI$2:AI$1024, ('All Scores'!AJ$2:AJ$1024 = A283) + ('All Scores'!AK$2:AK$1024 = A283))
)
"),6)</f>
        <v>6</v>
      </c>
      <c r="E283" s="6">
        <f ca="1">IFERROR(__xludf.DUMMYFUNCTION("SUM(FILTER('All Scores'!AF$2:AF$1024, ('All Scores'!AJ$2:AJ$1024 = A283) + ('All Scores'!AK$2:AK$1024 = A283)))
"),346)</f>
        <v>346</v>
      </c>
      <c r="F283" s="6">
        <f ca="1">IFERROR(__xludf.DUMMYFUNCTION("SUM(FILTER('All Scores'!AD$2:AD$1024, ('All Scores'!AJ$2:AJ$1024 = A283) + ('All Scores'!AK$2:AK$1024 = A283)))
"),191)</f>
        <v>191</v>
      </c>
      <c r="G283" s="21">
        <f t="shared" ca="1" si="2"/>
        <v>0.55202312138728327</v>
      </c>
      <c r="H283" s="169"/>
      <c r="I283" s="169"/>
      <c r="J283" s="6"/>
      <c r="K283" s="188"/>
      <c r="L283" s="189"/>
      <c r="M283" s="189"/>
      <c r="N283" s="6"/>
      <c r="O283" s="6"/>
      <c r="P283" s="6"/>
      <c r="Q283" s="169"/>
      <c r="R283" s="6"/>
      <c r="S283" s="6"/>
      <c r="T283" s="169"/>
      <c r="U283" s="6"/>
      <c r="V283" s="169"/>
      <c r="W283" s="169"/>
      <c r="X283" s="169"/>
      <c r="Y283" s="169"/>
      <c r="Z283" s="169"/>
      <c r="AA283" s="169"/>
      <c r="AB283" s="169"/>
      <c r="AC283" s="169"/>
      <c r="AD283" s="169"/>
      <c r="AE283" s="169"/>
      <c r="AF283" s="169"/>
      <c r="AG283" s="169"/>
      <c r="AH283" s="169"/>
      <c r="AI283" s="169"/>
      <c r="AJ283" s="169"/>
      <c r="AK283" s="169"/>
      <c r="AL283" s="169"/>
      <c r="AM283" s="169"/>
      <c r="AN283" s="169"/>
      <c r="AO283" s="169"/>
      <c r="AP283" s="169"/>
      <c r="AQ283" s="169"/>
      <c r="AR283" s="169"/>
    </row>
    <row r="284" spans="1:44" ht="12.5">
      <c r="A284" s="169" t="str">
        <f ca="1">IFERROR(__xludf.DUMMYFUNCTION("""COMPUTED_VALUE"""),"Marcella Prock")</f>
        <v>Marcella Prock</v>
      </c>
      <c r="B284" s="186">
        <f ca="1">COUNTIF('All Scores'!AJ:AK,A284)</f>
        <v>2</v>
      </c>
      <c r="C284" s="186">
        <f ca="1">IFERROR(__xludf.DUMMYFUNCTION("MIN(FILTER('All Scores'!AI$2:AI$1024, ('All Scores'!AJ$2:AJ$1024 = A284) + ('All Scores'!AK$2:AK$1024 = A284)))"),13)</f>
        <v>13</v>
      </c>
      <c r="D284" s="187">
        <f ca="1">IFERROR(__xludf.DUMMYFUNCTION("AVERAGE(FILTER('All Scores'!AI$2:AI$1024, ('All Scores'!AJ$2:AJ$1024 = A284) + ('All Scores'!AK$2:AK$1024 = A284))
)
"),14)</f>
        <v>14</v>
      </c>
      <c r="E284" s="6">
        <f ca="1">IFERROR(__xludf.DUMMYFUNCTION("SUM(FILTER('All Scores'!AF$2:AF$1024, ('All Scores'!AJ$2:AJ$1024 = A284) + ('All Scores'!AK$2:AK$1024 = A284)))
"),133)</f>
        <v>133</v>
      </c>
      <c r="F284" s="6">
        <f ca="1">IFERROR(__xludf.DUMMYFUNCTION("SUM(FILTER('All Scores'!AD$2:AD$1024, ('All Scores'!AJ$2:AJ$1024 = A284) + ('All Scores'!AK$2:AK$1024 = A284)))
"),49)</f>
        <v>49</v>
      </c>
      <c r="G284" s="21">
        <f t="shared" ca="1" si="2"/>
        <v>0.36842105263157893</v>
      </c>
      <c r="H284" s="169"/>
      <c r="I284" s="169"/>
      <c r="J284" s="6"/>
      <c r="K284" s="188"/>
      <c r="L284" s="189"/>
      <c r="M284" s="189"/>
      <c r="N284" s="6"/>
      <c r="O284" s="6"/>
      <c r="P284" s="6"/>
      <c r="Q284" s="169"/>
      <c r="R284" s="6"/>
      <c r="S284" s="6"/>
      <c r="T284" s="169"/>
      <c r="U284" s="6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  <c r="AI284" s="169"/>
      <c r="AJ284" s="169"/>
      <c r="AK284" s="169"/>
      <c r="AL284" s="169"/>
      <c r="AM284" s="169"/>
      <c r="AN284" s="169"/>
      <c r="AO284" s="169"/>
      <c r="AP284" s="169"/>
      <c r="AQ284" s="169"/>
      <c r="AR284" s="169"/>
    </row>
    <row r="285" spans="1:44" ht="12.5">
      <c r="A285" s="169" t="str">
        <f ca="1">IFERROR(__xludf.DUMMYFUNCTION("""COMPUTED_VALUE"""),"Margaret Filbert")</f>
        <v>Margaret Filbert</v>
      </c>
      <c r="B285" s="186">
        <f ca="1">COUNTIF('All Scores'!AJ:AK,A285)</f>
        <v>1</v>
      </c>
      <c r="C285" s="186">
        <f ca="1">IFERROR(__xludf.DUMMYFUNCTION("MIN(FILTER('All Scores'!AI$2:AI$1024, ('All Scores'!AJ$2:AJ$1024 = A285) + ('All Scores'!AK$2:AK$1024 = A285)))"),30)</f>
        <v>30</v>
      </c>
      <c r="D285" s="187">
        <f ca="1">IFERROR(__xludf.DUMMYFUNCTION("AVERAGE(FILTER('All Scores'!AI$2:AI$1024, ('All Scores'!AJ$2:AJ$1024 = A285) + ('All Scores'!AK$2:AK$1024 = A285))
)
"),30)</f>
        <v>30</v>
      </c>
      <c r="E285" s="6">
        <f ca="1">IFERROR(__xludf.DUMMYFUNCTION("SUM(FILTER('All Scores'!AF$2:AF$1024, ('All Scores'!AJ$2:AJ$1024 = A285) + ('All Scores'!AK$2:AK$1024 = A285)))
"),45)</f>
        <v>45</v>
      </c>
      <c r="F285" s="6">
        <f ca="1">IFERROR(__xludf.DUMMYFUNCTION("SUM(FILTER('All Scores'!AD$2:AD$1024, ('All Scores'!AJ$2:AJ$1024 = A285) + ('All Scores'!AK$2:AK$1024 = A285)))
"),18)</f>
        <v>18</v>
      </c>
      <c r="G285" s="21">
        <f t="shared" ca="1" si="2"/>
        <v>0.4</v>
      </c>
      <c r="H285" s="169"/>
      <c r="I285" s="169"/>
      <c r="J285" s="6"/>
      <c r="K285" s="188"/>
      <c r="L285" s="189"/>
      <c r="M285" s="189"/>
      <c r="N285" s="6"/>
      <c r="O285" s="6"/>
      <c r="P285" s="6"/>
      <c r="Q285" s="169"/>
      <c r="R285" s="6"/>
      <c r="S285" s="6"/>
      <c r="T285" s="169"/>
      <c r="U285" s="6"/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169"/>
      <c r="AI285" s="169"/>
      <c r="AJ285" s="169"/>
      <c r="AK285" s="169"/>
      <c r="AL285" s="169"/>
      <c r="AM285" s="169"/>
      <c r="AN285" s="169"/>
      <c r="AO285" s="169"/>
      <c r="AP285" s="169"/>
      <c r="AQ285" s="169"/>
      <c r="AR285" s="169"/>
    </row>
    <row r="286" spans="1:44" ht="12.5">
      <c r="A286" s="169" t="str">
        <f ca="1">IFERROR(__xludf.DUMMYFUNCTION("""COMPUTED_VALUE"""),"Maria Andrew")</f>
        <v>Maria Andrew</v>
      </c>
      <c r="B286" s="186">
        <f ca="1">COUNTIF('All Scores'!AJ:AK,A286)</f>
        <v>6</v>
      </c>
      <c r="C286" s="186">
        <f ca="1">IFERROR(__xludf.DUMMYFUNCTION("MIN(FILTER('All Scores'!AI$2:AI$1024, ('All Scores'!AJ$2:AJ$1024 = A286) + ('All Scores'!AK$2:AK$1024 = A286)))"),3)</f>
        <v>3</v>
      </c>
      <c r="D286" s="187">
        <f ca="1">IFERROR(__xludf.DUMMYFUNCTION("AVERAGE(FILTER('All Scores'!AI$2:AI$1024, ('All Scores'!AJ$2:AJ$1024 = A286) + ('All Scores'!AK$2:AK$1024 = A286))
)
"),7.5)</f>
        <v>7.5</v>
      </c>
      <c r="E286" s="6">
        <f ca="1">IFERROR(__xludf.DUMMYFUNCTION("SUM(FILTER('All Scores'!AF$2:AF$1024, ('All Scores'!AJ$2:AJ$1024 = A286) + ('All Scores'!AK$2:AK$1024 = A286)))
"),522)</f>
        <v>522</v>
      </c>
      <c r="F286" s="6">
        <f ca="1">IFERROR(__xludf.DUMMYFUNCTION("SUM(FILTER('All Scores'!AD$2:AD$1024, ('All Scores'!AJ$2:AJ$1024 = A286) + ('All Scores'!AK$2:AK$1024 = A286)))
"),272)</f>
        <v>272</v>
      </c>
      <c r="G286" s="21">
        <f t="shared" ca="1" si="2"/>
        <v>0.52107279693486586</v>
      </c>
      <c r="H286" s="169"/>
      <c r="I286" s="169"/>
      <c r="J286" s="6"/>
      <c r="K286" s="188"/>
      <c r="L286" s="189"/>
      <c r="M286" s="189"/>
      <c r="N286" s="6"/>
      <c r="O286" s="6"/>
      <c r="P286" s="6"/>
      <c r="Q286" s="169"/>
      <c r="R286" s="6"/>
      <c r="S286" s="6"/>
      <c r="T286" s="169"/>
      <c r="U286" s="6"/>
      <c r="V286" s="169"/>
      <c r="W286" s="169"/>
      <c r="X286" s="169"/>
      <c r="Y286" s="169"/>
      <c r="Z286" s="169"/>
      <c r="AA286" s="169"/>
      <c r="AB286" s="169"/>
      <c r="AC286" s="169"/>
      <c r="AD286" s="169"/>
      <c r="AE286" s="169"/>
      <c r="AF286" s="169"/>
      <c r="AG286" s="169"/>
      <c r="AH286" s="169"/>
      <c r="AI286" s="169"/>
      <c r="AJ286" s="169"/>
      <c r="AK286" s="169"/>
      <c r="AL286" s="169"/>
      <c r="AM286" s="169"/>
      <c r="AN286" s="169"/>
      <c r="AO286" s="169"/>
      <c r="AP286" s="169"/>
      <c r="AQ286" s="169"/>
      <c r="AR286" s="169"/>
    </row>
    <row r="287" spans="1:44" ht="12.5">
      <c r="A287" s="169" t="str">
        <f ca="1">IFERROR(__xludf.DUMMYFUNCTION("""COMPUTED_VALUE"""),"Maria Bello")</f>
        <v>Maria Bello</v>
      </c>
      <c r="B287" s="186">
        <f ca="1">COUNTIF('All Scores'!AJ:AK,A287)</f>
        <v>1</v>
      </c>
      <c r="C287" s="186">
        <f ca="1">IFERROR(__xludf.DUMMYFUNCTION("MIN(FILTER('All Scores'!AI$2:AI$1024, ('All Scores'!AJ$2:AJ$1024 = A287) + ('All Scores'!AK$2:AK$1024 = A287)))"),8)</f>
        <v>8</v>
      </c>
      <c r="D287" s="187">
        <f ca="1">IFERROR(__xludf.DUMMYFUNCTION("AVERAGE(FILTER('All Scores'!AI$2:AI$1024, ('All Scores'!AJ$2:AJ$1024 = A287) + ('All Scores'!AK$2:AK$1024 = A287))
)
"),8)</f>
        <v>8</v>
      </c>
      <c r="E287" s="6">
        <f ca="1">IFERROR(__xludf.DUMMYFUNCTION("SUM(FILTER('All Scores'!AF$2:AF$1024, ('All Scores'!AJ$2:AJ$1024 = A287) + ('All Scores'!AK$2:AK$1024 = A287)))
"),97)</f>
        <v>97</v>
      </c>
      <c r="F287" s="6">
        <f ca="1">IFERROR(__xludf.DUMMYFUNCTION("SUM(FILTER('All Scores'!AD$2:AD$1024, ('All Scores'!AJ$2:AJ$1024 = A287) + ('All Scores'!AK$2:AK$1024 = A287)))
"),43)</f>
        <v>43</v>
      </c>
      <c r="G287" s="21">
        <f t="shared" ca="1" si="2"/>
        <v>0.44329896907216493</v>
      </c>
      <c r="H287" s="169"/>
      <c r="I287" s="169"/>
      <c r="J287" s="6"/>
      <c r="K287" s="188"/>
      <c r="L287" s="189"/>
      <c r="M287" s="189"/>
      <c r="N287" s="6"/>
      <c r="O287" s="6"/>
      <c r="P287" s="6"/>
      <c r="Q287" s="169"/>
      <c r="R287" s="6"/>
      <c r="S287" s="6"/>
      <c r="T287" s="169"/>
      <c r="U287" s="6"/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169"/>
      <c r="AI287" s="169"/>
      <c r="AJ287" s="169"/>
      <c r="AK287" s="169"/>
      <c r="AL287" s="169"/>
      <c r="AM287" s="169"/>
      <c r="AN287" s="169"/>
      <c r="AO287" s="169"/>
      <c r="AP287" s="169"/>
      <c r="AQ287" s="169"/>
      <c r="AR287" s="169"/>
    </row>
    <row r="288" spans="1:44" ht="12.5">
      <c r="A288" s="169" t="str">
        <f ca="1">IFERROR(__xludf.DUMMYFUNCTION("""COMPUTED_VALUE"""),"Maria Moore")</f>
        <v>Maria Moore</v>
      </c>
      <c r="B288" s="186">
        <f ca="1">COUNTIF('All Scores'!AJ:AK,A288)</f>
        <v>3</v>
      </c>
      <c r="C288" s="186">
        <f ca="1">IFERROR(__xludf.DUMMYFUNCTION("MIN(FILTER('All Scores'!AI$2:AI$1024, ('All Scores'!AJ$2:AJ$1024 = A288) + ('All Scores'!AK$2:AK$1024 = A288)))"),2)</f>
        <v>2</v>
      </c>
      <c r="D288" s="187">
        <f ca="1">IFERROR(__xludf.DUMMYFUNCTION("AVERAGE(FILTER('All Scores'!AI$2:AI$1024, ('All Scores'!AJ$2:AJ$1024 = A288) + ('All Scores'!AK$2:AK$1024 = A288))
)
"),7)</f>
        <v>7</v>
      </c>
      <c r="E288" s="6">
        <f ca="1">IFERROR(__xludf.DUMMYFUNCTION("SUM(FILTER('All Scores'!AF$2:AF$1024, ('All Scores'!AJ$2:AJ$1024 = A288) + ('All Scores'!AK$2:AK$1024 = A288)))
"),291)</f>
        <v>291</v>
      </c>
      <c r="F288" s="6">
        <f ca="1">IFERROR(__xludf.DUMMYFUNCTION("SUM(FILTER('All Scores'!AD$2:AD$1024, ('All Scores'!AJ$2:AJ$1024 = A288) + ('All Scores'!AK$2:AK$1024 = A288)))
"),158)</f>
        <v>158</v>
      </c>
      <c r="G288" s="21">
        <f t="shared" ca="1" si="2"/>
        <v>0.54295532646048106</v>
      </c>
      <c r="H288" s="169"/>
      <c r="I288" s="169"/>
      <c r="J288" s="6"/>
      <c r="K288" s="188"/>
      <c r="L288" s="189"/>
      <c r="M288" s="189"/>
      <c r="N288" s="6"/>
      <c r="O288" s="6"/>
      <c r="P288" s="6"/>
      <c r="Q288" s="169"/>
      <c r="R288" s="6"/>
      <c r="S288" s="6"/>
      <c r="T288" s="169"/>
      <c r="U288" s="6"/>
      <c r="V288" s="169"/>
      <c r="W288" s="169"/>
      <c r="X288" s="169"/>
      <c r="Y288" s="169"/>
      <c r="Z288" s="169"/>
      <c r="AA288" s="169"/>
      <c r="AB288" s="169"/>
      <c r="AC288" s="169"/>
      <c r="AD288" s="169"/>
      <c r="AE288" s="169"/>
      <c r="AF288" s="169"/>
      <c r="AG288" s="169"/>
      <c r="AH288" s="169"/>
      <c r="AI288" s="169"/>
      <c r="AJ288" s="169"/>
      <c r="AK288" s="169"/>
      <c r="AL288" s="169"/>
      <c r="AM288" s="169"/>
      <c r="AN288" s="169"/>
      <c r="AO288" s="169"/>
      <c r="AP288" s="169"/>
      <c r="AQ288" s="169"/>
      <c r="AR288" s="169"/>
    </row>
    <row r="289" spans="1:44" ht="12.5">
      <c r="A289" s="169" t="str">
        <f ca="1">IFERROR(__xludf.DUMMYFUNCTION("""COMPUTED_VALUE"""),"Mark Kuhls")</f>
        <v>Mark Kuhls</v>
      </c>
      <c r="B289" s="186">
        <f ca="1">COUNTIF('All Scores'!AJ:AK,A289)</f>
        <v>1</v>
      </c>
      <c r="C289" s="186">
        <f ca="1">IFERROR(__xludf.DUMMYFUNCTION("MIN(FILTER('All Scores'!AI$2:AI$1024, ('All Scores'!AJ$2:AJ$1024 = A289) + ('All Scores'!AK$2:AK$1024 = A289)))"),6)</f>
        <v>6</v>
      </c>
      <c r="D289" s="187">
        <f ca="1">IFERROR(__xludf.DUMMYFUNCTION("AVERAGE(FILTER('All Scores'!AI$2:AI$1024, ('All Scores'!AJ$2:AJ$1024 = A289) + ('All Scores'!AK$2:AK$1024 = A289))
)
"),6)</f>
        <v>6</v>
      </c>
      <c r="E289" s="6">
        <f ca="1">IFERROR(__xludf.DUMMYFUNCTION("SUM(FILTER('All Scores'!AF$2:AF$1024, ('All Scores'!AJ$2:AJ$1024 = A289) + ('All Scores'!AK$2:AK$1024 = A289)))
"),78)</f>
        <v>78</v>
      </c>
      <c r="F289" s="6">
        <f ca="1">IFERROR(__xludf.DUMMYFUNCTION("SUM(FILTER('All Scores'!AD$2:AD$1024, ('All Scores'!AJ$2:AJ$1024 = A289) + ('All Scores'!AK$2:AK$1024 = A289)))
"),52)</f>
        <v>52</v>
      </c>
      <c r="G289" s="21">
        <f t="shared" ca="1" si="2"/>
        <v>0.66666666666666663</v>
      </c>
      <c r="H289" s="169"/>
      <c r="I289" s="169"/>
      <c r="J289" s="6"/>
      <c r="K289" s="188"/>
      <c r="L289" s="189"/>
      <c r="M289" s="189"/>
      <c r="N289" s="6"/>
      <c r="O289" s="6"/>
      <c r="P289" s="6"/>
      <c r="Q289" s="169"/>
      <c r="R289" s="6"/>
      <c r="S289" s="6"/>
      <c r="T289" s="169"/>
      <c r="U289" s="6"/>
      <c r="V289" s="169"/>
      <c r="W289" s="169"/>
      <c r="X289" s="169"/>
      <c r="Y289" s="169"/>
      <c r="Z289" s="169"/>
      <c r="AA289" s="169"/>
      <c r="AB289" s="169"/>
      <c r="AC289" s="169"/>
      <c r="AD289" s="169"/>
      <c r="AE289" s="169"/>
      <c r="AF289" s="169"/>
      <c r="AG289" s="169"/>
      <c r="AH289" s="169"/>
      <c r="AI289" s="169"/>
      <c r="AJ289" s="169"/>
      <c r="AK289" s="169"/>
      <c r="AL289" s="169"/>
      <c r="AM289" s="169"/>
      <c r="AN289" s="169"/>
      <c r="AO289" s="169"/>
      <c r="AP289" s="169"/>
      <c r="AQ289" s="169"/>
      <c r="AR289" s="169"/>
    </row>
    <row r="290" spans="1:44" ht="12.5">
      <c r="A290" s="169" t="str">
        <f ca="1">IFERROR(__xludf.DUMMYFUNCTION("""COMPUTED_VALUE"""),"Mark McDonald")</f>
        <v>Mark McDonald</v>
      </c>
      <c r="B290" s="186">
        <f ca="1">COUNTIF('All Scores'!AJ:AK,A290)</f>
        <v>3</v>
      </c>
      <c r="C290" s="186">
        <f ca="1">IFERROR(__xludf.DUMMYFUNCTION("MIN(FILTER('All Scores'!AI$2:AI$1024, ('All Scores'!AJ$2:AJ$1024 = A290) + ('All Scores'!AK$2:AK$1024 = A290)))"),7)</f>
        <v>7</v>
      </c>
      <c r="D290" s="187">
        <f ca="1">IFERROR(__xludf.DUMMYFUNCTION("AVERAGE(FILTER('All Scores'!AI$2:AI$1024, ('All Scores'!AJ$2:AJ$1024 = A290) + ('All Scores'!AK$2:AK$1024 = A290))
)
"),10.3333333333333)</f>
        <v>10.3333333333333</v>
      </c>
      <c r="E290" s="6">
        <f ca="1">IFERROR(__xludf.DUMMYFUNCTION("SUM(FILTER('All Scores'!AF$2:AF$1024, ('All Scores'!AJ$2:AJ$1024 = A290) + ('All Scores'!AK$2:AK$1024 = A290)))
"),212)</f>
        <v>212</v>
      </c>
      <c r="F290" s="6">
        <f ca="1">IFERROR(__xludf.DUMMYFUNCTION("SUM(FILTER('All Scores'!AD$2:AD$1024, ('All Scores'!AJ$2:AJ$1024 = A290) + ('All Scores'!AK$2:AK$1024 = A290)))
"),94)</f>
        <v>94</v>
      </c>
      <c r="G290" s="21">
        <f t="shared" ca="1" si="2"/>
        <v>0.44339622641509435</v>
      </c>
      <c r="H290" s="169"/>
      <c r="I290" s="169"/>
      <c r="J290" s="6"/>
      <c r="K290" s="188"/>
      <c r="L290" s="189"/>
      <c r="M290" s="189"/>
      <c r="N290" s="6"/>
      <c r="O290" s="6"/>
      <c r="P290" s="6"/>
      <c r="Q290" s="169"/>
      <c r="R290" s="6"/>
      <c r="S290" s="6"/>
      <c r="T290" s="169"/>
      <c r="U290" s="6"/>
      <c r="V290" s="169"/>
      <c r="W290" s="169"/>
      <c r="X290" s="169"/>
      <c r="Y290" s="169"/>
      <c r="Z290" s="169"/>
      <c r="AA290" s="169"/>
      <c r="AB290" s="169"/>
      <c r="AC290" s="169"/>
      <c r="AD290" s="169"/>
      <c r="AE290" s="169"/>
      <c r="AF290" s="169"/>
      <c r="AG290" s="169"/>
      <c r="AH290" s="169"/>
      <c r="AI290" s="169"/>
      <c r="AJ290" s="169"/>
      <c r="AK290" s="169"/>
      <c r="AL290" s="169"/>
      <c r="AM290" s="169"/>
      <c r="AN290" s="169"/>
      <c r="AO290" s="169"/>
      <c r="AP290" s="169"/>
      <c r="AQ290" s="169"/>
      <c r="AR290" s="169"/>
    </row>
    <row r="291" spans="1:44" ht="12.5">
      <c r="A291" s="169" t="str">
        <f ca="1">IFERROR(__xludf.DUMMYFUNCTION("""COMPUTED_VALUE"""),"Mark Murphy")</f>
        <v>Mark Murphy</v>
      </c>
      <c r="B291" s="186">
        <f ca="1">COUNTIF('All Scores'!AJ:AK,A291)</f>
        <v>5</v>
      </c>
      <c r="C291" s="186">
        <f ca="1">IFERROR(__xludf.DUMMYFUNCTION("MIN(FILTER('All Scores'!AI$2:AI$1024, ('All Scores'!AJ$2:AJ$1024 = A291) + ('All Scores'!AK$2:AK$1024 = A291)))"),7)</f>
        <v>7</v>
      </c>
      <c r="D291" s="187">
        <f ca="1">IFERROR(__xludf.DUMMYFUNCTION("AVERAGE(FILTER('All Scores'!AI$2:AI$1024, ('All Scores'!AJ$2:AJ$1024 = A291) + ('All Scores'!AK$2:AK$1024 = A291))
)
"),13)</f>
        <v>13</v>
      </c>
      <c r="E291" s="6">
        <f ca="1">IFERROR(__xludf.DUMMYFUNCTION("SUM(FILTER('All Scores'!AF$2:AF$1024, ('All Scores'!AJ$2:AJ$1024 = A291) + ('All Scores'!AK$2:AK$1024 = A291)))
"),271)</f>
        <v>271</v>
      </c>
      <c r="F291" s="6">
        <f ca="1">IFERROR(__xludf.DUMMYFUNCTION("SUM(FILTER('All Scores'!AD$2:AD$1024, ('All Scores'!AJ$2:AJ$1024 = A291) + ('All Scores'!AK$2:AK$1024 = A291)))
"),107)</f>
        <v>107</v>
      </c>
      <c r="G291" s="21">
        <f t="shared" ca="1" si="2"/>
        <v>0.39483394833948338</v>
      </c>
      <c r="H291" s="169"/>
      <c r="I291" s="169"/>
      <c r="J291" s="6"/>
      <c r="K291" s="188"/>
      <c r="L291" s="189"/>
      <c r="M291" s="189"/>
      <c r="N291" s="6"/>
      <c r="O291" s="6"/>
      <c r="P291" s="6"/>
      <c r="Q291" s="169"/>
      <c r="R291" s="6"/>
      <c r="S291" s="6"/>
      <c r="T291" s="169"/>
      <c r="U291" s="6"/>
      <c r="V291" s="169"/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169"/>
      <c r="AG291" s="169"/>
      <c r="AH291" s="169"/>
      <c r="AI291" s="169"/>
      <c r="AJ291" s="169"/>
      <c r="AK291" s="169"/>
      <c r="AL291" s="169"/>
      <c r="AM291" s="169"/>
      <c r="AN291" s="169"/>
      <c r="AO291" s="169"/>
      <c r="AP291" s="169"/>
      <c r="AQ291" s="169"/>
      <c r="AR291" s="169"/>
    </row>
    <row r="292" spans="1:44" ht="12.5">
      <c r="A292" s="169" t="str">
        <f ca="1">IFERROR(__xludf.DUMMYFUNCTION("""COMPUTED_VALUE"""),"Mark Schneeberger")</f>
        <v>Mark Schneeberger</v>
      </c>
      <c r="B292" s="186">
        <f ca="1">COUNTIF('All Scores'!AJ:AK,A292)</f>
        <v>2</v>
      </c>
      <c r="C292" s="186">
        <f ca="1">IFERROR(__xludf.DUMMYFUNCTION("MIN(FILTER('All Scores'!AI$2:AI$1024, ('All Scores'!AJ$2:AJ$1024 = A292) + ('All Scores'!AK$2:AK$1024 = A292)))"),4)</f>
        <v>4</v>
      </c>
      <c r="D292" s="187">
        <f ca="1">IFERROR(__xludf.DUMMYFUNCTION("AVERAGE(FILTER('All Scores'!AI$2:AI$1024, ('All Scores'!AJ$2:AJ$1024 = A292) + ('All Scores'!AK$2:AK$1024 = A292))
)
"),7.5)</f>
        <v>7.5</v>
      </c>
      <c r="E292" s="6">
        <f ca="1">IFERROR(__xludf.DUMMYFUNCTION("SUM(FILTER('All Scores'!AF$2:AF$1024, ('All Scores'!AJ$2:AJ$1024 = A292) + ('All Scores'!AK$2:AK$1024 = A292)))
"),172)</f>
        <v>172</v>
      </c>
      <c r="F292" s="6">
        <f ca="1">IFERROR(__xludf.DUMMYFUNCTION("SUM(FILTER('All Scores'!AD$2:AD$1024, ('All Scores'!AJ$2:AJ$1024 = A292) + ('All Scores'!AK$2:AK$1024 = A292)))
"),93)</f>
        <v>93</v>
      </c>
      <c r="G292" s="21">
        <f t="shared" ca="1" si="2"/>
        <v>0.54069767441860461</v>
      </c>
      <c r="H292" s="169"/>
      <c r="I292" s="169"/>
      <c r="J292" s="6"/>
      <c r="K292" s="188"/>
      <c r="L292" s="189"/>
      <c r="M292" s="189"/>
      <c r="N292" s="6"/>
      <c r="O292" s="6"/>
      <c r="P292" s="6"/>
      <c r="Q292" s="169"/>
      <c r="R292" s="6"/>
      <c r="S292" s="6"/>
      <c r="T292" s="169"/>
      <c r="U292" s="6"/>
      <c r="V292" s="169"/>
      <c r="W292" s="169"/>
      <c r="X292" s="169"/>
      <c r="Y292" s="169"/>
      <c r="Z292" s="169"/>
      <c r="AA292" s="169"/>
      <c r="AB292" s="169"/>
      <c r="AC292" s="169"/>
      <c r="AD292" s="169"/>
      <c r="AE292" s="169"/>
      <c r="AF292" s="169"/>
      <c r="AG292" s="169"/>
      <c r="AH292" s="169"/>
      <c r="AI292" s="169"/>
      <c r="AJ292" s="169"/>
      <c r="AK292" s="169"/>
      <c r="AL292" s="169"/>
      <c r="AM292" s="169"/>
      <c r="AN292" s="169"/>
      <c r="AO292" s="169"/>
      <c r="AP292" s="169"/>
      <c r="AQ292" s="169"/>
      <c r="AR292" s="169"/>
    </row>
    <row r="293" spans="1:44" ht="12.5">
      <c r="A293" s="169" t="str">
        <f ca="1">IFERROR(__xludf.DUMMYFUNCTION("""COMPUTED_VALUE"""),"Marlin Carlson")</f>
        <v>Marlin Carlson</v>
      </c>
      <c r="B293" s="186">
        <f ca="1">COUNTIF('All Scores'!AJ:AK,A293)</f>
        <v>8</v>
      </c>
      <c r="C293" s="186">
        <f ca="1">IFERROR(__xludf.DUMMYFUNCTION("MIN(FILTER('All Scores'!AI$2:AI$1024, ('All Scores'!AJ$2:AJ$1024 = A293) + ('All Scores'!AK$2:AK$1024 = A293)))"),1)</f>
        <v>1</v>
      </c>
      <c r="D293" s="187">
        <f ca="1">IFERROR(__xludf.DUMMYFUNCTION("AVERAGE(FILTER('All Scores'!AI$2:AI$1024, ('All Scores'!AJ$2:AJ$1024 = A293) + ('All Scores'!AK$2:AK$1024 = A293))
)
"),7.25)</f>
        <v>7.25</v>
      </c>
      <c r="E293" s="6">
        <f ca="1">IFERROR(__xludf.DUMMYFUNCTION("SUM(FILTER('All Scores'!AF$2:AF$1024, ('All Scores'!AJ$2:AJ$1024 = A293) + ('All Scores'!AK$2:AK$1024 = A293)))
"),590)</f>
        <v>590</v>
      </c>
      <c r="F293" s="6">
        <f ca="1">IFERROR(__xludf.DUMMYFUNCTION("SUM(FILTER('All Scores'!AD$2:AD$1024, ('All Scores'!AJ$2:AJ$1024 = A293) + ('All Scores'!AK$2:AK$1024 = A293)))
"),310)</f>
        <v>310</v>
      </c>
      <c r="G293" s="21">
        <f t="shared" ca="1" si="2"/>
        <v>0.52542372881355937</v>
      </c>
      <c r="H293" s="169"/>
      <c r="I293" s="169"/>
      <c r="J293" s="6"/>
      <c r="K293" s="188"/>
      <c r="L293" s="189"/>
      <c r="M293" s="189"/>
      <c r="N293" s="6"/>
      <c r="O293" s="6"/>
      <c r="P293" s="6"/>
      <c r="Q293" s="169"/>
      <c r="R293" s="6"/>
      <c r="S293" s="6"/>
      <c r="T293" s="169"/>
      <c r="U293" s="6"/>
      <c r="V293" s="169"/>
      <c r="W293" s="169"/>
      <c r="X293" s="169"/>
      <c r="Y293" s="169"/>
      <c r="Z293" s="169"/>
      <c r="AA293" s="169"/>
      <c r="AB293" s="169"/>
      <c r="AC293" s="169"/>
      <c r="AD293" s="169"/>
      <c r="AE293" s="169"/>
      <c r="AF293" s="169"/>
      <c r="AG293" s="169"/>
      <c r="AH293" s="169"/>
      <c r="AI293" s="169"/>
      <c r="AJ293" s="169"/>
      <c r="AK293" s="169"/>
      <c r="AL293" s="169"/>
      <c r="AM293" s="169"/>
      <c r="AN293" s="169"/>
      <c r="AO293" s="169"/>
      <c r="AP293" s="169"/>
      <c r="AQ293" s="169"/>
      <c r="AR293" s="169"/>
    </row>
    <row r="294" spans="1:44" ht="12.5">
      <c r="A294" s="169" t="str">
        <f ca="1">IFERROR(__xludf.DUMMYFUNCTION("""COMPUTED_VALUE"""),"Mary Pflanz")</f>
        <v>Mary Pflanz</v>
      </c>
      <c r="B294" s="186">
        <f ca="1">COUNTIF('All Scores'!AJ:AK,A294)</f>
        <v>7</v>
      </c>
      <c r="C294" s="186">
        <f ca="1">IFERROR(__xludf.DUMMYFUNCTION("MIN(FILTER('All Scores'!AI$2:AI$1024, ('All Scores'!AJ$2:AJ$1024 = A294) + ('All Scores'!AK$2:AK$1024 = A294)))"),3)</f>
        <v>3</v>
      </c>
      <c r="D294" s="187">
        <f ca="1">IFERROR(__xludf.DUMMYFUNCTION("AVERAGE(FILTER('All Scores'!AI$2:AI$1024, ('All Scores'!AJ$2:AJ$1024 = A294) + ('All Scores'!AK$2:AK$1024 = A294))
)
"),7.14285714285714)</f>
        <v>7.1428571428571397</v>
      </c>
      <c r="E294" s="6">
        <f ca="1">IFERROR(__xludf.DUMMYFUNCTION("SUM(FILTER('All Scores'!AF$2:AF$1024, ('All Scores'!AJ$2:AJ$1024 = A294) + ('All Scores'!AK$2:AK$1024 = A294)))
"),606)</f>
        <v>606</v>
      </c>
      <c r="F294" s="6">
        <f ca="1">IFERROR(__xludf.DUMMYFUNCTION("SUM(FILTER('All Scores'!AD$2:AD$1024, ('All Scores'!AJ$2:AJ$1024 = A294) + ('All Scores'!AK$2:AK$1024 = A294)))
"),315)</f>
        <v>315</v>
      </c>
      <c r="G294" s="21">
        <f t="shared" ca="1" si="2"/>
        <v>0.51980198019801982</v>
      </c>
      <c r="H294" s="169"/>
      <c r="I294" s="169"/>
      <c r="J294" s="6"/>
      <c r="K294" s="188"/>
      <c r="L294" s="189"/>
      <c r="M294" s="189"/>
      <c r="N294" s="6"/>
      <c r="O294" s="6"/>
      <c r="P294" s="6"/>
      <c r="Q294" s="169"/>
      <c r="R294" s="6"/>
      <c r="S294" s="6"/>
      <c r="T294" s="169"/>
      <c r="U294" s="6"/>
      <c r="V294" s="169"/>
      <c r="W294" s="169"/>
      <c r="X294" s="169"/>
      <c r="Y294" s="169"/>
      <c r="Z294" s="169"/>
      <c r="AA294" s="169"/>
      <c r="AB294" s="169"/>
      <c r="AC294" s="169"/>
      <c r="AD294" s="169"/>
      <c r="AE294" s="169"/>
      <c r="AF294" s="169"/>
      <c r="AG294" s="169"/>
      <c r="AH294" s="169"/>
      <c r="AI294" s="169"/>
      <c r="AJ294" s="169"/>
      <c r="AK294" s="169"/>
      <c r="AL294" s="169"/>
      <c r="AM294" s="169"/>
      <c r="AN294" s="169"/>
      <c r="AO294" s="169"/>
      <c r="AP294" s="169"/>
      <c r="AQ294" s="169"/>
      <c r="AR294" s="169"/>
    </row>
    <row r="295" spans="1:44" ht="12.5">
      <c r="A295" s="169" t="str">
        <f ca="1">IFERROR(__xludf.DUMMYFUNCTION("""COMPUTED_VALUE"""),"Mary Sanchez")</f>
        <v>Mary Sanchez</v>
      </c>
      <c r="B295" s="186">
        <f ca="1">COUNTIF('All Scores'!AJ:AK,A295)</f>
        <v>4</v>
      </c>
      <c r="C295" s="186">
        <f ca="1">IFERROR(__xludf.DUMMYFUNCTION("MIN(FILTER('All Scores'!AI$2:AI$1024, ('All Scores'!AJ$2:AJ$1024 = A295) + ('All Scores'!AK$2:AK$1024 = A295)))"),9)</f>
        <v>9</v>
      </c>
      <c r="D295" s="187">
        <f ca="1">IFERROR(__xludf.DUMMYFUNCTION("AVERAGE(FILTER('All Scores'!AI$2:AI$1024, ('All Scores'!AJ$2:AJ$1024 = A295) + ('All Scores'!AK$2:AK$1024 = A295))
)
"),15.25)</f>
        <v>15.25</v>
      </c>
      <c r="E295" s="6">
        <f ca="1">IFERROR(__xludf.DUMMYFUNCTION("SUM(FILTER('All Scores'!AF$2:AF$1024, ('All Scores'!AJ$2:AJ$1024 = A295) + ('All Scores'!AK$2:AK$1024 = A295)))
"),207)</f>
        <v>207</v>
      </c>
      <c r="F295" s="6">
        <f ca="1">IFERROR(__xludf.DUMMYFUNCTION("SUM(FILTER('All Scores'!AD$2:AD$1024, ('All Scores'!AJ$2:AJ$1024 = A295) + ('All Scores'!AK$2:AK$1024 = A295)))
"),89)</f>
        <v>89</v>
      </c>
      <c r="G295" s="21">
        <f t="shared" ca="1" si="2"/>
        <v>0.42995169082125606</v>
      </c>
      <c r="H295" s="169"/>
      <c r="I295" s="169"/>
      <c r="J295" s="6"/>
      <c r="K295" s="188"/>
      <c r="L295" s="189"/>
      <c r="M295" s="189"/>
      <c r="N295" s="6"/>
      <c r="O295" s="6"/>
      <c r="P295" s="6"/>
      <c r="Q295" s="169"/>
      <c r="R295" s="6"/>
      <c r="S295" s="6"/>
      <c r="T295" s="169"/>
      <c r="U295" s="6"/>
      <c r="V295" s="169"/>
      <c r="W295" s="169"/>
      <c r="X295" s="169"/>
      <c r="Y295" s="169"/>
      <c r="Z295" s="169"/>
      <c r="AA295" s="169"/>
      <c r="AB295" s="169"/>
      <c r="AC295" s="169"/>
      <c r="AD295" s="169"/>
      <c r="AE295" s="169"/>
      <c r="AF295" s="169"/>
      <c r="AG295" s="169"/>
      <c r="AH295" s="169"/>
      <c r="AI295" s="169"/>
      <c r="AJ295" s="169"/>
      <c r="AK295" s="169"/>
      <c r="AL295" s="169"/>
      <c r="AM295" s="169"/>
      <c r="AN295" s="169"/>
      <c r="AO295" s="169"/>
      <c r="AP295" s="169"/>
      <c r="AQ295" s="169"/>
      <c r="AR295" s="169"/>
    </row>
    <row r="296" spans="1:44" ht="12.5">
      <c r="A296" s="169" t="str">
        <f ca="1">IFERROR(__xludf.DUMMYFUNCTION("""COMPUTED_VALUE"""),"Mary Sandefur")</f>
        <v>Mary Sandefur</v>
      </c>
      <c r="B296" s="186">
        <f ca="1">COUNTIF('All Scores'!AJ:AK,A296)</f>
        <v>2</v>
      </c>
      <c r="C296" s="186">
        <f ca="1">IFERROR(__xludf.DUMMYFUNCTION("MIN(FILTER('All Scores'!AI$2:AI$1024, ('All Scores'!AJ$2:AJ$1024 = A296) + ('All Scores'!AK$2:AK$1024 = A296)))"),1)</f>
        <v>1</v>
      </c>
      <c r="D296" s="187">
        <f ca="1">IFERROR(__xludf.DUMMYFUNCTION("AVERAGE(FILTER('All Scores'!AI$2:AI$1024, ('All Scores'!AJ$2:AJ$1024 = A296) + ('All Scores'!AK$2:AK$1024 = A296))
)
"),8)</f>
        <v>8</v>
      </c>
      <c r="E296" s="6">
        <f ca="1">IFERROR(__xludf.DUMMYFUNCTION("SUM(FILTER('All Scores'!AF$2:AF$1024, ('All Scores'!AJ$2:AJ$1024 = A296) + ('All Scores'!AK$2:AK$1024 = A296)))
"),183)</f>
        <v>183</v>
      </c>
      <c r="F296" s="6">
        <f ca="1">IFERROR(__xludf.DUMMYFUNCTION("SUM(FILTER('All Scores'!AD$2:AD$1024, ('All Scores'!AJ$2:AJ$1024 = A296) + ('All Scores'!AK$2:AK$1024 = A296)))
"),103)</f>
        <v>103</v>
      </c>
      <c r="G296" s="21">
        <f t="shared" ca="1" si="2"/>
        <v>0.56284153005464477</v>
      </c>
      <c r="H296" s="169"/>
      <c r="I296" s="169"/>
      <c r="J296" s="6"/>
      <c r="K296" s="188"/>
      <c r="L296" s="189"/>
      <c r="M296" s="189"/>
      <c r="N296" s="6"/>
      <c r="O296" s="6"/>
      <c r="P296" s="6"/>
      <c r="Q296" s="169"/>
      <c r="R296" s="6"/>
      <c r="S296" s="6"/>
      <c r="T296" s="169"/>
      <c r="U296" s="6"/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69"/>
      <c r="AN296" s="169"/>
      <c r="AO296" s="169"/>
      <c r="AP296" s="169"/>
      <c r="AQ296" s="169"/>
      <c r="AR296" s="169"/>
    </row>
    <row r="297" spans="1:44" ht="12.5">
      <c r="A297" s="169" t="str">
        <f ca="1">IFERROR(__xludf.DUMMYFUNCTION("""COMPUTED_VALUE"""),"Mary Thornton")</f>
        <v>Mary Thornton</v>
      </c>
      <c r="B297" s="186">
        <f ca="1">COUNTIF('All Scores'!AJ:AK,A297)</f>
        <v>6</v>
      </c>
      <c r="C297" s="186">
        <f ca="1">IFERROR(__xludf.DUMMYFUNCTION("MIN(FILTER('All Scores'!AI$2:AI$1024, ('All Scores'!AJ$2:AJ$1024 = A297) + ('All Scores'!AK$2:AK$1024 = A297)))"),1)</f>
        <v>1</v>
      </c>
      <c r="D297" s="187">
        <f ca="1">IFERROR(__xludf.DUMMYFUNCTION("AVERAGE(FILTER('All Scores'!AI$2:AI$1024, ('All Scores'!AJ$2:AJ$1024 = A297) + ('All Scores'!AK$2:AK$1024 = A297))
)
"),10.1666666666666)</f>
        <v>10.1666666666666</v>
      </c>
      <c r="E297" s="6">
        <f ca="1">IFERROR(__xludf.DUMMYFUNCTION("SUM(FILTER('All Scores'!AF$2:AF$1024, ('All Scores'!AJ$2:AJ$1024 = A297) + ('All Scores'!AK$2:AK$1024 = A297)))
"),418)</f>
        <v>418</v>
      </c>
      <c r="F297" s="6">
        <f ca="1">IFERROR(__xludf.DUMMYFUNCTION("SUM(FILTER('All Scores'!AD$2:AD$1024, ('All Scores'!AJ$2:AJ$1024 = A297) + ('All Scores'!AK$2:AK$1024 = A297)))
"),223)</f>
        <v>223</v>
      </c>
      <c r="G297" s="21">
        <f t="shared" ca="1" si="2"/>
        <v>0.53349282296650713</v>
      </c>
      <c r="H297" s="169"/>
      <c r="I297" s="169"/>
      <c r="J297" s="6"/>
      <c r="K297" s="188"/>
      <c r="L297" s="189"/>
      <c r="M297" s="189"/>
      <c r="N297" s="6"/>
      <c r="O297" s="6"/>
      <c r="P297" s="6"/>
      <c r="Q297" s="169"/>
      <c r="R297" s="6"/>
      <c r="S297" s="6"/>
      <c r="T297" s="169"/>
      <c r="U297" s="6"/>
      <c r="V297" s="169"/>
      <c r="W297" s="169"/>
      <c r="X297" s="169"/>
      <c r="Y297" s="169"/>
      <c r="Z297" s="169"/>
      <c r="AA297" s="169"/>
      <c r="AB297" s="169"/>
      <c r="AC297" s="169"/>
      <c r="AD297" s="169"/>
      <c r="AE297" s="169"/>
      <c r="AF297" s="169"/>
      <c r="AG297" s="169"/>
      <c r="AH297" s="169"/>
      <c r="AI297" s="169"/>
      <c r="AJ297" s="169"/>
      <c r="AK297" s="169"/>
      <c r="AL297" s="169"/>
      <c r="AM297" s="169"/>
      <c r="AN297" s="169"/>
      <c r="AO297" s="169"/>
      <c r="AP297" s="169"/>
      <c r="AQ297" s="169"/>
      <c r="AR297" s="169"/>
    </row>
    <row r="298" spans="1:44" ht="12.5">
      <c r="A298" s="169" t="str">
        <f ca="1">IFERROR(__xludf.DUMMYFUNCTION("""COMPUTED_VALUE"""),"Maryn Petty")</f>
        <v>Maryn Petty</v>
      </c>
      <c r="B298" s="186">
        <f ca="1">COUNTIF('All Scores'!AJ:AK,A298)</f>
        <v>1</v>
      </c>
      <c r="C298" s="186">
        <f ca="1">IFERROR(__xludf.DUMMYFUNCTION("MIN(FILTER('All Scores'!AI$2:AI$1024, ('All Scores'!AJ$2:AJ$1024 = A298) + ('All Scores'!AK$2:AK$1024 = A298)))"),13)</f>
        <v>13</v>
      </c>
      <c r="D298" s="187">
        <f ca="1">IFERROR(__xludf.DUMMYFUNCTION("AVERAGE(FILTER('All Scores'!AI$2:AI$1024, ('All Scores'!AJ$2:AJ$1024 = A298) + ('All Scores'!AK$2:AK$1024 = A298))
)
"),13)</f>
        <v>13</v>
      </c>
      <c r="E298" s="6">
        <f ca="1">IFERROR(__xludf.DUMMYFUNCTION("SUM(FILTER('All Scores'!AF$2:AF$1024, ('All Scores'!AJ$2:AJ$1024 = A298) + ('All Scores'!AK$2:AK$1024 = A298)))
"),68)</f>
        <v>68</v>
      </c>
      <c r="F298" s="6">
        <f ca="1">IFERROR(__xludf.DUMMYFUNCTION("SUM(FILTER('All Scores'!AD$2:AD$1024, ('All Scores'!AJ$2:AJ$1024 = A298) + ('All Scores'!AK$2:AK$1024 = A298)))
"),24)</f>
        <v>24</v>
      </c>
      <c r="G298" s="21">
        <f t="shared" ca="1" si="2"/>
        <v>0.35294117647058826</v>
      </c>
      <c r="H298" s="169"/>
      <c r="I298" s="169"/>
      <c r="J298" s="6"/>
      <c r="K298" s="188"/>
      <c r="L298" s="189"/>
      <c r="M298" s="189"/>
      <c r="N298" s="6"/>
      <c r="O298" s="6"/>
      <c r="P298" s="6"/>
      <c r="Q298" s="169"/>
      <c r="R298" s="6"/>
      <c r="S298" s="6"/>
      <c r="T298" s="169"/>
      <c r="U298" s="6"/>
      <c r="V298" s="169"/>
      <c r="W298" s="169"/>
      <c r="X298" s="169"/>
      <c r="Y298" s="169"/>
      <c r="Z298" s="169"/>
      <c r="AA298" s="169"/>
      <c r="AB298" s="169"/>
      <c r="AC298" s="169"/>
      <c r="AD298" s="169"/>
      <c r="AE298" s="169"/>
      <c r="AF298" s="169"/>
      <c r="AG298" s="169"/>
      <c r="AH298" s="169"/>
      <c r="AI298" s="169"/>
      <c r="AJ298" s="169"/>
      <c r="AK298" s="169"/>
      <c r="AL298" s="169"/>
      <c r="AM298" s="169"/>
      <c r="AN298" s="169"/>
      <c r="AO298" s="169"/>
      <c r="AP298" s="169"/>
      <c r="AQ298" s="169"/>
      <c r="AR298" s="169"/>
    </row>
    <row r="299" spans="1:44" ht="12.5">
      <c r="A299" s="169" t="str">
        <f ca="1">IFERROR(__xludf.DUMMYFUNCTION("""COMPUTED_VALUE"""),"Matt Don")</f>
        <v>Matt Don</v>
      </c>
      <c r="B299" s="186">
        <f ca="1">COUNTIF('All Scores'!AJ:AK,A299)</f>
        <v>1</v>
      </c>
      <c r="C299" s="186">
        <f ca="1">IFERROR(__xludf.DUMMYFUNCTION("MIN(FILTER('All Scores'!AI$2:AI$1024, ('All Scores'!AJ$2:AJ$1024 = A299) + ('All Scores'!AK$2:AK$1024 = A299)))"),1)</f>
        <v>1</v>
      </c>
      <c r="D299" s="187">
        <f ca="1">IFERROR(__xludf.DUMMYFUNCTION("AVERAGE(FILTER('All Scores'!AI$2:AI$1024, ('All Scores'!AJ$2:AJ$1024 = A299) + ('All Scores'!AK$2:AK$1024 = A299))
)
"),1)</f>
        <v>1</v>
      </c>
      <c r="E299" s="6">
        <f ca="1">IFERROR(__xludf.DUMMYFUNCTION("SUM(FILTER('All Scores'!AF$2:AF$1024, ('All Scores'!AJ$2:AJ$1024 = A299) + ('All Scores'!AK$2:AK$1024 = A299)))
"),105)</f>
        <v>105</v>
      </c>
      <c r="F299" s="6">
        <f ca="1">IFERROR(__xludf.DUMMYFUNCTION("SUM(FILTER('All Scores'!AD$2:AD$1024, ('All Scores'!AJ$2:AJ$1024 = A299) + ('All Scores'!AK$2:AK$1024 = A299)))
"),68)</f>
        <v>68</v>
      </c>
      <c r="G299" s="21">
        <f t="shared" ca="1" si="2"/>
        <v>0.64761904761904765</v>
      </c>
      <c r="H299" s="169"/>
      <c r="I299" s="169"/>
      <c r="J299" s="6"/>
      <c r="K299" s="188"/>
      <c r="L299" s="189"/>
      <c r="M299" s="189"/>
      <c r="N299" s="6"/>
      <c r="O299" s="6"/>
      <c r="P299" s="6"/>
      <c r="Q299" s="169"/>
      <c r="R299" s="6"/>
      <c r="S299" s="6"/>
      <c r="T299" s="169"/>
      <c r="U299" s="6"/>
      <c r="V299" s="169"/>
      <c r="W299" s="169"/>
      <c r="X299" s="169"/>
      <c r="Y299" s="169"/>
      <c r="Z299" s="169"/>
      <c r="AA299" s="169"/>
      <c r="AB299" s="169"/>
      <c r="AC299" s="169"/>
      <c r="AD299" s="169"/>
      <c r="AE299" s="169"/>
      <c r="AF299" s="169"/>
      <c r="AG299" s="169"/>
      <c r="AH299" s="169"/>
      <c r="AI299" s="169"/>
      <c r="AJ299" s="169"/>
      <c r="AK299" s="169"/>
      <c r="AL299" s="169"/>
      <c r="AM299" s="169"/>
      <c r="AN299" s="169"/>
      <c r="AO299" s="169"/>
      <c r="AP299" s="169"/>
      <c r="AQ299" s="169"/>
      <c r="AR299" s="169"/>
    </row>
    <row r="300" spans="1:44" ht="12.5">
      <c r="A300" s="169" t="str">
        <f ca="1">IFERROR(__xludf.DUMMYFUNCTION("""COMPUTED_VALUE"""),"Matt Hood")</f>
        <v>Matt Hood</v>
      </c>
      <c r="B300" s="186">
        <f ca="1">COUNTIF('All Scores'!AJ:AK,A300)</f>
        <v>10</v>
      </c>
      <c r="C300" s="186">
        <f ca="1">IFERROR(__xludf.DUMMYFUNCTION("MIN(FILTER('All Scores'!AI$2:AI$1024, ('All Scores'!AJ$2:AJ$1024 = A300) + ('All Scores'!AK$2:AK$1024 = A300)))"),3)</f>
        <v>3</v>
      </c>
      <c r="D300" s="187">
        <f ca="1">IFERROR(__xludf.DUMMYFUNCTION("AVERAGE(FILTER('All Scores'!AI$2:AI$1024, ('All Scores'!AJ$2:AJ$1024 = A300) + ('All Scores'!AK$2:AK$1024 = A300))
)
"),11.5)</f>
        <v>11.5</v>
      </c>
      <c r="E300" s="6">
        <f ca="1">IFERROR(__xludf.DUMMYFUNCTION("SUM(FILTER('All Scores'!AF$2:AF$1024, ('All Scores'!AJ$2:AJ$1024 = A300) + ('All Scores'!AK$2:AK$1024 = A300)))
"),587)</f>
        <v>587</v>
      </c>
      <c r="F300" s="6">
        <f ca="1">IFERROR(__xludf.DUMMYFUNCTION("SUM(FILTER('All Scores'!AD$2:AD$1024, ('All Scores'!AJ$2:AJ$1024 = A300) + ('All Scores'!AK$2:AK$1024 = A300)))
"),257)</f>
        <v>257</v>
      </c>
      <c r="G300" s="21">
        <f t="shared" ca="1" si="2"/>
        <v>0.43781942078364566</v>
      </c>
      <c r="H300" s="169"/>
      <c r="I300" s="169"/>
      <c r="J300" s="6"/>
      <c r="K300" s="188"/>
      <c r="L300" s="189"/>
      <c r="M300" s="189"/>
      <c r="N300" s="6"/>
      <c r="O300" s="6"/>
      <c r="P300" s="6"/>
      <c r="Q300" s="169"/>
      <c r="R300" s="6"/>
      <c r="S300" s="6"/>
      <c r="T300" s="169"/>
      <c r="U300" s="6"/>
      <c r="V300" s="169"/>
      <c r="W300" s="169"/>
      <c r="X300" s="169"/>
      <c r="Y300" s="169"/>
      <c r="Z300" s="169"/>
      <c r="AA300" s="169"/>
      <c r="AB300" s="169"/>
      <c r="AC300" s="169"/>
      <c r="AD300" s="169"/>
      <c r="AE300" s="169"/>
      <c r="AF300" s="169"/>
      <c r="AG300" s="169"/>
      <c r="AH300" s="169"/>
      <c r="AI300" s="169"/>
      <c r="AJ300" s="169"/>
      <c r="AK300" s="169"/>
      <c r="AL300" s="169"/>
      <c r="AM300" s="169"/>
      <c r="AN300" s="169"/>
      <c r="AO300" s="169"/>
      <c r="AP300" s="169"/>
      <c r="AQ300" s="169"/>
      <c r="AR300" s="169"/>
    </row>
    <row r="301" spans="1:44" ht="12.5">
      <c r="A301" s="169" t="str">
        <f ca="1">IFERROR(__xludf.DUMMYFUNCTION("""COMPUTED_VALUE"""),"Matt Svoboda")</f>
        <v>Matt Svoboda</v>
      </c>
      <c r="B301" s="186">
        <f ca="1">COUNTIF('All Scores'!AJ:AK,A301)</f>
        <v>8</v>
      </c>
      <c r="C301" s="186">
        <f ca="1">IFERROR(__xludf.DUMMYFUNCTION("MIN(FILTER('All Scores'!AI$2:AI$1024, ('All Scores'!AJ$2:AJ$1024 = A301) + ('All Scores'!AK$2:AK$1024 = A301)))"),1)</f>
        <v>1</v>
      </c>
      <c r="D301" s="187">
        <f ca="1">IFERROR(__xludf.DUMMYFUNCTION("AVERAGE(FILTER('All Scores'!AI$2:AI$1024, ('All Scores'!AJ$2:AJ$1024 = A301) + ('All Scores'!AK$2:AK$1024 = A301))
)
"),8.75)</f>
        <v>8.75</v>
      </c>
      <c r="E301" s="6">
        <f ca="1">IFERROR(__xludf.DUMMYFUNCTION("SUM(FILTER('All Scores'!AF$2:AF$1024, ('All Scores'!AJ$2:AJ$1024 = A301) + ('All Scores'!AK$2:AK$1024 = A301)))
"),587)</f>
        <v>587</v>
      </c>
      <c r="F301" s="6">
        <f ca="1">IFERROR(__xludf.DUMMYFUNCTION("SUM(FILTER('All Scores'!AD$2:AD$1024, ('All Scores'!AJ$2:AJ$1024 = A301) + ('All Scores'!AK$2:AK$1024 = A301)))
"),310)</f>
        <v>310</v>
      </c>
      <c r="G301" s="21">
        <f t="shared" ca="1" si="2"/>
        <v>0.52810902896081768</v>
      </c>
      <c r="H301" s="169"/>
      <c r="I301" s="169"/>
      <c r="J301" s="6"/>
      <c r="K301" s="188"/>
      <c r="L301" s="189"/>
      <c r="M301" s="189"/>
      <c r="N301" s="6"/>
      <c r="O301" s="6"/>
      <c r="P301" s="6"/>
      <c r="Q301" s="169"/>
      <c r="R301" s="6"/>
      <c r="S301" s="6"/>
      <c r="T301" s="169"/>
      <c r="U301" s="6"/>
      <c r="V301" s="169"/>
      <c r="W301" s="169"/>
      <c r="X301" s="169"/>
      <c r="Y301" s="169"/>
      <c r="Z301" s="169"/>
      <c r="AA301" s="169"/>
      <c r="AB301" s="169"/>
      <c r="AC301" s="169"/>
      <c r="AD301" s="169"/>
      <c r="AE301" s="169"/>
      <c r="AF301" s="169"/>
      <c r="AG301" s="169"/>
      <c r="AH301" s="169"/>
      <c r="AI301" s="169"/>
      <c r="AJ301" s="169"/>
      <c r="AK301" s="169"/>
      <c r="AL301" s="169"/>
      <c r="AM301" s="169"/>
      <c r="AN301" s="169"/>
      <c r="AO301" s="169"/>
      <c r="AP301" s="169"/>
      <c r="AQ301" s="169"/>
      <c r="AR301" s="169"/>
    </row>
    <row r="302" spans="1:44" ht="12.5">
      <c r="A302" s="169" t="str">
        <f ca="1">IFERROR(__xludf.DUMMYFUNCTION("""COMPUTED_VALUE"""),"Matt Ward")</f>
        <v>Matt Ward</v>
      </c>
      <c r="B302" s="186">
        <f ca="1">COUNTIF('All Scores'!AJ:AK,A302)</f>
        <v>3</v>
      </c>
      <c r="C302" s="186">
        <f ca="1">IFERROR(__xludf.DUMMYFUNCTION("MIN(FILTER('All Scores'!AI$2:AI$1024, ('All Scores'!AJ$2:AJ$1024 = A302) + ('All Scores'!AK$2:AK$1024 = A302)))"),8)</f>
        <v>8</v>
      </c>
      <c r="D302" s="187">
        <f ca="1">IFERROR(__xludf.DUMMYFUNCTION("AVERAGE(FILTER('All Scores'!AI$2:AI$1024, ('All Scores'!AJ$2:AJ$1024 = A302) + ('All Scores'!AK$2:AK$1024 = A302))
)
"),10.6666666666666)</f>
        <v>10.6666666666666</v>
      </c>
      <c r="E302" s="6">
        <f ca="1">IFERROR(__xludf.DUMMYFUNCTION("SUM(FILTER('All Scores'!AF$2:AF$1024, ('All Scores'!AJ$2:AJ$1024 = A302) + ('All Scores'!AK$2:AK$1024 = A302)))
"),175)</f>
        <v>175</v>
      </c>
      <c r="F302" s="6">
        <f ca="1">IFERROR(__xludf.DUMMYFUNCTION("SUM(FILTER('All Scores'!AD$2:AD$1024, ('All Scores'!AJ$2:AJ$1024 = A302) + ('All Scores'!AK$2:AK$1024 = A302)))
"),79)</f>
        <v>79</v>
      </c>
      <c r="G302" s="21">
        <f t="shared" ca="1" si="2"/>
        <v>0.4514285714285714</v>
      </c>
      <c r="H302" s="169"/>
      <c r="I302" s="169"/>
      <c r="J302" s="6"/>
      <c r="K302" s="188"/>
      <c r="L302" s="189"/>
      <c r="M302" s="189"/>
      <c r="N302" s="6"/>
      <c r="O302" s="6"/>
      <c r="P302" s="6"/>
      <c r="Q302" s="169"/>
      <c r="R302" s="6"/>
      <c r="S302" s="6"/>
      <c r="T302" s="169"/>
      <c r="U302" s="6"/>
      <c r="V302" s="169"/>
      <c r="W302" s="169"/>
      <c r="X302" s="169"/>
      <c r="Y302" s="169"/>
      <c r="Z302" s="169"/>
      <c r="AA302" s="169"/>
      <c r="AB302" s="169"/>
      <c r="AC302" s="169"/>
      <c r="AD302" s="169"/>
      <c r="AE302" s="169"/>
      <c r="AF302" s="169"/>
      <c r="AG302" s="169"/>
      <c r="AH302" s="169"/>
      <c r="AI302" s="169"/>
      <c r="AJ302" s="169"/>
      <c r="AK302" s="169"/>
      <c r="AL302" s="169"/>
      <c r="AM302" s="169"/>
      <c r="AN302" s="169"/>
      <c r="AO302" s="169"/>
      <c r="AP302" s="169"/>
      <c r="AQ302" s="169"/>
      <c r="AR302" s="169"/>
    </row>
    <row r="303" spans="1:44" ht="12.5">
      <c r="A303" s="169" t="str">
        <f ca="1">IFERROR(__xludf.DUMMYFUNCTION("""COMPUTED_VALUE"""),"Matt Wilson")</f>
        <v>Matt Wilson</v>
      </c>
      <c r="B303" s="186">
        <f ca="1">COUNTIF('All Scores'!AJ:AK,A303)</f>
        <v>3</v>
      </c>
      <c r="C303" s="186">
        <f ca="1">IFERROR(__xludf.DUMMYFUNCTION("MIN(FILTER('All Scores'!AI$2:AI$1024, ('All Scores'!AJ$2:AJ$1024 = A303) + ('All Scores'!AK$2:AK$1024 = A303)))"),7)</f>
        <v>7</v>
      </c>
      <c r="D303" s="187">
        <f ca="1">IFERROR(__xludf.DUMMYFUNCTION("AVERAGE(FILTER('All Scores'!AI$2:AI$1024, ('All Scores'!AJ$2:AJ$1024 = A303) + ('All Scores'!AK$2:AK$1024 = A303))
)
"),9.66666666666666)</f>
        <v>9.6666666666666607</v>
      </c>
      <c r="E303" s="6">
        <f ca="1">IFERROR(__xludf.DUMMYFUNCTION("SUM(FILTER('All Scores'!AF$2:AF$1024, ('All Scores'!AJ$2:AJ$1024 = A303) + ('All Scores'!AK$2:AK$1024 = A303)))
"),169)</f>
        <v>169</v>
      </c>
      <c r="F303" s="6">
        <f ca="1">IFERROR(__xludf.DUMMYFUNCTION("SUM(FILTER('All Scores'!AD$2:AD$1024, ('All Scores'!AJ$2:AJ$1024 = A303) + ('All Scores'!AK$2:AK$1024 = A303)))
"),84)</f>
        <v>84</v>
      </c>
      <c r="G303" s="21">
        <f t="shared" ca="1" si="2"/>
        <v>0.49704142011834318</v>
      </c>
      <c r="H303" s="169"/>
      <c r="I303" s="169"/>
      <c r="J303" s="6"/>
      <c r="K303" s="188"/>
      <c r="L303" s="189"/>
      <c r="M303" s="189"/>
      <c r="N303" s="6"/>
      <c r="O303" s="6"/>
      <c r="P303" s="6"/>
      <c r="Q303" s="169"/>
      <c r="R303" s="6"/>
      <c r="S303" s="6"/>
      <c r="T303" s="169"/>
      <c r="U303" s="6"/>
      <c r="V303" s="169"/>
      <c r="W303" s="169"/>
      <c r="X303" s="169"/>
      <c r="Y303" s="169"/>
      <c r="Z303" s="169"/>
      <c r="AA303" s="169"/>
      <c r="AB303" s="169"/>
      <c r="AC303" s="169"/>
      <c r="AD303" s="169"/>
      <c r="AE303" s="169"/>
      <c r="AF303" s="169"/>
      <c r="AG303" s="169"/>
      <c r="AH303" s="169"/>
      <c r="AI303" s="169"/>
      <c r="AJ303" s="169"/>
      <c r="AK303" s="169"/>
      <c r="AL303" s="169"/>
      <c r="AM303" s="169"/>
      <c r="AN303" s="169"/>
      <c r="AO303" s="169"/>
      <c r="AP303" s="169"/>
      <c r="AQ303" s="169"/>
      <c r="AR303" s="169"/>
    </row>
    <row r="304" spans="1:44" ht="12.5">
      <c r="A304" s="169" t="str">
        <f ca="1">IFERROR(__xludf.DUMMYFUNCTION("""COMPUTED_VALUE"""),"Maulik Nanavati")</f>
        <v>Maulik Nanavati</v>
      </c>
      <c r="B304" s="186">
        <f ca="1">COUNTIF('All Scores'!AJ:AK,A304)</f>
        <v>2</v>
      </c>
      <c r="C304" s="186">
        <f ca="1">IFERROR(__xludf.DUMMYFUNCTION("MIN(FILTER('All Scores'!AI$2:AI$1024, ('All Scores'!AJ$2:AJ$1024 = A304) + ('All Scores'!AK$2:AK$1024 = A304)))"),1)</f>
        <v>1</v>
      </c>
      <c r="D304" s="187">
        <f ca="1">IFERROR(__xludf.DUMMYFUNCTION("AVERAGE(FILTER('All Scores'!AI$2:AI$1024, ('All Scores'!AJ$2:AJ$1024 = A304) + ('All Scores'!AK$2:AK$1024 = A304))
)
"),3)</f>
        <v>3</v>
      </c>
      <c r="E304" s="6">
        <f ca="1">IFERROR(__xludf.DUMMYFUNCTION("SUM(FILTER('All Scores'!AF$2:AF$1024, ('All Scores'!AJ$2:AJ$1024 = A304) + ('All Scores'!AK$2:AK$1024 = A304)))
"),189)</f>
        <v>189</v>
      </c>
      <c r="F304" s="6">
        <f ca="1">IFERROR(__xludf.DUMMYFUNCTION("SUM(FILTER('All Scores'!AD$2:AD$1024, ('All Scores'!AJ$2:AJ$1024 = A304) + ('All Scores'!AK$2:AK$1024 = A304)))
"),118)</f>
        <v>118</v>
      </c>
      <c r="G304" s="21">
        <f t="shared" ca="1" si="2"/>
        <v>0.6243386243386243</v>
      </c>
      <c r="H304" s="169"/>
      <c r="I304" s="169"/>
      <c r="J304" s="6"/>
      <c r="K304" s="188"/>
      <c r="L304" s="189"/>
      <c r="M304" s="189"/>
      <c r="N304" s="6"/>
      <c r="O304" s="6"/>
      <c r="P304" s="6"/>
      <c r="Q304" s="169"/>
      <c r="R304" s="6"/>
      <c r="S304" s="6"/>
      <c r="T304" s="169"/>
      <c r="U304" s="6"/>
      <c r="V304" s="169"/>
      <c r="W304" s="169"/>
      <c r="X304" s="169"/>
      <c r="Y304" s="169"/>
      <c r="Z304" s="169"/>
      <c r="AA304" s="169"/>
      <c r="AB304" s="169"/>
      <c r="AC304" s="169"/>
      <c r="AD304" s="169"/>
      <c r="AE304" s="169"/>
      <c r="AF304" s="169"/>
      <c r="AG304" s="169"/>
      <c r="AH304" s="169"/>
      <c r="AI304" s="169"/>
      <c r="AJ304" s="169"/>
      <c r="AK304" s="169"/>
      <c r="AL304" s="169"/>
      <c r="AM304" s="169"/>
      <c r="AN304" s="169"/>
      <c r="AO304" s="169"/>
      <c r="AP304" s="169"/>
      <c r="AQ304" s="169"/>
      <c r="AR304" s="169"/>
    </row>
    <row r="305" spans="1:44" ht="12.5">
      <c r="A305" s="169" t="str">
        <f ca="1">IFERROR(__xludf.DUMMYFUNCTION("""COMPUTED_VALUE"""),"Merritt Harrison")</f>
        <v>Merritt Harrison</v>
      </c>
      <c r="B305" s="186">
        <f ca="1">COUNTIF('All Scores'!AJ:AK,A305)</f>
        <v>1</v>
      </c>
      <c r="C305" s="186">
        <f ca="1">IFERROR(__xludf.DUMMYFUNCTION("MIN(FILTER('All Scores'!AI$2:AI$1024, ('All Scores'!AJ$2:AJ$1024 = A305) + ('All Scores'!AK$2:AK$1024 = A305)))"),18)</f>
        <v>18</v>
      </c>
      <c r="D305" s="187">
        <f ca="1">IFERROR(__xludf.DUMMYFUNCTION("AVERAGE(FILTER('All Scores'!AI$2:AI$1024, ('All Scores'!AJ$2:AJ$1024 = A305) + ('All Scores'!AK$2:AK$1024 = A305))
)
"),18)</f>
        <v>18</v>
      </c>
      <c r="E305" s="6">
        <f ca="1">IFERROR(__xludf.DUMMYFUNCTION("SUM(FILTER('All Scores'!AF$2:AF$1024, ('All Scores'!AJ$2:AJ$1024 = A305) + ('All Scores'!AK$2:AK$1024 = A305)))
"),61)</f>
        <v>61</v>
      </c>
      <c r="F305" s="6">
        <f ca="1">IFERROR(__xludf.DUMMYFUNCTION("SUM(FILTER('All Scores'!AD$2:AD$1024, ('All Scores'!AJ$2:AJ$1024 = A305) + ('All Scores'!AK$2:AK$1024 = A305)))
"),29)</f>
        <v>29</v>
      </c>
      <c r="G305" s="21">
        <f t="shared" ca="1" si="2"/>
        <v>0.47540983606557374</v>
      </c>
      <c r="H305" s="169"/>
      <c r="I305" s="169"/>
      <c r="J305" s="6"/>
      <c r="K305" s="188"/>
      <c r="L305" s="189"/>
      <c r="M305" s="189"/>
      <c r="N305" s="6"/>
      <c r="O305" s="6"/>
      <c r="P305" s="6"/>
      <c r="Q305" s="169"/>
      <c r="R305" s="6"/>
      <c r="S305" s="6"/>
      <c r="T305" s="169"/>
      <c r="U305" s="6"/>
      <c r="V305" s="169"/>
      <c r="W305" s="169"/>
      <c r="X305" s="169"/>
      <c r="Y305" s="169"/>
      <c r="Z305" s="169"/>
      <c r="AA305" s="169"/>
      <c r="AB305" s="169"/>
      <c r="AC305" s="169"/>
      <c r="AD305" s="169"/>
      <c r="AE305" s="169"/>
      <c r="AF305" s="169"/>
      <c r="AG305" s="169"/>
      <c r="AH305" s="169"/>
      <c r="AI305" s="169"/>
      <c r="AJ305" s="169"/>
      <c r="AK305" s="169"/>
      <c r="AL305" s="169"/>
      <c r="AM305" s="169"/>
      <c r="AN305" s="169"/>
      <c r="AO305" s="169"/>
      <c r="AP305" s="169"/>
      <c r="AQ305" s="169"/>
      <c r="AR305" s="169"/>
    </row>
    <row r="306" spans="1:44" ht="12.5">
      <c r="A306" s="169" t="str">
        <f ca="1">IFERROR(__xludf.DUMMYFUNCTION("""COMPUTED_VALUE"""),"Michael Curley")</f>
        <v>Michael Curley</v>
      </c>
      <c r="B306" s="186">
        <f ca="1">COUNTIF('All Scores'!AJ:AK,A306)</f>
        <v>1</v>
      </c>
      <c r="C306" s="186">
        <f ca="1">IFERROR(__xludf.DUMMYFUNCTION("MIN(FILTER('All Scores'!AI$2:AI$1024, ('All Scores'!AJ$2:AJ$1024 = A306) + ('All Scores'!AK$2:AK$1024 = A306)))"),15)</f>
        <v>15</v>
      </c>
      <c r="D306" s="187">
        <f ca="1">IFERROR(__xludf.DUMMYFUNCTION("AVERAGE(FILTER('All Scores'!AI$2:AI$1024, ('All Scores'!AJ$2:AJ$1024 = A306) + ('All Scores'!AK$2:AK$1024 = A306))
)
"),15)</f>
        <v>15</v>
      </c>
      <c r="E306" s="6">
        <f ca="1">IFERROR(__xludf.DUMMYFUNCTION("SUM(FILTER('All Scores'!AF$2:AF$1024, ('All Scores'!AJ$2:AJ$1024 = A306) + ('All Scores'!AK$2:AK$1024 = A306)))
"),50)</f>
        <v>50</v>
      </c>
      <c r="F306" s="6">
        <f ca="1">IFERROR(__xludf.DUMMYFUNCTION("SUM(FILTER('All Scores'!AD$2:AD$1024, ('All Scores'!AJ$2:AJ$1024 = A306) + ('All Scores'!AK$2:AK$1024 = A306)))
"),17)</f>
        <v>17</v>
      </c>
      <c r="G306" s="21">
        <f t="shared" ca="1" si="2"/>
        <v>0.34</v>
      </c>
      <c r="H306" s="169"/>
      <c r="I306" s="169"/>
      <c r="J306" s="6"/>
      <c r="K306" s="188"/>
      <c r="L306" s="189"/>
      <c r="M306" s="189"/>
      <c r="N306" s="6"/>
      <c r="O306" s="6"/>
      <c r="P306" s="6"/>
      <c r="Q306" s="169"/>
      <c r="R306" s="6"/>
      <c r="S306" s="6"/>
      <c r="T306" s="169"/>
      <c r="U306" s="6"/>
      <c r="V306" s="169"/>
      <c r="W306" s="169"/>
      <c r="X306" s="169"/>
      <c r="Y306" s="169"/>
      <c r="Z306" s="169"/>
      <c r="AA306" s="169"/>
      <c r="AB306" s="169"/>
      <c r="AC306" s="169"/>
      <c r="AD306" s="169"/>
      <c r="AE306" s="169"/>
      <c r="AF306" s="169"/>
      <c r="AG306" s="169"/>
      <c r="AH306" s="169"/>
      <c r="AI306" s="169"/>
      <c r="AJ306" s="169"/>
      <c r="AK306" s="169"/>
      <c r="AL306" s="169"/>
      <c r="AM306" s="169"/>
      <c r="AN306" s="169"/>
      <c r="AO306" s="169"/>
      <c r="AP306" s="169"/>
      <c r="AQ306" s="169"/>
      <c r="AR306" s="169"/>
    </row>
    <row r="307" spans="1:44" ht="12.5">
      <c r="A307" s="169" t="str">
        <f ca="1">IFERROR(__xludf.DUMMYFUNCTION("""COMPUTED_VALUE"""),"Michael Dreps")</f>
        <v>Michael Dreps</v>
      </c>
      <c r="B307" s="186">
        <f ca="1">COUNTIF('All Scores'!AJ:AK,A307)</f>
        <v>1</v>
      </c>
      <c r="C307" s="186">
        <f ca="1">IFERROR(__xludf.DUMMYFUNCTION("MIN(FILTER('All Scores'!AI$2:AI$1024, ('All Scores'!AJ$2:AJ$1024 = A307) + ('All Scores'!AK$2:AK$1024 = A307)))"),31)</f>
        <v>31</v>
      </c>
      <c r="D307" s="187">
        <f ca="1">IFERROR(__xludf.DUMMYFUNCTION("AVERAGE(FILTER('All Scores'!AI$2:AI$1024, ('All Scores'!AJ$2:AJ$1024 = A307) + ('All Scores'!AK$2:AK$1024 = A307))
)
"),31)</f>
        <v>31</v>
      </c>
      <c r="E307" s="6">
        <f ca="1">IFERROR(__xludf.DUMMYFUNCTION("SUM(FILTER('All Scores'!AF$2:AF$1024, ('All Scores'!AJ$2:AJ$1024 = A307) + ('All Scores'!AK$2:AK$1024 = A307)))
"),52)</f>
        <v>52</v>
      </c>
      <c r="F307" s="6">
        <f ca="1">IFERROR(__xludf.DUMMYFUNCTION("SUM(FILTER('All Scores'!AD$2:AD$1024, ('All Scores'!AJ$2:AJ$1024 = A307) + ('All Scores'!AK$2:AK$1024 = A307)))
"),19)</f>
        <v>19</v>
      </c>
      <c r="G307" s="21">
        <f t="shared" ca="1" si="2"/>
        <v>0.36538461538461536</v>
      </c>
      <c r="H307" s="169"/>
      <c r="I307" s="169"/>
      <c r="J307" s="6"/>
      <c r="K307" s="188"/>
      <c r="L307" s="189"/>
      <c r="M307" s="189"/>
      <c r="N307" s="6"/>
      <c r="O307" s="6"/>
      <c r="P307" s="6"/>
      <c r="Q307" s="169"/>
      <c r="R307" s="6"/>
      <c r="S307" s="6"/>
      <c r="T307" s="169"/>
      <c r="U307" s="6"/>
      <c r="V307" s="169"/>
      <c r="W307" s="169"/>
      <c r="X307" s="169"/>
      <c r="Y307" s="169"/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169"/>
      <c r="AL307" s="169"/>
      <c r="AM307" s="169"/>
      <c r="AN307" s="169"/>
      <c r="AO307" s="169"/>
      <c r="AP307" s="169"/>
      <c r="AQ307" s="169"/>
      <c r="AR307" s="169"/>
    </row>
    <row r="308" spans="1:44" ht="12.5">
      <c r="A308" s="169" t="str">
        <f ca="1">IFERROR(__xludf.DUMMYFUNCTION("""COMPUTED_VALUE"""),"Michael Maxwell")</f>
        <v>Michael Maxwell</v>
      </c>
      <c r="B308" s="186">
        <f ca="1">COUNTIF('All Scores'!AJ:AK,A308)</f>
        <v>1</v>
      </c>
      <c r="C308" s="186">
        <f ca="1">IFERROR(__xludf.DUMMYFUNCTION("MIN(FILTER('All Scores'!AI$2:AI$1024, ('All Scores'!AJ$2:AJ$1024 = A308) + ('All Scores'!AK$2:AK$1024 = A308)))"),16)</f>
        <v>16</v>
      </c>
      <c r="D308" s="187">
        <f ca="1">IFERROR(__xludf.DUMMYFUNCTION("AVERAGE(FILTER('All Scores'!AI$2:AI$1024, ('All Scores'!AJ$2:AJ$1024 = A308) + ('All Scores'!AK$2:AK$1024 = A308))
)
"),16)</f>
        <v>16</v>
      </c>
      <c r="E308" s="6">
        <f ca="1">IFERROR(__xludf.DUMMYFUNCTION("SUM(FILTER('All Scores'!AF$2:AF$1024, ('All Scores'!AJ$2:AJ$1024 = A308) + ('All Scores'!AK$2:AK$1024 = A308)))
"),35)</f>
        <v>35</v>
      </c>
      <c r="F308" s="6">
        <f ca="1">IFERROR(__xludf.DUMMYFUNCTION("SUM(FILTER('All Scores'!AD$2:AD$1024, ('All Scores'!AJ$2:AJ$1024 = A308) + ('All Scores'!AK$2:AK$1024 = A308)))
"),2)</f>
        <v>2</v>
      </c>
      <c r="G308" s="21">
        <f t="shared" ca="1" si="2"/>
        <v>5.7142857142857141E-2</v>
      </c>
      <c r="H308" s="169"/>
      <c r="I308" s="169"/>
      <c r="J308" s="6"/>
      <c r="K308" s="188"/>
      <c r="L308" s="189"/>
      <c r="M308" s="189"/>
      <c r="N308" s="6"/>
      <c r="O308" s="6"/>
      <c r="P308" s="6"/>
      <c r="Q308" s="169"/>
      <c r="R308" s="6"/>
      <c r="S308" s="6"/>
      <c r="T308" s="169"/>
      <c r="U308" s="6"/>
      <c r="V308" s="169"/>
      <c r="W308" s="169"/>
      <c r="X308" s="169"/>
      <c r="Y308" s="169"/>
      <c r="Z308" s="169"/>
      <c r="AA308" s="169"/>
      <c r="AB308" s="169"/>
      <c r="AC308" s="169"/>
      <c r="AD308" s="169"/>
      <c r="AE308" s="169"/>
      <c r="AF308" s="169"/>
      <c r="AG308" s="169"/>
      <c r="AH308" s="169"/>
      <c r="AI308" s="169"/>
      <c r="AJ308" s="169"/>
      <c r="AK308" s="169"/>
      <c r="AL308" s="169"/>
      <c r="AM308" s="169"/>
      <c r="AN308" s="169"/>
      <c r="AO308" s="169"/>
      <c r="AP308" s="169"/>
      <c r="AQ308" s="169"/>
      <c r="AR308" s="169"/>
    </row>
    <row r="309" spans="1:44" ht="12.5">
      <c r="A309" s="169" t="str">
        <f ca="1">IFERROR(__xludf.DUMMYFUNCTION("""COMPUTED_VALUE"""),"Michael Schermoly")</f>
        <v>Michael Schermoly</v>
      </c>
      <c r="B309" s="186">
        <f ca="1">COUNTIF('All Scores'!AJ:AK,A309)</f>
        <v>10</v>
      </c>
      <c r="C309" s="186">
        <f ca="1">IFERROR(__xludf.DUMMYFUNCTION("MIN(FILTER('All Scores'!AI$2:AI$1024, ('All Scores'!AJ$2:AJ$1024 = A309) + ('All Scores'!AK$2:AK$1024 = A309)))"),3)</f>
        <v>3</v>
      </c>
      <c r="D309" s="187">
        <f ca="1">IFERROR(__xludf.DUMMYFUNCTION("AVERAGE(FILTER('All Scores'!AI$2:AI$1024, ('All Scores'!AJ$2:AJ$1024 = A309) + ('All Scores'!AK$2:AK$1024 = A309))
)
"),9.5)</f>
        <v>9.5</v>
      </c>
      <c r="E309" s="6">
        <f ca="1">IFERROR(__xludf.DUMMYFUNCTION("SUM(FILTER('All Scores'!AF$2:AF$1024, ('All Scores'!AJ$2:AJ$1024 = A309) + ('All Scores'!AK$2:AK$1024 = A309)))
"),752)</f>
        <v>752</v>
      </c>
      <c r="F309" s="6">
        <f ca="1">IFERROR(__xludf.DUMMYFUNCTION("SUM(FILTER('All Scores'!AD$2:AD$1024, ('All Scores'!AJ$2:AJ$1024 = A309) + ('All Scores'!AK$2:AK$1024 = A309)))
"),349)</f>
        <v>349</v>
      </c>
      <c r="G309" s="21">
        <f t="shared" ca="1" si="2"/>
        <v>0.46409574468085107</v>
      </c>
      <c r="H309" s="169"/>
      <c r="I309" s="169"/>
      <c r="J309" s="6"/>
      <c r="K309" s="188"/>
      <c r="L309" s="189"/>
      <c r="M309" s="189"/>
      <c r="N309" s="6"/>
      <c r="O309" s="6"/>
      <c r="P309" s="6"/>
      <c r="Q309" s="169"/>
      <c r="R309" s="6"/>
      <c r="S309" s="6"/>
      <c r="T309" s="169"/>
      <c r="U309" s="6"/>
      <c r="V309" s="169"/>
      <c r="W309" s="169"/>
      <c r="X309" s="169"/>
      <c r="Y309" s="169"/>
      <c r="Z309" s="169"/>
      <c r="AA309" s="169"/>
      <c r="AB309" s="169"/>
      <c r="AC309" s="169"/>
      <c r="AD309" s="169"/>
      <c r="AE309" s="169"/>
      <c r="AF309" s="169"/>
      <c r="AG309" s="169"/>
      <c r="AH309" s="169"/>
      <c r="AI309" s="169"/>
      <c r="AJ309" s="169"/>
      <c r="AK309" s="169"/>
      <c r="AL309" s="169"/>
      <c r="AM309" s="169"/>
      <c r="AN309" s="169"/>
      <c r="AO309" s="169"/>
      <c r="AP309" s="169"/>
      <c r="AQ309" s="169"/>
      <c r="AR309" s="169"/>
    </row>
    <row r="310" spans="1:44" ht="12.5">
      <c r="A310" s="169" t="str">
        <f ca="1">IFERROR(__xludf.DUMMYFUNCTION("""COMPUTED_VALUE"""),"Michael Sullivan")</f>
        <v>Michael Sullivan</v>
      </c>
      <c r="B310" s="186">
        <f ca="1">COUNTIF('All Scores'!AJ:AK,A310)</f>
        <v>5</v>
      </c>
      <c r="C310" s="186">
        <f ca="1">IFERROR(__xludf.DUMMYFUNCTION("MIN(FILTER('All Scores'!AI$2:AI$1024, ('All Scores'!AJ$2:AJ$1024 = A310) + ('All Scores'!AK$2:AK$1024 = A310)))"),1)</f>
        <v>1</v>
      </c>
      <c r="D310" s="187">
        <f ca="1">IFERROR(__xludf.DUMMYFUNCTION("AVERAGE(FILTER('All Scores'!AI$2:AI$1024, ('All Scores'!AJ$2:AJ$1024 = A310) + ('All Scores'!AK$2:AK$1024 = A310))
)
"),7.6)</f>
        <v>7.6</v>
      </c>
      <c r="E310" s="6">
        <f ca="1">IFERROR(__xludf.DUMMYFUNCTION("SUM(FILTER('All Scores'!AF$2:AF$1024, ('All Scores'!AJ$2:AJ$1024 = A310) + ('All Scores'!AK$2:AK$1024 = A310)))
"),406)</f>
        <v>406</v>
      </c>
      <c r="F310" s="6">
        <f ca="1">IFERROR(__xludf.DUMMYFUNCTION("SUM(FILTER('All Scores'!AD$2:AD$1024, ('All Scores'!AJ$2:AJ$1024 = A310) + ('All Scores'!AK$2:AK$1024 = A310)))
"),214)</f>
        <v>214</v>
      </c>
      <c r="G310" s="21">
        <f t="shared" ca="1" si="2"/>
        <v>0.52709359605911332</v>
      </c>
      <c r="H310" s="169"/>
      <c r="I310" s="169"/>
      <c r="J310" s="6"/>
      <c r="K310" s="188"/>
      <c r="L310" s="189"/>
      <c r="M310" s="189"/>
      <c r="N310" s="6"/>
      <c r="O310" s="6"/>
      <c r="P310" s="6"/>
      <c r="Q310" s="169"/>
      <c r="R310" s="6"/>
      <c r="S310" s="6"/>
      <c r="T310" s="169"/>
      <c r="U310" s="6"/>
      <c r="V310" s="169"/>
      <c r="W310" s="169"/>
      <c r="X310" s="169"/>
      <c r="Y310" s="169"/>
      <c r="Z310" s="169"/>
      <c r="AA310" s="169"/>
      <c r="AB310" s="169"/>
      <c r="AC310" s="169"/>
      <c r="AD310" s="169"/>
      <c r="AE310" s="169"/>
      <c r="AF310" s="169"/>
      <c r="AG310" s="169"/>
      <c r="AH310" s="169"/>
      <c r="AI310" s="169"/>
      <c r="AJ310" s="169"/>
      <c r="AK310" s="169"/>
      <c r="AL310" s="169"/>
      <c r="AM310" s="169"/>
      <c r="AN310" s="169"/>
      <c r="AO310" s="169"/>
      <c r="AP310" s="169"/>
      <c r="AQ310" s="169"/>
      <c r="AR310" s="169"/>
    </row>
    <row r="311" spans="1:44" ht="12.5">
      <c r="A311" s="169" t="str">
        <f ca="1">IFERROR(__xludf.DUMMYFUNCTION("""COMPUTED_VALUE"""),"Michelle Coffey")</f>
        <v>Michelle Coffey</v>
      </c>
      <c r="B311" s="186">
        <f ca="1">COUNTIF('All Scores'!AJ:AK,A311)</f>
        <v>1</v>
      </c>
      <c r="C311" s="186">
        <f ca="1">IFERROR(__xludf.DUMMYFUNCTION("MIN(FILTER('All Scores'!AI$2:AI$1024, ('All Scores'!AJ$2:AJ$1024 = A311) + ('All Scores'!AK$2:AK$1024 = A311)))"),7)</f>
        <v>7</v>
      </c>
      <c r="D311" s="187">
        <f ca="1">IFERROR(__xludf.DUMMYFUNCTION("AVERAGE(FILTER('All Scores'!AI$2:AI$1024, ('All Scores'!AJ$2:AJ$1024 = A311) + ('All Scores'!AK$2:AK$1024 = A311))
)
"),7)</f>
        <v>7</v>
      </c>
      <c r="E311" s="6">
        <f ca="1">IFERROR(__xludf.DUMMYFUNCTION("SUM(FILTER('All Scores'!AF$2:AF$1024, ('All Scores'!AJ$2:AJ$1024 = A311) + ('All Scores'!AK$2:AK$1024 = A311)))
"),96)</f>
        <v>96</v>
      </c>
      <c r="F311" s="6">
        <f ca="1">IFERROR(__xludf.DUMMYFUNCTION("SUM(FILTER('All Scores'!AD$2:AD$1024, ('All Scores'!AJ$2:AJ$1024 = A311) + ('All Scores'!AK$2:AK$1024 = A311)))
"),49)</f>
        <v>49</v>
      </c>
      <c r="G311" s="21">
        <f t="shared" ca="1" si="2"/>
        <v>0.51041666666666663</v>
      </c>
      <c r="H311" s="169"/>
      <c r="I311" s="169"/>
      <c r="J311" s="6"/>
      <c r="K311" s="188"/>
      <c r="L311" s="189"/>
      <c r="M311" s="189"/>
      <c r="N311" s="6"/>
      <c r="O311" s="6"/>
      <c r="P311" s="6"/>
      <c r="Q311" s="169"/>
      <c r="R311" s="6"/>
      <c r="S311" s="6"/>
      <c r="T311" s="169"/>
      <c r="U311" s="6"/>
      <c r="V311" s="169"/>
      <c r="W311" s="169"/>
      <c r="X311" s="169"/>
      <c r="Y311" s="169"/>
      <c r="Z311" s="169"/>
      <c r="AA311" s="169"/>
      <c r="AB311" s="169"/>
      <c r="AC311" s="169"/>
      <c r="AD311" s="169"/>
      <c r="AE311" s="169"/>
      <c r="AF311" s="169"/>
      <c r="AG311" s="169"/>
      <c r="AH311" s="169"/>
      <c r="AI311" s="169"/>
      <c r="AJ311" s="169"/>
      <c r="AK311" s="169"/>
      <c r="AL311" s="169"/>
      <c r="AM311" s="169"/>
      <c r="AN311" s="169"/>
      <c r="AO311" s="169"/>
      <c r="AP311" s="169"/>
      <c r="AQ311" s="169"/>
      <c r="AR311" s="169"/>
    </row>
    <row r="312" spans="1:44" ht="12.5">
      <c r="A312" s="169" t="str">
        <f ca="1">IFERROR(__xludf.DUMMYFUNCTION("""COMPUTED_VALUE"""),"Mickey Tan")</f>
        <v>Mickey Tan</v>
      </c>
      <c r="B312" s="186">
        <f ca="1">COUNTIF('All Scores'!AJ:AK,A312)</f>
        <v>2</v>
      </c>
      <c r="C312" s="186">
        <f ca="1">IFERROR(__xludf.DUMMYFUNCTION("MIN(FILTER('All Scores'!AI$2:AI$1024, ('All Scores'!AJ$2:AJ$1024 = A312) + ('All Scores'!AK$2:AK$1024 = A312)))"),1)</f>
        <v>1</v>
      </c>
      <c r="D312" s="187">
        <f ca="1">IFERROR(__xludf.DUMMYFUNCTION("AVERAGE(FILTER('All Scores'!AI$2:AI$1024, ('All Scores'!AJ$2:AJ$1024 = A312) + ('All Scores'!AK$2:AK$1024 = A312))
)
"),3)</f>
        <v>3</v>
      </c>
      <c r="E312" s="6">
        <f ca="1">IFERROR(__xludf.DUMMYFUNCTION("SUM(FILTER('All Scores'!AF$2:AF$1024, ('All Scores'!AJ$2:AJ$1024 = A312) + ('All Scores'!AK$2:AK$1024 = A312)))
"),161)</f>
        <v>161</v>
      </c>
      <c r="F312" s="6">
        <f ca="1">IFERROR(__xludf.DUMMYFUNCTION("SUM(FILTER('All Scores'!AD$2:AD$1024, ('All Scores'!AJ$2:AJ$1024 = A312) + ('All Scores'!AK$2:AK$1024 = A312)))
"),95)</f>
        <v>95</v>
      </c>
      <c r="G312" s="21">
        <f t="shared" ca="1" si="2"/>
        <v>0.59006211180124224</v>
      </c>
      <c r="H312" s="169"/>
      <c r="I312" s="169"/>
      <c r="J312" s="6"/>
      <c r="K312" s="188"/>
      <c r="L312" s="189"/>
      <c r="M312" s="189"/>
      <c r="N312" s="6"/>
      <c r="O312" s="6"/>
      <c r="P312" s="6"/>
      <c r="Q312" s="169"/>
      <c r="R312" s="6"/>
      <c r="S312" s="6"/>
      <c r="T312" s="169"/>
      <c r="U312" s="6"/>
      <c r="V312" s="169"/>
      <c r="W312" s="169"/>
      <c r="X312" s="169"/>
      <c r="Y312" s="169"/>
      <c r="Z312" s="169"/>
      <c r="AA312" s="169"/>
      <c r="AB312" s="169"/>
      <c r="AC312" s="169"/>
      <c r="AD312" s="169"/>
      <c r="AE312" s="169"/>
      <c r="AF312" s="169"/>
      <c r="AG312" s="169"/>
      <c r="AH312" s="169"/>
      <c r="AI312" s="169"/>
      <c r="AJ312" s="169"/>
      <c r="AK312" s="169"/>
      <c r="AL312" s="169"/>
      <c r="AM312" s="169"/>
      <c r="AN312" s="169"/>
      <c r="AO312" s="169"/>
      <c r="AP312" s="169"/>
      <c r="AQ312" s="169"/>
      <c r="AR312" s="169"/>
    </row>
    <row r="313" spans="1:44" ht="12.5">
      <c r="A313" s="169" t="str">
        <f ca="1">IFERROR(__xludf.DUMMYFUNCTION("""COMPUTED_VALUE"""),"Miguel Cartagena")</f>
        <v>Miguel Cartagena</v>
      </c>
      <c r="B313" s="186">
        <f ca="1">COUNTIF('All Scores'!AJ:AK,A313)</f>
        <v>12</v>
      </c>
      <c r="C313" s="186">
        <f ca="1">IFERROR(__xludf.DUMMYFUNCTION("MIN(FILTER('All Scores'!AI$2:AI$1024, ('All Scores'!AJ$2:AJ$1024 = A313) + ('All Scores'!AK$2:AK$1024 = A313)))"),2)</f>
        <v>2</v>
      </c>
      <c r="D313" s="187">
        <f ca="1">IFERROR(__xludf.DUMMYFUNCTION("AVERAGE(FILTER('All Scores'!AI$2:AI$1024, ('All Scores'!AJ$2:AJ$1024 = A313) + ('All Scores'!AK$2:AK$1024 = A313))
)
"),9.91666666666666)</f>
        <v>9.9166666666666607</v>
      </c>
      <c r="E313" s="6">
        <f ca="1">IFERROR(__xludf.DUMMYFUNCTION("SUM(FILTER('All Scores'!AF$2:AF$1024, ('All Scores'!AJ$2:AJ$1024 = A313) + ('All Scores'!AK$2:AK$1024 = A313)))
"),869)</f>
        <v>869</v>
      </c>
      <c r="F313" s="6">
        <f ca="1">IFERROR(__xludf.DUMMYFUNCTION("SUM(FILTER('All Scores'!AD$2:AD$1024, ('All Scores'!AJ$2:AJ$1024 = A313) + ('All Scores'!AK$2:AK$1024 = A313)))
"),427)</f>
        <v>427</v>
      </c>
      <c r="G313" s="21">
        <f t="shared" ca="1" si="2"/>
        <v>0.49136939010356734</v>
      </c>
      <c r="H313" s="169"/>
      <c r="I313" s="169"/>
      <c r="J313" s="6"/>
      <c r="K313" s="188"/>
      <c r="L313" s="189"/>
      <c r="M313" s="189"/>
      <c r="N313" s="6"/>
      <c r="O313" s="6"/>
      <c r="P313" s="6"/>
      <c r="Q313" s="169"/>
      <c r="R313" s="6"/>
      <c r="S313" s="6"/>
      <c r="T313" s="169"/>
      <c r="U313" s="6"/>
      <c r="V313" s="169"/>
      <c r="W313" s="169"/>
      <c r="X313" s="169"/>
      <c r="Y313" s="169"/>
      <c r="Z313" s="169"/>
      <c r="AA313" s="169"/>
      <c r="AB313" s="169"/>
      <c r="AC313" s="169"/>
      <c r="AD313" s="169"/>
      <c r="AE313" s="169"/>
      <c r="AF313" s="169"/>
      <c r="AG313" s="169"/>
      <c r="AH313" s="169"/>
      <c r="AI313" s="169"/>
      <c r="AJ313" s="169"/>
      <c r="AK313" s="169"/>
      <c r="AL313" s="169"/>
      <c r="AM313" s="169"/>
      <c r="AN313" s="169"/>
      <c r="AO313" s="169"/>
      <c r="AP313" s="169"/>
      <c r="AQ313" s="169"/>
      <c r="AR313" s="169"/>
    </row>
    <row r="314" spans="1:44" ht="12.5">
      <c r="A314" s="169" t="str">
        <f ca="1">IFERROR(__xludf.DUMMYFUNCTION("""COMPUTED_VALUE"""),"Mike Daniel")</f>
        <v>Mike Daniel</v>
      </c>
      <c r="B314" s="186">
        <f ca="1">COUNTIF('All Scores'!AJ:AK,A314)</f>
        <v>1</v>
      </c>
      <c r="C314" s="186">
        <f ca="1">IFERROR(__xludf.DUMMYFUNCTION("MIN(FILTER('All Scores'!AI$2:AI$1024, ('All Scores'!AJ$2:AJ$1024 = A314) + ('All Scores'!AK$2:AK$1024 = A314)))"),14)</f>
        <v>14</v>
      </c>
      <c r="D314" s="187">
        <f ca="1">IFERROR(__xludf.DUMMYFUNCTION("AVERAGE(FILTER('All Scores'!AI$2:AI$1024, ('All Scores'!AJ$2:AJ$1024 = A314) + ('All Scores'!AK$2:AK$1024 = A314))
)
"),14)</f>
        <v>14</v>
      </c>
      <c r="E314" s="6">
        <f ca="1">IFERROR(__xludf.DUMMYFUNCTION("SUM(FILTER('All Scores'!AF$2:AF$1024, ('All Scores'!AJ$2:AJ$1024 = A314) + ('All Scores'!AK$2:AK$1024 = A314)))
"),63)</f>
        <v>63</v>
      </c>
      <c r="F314" s="6">
        <f ca="1">IFERROR(__xludf.DUMMYFUNCTION("SUM(FILTER('All Scores'!AD$2:AD$1024, ('All Scores'!AJ$2:AJ$1024 = A314) + ('All Scores'!AK$2:AK$1024 = A314)))
"),19)</f>
        <v>19</v>
      </c>
      <c r="G314" s="21">
        <f t="shared" ca="1" si="2"/>
        <v>0.30158730158730157</v>
      </c>
      <c r="H314" s="169"/>
      <c r="I314" s="169"/>
      <c r="J314" s="6"/>
      <c r="K314" s="188"/>
      <c r="L314" s="189"/>
      <c r="M314" s="189"/>
      <c r="N314" s="6"/>
      <c r="O314" s="6"/>
      <c r="P314" s="6"/>
      <c r="Q314" s="169"/>
      <c r="R314" s="6"/>
      <c r="S314" s="6"/>
      <c r="T314" s="169"/>
      <c r="U314" s="6"/>
      <c r="V314" s="169"/>
      <c r="W314" s="169"/>
      <c r="X314" s="169"/>
      <c r="Y314" s="169"/>
      <c r="Z314" s="169"/>
      <c r="AA314" s="169"/>
      <c r="AB314" s="169"/>
      <c r="AC314" s="169"/>
      <c r="AD314" s="169"/>
      <c r="AE314" s="169"/>
      <c r="AF314" s="169"/>
      <c r="AG314" s="169"/>
      <c r="AH314" s="169"/>
      <c r="AI314" s="169"/>
      <c r="AJ314" s="169"/>
      <c r="AK314" s="169"/>
      <c r="AL314" s="169"/>
      <c r="AM314" s="169"/>
      <c r="AN314" s="169"/>
      <c r="AO314" s="169"/>
      <c r="AP314" s="169"/>
      <c r="AQ314" s="169"/>
      <c r="AR314" s="169"/>
    </row>
    <row r="315" spans="1:44" ht="12.5">
      <c r="A315" s="169" t="str">
        <f ca="1">IFERROR(__xludf.DUMMYFUNCTION("""COMPUTED_VALUE"""),"Mike Faulconer")</f>
        <v>Mike Faulconer</v>
      </c>
      <c r="B315" s="186">
        <f ca="1">COUNTIF('All Scores'!AJ:AK,A315)</f>
        <v>1</v>
      </c>
      <c r="C315" s="186">
        <f ca="1">IFERROR(__xludf.DUMMYFUNCTION("MIN(FILTER('All Scores'!AI$2:AI$1024, ('All Scores'!AJ$2:AJ$1024 = A315) + ('All Scores'!AK$2:AK$1024 = A315)))"),16)</f>
        <v>16</v>
      </c>
      <c r="D315" s="187">
        <f ca="1">IFERROR(__xludf.DUMMYFUNCTION("AVERAGE(FILTER('All Scores'!AI$2:AI$1024, ('All Scores'!AJ$2:AJ$1024 = A315) + ('All Scores'!AK$2:AK$1024 = A315))
)
"),16)</f>
        <v>16</v>
      </c>
      <c r="E315" s="6">
        <f ca="1">IFERROR(__xludf.DUMMYFUNCTION("SUM(FILTER('All Scores'!AF$2:AF$1024, ('All Scores'!AJ$2:AJ$1024 = A315) + ('All Scores'!AK$2:AK$1024 = A315)))
"),44)</f>
        <v>44</v>
      </c>
      <c r="F315" s="6">
        <f ca="1">IFERROR(__xludf.DUMMYFUNCTION("SUM(FILTER('All Scores'!AD$2:AD$1024, ('All Scores'!AJ$2:AJ$1024 = A315) + ('All Scores'!AK$2:AK$1024 = A315)))
"),11)</f>
        <v>11</v>
      </c>
      <c r="G315" s="21">
        <f t="shared" ca="1" si="2"/>
        <v>0.25</v>
      </c>
      <c r="H315" s="169"/>
      <c r="I315" s="169"/>
      <c r="J315" s="6"/>
      <c r="K315" s="188"/>
      <c r="L315" s="189"/>
      <c r="M315" s="189"/>
      <c r="N315" s="6"/>
      <c r="O315" s="6"/>
      <c r="P315" s="6"/>
      <c r="Q315" s="169"/>
      <c r="R315" s="6"/>
      <c r="S315" s="6"/>
      <c r="T315" s="169"/>
      <c r="U315" s="6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  <c r="AJ315" s="169"/>
      <c r="AK315" s="169"/>
      <c r="AL315" s="169"/>
      <c r="AM315" s="169"/>
      <c r="AN315" s="169"/>
      <c r="AO315" s="169"/>
      <c r="AP315" s="169"/>
      <c r="AQ315" s="169"/>
      <c r="AR315" s="169"/>
    </row>
    <row r="316" spans="1:44" ht="12.5">
      <c r="A316" s="169" t="str">
        <f ca="1">IFERROR(__xludf.DUMMYFUNCTION("""COMPUTED_VALUE"""),"Mike Klender")</f>
        <v>Mike Klender</v>
      </c>
      <c r="B316" s="186">
        <f ca="1">COUNTIF('All Scores'!AJ:AK,A316)</f>
        <v>4</v>
      </c>
      <c r="C316" s="186">
        <f ca="1">IFERROR(__xludf.DUMMYFUNCTION("MIN(FILTER('All Scores'!AI$2:AI$1024, ('All Scores'!AJ$2:AJ$1024 = A316) + ('All Scores'!AK$2:AK$1024 = A316)))"),1)</f>
        <v>1</v>
      </c>
      <c r="D316" s="187">
        <f ca="1">IFERROR(__xludf.DUMMYFUNCTION("AVERAGE(FILTER('All Scores'!AI$2:AI$1024, ('All Scores'!AJ$2:AJ$1024 = A316) + ('All Scores'!AK$2:AK$1024 = A316))
)
"),7)</f>
        <v>7</v>
      </c>
      <c r="E316" s="6">
        <f ca="1">IFERROR(__xludf.DUMMYFUNCTION("SUM(FILTER('All Scores'!AF$2:AF$1024, ('All Scores'!AJ$2:AJ$1024 = A316) + ('All Scores'!AK$2:AK$1024 = A316)))
"),354)</f>
        <v>354</v>
      </c>
      <c r="F316" s="6">
        <f ca="1">IFERROR(__xludf.DUMMYFUNCTION("SUM(FILTER('All Scores'!AD$2:AD$1024, ('All Scores'!AJ$2:AJ$1024 = A316) + ('All Scores'!AK$2:AK$1024 = A316)))
"),180)</f>
        <v>180</v>
      </c>
      <c r="G316" s="21">
        <f t="shared" ca="1" si="2"/>
        <v>0.50847457627118642</v>
      </c>
      <c r="H316" s="169"/>
      <c r="I316" s="169"/>
      <c r="J316" s="6"/>
      <c r="K316" s="188"/>
      <c r="L316" s="189"/>
      <c r="M316" s="189"/>
      <c r="N316" s="6"/>
      <c r="O316" s="6"/>
      <c r="P316" s="6"/>
      <c r="Q316" s="169"/>
      <c r="R316" s="6"/>
      <c r="S316" s="6"/>
      <c r="T316" s="169"/>
      <c r="U316" s="6"/>
      <c r="V316" s="169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169"/>
      <c r="AI316" s="169"/>
      <c r="AJ316" s="169"/>
      <c r="AK316" s="169"/>
      <c r="AL316" s="169"/>
      <c r="AM316" s="169"/>
      <c r="AN316" s="169"/>
      <c r="AO316" s="169"/>
      <c r="AP316" s="169"/>
      <c r="AQ316" s="169"/>
      <c r="AR316" s="169"/>
    </row>
    <row r="317" spans="1:44" ht="12.5">
      <c r="A317" s="169" t="str">
        <f ca="1">IFERROR(__xludf.DUMMYFUNCTION("""COMPUTED_VALUE"""),"Mike Magel")</f>
        <v>Mike Magel</v>
      </c>
      <c r="B317" s="186">
        <f ca="1">COUNTIF('All Scores'!AJ:AK,A317)</f>
        <v>4</v>
      </c>
      <c r="C317" s="186">
        <f ca="1">IFERROR(__xludf.DUMMYFUNCTION("MIN(FILTER('All Scores'!AI$2:AI$1024, ('All Scores'!AJ$2:AJ$1024 = A317) + ('All Scores'!AK$2:AK$1024 = A317)))"),1)</f>
        <v>1</v>
      </c>
      <c r="D317" s="187">
        <f ca="1">IFERROR(__xludf.DUMMYFUNCTION("AVERAGE(FILTER('All Scores'!AI$2:AI$1024, ('All Scores'!AJ$2:AJ$1024 = A317) + ('All Scores'!AK$2:AK$1024 = A317))
)
"),8.5)</f>
        <v>8.5</v>
      </c>
      <c r="E317" s="6">
        <f ca="1">IFERROR(__xludf.DUMMYFUNCTION("SUM(FILTER('All Scores'!AF$2:AF$1024, ('All Scores'!AJ$2:AJ$1024 = A317) + ('All Scores'!AK$2:AK$1024 = A317)))
"),331)</f>
        <v>331</v>
      </c>
      <c r="F317" s="6">
        <f ca="1">IFERROR(__xludf.DUMMYFUNCTION("SUM(FILTER('All Scores'!AD$2:AD$1024, ('All Scores'!AJ$2:AJ$1024 = A317) + ('All Scores'!AK$2:AK$1024 = A317)))
"),162)</f>
        <v>162</v>
      </c>
      <c r="G317" s="21">
        <f t="shared" ca="1" si="2"/>
        <v>0.48942598187311176</v>
      </c>
      <c r="H317" s="169"/>
      <c r="I317" s="169"/>
      <c r="J317" s="6"/>
      <c r="K317" s="188"/>
      <c r="L317" s="189"/>
      <c r="M317" s="189"/>
      <c r="N317" s="6"/>
      <c r="O317" s="6"/>
      <c r="P317" s="6"/>
      <c r="Q317" s="169"/>
      <c r="R317" s="6"/>
      <c r="S317" s="6"/>
      <c r="T317" s="169"/>
      <c r="U317" s="6"/>
      <c r="V317" s="169"/>
      <c r="W317" s="169"/>
      <c r="X317" s="169"/>
      <c r="Y317" s="169"/>
      <c r="Z317" s="169"/>
      <c r="AA317" s="169"/>
      <c r="AB317" s="169"/>
      <c r="AC317" s="169"/>
      <c r="AD317" s="169"/>
      <c r="AE317" s="169"/>
      <c r="AF317" s="169"/>
      <c r="AG317" s="169"/>
      <c r="AH317" s="169"/>
      <c r="AI317" s="169"/>
      <c r="AJ317" s="169"/>
      <c r="AK317" s="169"/>
      <c r="AL317" s="169"/>
      <c r="AM317" s="169"/>
      <c r="AN317" s="169"/>
      <c r="AO317" s="169"/>
      <c r="AP317" s="169"/>
      <c r="AQ317" s="169"/>
      <c r="AR317" s="169"/>
    </row>
    <row r="318" spans="1:44" ht="12.5">
      <c r="A318" s="169" t="str">
        <f ca="1">IFERROR(__xludf.DUMMYFUNCTION("""COMPUTED_VALUE"""),"Mike Mattingly")</f>
        <v>Mike Mattingly</v>
      </c>
      <c r="B318" s="186">
        <f ca="1">COUNTIF('All Scores'!AJ:AK,A318)</f>
        <v>1</v>
      </c>
      <c r="C318" s="186">
        <f ca="1">IFERROR(__xludf.DUMMYFUNCTION("MIN(FILTER('All Scores'!AI$2:AI$1024, ('All Scores'!AJ$2:AJ$1024 = A318) + ('All Scores'!AK$2:AK$1024 = A318)))"),11)</f>
        <v>11</v>
      </c>
      <c r="D318" s="187">
        <f ca="1">IFERROR(__xludf.DUMMYFUNCTION("AVERAGE(FILTER('All Scores'!AI$2:AI$1024, ('All Scores'!AJ$2:AJ$1024 = A318) + ('All Scores'!AK$2:AK$1024 = A318))
)
"),11)</f>
        <v>11</v>
      </c>
      <c r="E318" s="6">
        <f ca="1">IFERROR(__xludf.DUMMYFUNCTION("SUM(FILTER('All Scores'!AF$2:AF$1024, ('All Scores'!AJ$2:AJ$1024 = A318) + ('All Scores'!AK$2:AK$1024 = A318)))
"),55)</f>
        <v>55</v>
      </c>
      <c r="F318" s="6">
        <f ca="1">IFERROR(__xludf.DUMMYFUNCTION("SUM(FILTER('All Scores'!AD$2:AD$1024, ('All Scores'!AJ$2:AJ$1024 = A318) + ('All Scores'!AK$2:AK$1024 = A318)))
"),22)</f>
        <v>22</v>
      </c>
      <c r="G318" s="21">
        <f t="shared" ca="1" si="2"/>
        <v>0.4</v>
      </c>
      <c r="H318" s="169"/>
      <c r="I318" s="169"/>
      <c r="J318" s="6"/>
      <c r="K318" s="188"/>
      <c r="L318" s="189"/>
      <c r="M318" s="189"/>
      <c r="N318" s="6"/>
      <c r="O318" s="6"/>
      <c r="P318" s="6"/>
      <c r="Q318" s="169"/>
      <c r="R318" s="6"/>
      <c r="S318" s="6"/>
      <c r="T318" s="169"/>
      <c r="U318" s="6"/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  <c r="AJ318" s="169"/>
      <c r="AK318" s="169"/>
      <c r="AL318" s="169"/>
      <c r="AM318" s="169"/>
      <c r="AN318" s="169"/>
      <c r="AO318" s="169"/>
      <c r="AP318" s="169"/>
      <c r="AQ318" s="169"/>
      <c r="AR318" s="169"/>
    </row>
    <row r="319" spans="1:44" ht="12.5">
      <c r="A319" s="169" t="str">
        <f ca="1">IFERROR(__xludf.DUMMYFUNCTION("""COMPUTED_VALUE"""),"Mike McGillicuddy")</f>
        <v>Mike McGillicuddy</v>
      </c>
      <c r="B319" s="186">
        <f ca="1">COUNTIF('All Scores'!AJ:AK,A319)</f>
        <v>7</v>
      </c>
      <c r="C319" s="186">
        <f ca="1">IFERROR(__xludf.DUMMYFUNCTION("MIN(FILTER('All Scores'!AI$2:AI$1024, ('All Scores'!AJ$2:AJ$1024 = A319) + ('All Scores'!AK$2:AK$1024 = A319)))"),1)</f>
        <v>1</v>
      </c>
      <c r="D319" s="187">
        <f ca="1">IFERROR(__xludf.DUMMYFUNCTION("AVERAGE(FILTER('All Scores'!AI$2:AI$1024, ('All Scores'!AJ$2:AJ$1024 = A319) + ('All Scores'!AK$2:AK$1024 = A319))
)
"),8.42857142857142)</f>
        <v>8.4285714285714199</v>
      </c>
      <c r="E319" s="6">
        <f ca="1">IFERROR(__xludf.DUMMYFUNCTION("SUM(FILTER('All Scores'!AF$2:AF$1024, ('All Scores'!AJ$2:AJ$1024 = A319) + ('All Scores'!AK$2:AK$1024 = A319)))
"),575)</f>
        <v>575</v>
      </c>
      <c r="F319" s="6">
        <f ca="1">IFERROR(__xludf.DUMMYFUNCTION("SUM(FILTER('All Scores'!AD$2:AD$1024, ('All Scores'!AJ$2:AJ$1024 = A319) + ('All Scores'!AK$2:AK$1024 = A319)))
"),309)</f>
        <v>309</v>
      </c>
      <c r="G319" s="21">
        <f t="shared" ca="1" si="2"/>
        <v>0.53739130434782612</v>
      </c>
      <c r="H319" s="169"/>
      <c r="I319" s="169"/>
      <c r="J319" s="6"/>
      <c r="K319" s="188"/>
      <c r="L319" s="189"/>
      <c r="M319" s="189"/>
      <c r="N319" s="6"/>
      <c r="O319" s="6"/>
      <c r="P319" s="6"/>
      <c r="Q319" s="169"/>
      <c r="R319" s="6"/>
      <c r="S319" s="6"/>
      <c r="T319" s="169"/>
      <c r="U319" s="6"/>
      <c r="V319" s="169"/>
      <c r="W319" s="169"/>
      <c r="X319" s="169"/>
      <c r="Y319" s="169"/>
      <c r="Z319" s="169"/>
      <c r="AA319" s="169"/>
      <c r="AB319" s="169"/>
      <c r="AC319" s="169"/>
      <c r="AD319" s="169"/>
      <c r="AE319" s="169"/>
      <c r="AF319" s="169"/>
      <c r="AG319" s="169"/>
      <c r="AH319" s="169"/>
      <c r="AI319" s="169"/>
      <c r="AJ319" s="169"/>
      <c r="AK319" s="169"/>
      <c r="AL319" s="169"/>
      <c r="AM319" s="169"/>
      <c r="AN319" s="169"/>
      <c r="AO319" s="169"/>
      <c r="AP319" s="169"/>
      <c r="AQ319" s="169"/>
      <c r="AR319" s="169"/>
    </row>
    <row r="320" spans="1:44" ht="12.5">
      <c r="A320" s="169" t="str">
        <f ca="1">IFERROR(__xludf.DUMMYFUNCTION("""COMPUTED_VALUE"""),"Mike Otto")</f>
        <v>Mike Otto</v>
      </c>
      <c r="B320" s="186">
        <f ca="1">COUNTIF('All Scores'!AJ:AK,A320)</f>
        <v>1</v>
      </c>
      <c r="C320" s="186">
        <f ca="1">IFERROR(__xludf.DUMMYFUNCTION("MIN(FILTER('All Scores'!AI$2:AI$1024, ('All Scores'!AJ$2:AJ$1024 = A320) + ('All Scores'!AK$2:AK$1024 = A320)))"),7)</f>
        <v>7</v>
      </c>
      <c r="D320" s="187">
        <f ca="1">IFERROR(__xludf.DUMMYFUNCTION("AVERAGE(FILTER('All Scores'!AI$2:AI$1024, ('All Scores'!AJ$2:AJ$1024 = A320) + ('All Scores'!AK$2:AK$1024 = A320))
)
"),7)</f>
        <v>7</v>
      </c>
      <c r="E320" s="6">
        <f ca="1">IFERROR(__xludf.DUMMYFUNCTION("SUM(FILTER('All Scores'!AF$2:AF$1024, ('All Scores'!AJ$2:AJ$1024 = A320) + ('All Scores'!AK$2:AK$1024 = A320)))
"),68)</f>
        <v>68</v>
      </c>
      <c r="F320" s="6">
        <f ca="1">IFERROR(__xludf.DUMMYFUNCTION("SUM(FILTER('All Scores'!AD$2:AD$1024, ('All Scores'!AJ$2:AJ$1024 = A320) + ('All Scores'!AK$2:AK$1024 = A320)))
"),39)</f>
        <v>39</v>
      </c>
      <c r="G320" s="21">
        <f t="shared" ca="1" si="2"/>
        <v>0.57352941176470584</v>
      </c>
      <c r="H320" s="169"/>
      <c r="I320" s="169"/>
      <c r="J320" s="6"/>
      <c r="K320" s="188"/>
      <c r="L320" s="189"/>
      <c r="M320" s="189"/>
      <c r="N320" s="6"/>
      <c r="O320" s="6"/>
      <c r="P320" s="6"/>
      <c r="Q320" s="169"/>
      <c r="R320" s="6"/>
      <c r="S320" s="6"/>
      <c r="T320" s="169"/>
      <c r="U320" s="6"/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69"/>
      <c r="AG320" s="169"/>
      <c r="AH320" s="169"/>
      <c r="AI320" s="169"/>
      <c r="AJ320" s="169"/>
      <c r="AK320" s="169"/>
      <c r="AL320" s="169"/>
      <c r="AM320" s="169"/>
      <c r="AN320" s="169"/>
      <c r="AO320" s="169"/>
      <c r="AP320" s="169"/>
      <c r="AQ320" s="169"/>
      <c r="AR320" s="169"/>
    </row>
    <row r="321" spans="1:44" ht="12.5">
      <c r="A321" s="169" t="str">
        <f ca="1">IFERROR(__xludf.DUMMYFUNCTION("""COMPUTED_VALUE"""),"Milind Phadnis")</f>
        <v>Milind Phadnis</v>
      </c>
      <c r="B321" s="186">
        <f ca="1">COUNTIF('All Scores'!AJ:AK,A321)</f>
        <v>1</v>
      </c>
      <c r="C321" s="186">
        <f ca="1">IFERROR(__xludf.DUMMYFUNCTION("MIN(FILTER('All Scores'!AI$2:AI$1024, ('All Scores'!AJ$2:AJ$1024 = A321) + ('All Scores'!AK$2:AK$1024 = A321)))"),7)</f>
        <v>7</v>
      </c>
      <c r="D321" s="187">
        <f ca="1">IFERROR(__xludf.DUMMYFUNCTION("AVERAGE(FILTER('All Scores'!AI$2:AI$1024, ('All Scores'!AJ$2:AJ$1024 = A321) + ('All Scores'!AK$2:AK$1024 = A321))
)
"),7)</f>
        <v>7</v>
      </c>
      <c r="E321" s="6">
        <f ca="1">IFERROR(__xludf.DUMMYFUNCTION("SUM(FILTER('All Scores'!AF$2:AF$1024, ('All Scores'!AJ$2:AJ$1024 = A321) + ('All Scores'!AK$2:AK$1024 = A321)))
"),97)</f>
        <v>97</v>
      </c>
      <c r="F321" s="6">
        <f ca="1">IFERROR(__xludf.DUMMYFUNCTION("SUM(FILTER('All Scores'!AD$2:AD$1024, ('All Scores'!AJ$2:AJ$1024 = A321) + ('All Scores'!AK$2:AK$1024 = A321)))
"),50)</f>
        <v>50</v>
      </c>
      <c r="G321" s="21">
        <f t="shared" ca="1" si="2"/>
        <v>0.51546391752577314</v>
      </c>
      <c r="H321" s="169"/>
      <c r="I321" s="169"/>
      <c r="J321" s="6"/>
      <c r="K321" s="188"/>
      <c r="L321" s="189"/>
      <c r="M321" s="189"/>
      <c r="N321" s="6"/>
      <c r="O321" s="6"/>
      <c r="P321" s="6"/>
      <c r="Q321" s="169"/>
      <c r="R321" s="6"/>
      <c r="S321" s="6"/>
      <c r="T321" s="169"/>
      <c r="U321" s="6"/>
      <c r="V321" s="169"/>
      <c r="W321" s="169"/>
      <c r="X321" s="169"/>
      <c r="Y321" s="169"/>
      <c r="Z321" s="169"/>
      <c r="AA321" s="169"/>
      <c r="AB321" s="169"/>
      <c r="AC321" s="169"/>
      <c r="AD321" s="169"/>
      <c r="AE321" s="169"/>
      <c r="AF321" s="169"/>
      <c r="AG321" s="169"/>
      <c r="AH321" s="169"/>
      <c r="AI321" s="169"/>
      <c r="AJ321" s="169"/>
      <c r="AK321" s="169"/>
      <c r="AL321" s="169"/>
      <c r="AM321" s="169"/>
      <c r="AN321" s="169"/>
      <c r="AO321" s="169"/>
      <c r="AP321" s="169"/>
      <c r="AQ321" s="169"/>
      <c r="AR321" s="169"/>
    </row>
    <row r="322" spans="1:44" ht="12.5">
      <c r="A322" s="169" t="str">
        <f ca="1">IFERROR(__xludf.DUMMYFUNCTION("""COMPUTED_VALUE"""),"Mindy Anderson")</f>
        <v>Mindy Anderson</v>
      </c>
      <c r="B322" s="186">
        <f ca="1">COUNTIF('All Scores'!AJ:AK,A322)</f>
        <v>1</v>
      </c>
      <c r="C322" s="186">
        <f ca="1">IFERROR(__xludf.DUMMYFUNCTION("MIN(FILTER('All Scores'!AI$2:AI$1024, ('All Scores'!AJ$2:AJ$1024 = A322) + ('All Scores'!AK$2:AK$1024 = A322)))"),7)</f>
        <v>7</v>
      </c>
      <c r="D322" s="187">
        <f ca="1">IFERROR(__xludf.DUMMYFUNCTION("AVERAGE(FILTER('All Scores'!AI$2:AI$1024, ('All Scores'!AJ$2:AJ$1024 = A322) + ('All Scores'!AK$2:AK$1024 = A322))
)
"),7)</f>
        <v>7</v>
      </c>
      <c r="E322" s="6">
        <f ca="1">IFERROR(__xludf.DUMMYFUNCTION("SUM(FILTER('All Scores'!AF$2:AF$1024, ('All Scores'!AJ$2:AJ$1024 = A322) + ('All Scores'!AK$2:AK$1024 = A322)))
"),90)</f>
        <v>90</v>
      </c>
      <c r="F322" s="6">
        <f ca="1">IFERROR(__xludf.DUMMYFUNCTION("SUM(FILTER('All Scores'!AD$2:AD$1024, ('All Scores'!AJ$2:AJ$1024 = A322) + ('All Scores'!AK$2:AK$1024 = A322)))
"),42)</f>
        <v>42</v>
      </c>
      <c r="G322" s="21">
        <f t="shared" ca="1" si="2"/>
        <v>0.46666666666666667</v>
      </c>
      <c r="H322" s="169"/>
      <c r="I322" s="169"/>
      <c r="J322" s="6"/>
      <c r="K322" s="188"/>
      <c r="L322" s="189"/>
      <c r="M322" s="189"/>
      <c r="N322" s="6"/>
      <c r="O322" s="6"/>
      <c r="P322" s="6"/>
      <c r="Q322" s="169"/>
      <c r="R322" s="6"/>
      <c r="S322" s="6"/>
      <c r="T322" s="169"/>
      <c r="U322" s="6"/>
      <c r="V322" s="169"/>
      <c r="W322" s="169"/>
      <c r="X322" s="169"/>
      <c r="Y322" s="169"/>
      <c r="Z322" s="169"/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69"/>
      <c r="AN322" s="169"/>
      <c r="AO322" s="169"/>
      <c r="AP322" s="169"/>
      <c r="AQ322" s="169"/>
      <c r="AR322" s="169"/>
    </row>
    <row r="323" spans="1:44" ht="12.5">
      <c r="A323" s="169" t="str">
        <f ca="1">IFERROR(__xludf.DUMMYFUNCTION("""COMPUTED_VALUE"""),"Mindy McCalla")</f>
        <v>Mindy McCalla</v>
      </c>
      <c r="B323" s="186">
        <f ca="1">COUNTIF('All Scores'!AJ:AK,A323)</f>
        <v>2</v>
      </c>
      <c r="C323" s="186">
        <f ca="1">IFERROR(__xludf.DUMMYFUNCTION("MIN(FILTER('All Scores'!AI$2:AI$1024, ('All Scores'!AJ$2:AJ$1024 = A323) + ('All Scores'!AK$2:AK$1024 = A323)))"),8)</f>
        <v>8</v>
      </c>
      <c r="D323" s="187">
        <f ca="1">IFERROR(__xludf.DUMMYFUNCTION("AVERAGE(FILTER('All Scores'!AI$2:AI$1024, ('All Scores'!AJ$2:AJ$1024 = A323) + ('All Scores'!AK$2:AK$1024 = A323))
)
"),11)</f>
        <v>11</v>
      </c>
      <c r="E323" s="6">
        <f ca="1">IFERROR(__xludf.DUMMYFUNCTION("SUM(FILTER('All Scores'!AF$2:AF$1024, ('All Scores'!AJ$2:AJ$1024 = A323) + ('All Scores'!AK$2:AK$1024 = A323)))
"),113)</f>
        <v>113</v>
      </c>
      <c r="F323" s="6">
        <f ca="1">IFERROR(__xludf.DUMMYFUNCTION("SUM(FILTER('All Scores'!AD$2:AD$1024, ('All Scores'!AJ$2:AJ$1024 = A323) + ('All Scores'!AK$2:AK$1024 = A323)))
"),55)</f>
        <v>55</v>
      </c>
      <c r="G323" s="21">
        <f t="shared" ca="1" si="2"/>
        <v>0.48672566371681414</v>
      </c>
      <c r="H323" s="169"/>
      <c r="I323" s="169"/>
      <c r="J323" s="6"/>
      <c r="K323" s="188"/>
      <c r="L323" s="189"/>
      <c r="M323" s="189"/>
      <c r="N323" s="6"/>
      <c r="O323" s="6"/>
      <c r="P323" s="6"/>
      <c r="Q323" s="169"/>
      <c r="R323" s="6"/>
      <c r="S323" s="6"/>
      <c r="T323" s="169"/>
      <c r="U323" s="6"/>
      <c r="V323" s="169"/>
      <c r="W323" s="169"/>
      <c r="X323" s="169"/>
      <c r="Y323" s="169"/>
      <c r="Z323" s="169"/>
      <c r="AA323" s="169"/>
      <c r="AB323" s="169"/>
      <c r="AC323" s="169"/>
      <c r="AD323" s="169"/>
      <c r="AE323" s="169"/>
      <c r="AF323" s="169"/>
      <c r="AG323" s="169"/>
      <c r="AH323" s="169"/>
      <c r="AI323" s="169"/>
      <c r="AJ323" s="169"/>
      <c r="AK323" s="169"/>
      <c r="AL323" s="169"/>
      <c r="AM323" s="169"/>
      <c r="AN323" s="169"/>
      <c r="AO323" s="169"/>
      <c r="AP323" s="169"/>
      <c r="AQ323" s="169"/>
      <c r="AR323" s="169"/>
    </row>
    <row r="324" spans="1:44" ht="12.5">
      <c r="A324" s="169" t="str">
        <f ca="1">IFERROR(__xludf.DUMMYFUNCTION("""COMPUTED_VALUE"""),"Molly Hunt")</f>
        <v>Molly Hunt</v>
      </c>
      <c r="B324" s="186">
        <f ca="1">COUNTIF('All Scores'!AJ:AK,A324)</f>
        <v>1</v>
      </c>
      <c r="C324" s="186">
        <f ca="1">IFERROR(__xludf.DUMMYFUNCTION("MIN(FILTER('All Scores'!AI$2:AI$1024, ('All Scores'!AJ$2:AJ$1024 = A324) + ('All Scores'!AK$2:AK$1024 = A324)))"),8)</f>
        <v>8</v>
      </c>
      <c r="D324" s="187">
        <f ca="1">IFERROR(__xludf.DUMMYFUNCTION("AVERAGE(FILTER('All Scores'!AI$2:AI$1024, ('All Scores'!AJ$2:AJ$1024 = A324) + ('All Scores'!AK$2:AK$1024 = A324))
)
"),8)</f>
        <v>8</v>
      </c>
      <c r="E324" s="6">
        <f ca="1">IFERROR(__xludf.DUMMYFUNCTION("SUM(FILTER('All Scores'!AF$2:AF$1024, ('All Scores'!AJ$2:AJ$1024 = A324) + ('All Scores'!AK$2:AK$1024 = A324)))
"),91)</f>
        <v>91</v>
      </c>
      <c r="F324" s="6">
        <f ca="1">IFERROR(__xludf.DUMMYFUNCTION("SUM(FILTER('All Scores'!AD$2:AD$1024, ('All Scores'!AJ$2:AJ$1024 = A324) + ('All Scores'!AK$2:AK$1024 = A324)))
"),42)</f>
        <v>42</v>
      </c>
      <c r="G324" s="21">
        <f t="shared" ca="1" si="2"/>
        <v>0.46153846153846156</v>
      </c>
      <c r="H324" s="169"/>
      <c r="I324" s="169"/>
      <c r="J324" s="6"/>
      <c r="K324" s="188"/>
      <c r="L324" s="189"/>
      <c r="M324" s="189"/>
      <c r="N324" s="6"/>
      <c r="O324" s="6"/>
      <c r="P324" s="6"/>
      <c r="Q324" s="169"/>
      <c r="R324" s="6"/>
      <c r="S324" s="6"/>
      <c r="T324" s="169"/>
      <c r="U324" s="6"/>
      <c r="V324" s="169"/>
      <c r="W324" s="169"/>
      <c r="X324" s="169"/>
      <c r="Y324" s="169"/>
      <c r="Z324" s="169"/>
      <c r="AA324" s="169"/>
      <c r="AB324" s="169"/>
      <c r="AC324" s="169"/>
      <c r="AD324" s="169"/>
      <c r="AE324" s="169"/>
      <c r="AF324" s="169"/>
      <c r="AG324" s="169"/>
      <c r="AH324" s="169"/>
      <c r="AI324" s="169"/>
      <c r="AJ324" s="169"/>
      <c r="AK324" s="169"/>
      <c r="AL324" s="169"/>
      <c r="AM324" s="169"/>
      <c r="AN324" s="169"/>
      <c r="AO324" s="169"/>
      <c r="AP324" s="169"/>
      <c r="AQ324" s="169"/>
      <c r="AR324" s="169"/>
    </row>
    <row r="325" spans="1:44" ht="12.5">
      <c r="A325" s="169" t="str">
        <f ca="1">IFERROR(__xludf.DUMMYFUNCTION("""COMPUTED_VALUE"""),"Monty Miller")</f>
        <v>Monty Miller</v>
      </c>
      <c r="B325" s="186">
        <f ca="1">COUNTIF('All Scores'!AJ:AK,A325)</f>
        <v>5</v>
      </c>
      <c r="C325" s="186">
        <f ca="1">IFERROR(__xludf.DUMMYFUNCTION("MIN(FILTER('All Scores'!AI$2:AI$1024, ('All Scores'!AJ$2:AJ$1024 = A325) + ('All Scores'!AK$2:AK$1024 = A325)))"),2)</f>
        <v>2</v>
      </c>
      <c r="D325" s="187">
        <f ca="1">IFERROR(__xludf.DUMMYFUNCTION("AVERAGE(FILTER('All Scores'!AI$2:AI$1024, ('All Scores'!AJ$2:AJ$1024 = A325) + ('All Scores'!AK$2:AK$1024 = A325))
)
"),5.2)</f>
        <v>5.2</v>
      </c>
      <c r="E325" s="6">
        <f ca="1">IFERROR(__xludf.DUMMYFUNCTION("SUM(FILTER('All Scores'!AF$2:AF$1024, ('All Scores'!AJ$2:AJ$1024 = A325) + ('All Scores'!AK$2:AK$1024 = A325)))
"),370)</f>
        <v>370</v>
      </c>
      <c r="F325" s="6">
        <f ca="1">IFERROR(__xludf.DUMMYFUNCTION("SUM(FILTER('All Scores'!AD$2:AD$1024, ('All Scores'!AJ$2:AJ$1024 = A325) + ('All Scores'!AK$2:AK$1024 = A325)))
"),207)</f>
        <v>207</v>
      </c>
      <c r="G325" s="21">
        <f t="shared" ca="1" si="2"/>
        <v>0.55945945945945941</v>
      </c>
      <c r="H325" s="169"/>
      <c r="I325" s="169"/>
      <c r="J325" s="6"/>
      <c r="K325" s="188"/>
      <c r="L325" s="189"/>
      <c r="M325" s="189"/>
      <c r="N325" s="6"/>
      <c r="O325" s="6"/>
      <c r="P325" s="6"/>
      <c r="Q325" s="169"/>
      <c r="R325" s="6"/>
      <c r="S325" s="6"/>
      <c r="T325" s="169"/>
      <c r="U325" s="6"/>
      <c r="V325" s="169"/>
      <c r="W325" s="169"/>
      <c r="X325" s="169"/>
      <c r="Y325" s="169"/>
      <c r="Z325" s="169"/>
      <c r="AA325" s="169"/>
      <c r="AB325" s="169"/>
      <c r="AC325" s="169"/>
      <c r="AD325" s="169"/>
      <c r="AE325" s="169"/>
      <c r="AF325" s="169"/>
      <c r="AG325" s="169"/>
      <c r="AH325" s="169"/>
      <c r="AI325" s="169"/>
      <c r="AJ325" s="169"/>
      <c r="AK325" s="169"/>
      <c r="AL325" s="169"/>
      <c r="AM325" s="169"/>
      <c r="AN325" s="169"/>
      <c r="AO325" s="169"/>
      <c r="AP325" s="169"/>
      <c r="AQ325" s="169"/>
      <c r="AR325" s="169"/>
    </row>
    <row r="326" spans="1:44" ht="12.5">
      <c r="A326" s="169" t="str">
        <f ca="1">IFERROR(__xludf.DUMMYFUNCTION("""COMPUTED_VALUE"""),"Nancy Wedel")</f>
        <v>Nancy Wedel</v>
      </c>
      <c r="B326" s="186">
        <f ca="1">COUNTIF('All Scores'!AJ:AK,A326)</f>
        <v>1</v>
      </c>
      <c r="C326" s="186">
        <f ca="1">IFERROR(__xludf.DUMMYFUNCTION("MIN(FILTER('All Scores'!AI$2:AI$1024, ('All Scores'!AJ$2:AJ$1024 = A326) + ('All Scores'!AK$2:AK$1024 = A326)))"),5)</f>
        <v>5</v>
      </c>
      <c r="D326" s="187">
        <f ca="1">IFERROR(__xludf.DUMMYFUNCTION("AVERAGE(FILTER('All Scores'!AI$2:AI$1024, ('All Scores'!AJ$2:AJ$1024 = A326) + ('All Scores'!AK$2:AK$1024 = A326))
)
"),5)</f>
        <v>5</v>
      </c>
      <c r="E326" s="6">
        <f ca="1">IFERROR(__xludf.DUMMYFUNCTION("SUM(FILTER('All Scores'!AF$2:AF$1024, ('All Scores'!AJ$2:AJ$1024 = A326) + ('All Scores'!AK$2:AK$1024 = A326)))
"),84)</f>
        <v>84</v>
      </c>
      <c r="F326" s="6">
        <f ca="1">IFERROR(__xludf.DUMMYFUNCTION("SUM(FILTER('All Scores'!AD$2:AD$1024, ('All Scores'!AJ$2:AJ$1024 = A326) + ('All Scores'!AK$2:AK$1024 = A326)))
"),40)</f>
        <v>40</v>
      </c>
      <c r="G326" s="21">
        <f t="shared" ca="1" si="2"/>
        <v>0.47619047619047616</v>
      </c>
      <c r="H326" s="169"/>
      <c r="I326" s="169"/>
      <c r="J326" s="6"/>
      <c r="K326" s="188"/>
      <c r="L326" s="189"/>
      <c r="M326" s="189"/>
      <c r="N326" s="6"/>
      <c r="O326" s="6"/>
      <c r="P326" s="6"/>
      <c r="Q326" s="169"/>
      <c r="R326" s="6"/>
      <c r="S326" s="6"/>
      <c r="T326" s="169"/>
      <c r="U326" s="6"/>
      <c r="V326" s="169"/>
      <c r="W326" s="169"/>
      <c r="X326" s="169"/>
      <c r="Y326" s="169"/>
      <c r="Z326" s="169"/>
      <c r="AA326" s="169"/>
      <c r="AB326" s="169"/>
      <c r="AC326" s="169"/>
      <c r="AD326" s="169"/>
      <c r="AE326" s="169"/>
      <c r="AF326" s="169"/>
      <c r="AG326" s="169"/>
      <c r="AH326" s="169"/>
      <c r="AI326" s="169"/>
      <c r="AJ326" s="169"/>
      <c r="AK326" s="169"/>
      <c r="AL326" s="169"/>
      <c r="AM326" s="169"/>
      <c r="AN326" s="169"/>
      <c r="AO326" s="169"/>
      <c r="AP326" s="169"/>
      <c r="AQ326" s="169"/>
      <c r="AR326" s="169"/>
    </row>
    <row r="327" spans="1:44" ht="12.5">
      <c r="A327" s="169" t="str">
        <f ca="1">IFERROR(__xludf.DUMMYFUNCTION("""COMPUTED_VALUE"""),"Naomi Tjaden")</f>
        <v>Naomi Tjaden</v>
      </c>
      <c r="B327" s="186">
        <f ca="1">COUNTIF('All Scores'!AJ:AK,A327)</f>
        <v>1</v>
      </c>
      <c r="C327" s="186">
        <f ca="1">IFERROR(__xludf.DUMMYFUNCTION("MIN(FILTER('All Scores'!AI$2:AI$1024, ('All Scores'!AJ$2:AJ$1024 = A327) + ('All Scores'!AK$2:AK$1024 = A327)))"),12)</f>
        <v>12</v>
      </c>
      <c r="D327" s="187">
        <f ca="1">IFERROR(__xludf.DUMMYFUNCTION("AVERAGE(FILTER('All Scores'!AI$2:AI$1024, ('All Scores'!AJ$2:AJ$1024 = A327) + ('All Scores'!AK$2:AK$1024 = A327))
)
"),12)</f>
        <v>12</v>
      </c>
      <c r="E327" s="6">
        <f ca="1">IFERROR(__xludf.DUMMYFUNCTION("SUM(FILTER('All Scores'!AF$2:AF$1024, ('All Scores'!AJ$2:AJ$1024 = A327) + ('All Scores'!AK$2:AK$1024 = A327)))
"),45)</f>
        <v>45</v>
      </c>
      <c r="F327" s="6">
        <f ca="1">IFERROR(__xludf.DUMMYFUNCTION("SUM(FILTER('All Scores'!AD$2:AD$1024, ('All Scores'!AJ$2:AJ$1024 = A327) + ('All Scores'!AK$2:AK$1024 = A327)))
"),19)</f>
        <v>19</v>
      </c>
      <c r="G327" s="21">
        <f t="shared" ca="1" si="2"/>
        <v>0.42222222222222222</v>
      </c>
      <c r="H327" s="169"/>
      <c r="I327" s="169"/>
      <c r="J327" s="6"/>
      <c r="K327" s="188"/>
      <c r="L327" s="189"/>
      <c r="M327" s="189"/>
      <c r="N327" s="6"/>
      <c r="O327" s="6"/>
      <c r="P327" s="6"/>
      <c r="Q327" s="169"/>
      <c r="R327" s="6"/>
      <c r="S327" s="6"/>
      <c r="T327" s="169"/>
      <c r="U327" s="6"/>
      <c r="V327" s="169"/>
      <c r="W327" s="169"/>
      <c r="X327" s="169"/>
      <c r="Y327" s="169"/>
      <c r="Z327" s="169"/>
      <c r="AA327" s="169"/>
      <c r="AB327" s="169"/>
      <c r="AC327" s="169"/>
      <c r="AD327" s="169"/>
      <c r="AE327" s="169"/>
      <c r="AF327" s="169"/>
      <c r="AG327" s="169"/>
      <c r="AH327" s="169"/>
      <c r="AI327" s="169"/>
      <c r="AJ327" s="169"/>
      <c r="AK327" s="169"/>
      <c r="AL327" s="169"/>
      <c r="AM327" s="169"/>
      <c r="AN327" s="169"/>
      <c r="AO327" s="169"/>
      <c r="AP327" s="169"/>
      <c r="AQ327" s="169"/>
      <c r="AR327" s="169"/>
    </row>
    <row r="328" spans="1:44" ht="12.5">
      <c r="A328" s="169" t="str">
        <f ca="1">IFERROR(__xludf.DUMMYFUNCTION("""COMPUTED_VALUE"""),"Nathan Gray")</f>
        <v>Nathan Gray</v>
      </c>
      <c r="B328" s="186">
        <f ca="1">COUNTIF('All Scores'!AJ:AK,A328)</f>
        <v>2</v>
      </c>
      <c r="C328" s="186">
        <f ca="1">IFERROR(__xludf.DUMMYFUNCTION("MIN(FILTER('All Scores'!AI$2:AI$1024, ('All Scores'!AJ$2:AJ$1024 = A328) + ('All Scores'!AK$2:AK$1024 = A328)))"),11)</f>
        <v>11</v>
      </c>
      <c r="D328" s="187">
        <f ca="1">IFERROR(__xludf.DUMMYFUNCTION("AVERAGE(FILTER('All Scores'!AI$2:AI$1024, ('All Scores'!AJ$2:AJ$1024 = A328) + ('All Scores'!AK$2:AK$1024 = A328))
)
"),13)</f>
        <v>13</v>
      </c>
      <c r="E328" s="6">
        <f ca="1">IFERROR(__xludf.DUMMYFUNCTION("SUM(FILTER('All Scores'!AF$2:AF$1024, ('All Scores'!AJ$2:AJ$1024 = A328) + ('All Scores'!AK$2:AK$1024 = A328)))
"),125)</f>
        <v>125</v>
      </c>
      <c r="F328" s="6">
        <f ca="1">IFERROR(__xludf.DUMMYFUNCTION("SUM(FILTER('All Scores'!AD$2:AD$1024, ('All Scores'!AJ$2:AJ$1024 = A328) + ('All Scores'!AK$2:AK$1024 = A328)))
"),51)</f>
        <v>51</v>
      </c>
      <c r="G328" s="21">
        <f t="shared" ca="1" si="2"/>
        <v>0.40799999999999997</v>
      </c>
      <c r="H328" s="169"/>
      <c r="I328" s="169"/>
      <c r="J328" s="6"/>
      <c r="K328" s="188"/>
      <c r="L328" s="189"/>
      <c r="M328" s="189"/>
      <c r="N328" s="6"/>
      <c r="O328" s="6"/>
      <c r="P328" s="6"/>
      <c r="Q328" s="169"/>
      <c r="R328" s="6"/>
      <c r="S328" s="6"/>
      <c r="T328" s="169"/>
      <c r="U328" s="6"/>
      <c r="V328" s="169"/>
      <c r="W328" s="169"/>
      <c r="X328" s="169"/>
      <c r="Y328" s="169"/>
      <c r="Z328" s="169"/>
      <c r="AA328" s="169"/>
      <c r="AB328" s="169"/>
      <c r="AC328" s="169"/>
      <c r="AD328" s="169"/>
      <c r="AE328" s="169"/>
      <c r="AF328" s="169"/>
      <c r="AG328" s="169"/>
      <c r="AH328" s="169"/>
      <c r="AI328" s="169"/>
      <c r="AJ328" s="169"/>
      <c r="AK328" s="169"/>
      <c r="AL328" s="169"/>
      <c r="AM328" s="169"/>
      <c r="AN328" s="169"/>
      <c r="AO328" s="169"/>
      <c r="AP328" s="169"/>
      <c r="AQ328" s="169"/>
      <c r="AR328" s="169"/>
    </row>
    <row r="329" spans="1:44" ht="12.5">
      <c r="A329" s="169" t="str">
        <f ca="1">IFERROR(__xludf.DUMMYFUNCTION("""COMPUTED_VALUE"""),"Nick Wright")</f>
        <v>Nick Wright</v>
      </c>
      <c r="B329" s="186">
        <f ca="1">COUNTIF('All Scores'!AJ:AK,A329)</f>
        <v>1</v>
      </c>
      <c r="C329" s="186">
        <f ca="1">IFERROR(__xludf.DUMMYFUNCTION("MIN(FILTER('All Scores'!AI$2:AI$1024, ('All Scores'!AJ$2:AJ$1024 = A329) + ('All Scores'!AK$2:AK$1024 = A329)))"),13)</f>
        <v>13</v>
      </c>
      <c r="D329" s="187">
        <f ca="1">IFERROR(__xludf.DUMMYFUNCTION("AVERAGE(FILTER('All Scores'!AI$2:AI$1024, ('All Scores'!AJ$2:AJ$1024 = A329) + ('All Scores'!AK$2:AK$1024 = A329))
)
"),13)</f>
        <v>13</v>
      </c>
      <c r="E329" s="6">
        <f ca="1">IFERROR(__xludf.DUMMYFUNCTION("SUM(FILTER('All Scores'!AF$2:AF$1024, ('All Scores'!AJ$2:AJ$1024 = A329) + ('All Scores'!AK$2:AK$1024 = A329)))
"),50)</f>
        <v>50</v>
      </c>
      <c r="F329" s="6">
        <f ca="1">IFERROR(__xludf.DUMMYFUNCTION("SUM(FILTER('All Scores'!AD$2:AD$1024, ('All Scores'!AJ$2:AJ$1024 = A329) + ('All Scores'!AK$2:AK$1024 = A329)))
"),17)</f>
        <v>17</v>
      </c>
      <c r="G329" s="21">
        <f t="shared" ca="1" si="2"/>
        <v>0.34</v>
      </c>
      <c r="H329" s="169"/>
      <c r="I329" s="169"/>
      <c r="J329" s="6"/>
      <c r="K329" s="188"/>
      <c r="L329" s="189"/>
      <c r="M329" s="189"/>
      <c r="N329" s="6"/>
      <c r="O329" s="6"/>
      <c r="P329" s="6"/>
      <c r="Q329" s="169"/>
      <c r="R329" s="6"/>
      <c r="S329" s="6"/>
      <c r="T329" s="169"/>
      <c r="U329" s="6"/>
      <c r="V329" s="169"/>
      <c r="W329" s="169"/>
      <c r="X329" s="169"/>
      <c r="Y329" s="169"/>
      <c r="Z329" s="169"/>
      <c r="AA329" s="169"/>
      <c r="AB329" s="169"/>
      <c r="AC329" s="169"/>
      <c r="AD329" s="169"/>
      <c r="AE329" s="169"/>
      <c r="AF329" s="169"/>
      <c r="AG329" s="169"/>
      <c r="AH329" s="169"/>
      <c r="AI329" s="169"/>
      <c r="AJ329" s="169"/>
      <c r="AK329" s="169"/>
      <c r="AL329" s="169"/>
      <c r="AM329" s="169"/>
      <c r="AN329" s="169"/>
      <c r="AO329" s="169"/>
      <c r="AP329" s="169"/>
      <c r="AQ329" s="169"/>
      <c r="AR329" s="169"/>
    </row>
    <row r="330" spans="1:44" ht="12.5">
      <c r="A330" s="169" t="str">
        <f ca="1">IFERROR(__xludf.DUMMYFUNCTION("""COMPUTED_VALUE"""),"Nicole Alfaro")</f>
        <v>Nicole Alfaro</v>
      </c>
      <c r="B330" s="186">
        <f ca="1">COUNTIF('All Scores'!AJ:AK,A330)</f>
        <v>1</v>
      </c>
      <c r="C330" s="186">
        <f ca="1">IFERROR(__xludf.DUMMYFUNCTION("MIN(FILTER('All Scores'!AI$2:AI$1024, ('All Scores'!AJ$2:AJ$1024 = A330) + ('All Scores'!AK$2:AK$1024 = A330)))"),6)</f>
        <v>6</v>
      </c>
      <c r="D330" s="187">
        <f ca="1">IFERROR(__xludf.DUMMYFUNCTION("AVERAGE(FILTER('All Scores'!AI$2:AI$1024, ('All Scores'!AJ$2:AJ$1024 = A330) + ('All Scores'!AK$2:AK$1024 = A330))
)
"),6)</f>
        <v>6</v>
      </c>
      <c r="E330" s="6">
        <f ca="1">IFERROR(__xludf.DUMMYFUNCTION("SUM(FILTER('All Scores'!AF$2:AF$1024, ('All Scores'!AJ$2:AJ$1024 = A330) + ('All Scores'!AK$2:AK$1024 = A330)))
"),81)</f>
        <v>81</v>
      </c>
      <c r="F330" s="6">
        <f ca="1">IFERROR(__xludf.DUMMYFUNCTION("SUM(FILTER('All Scores'!AD$2:AD$1024, ('All Scores'!AJ$2:AJ$1024 = A330) + ('All Scores'!AK$2:AK$1024 = A330)))
"),45)</f>
        <v>45</v>
      </c>
      <c r="G330" s="21">
        <f t="shared" ca="1" si="2"/>
        <v>0.55555555555555558</v>
      </c>
      <c r="H330" s="169"/>
      <c r="I330" s="169"/>
      <c r="J330" s="6"/>
      <c r="K330" s="188"/>
      <c r="L330" s="189"/>
      <c r="M330" s="189"/>
      <c r="N330" s="6"/>
      <c r="O330" s="6"/>
      <c r="P330" s="6"/>
      <c r="Q330" s="169"/>
      <c r="R330" s="6"/>
      <c r="S330" s="6"/>
      <c r="T330" s="169"/>
      <c r="U330" s="6"/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  <c r="AI330" s="169"/>
      <c r="AJ330" s="169"/>
      <c r="AK330" s="169"/>
      <c r="AL330" s="169"/>
      <c r="AM330" s="169"/>
      <c r="AN330" s="169"/>
      <c r="AO330" s="169"/>
      <c r="AP330" s="169"/>
      <c r="AQ330" s="169"/>
      <c r="AR330" s="169"/>
    </row>
    <row r="331" spans="1:44" ht="12.5">
      <c r="A331" s="169" t="str">
        <f ca="1">IFERROR(__xludf.DUMMYFUNCTION("""COMPUTED_VALUE"""),"Nicolle Ratliff")</f>
        <v>Nicolle Ratliff</v>
      </c>
      <c r="B331" s="186">
        <f ca="1">COUNTIF('All Scores'!AJ:AK,A331)</f>
        <v>5</v>
      </c>
      <c r="C331" s="186">
        <f ca="1">IFERROR(__xludf.DUMMYFUNCTION("MIN(FILTER('All Scores'!AI$2:AI$1024, ('All Scores'!AJ$2:AJ$1024 = A331) + ('All Scores'!AK$2:AK$1024 = A331)))"),1)</f>
        <v>1</v>
      </c>
      <c r="D331" s="187">
        <f ca="1">IFERROR(__xludf.DUMMYFUNCTION("AVERAGE(FILTER('All Scores'!AI$2:AI$1024, ('All Scores'!AJ$2:AJ$1024 = A331) + ('All Scores'!AK$2:AK$1024 = A331))
)
"),4.8)</f>
        <v>4.8</v>
      </c>
      <c r="E331" s="6">
        <f ca="1">IFERROR(__xludf.DUMMYFUNCTION("SUM(FILTER('All Scores'!AF$2:AF$1024, ('All Scores'!AJ$2:AJ$1024 = A331) + ('All Scores'!AK$2:AK$1024 = A331)))
"),492)</f>
        <v>492</v>
      </c>
      <c r="F331" s="6">
        <f ca="1">IFERROR(__xludf.DUMMYFUNCTION("SUM(FILTER('All Scores'!AD$2:AD$1024, ('All Scores'!AJ$2:AJ$1024 = A331) + ('All Scores'!AK$2:AK$1024 = A331)))
"),292)</f>
        <v>292</v>
      </c>
      <c r="G331" s="21">
        <f t="shared" ca="1" si="2"/>
        <v>0.5934959349593496</v>
      </c>
      <c r="H331" s="169"/>
      <c r="I331" s="169"/>
      <c r="J331" s="6"/>
      <c r="K331" s="188"/>
      <c r="L331" s="189"/>
      <c r="M331" s="189"/>
      <c r="N331" s="6"/>
      <c r="O331" s="6"/>
      <c r="P331" s="6"/>
      <c r="Q331" s="169"/>
      <c r="R331" s="6"/>
      <c r="S331" s="6"/>
      <c r="T331" s="169"/>
      <c r="U331" s="6"/>
      <c r="V331" s="169"/>
      <c r="W331" s="169"/>
      <c r="X331" s="169"/>
      <c r="Y331" s="169"/>
      <c r="Z331" s="169"/>
      <c r="AA331" s="169"/>
      <c r="AB331" s="169"/>
      <c r="AC331" s="169"/>
      <c r="AD331" s="169"/>
      <c r="AE331" s="169"/>
      <c r="AF331" s="169"/>
      <c r="AG331" s="169"/>
      <c r="AH331" s="169"/>
      <c r="AI331" s="169"/>
      <c r="AJ331" s="169"/>
      <c r="AK331" s="169"/>
      <c r="AL331" s="169"/>
      <c r="AM331" s="169"/>
      <c r="AN331" s="169"/>
      <c r="AO331" s="169"/>
      <c r="AP331" s="169"/>
      <c r="AQ331" s="169"/>
      <c r="AR331" s="169"/>
    </row>
    <row r="332" spans="1:44" ht="12.5">
      <c r="A332" s="169" t="str">
        <f ca="1">IFERROR(__xludf.DUMMYFUNCTION("""COMPUTED_VALUE"""),"Nikki Carpenter")</f>
        <v>Nikki Carpenter</v>
      </c>
      <c r="B332" s="186">
        <f ca="1">COUNTIF('All Scores'!AJ:AK,A332)</f>
        <v>1</v>
      </c>
      <c r="C332" s="186">
        <f ca="1">IFERROR(__xludf.DUMMYFUNCTION("MIN(FILTER('All Scores'!AI$2:AI$1024, ('All Scores'!AJ$2:AJ$1024 = A332) + ('All Scores'!AK$2:AK$1024 = A332)))"),4)</f>
        <v>4</v>
      </c>
      <c r="D332" s="187">
        <f ca="1">IFERROR(__xludf.DUMMYFUNCTION("AVERAGE(FILTER('All Scores'!AI$2:AI$1024, ('All Scores'!AJ$2:AJ$1024 = A332) + ('All Scores'!AK$2:AK$1024 = A332))
)
"),4)</f>
        <v>4</v>
      </c>
      <c r="E332" s="6">
        <f ca="1">IFERROR(__xludf.DUMMYFUNCTION("SUM(FILTER('All Scores'!AF$2:AF$1024, ('All Scores'!AJ$2:AJ$1024 = A332) + ('All Scores'!AK$2:AK$1024 = A332)))
"),115)</f>
        <v>115</v>
      </c>
      <c r="F332" s="6">
        <f ca="1">IFERROR(__xludf.DUMMYFUNCTION("SUM(FILTER('All Scores'!AD$2:AD$1024, ('All Scores'!AJ$2:AJ$1024 = A332) + ('All Scores'!AK$2:AK$1024 = A332)))
"),59)</f>
        <v>59</v>
      </c>
      <c r="G332" s="21">
        <f t="shared" ca="1" si="2"/>
        <v>0.5130434782608696</v>
      </c>
      <c r="H332" s="169"/>
      <c r="I332" s="169"/>
      <c r="J332" s="6"/>
      <c r="K332" s="188"/>
      <c r="L332" s="189"/>
      <c r="M332" s="189"/>
      <c r="N332" s="6"/>
      <c r="O332" s="6"/>
      <c r="P332" s="6"/>
      <c r="Q332" s="169"/>
      <c r="R332" s="6"/>
      <c r="S332" s="6"/>
      <c r="T332" s="169"/>
      <c r="U332" s="6"/>
      <c r="V332" s="169"/>
      <c r="W332" s="169"/>
      <c r="X332" s="169"/>
      <c r="Y332" s="169"/>
      <c r="Z332" s="169"/>
      <c r="AA332" s="169"/>
      <c r="AB332" s="169"/>
      <c r="AC332" s="169"/>
      <c r="AD332" s="169"/>
      <c r="AE332" s="169"/>
      <c r="AF332" s="169"/>
      <c r="AG332" s="169"/>
      <c r="AH332" s="169"/>
      <c r="AI332" s="169"/>
      <c r="AJ332" s="169"/>
      <c r="AK332" s="169"/>
      <c r="AL332" s="169"/>
      <c r="AM332" s="169"/>
      <c r="AN332" s="169"/>
      <c r="AO332" s="169"/>
      <c r="AP332" s="169"/>
      <c r="AQ332" s="169"/>
      <c r="AR332" s="169"/>
    </row>
    <row r="333" spans="1:44" ht="12.5">
      <c r="A333" s="169" t="str">
        <f ca="1">IFERROR(__xludf.DUMMYFUNCTION("""COMPUTED_VALUE"""),"Nizar Ali")</f>
        <v>Nizar Ali</v>
      </c>
      <c r="B333" s="186">
        <f ca="1">COUNTIF('All Scores'!AJ:AK,A333)</f>
        <v>1</v>
      </c>
      <c r="C333" s="186">
        <f ca="1">IFERROR(__xludf.DUMMYFUNCTION("MIN(FILTER('All Scores'!AI$2:AI$1024, ('All Scores'!AJ$2:AJ$1024 = A333) + ('All Scores'!AK$2:AK$1024 = A333)))"),6)</f>
        <v>6</v>
      </c>
      <c r="D333" s="187">
        <f ca="1">IFERROR(__xludf.DUMMYFUNCTION("AVERAGE(FILTER('All Scores'!AI$2:AI$1024, ('All Scores'!AJ$2:AJ$1024 = A333) + ('All Scores'!AK$2:AK$1024 = A333))
)
"),6)</f>
        <v>6</v>
      </c>
      <c r="E333" s="6">
        <f ca="1">IFERROR(__xludf.DUMMYFUNCTION("SUM(FILTER('All Scores'!AF$2:AF$1024, ('All Scores'!AJ$2:AJ$1024 = A333) + ('All Scores'!AK$2:AK$1024 = A333)))
"),45)</f>
        <v>45</v>
      </c>
      <c r="F333" s="6">
        <f ca="1">IFERROR(__xludf.DUMMYFUNCTION("SUM(FILTER('All Scores'!AD$2:AD$1024, ('All Scores'!AJ$2:AJ$1024 = A333) + ('All Scores'!AK$2:AK$1024 = A333)))
"),30)</f>
        <v>30</v>
      </c>
      <c r="G333" s="21">
        <f t="shared" ca="1" si="2"/>
        <v>0.66666666666666663</v>
      </c>
      <c r="H333" s="169"/>
      <c r="I333" s="169"/>
      <c r="J333" s="6"/>
      <c r="K333" s="188"/>
      <c r="L333" s="189"/>
      <c r="M333" s="189"/>
      <c r="N333" s="6"/>
      <c r="O333" s="6"/>
      <c r="P333" s="6"/>
      <c r="Q333" s="169"/>
      <c r="R333" s="6"/>
      <c r="S333" s="6"/>
      <c r="T333" s="169"/>
      <c r="U333" s="6"/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  <c r="AI333" s="169"/>
      <c r="AJ333" s="169"/>
      <c r="AK333" s="169"/>
      <c r="AL333" s="169"/>
      <c r="AM333" s="169"/>
      <c r="AN333" s="169"/>
      <c r="AO333" s="169"/>
      <c r="AP333" s="169"/>
      <c r="AQ333" s="169"/>
      <c r="AR333" s="169"/>
    </row>
    <row r="334" spans="1:44" ht="12.5">
      <c r="A334" s="169" t="str">
        <f ca="1">IFERROR(__xludf.DUMMYFUNCTION("""COMPUTED_VALUE"""),"Noah Blank")</f>
        <v>Noah Blank</v>
      </c>
      <c r="B334" s="186">
        <f ca="1">COUNTIF('All Scores'!AJ:AK,A334)</f>
        <v>1</v>
      </c>
      <c r="C334" s="186">
        <f ca="1">IFERROR(__xludf.DUMMYFUNCTION("MIN(FILTER('All Scores'!AI$2:AI$1024, ('All Scores'!AJ$2:AJ$1024 = A334) + ('All Scores'!AK$2:AK$1024 = A334)))"),7)</f>
        <v>7</v>
      </c>
      <c r="D334" s="187">
        <f ca="1">IFERROR(__xludf.DUMMYFUNCTION("AVERAGE(FILTER('All Scores'!AI$2:AI$1024, ('All Scores'!AJ$2:AJ$1024 = A334) + ('All Scores'!AK$2:AK$1024 = A334))
)
"),7)</f>
        <v>7</v>
      </c>
      <c r="E334" s="6">
        <f ca="1">IFERROR(__xludf.DUMMYFUNCTION("SUM(FILTER('All Scores'!AF$2:AF$1024, ('All Scores'!AJ$2:AJ$1024 = A334) + ('All Scores'!AK$2:AK$1024 = A334)))
"),82)</f>
        <v>82</v>
      </c>
      <c r="F334" s="6">
        <f ca="1">IFERROR(__xludf.DUMMYFUNCTION("SUM(FILTER('All Scores'!AD$2:AD$1024, ('All Scores'!AJ$2:AJ$1024 = A334) + ('All Scores'!AK$2:AK$1024 = A334)))
"),49)</f>
        <v>49</v>
      </c>
      <c r="G334" s="21">
        <f t="shared" ca="1" si="2"/>
        <v>0.59756097560975607</v>
      </c>
      <c r="H334" s="169"/>
      <c r="I334" s="169"/>
      <c r="J334" s="6"/>
      <c r="K334" s="188"/>
      <c r="L334" s="189"/>
      <c r="M334" s="189"/>
      <c r="N334" s="6"/>
      <c r="O334" s="6"/>
      <c r="P334" s="6"/>
      <c r="Q334" s="169"/>
      <c r="R334" s="6"/>
      <c r="S334" s="6"/>
      <c r="T334" s="169"/>
      <c r="U334" s="6"/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  <c r="AI334" s="169"/>
      <c r="AJ334" s="169"/>
      <c r="AK334" s="169"/>
      <c r="AL334" s="169"/>
      <c r="AM334" s="169"/>
      <c r="AN334" s="169"/>
      <c r="AO334" s="169"/>
      <c r="AP334" s="169"/>
      <c r="AQ334" s="169"/>
      <c r="AR334" s="169"/>
    </row>
    <row r="335" spans="1:44" ht="12.5">
      <c r="A335" s="169" t="str">
        <f ca="1">IFERROR(__xludf.DUMMYFUNCTION("""COMPUTED_VALUE"""),"Ola Vaughn")</f>
        <v>Ola Vaughn</v>
      </c>
      <c r="B335" s="186">
        <f ca="1">COUNTIF('All Scores'!AJ:AK,A335)</f>
        <v>3</v>
      </c>
      <c r="C335" s="186">
        <f ca="1">IFERROR(__xludf.DUMMYFUNCTION("MIN(FILTER('All Scores'!AI$2:AI$1024, ('All Scores'!AJ$2:AJ$1024 = A335) + ('All Scores'!AK$2:AK$1024 = A335)))"),1)</f>
        <v>1</v>
      </c>
      <c r="D335" s="187">
        <f ca="1">IFERROR(__xludf.DUMMYFUNCTION("AVERAGE(FILTER('All Scores'!AI$2:AI$1024, ('All Scores'!AJ$2:AJ$1024 = A335) + ('All Scores'!AK$2:AK$1024 = A335))
)
"),2.66666666666666)</f>
        <v>2.6666666666666599</v>
      </c>
      <c r="E335" s="6">
        <f ca="1">IFERROR(__xludf.DUMMYFUNCTION("SUM(FILTER('All Scores'!AF$2:AF$1024, ('All Scores'!AJ$2:AJ$1024 = A335) + ('All Scores'!AK$2:AK$1024 = A335)))
"),312)</f>
        <v>312</v>
      </c>
      <c r="F335" s="6">
        <f ca="1">IFERROR(__xludf.DUMMYFUNCTION("SUM(FILTER('All Scores'!AD$2:AD$1024, ('All Scores'!AJ$2:AJ$1024 = A335) + ('All Scores'!AK$2:AK$1024 = A335)))
"),194)</f>
        <v>194</v>
      </c>
      <c r="G335" s="21">
        <f t="shared" ca="1" si="2"/>
        <v>0.62179487179487181</v>
      </c>
      <c r="H335" s="169"/>
      <c r="I335" s="169"/>
      <c r="J335" s="6"/>
      <c r="K335" s="188"/>
      <c r="L335" s="189"/>
      <c r="M335" s="189"/>
      <c r="N335" s="6"/>
      <c r="O335" s="6"/>
      <c r="P335" s="6"/>
      <c r="Q335" s="169"/>
      <c r="R335" s="6"/>
      <c r="S335" s="6"/>
      <c r="T335" s="169"/>
      <c r="U335" s="6"/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69"/>
      <c r="AN335" s="169"/>
      <c r="AO335" s="169"/>
      <c r="AP335" s="169"/>
      <c r="AQ335" s="169"/>
      <c r="AR335" s="169"/>
    </row>
    <row r="336" spans="1:44" ht="12.5">
      <c r="A336" s="169" t="str">
        <f ca="1">IFERROR(__xludf.DUMMYFUNCTION("""COMPUTED_VALUE"""),"Olivia Haney")</f>
        <v>Olivia Haney</v>
      </c>
      <c r="B336" s="186">
        <f ca="1">COUNTIF('All Scores'!AJ:AK,A336)</f>
        <v>4</v>
      </c>
      <c r="C336" s="186">
        <f ca="1">IFERROR(__xludf.DUMMYFUNCTION("MIN(FILTER('All Scores'!AI$2:AI$1024, ('All Scores'!AJ$2:AJ$1024 = A336) + ('All Scores'!AK$2:AK$1024 = A336)))"),1)</f>
        <v>1</v>
      </c>
      <c r="D336" s="187">
        <f ca="1">IFERROR(__xludf.DUMMYFUNCTION("AVERAGE(FILTER('All Scores'!AI$2:AI$1024, ('All Scores'!AJ$2:AJ$1024 = A336) + ('All Scores'!AK$2:AK$1024 = A336))
)
"),9.25)</f>
        <v>9.25</v>
      </c>
      <c r="E336" s="6">
        <f ca="1">IFERROR(__xludf.DUMMYFUNCTION("SUM(FILTER('All Scores'!AF$2:AF$1024, ('All Scores'!AJ$2:AJ$1024 = A336) + ('All Scores'!AK$2:AK$1024 = A336)))
"),339)</f>
        <v>339</v>
      </c>
      <c r="F336" s="6">
        <f ca="1">IFERROR(__xludf.DUMMYFUNCTION("SUM(FILTER('All Scores'!AD$2:AD$1024, ('All Scores'!AJ$2:AJ$1024 = A336) + ('All Scores'!AK$2:AK$1024 = A336)))
"),168)</f>
        <v>168</v>
      </c>
      <c r="G336" s="21">
        <f t="shared" ca="1" si="2"/>
        <v>0.49557522123893805</v>
      </c>
      <c r="H336" s="169"/>
      <c r="I336" s="169"/>
      <c r="J336" s="6"/>
      <c r="K336" s="188"/>
      <c r="L336" s="189"/>
      <c r="M336" s="189"/>
      <c r="N336" s="6"/>
      <c r="O336" s="6"/>
      <c r="P336" s="6"/>
      <c r="Q336" s="169"/>
      <c r="R336" s="6"/>
      <c r="S336" s="6"/>
      <c r="T336" s="169"/>
      <c r="U336" s="6"/>
      <c r="V336" s="169"/>
      <c r="W336" s="169"/>
      <c r="X336" s="169"/>
      <c r="Y336" s="169"/>
      <c r="Z336" s="169"/>
      <c r="AA336" s="169"/>
      <c r="AB336" s="169"/>
      <c r="AC336" s="169"/>
      <c r="AD336" s="169"/>
      <c r="AE336" s="169"/>
      <c r="AF336" s="169"/>
      <c r="AG336" s="169"/>
      <c r="AH336" s="169"/>
      <c r="AI336" s="169"/>
      <c r="AJ336" s="169"/>
      <c r="AK336" s="169"/>
      <c r="AL336" s="169"/>
      <c r="AM336" s="169"/>
      <c r="AN336" s="169"/>
      <c r="AO336" s="169"/>
      <c r="AP336" s="169"/>
      <c r="AQ336" s="169"/>
      <c r="AR336" s="169"/>
    </row>
    <row r="337" spans="1:44" ht="12.5">
      <c r="A337" s="169" t="str">
        <f ca="1">IFERROR(__xludf.DUMMYFUNCTION("""COMPUTED_VALUE"""),"Paige Johnson")</f>
        <v>Paige Johnson</v>
      </c>
      <c r="B337" s="186">
        <f ca="1">COUNTIF('All Scores'!AJ:AK,A337)</f>
        <v>1</v>
      </c>
      <c r="C337" s="186">
        <f ca="1">IFERROR(__xludf.DUMMYFUNCTION("MIN(FILTER('All Scores'!AI$2:AI$1024, ('All Scores'!AJ$2:AJ$1024 = A337) + ('All Scores'!AK$2:AK$1024 = A337)))"),1)</f>
        <v>1</v>
      </c>
      <c r="D337" s="187">
        <f ca="1">IFERROR(__xludf.DUMMYFUNCTION("AVERAGE(FILTER('All Scores'!AI$2:AI$1024, ('All Scores'!AJ$2:AJ$1024 = A337) + ('All Scores'!AK$2:AK$1024 = A337))
)
"),1)</f>
        <v>1</v>
      </c>
      <c r="E337" s="6">
        <f ca="1">IFERROR(__xludf.DUMMYFUNCTION("SUM(FILTER('All Scores'!AF$2:AF$1024, ('All Scores'!AJ$2:AJ$1024 = A337) + ('All Scores'!AK$2:AK$1024 = A337)))
"),103)</f>
        <v>103</v>
      </c>
      <c r="F337" s="6">
        <f ca="1">IFERROR(__xludf.DUMMYFUNCTION("SUM(FILTER('All Scores'!AD$2:AD$1024, ('All Scores'!AJ$2:AJ$1024 = A337) + ('All Scores'!AK$2:AK$1024 = A337)))
"),73)</f>
        <v>73</v>
      </c>
      <c r="G337" s="21">
        <f t="shared" ca="1" si="2"/>
        <v>0.70873786407766992</v>
      </c>
      <c r="H337" s="169"/>
      <c r="I337" s="169"/>
      <c r="J337" s="6"/>
      <c r="K337" s="188"/>
      <c r="L337" s="189"/>
      <c r="M337" s="189"/>
      <c r="N337" s="6"/>
      <c r="O337" s="6"/>
      <c r="P337" s="6"/>
      <c r="Q337" s="169"/>
      <c r="R337" s="6"/>
      <c r="S337" s="6"/>
      <c r="T337" s="169"/>
      <c r="U337" s="6"/>
      <c r="V337" s="169"/>
      <c r="W337" s="169"/>
      <c r="X337" s="169"/>
      <c r="Y337" s="169"/>
      <c r="Z337" s="169"/>
      <c r="AA337" s="169"/>
      <c r="AB337" s="169"/>
      <c r="AC337" s="169"/>
      <c r="AD337" s="169"/>
      <c r="AE337" s="169"/>
      <c r="AF337" s="169"/>
      <c r="AG337" s="169"/>
      <c r="AH337" s="169"/>
      <c r="AI337" s="169"/>
      <c r="AJ337" s="169"/>
      <c r="AK337" s="169"/>
      <c r="AL337" s="169"/>
      <c r="AM337" s="169"/>
      <c r="AN337" s="169"/>
      <c r="AO337" s="169"/>
      <c r="AP337" s="169"/>
      <c r="AQ337" s="169"/>
      <c r="AR337" s="169"/>
    </row>
    <row r="338" spans="1:44" ht="12.5">
      <c r="A338" s="169" t="str">
        <f ca="1">IFERROR(__xludf.DUMMYFUNCTION("""COMPUTED_VALUE"""),"Paige Salveter")</f>
        <v>Paige Salveter</v>
      </c>
      <c r="B338" s="186">
        <f ca="1">COUNTIF('All Scores'!AJ:AK,A338)</f>
        <v>4</v>
      </c>
      <c r="C338" s="186">
        <f ca="1">IFERROR(__xludf.DUMMYFUNCTION("MIN(FILTER('All Scores'!AI$2:AI$1024, ('All Scores'!AJ$2:AJ$1024 = A338) + ('All Scores'!AK$2:AK$1024 = A338)))"),1)</f>
        <v>1</v>
      </c>
      <c r="D338" s="187">
        <f ca="1">IFERROR(__xludf.DUMMYFUNCTION("AVERAGE(FILTER('All Scores'!AI$2:AI$1024, ('All Scores'!AJ$2:AJ$1024 = A338) + ('All Scores'!AK$2:AK$1024 = A338))
)
"),5)</f>
        <v>5</v>
      </c>
      <c r="E338" s="6">
        <f ca="1">IFERROR(__xludf.DUMMYFUNCTION("SUM(FILTER('All Scores'!AF$2:AF$1024, ('All Scores'!AJ$2:AJ$1024 = A338) + ('All Scores'!AK$2:AK$1024 = A338)))
"),355)</f>
        <v>355</v>
      </c>
      <c r="F338" s="6">
        <f ca="1">IFERROR(__xludf.DUMMYFUNCTION("SUM(FILTER('All Scores'!AD$2:AD$1024, ('All Scores'!AJ$2:AJ$1024 = A338) + ('All Scores'!AK$2:AK$1024 = A338)))
"),205)</f>
        <v>205</v>
      </c>
      <c r="G338" s="21">
        <f t="shared" ca="1" si="2"/>
        <v>0.57746478873239437</v>
      </c>
      <c r="H338" s="169"/>
      <c r="I338" s="169"/>
      <c r="J338" s="6"/>
      <c r="K338" s="188"/>
      <c r="L338" s="189"/>
      <c r="M338" s="189"/>
      <c r="N338" s="6"/>
      <c r="O338" s="6"/>
      <c r="P338" s="6"/>
      <c r="Q338" s="169"/>
      <c r="R338" s="6"/>
      <c r="S338" s="6"/>
      <c r="T338" s="169"/>
      <c r="U338" s="6"/>
      <c r="V338" s="169"/>
      <c r="W338" s="169"/>
      <c r="X338" s="169"/>
      <c r="Y338" s="169"/>
      <c r="Z338" s="169"/>
      <c r="AA338" s="169"/>
      <c r="AB338" s="169"/>
      <c r="AC338" s="169"/>
      <c r="AD338" s="169"/>
      <c r="AE338" s="169"/>
      <c r="AF338" s="169"/>
      <c r="AG338" s="169"/>
      <c r="AH338" s="169"/>
      <c r="AI338" s="169"/>
      <c r="AJ338" s="169"/>
      <c r="AK338" s="169"/>
      <c r="AL338" s="169"/>
      <c r="AM338" s="169"/>
      <c r="AN338" s="169"/>
      <c r="AO338" s="169"/>
      <c r="AP338" s="169"/>
      <c r="AQ338" s="169"/>
      <c r="AR338" s="169"/>
    </row>
    <row r="339" spans="1:44" ht="12.5">
      <c r="A339" s="169" t="str">
        <f ca="1">IFERROR(__xludf.DUMMYFUNCTION("""COMPUTED_VALUE"""),"Patrick Blackwell")</f>
        <v>Patrick Blackwell</v>
      </c>
      <c r="B339" s="186">
        <f ca="1">COUNTIF('All Scores'!AJ:AK,A339)</f>
        <v>7</v>
      </c>
      <c r="C339" s="186">
        <f ca="1">IFERROR(__xludf.DUMMYFUNCTION("MIN(FILTER('All Scores'!AI$2:AI$1024, ('All Scores'!AJ$2:AJ$1024 = A339) + ('All Scores'!AK$2:AK$1024 = A339)))"),5)</f>
        <v>5</v>
      </c>
      <c r="D339" s="187">
        <f ca="1">IFERROR(__xludf.DUMMYFUNCTION("AVERAGE(FILTER('All Scores'!AI$2:AI$1024, ('All Scores'!AJ$2:AJ$1024 = A339) + ('All Scores'!AK$2:AK$1024 = A339))
)
"),8.42857142857142)</f>
        <v>8.4285714285714199</v>
      </c>
      <c r="E339" s="6">
        <f ca="1">IFERROR(__xludf.DUMMYFUNCTION("SUM(FILTER('All Scores'!AF$2:AF$1024, ('All Scores'!AJ$2:AJ$1024 = A339) + ('All Scores'!AK$2:AK$1024 = A339)))
"),551)</f>
        <v>551</v>
      </c>
      <c r="F339" s="6">
        <f ca="1">IFERROR(__xludf.DUMMYFUNCTION("SUM(FILTER('All Scores'!AD$2:AD$1024, ('All Scores'!AJ$2:AJ$1024 = A339) + ('All Scores'!AK$2:AK$1024 = A339)))
"),276)</f>
        <v>276</v>
      </c>
      <c r="G339" s="21">
        <f t="shared" ca="1" si="2"/>
        <v>0.50090744101633389</v>
      </c>
      <c r="H339" s="169"/>
      <c r="I339" s="169"/>
      <c r="J339" s="6"/>
      <c r="K339" s="188"/>
      <c r="L339" s="189"/>
      <c r="M339" s="189"/>
      <c r="N339" s="6"/>
      <c r="O339" s="6"/>
      <c r="P339" s="6"/>
      <c r="Q339" s="169"/>
      <c r="R339" s="6"/>
      <c r="S339" s="6"/>
      <c r="T339" s="169"/>
      <c r="U339" s="6"/>
      <c r="V339" s="169"/>
      <c r="W339" s="169"/>
      <c r="X339" s="169"/>
      <c r="Y339" s="169"/>
      <c r="Z339" s="169"/>
      <c r="AA339" s="169"/>
      <c r="AB339" s="169"/>
      <c r="AC339" s="169"/>
      <c r="AD339" s="169"/>
      <c r="AE339" s="169"/>
      <c r="AF339" s="169"/>
      <c r="AG339" s="169"/>
      <c r="AH339" s="169"/>
      <c r="AI339" s="169"/>
      <c r="AJ339" s="169"/>
      <c r="AK339" s="169"/>
      <c r="AL339" s="169"/>
      <c r="AM339" s="169"/>
      <c r="AN339" s="169"/>
      <c r="AO339" s="169"/>
      <c r="AP339" s="169"/>
      <c r="AQ339" s="169"/>
      <c r="AR339" s="169"/>
    </row>
    <row r="340" spans="1:44" ht="12.5">
      <c r="A340" s="169" t="str">
        <f ca="1">IFERROR(__xludf.DUMMYFUNCTION("""COMPUTED_VALUE"""),"Patrick Doolan")</f>
        <v>Patrick Doolan</v>
      </c>
      <c r="B340" s="186">
        <f ca="1">COUNTIF('All Scores'!AJ:AK,A340)</f>
        <v>4</v>
      </c>
      <c r="C340" s="186">
        <f ca="1">IFERROR(__xludf.DUMMYFUNCTION("MIN(FILTER('All Scores'!AI$2:AI$1024, ('All Scores'!AJ$2:AJ$1024 = A340) + ('All Scores'!AK$2:AK$1024 = A340)))"),5)</f>
        <v>5</v>
      </c>
      <c r="D340" s="187">
        <f ca="1">IFERROR(__xludf.DUMMYFUNCTION("AVERAGE(FILTER('All Scores'!AI$2:AI$1024, ('All Scores'!AJ$2:AJ$1024 = A340) + ('All Scores'!AK$2:AK$1024 = A340))
)
"),10.25)</f>
        <v>10.25</v>
      </c>
      <c r="E340" s="6">
        <f ca="1">IFERROR(__xludf.DUMMYFUNCTION("SUM(FILTER('All Scores'!AF$2:AF$1024, ('All Scores'!AJ$2:AJ$1024 = A340) + ('All Scores'!AK$2:AK$1024 = A340)))
"),264)</f>
        <v>264</v>
      </c>
      <c r="F340" s="6">
        <f ca="1">IFERROR(__xludf.DUMMYFUNCTION("SUM(FILTER('All Scores'!AD$2:AD$1024, ('All Scores'!AJ$2:AJ$1024 = A340) + ('All Scores'!AK$2:AK$1024 = A340)))
"),121)</f>
        <v>121</v>
      </c>
      <c r="G340" s="21">
        <f t="shared" ca="1" si="2"/>
        <v>0.45833333333333331</v>
      </c>
      <c r="H340" s="169"/>
      <c r="I340" s="169"/>
      <c r="J340" s="6"/>
      <c r="K340" s="188"/>
      <c r="L340" s="189"/>
      <c r="M340" s="189"/>
      <c r="N340" s="6"/>
      <c r="O340" s="6"/>
      <c r="P340" s="6"/>
      <c r="Q340" s="169"/>
      <c r="R340" s="6"/>
      <c r="S340" s="6"/>
      <c r="T340" s="169"/>
      <c r="U340" s="6"/>
      <c r="V340" s="169"/>
      <c r="W340" s="169"/>
      <c r="X340" s="169"/>
      <c r="Y340" s="169"/>
      <c r="Z340" s="169"/>
      <c r="AA340" s="169"/>
      <c r="AB340" s="169"/>
      <c r="AC340" s="169"/>
      <c r="AD340" s="169"/>
      <c r="AE340" s="169"/>
      <c r="AF340" s="169"/>
      <c r="AG340" s="169"/>
      <c r="AH340" s="169"/>
      <c r="AI340" s="169"/>
      <c r="AJ340" s="169"/>
      <c r="AK340" s="169"/>
      <c r="AL340" s="169"/>
      <c r="AM340" s="169"/>
      <c r="AN340" s="169"/>
      <c r="AO340" s="169"/>
      <c r="AP340" s="169"/>
      <c r="AQ340" s="169"/>
      <c r="AR340" s="169"/>
    </row>
    <row r="341" spans="1:44" ht="12.5">
      <c r="A341" s="169" t="str">
        <f ca="1">IFERROR(__xludf.DUMMYFUNCTION("""COMPUTED_VALUE"""),"Patty Kimberling")</f>
        <v>Patty Kimberling</v>
      </c>
      <c r="B341" s="186">
        <f ca="1">COUNTIF('All Scores'!AJ:AK,A341)</f>
        <v>1</v>
      </c>
      <c r="C341" s="186">
        <f ca="1">IFERROR(__xludf.DUMMYFUNCTION("MIN(FILTER('All Scores'!AI$2:AI$1024, ('All Scores'!AJ$2:AJ$1024 = A341) + ('All Scores'!AK$2:AK$1024 = A341)))"),14)</f>
        <v>14</v>
      </c>
      <c r="D341" s="187">
        <f ca="1">IFERROR(__xludf.DUMMYFUNCTION("AVERAGE(FILTER('All Scores'!AI$2:AI$1024, ('All Scores'!AJ$2:AJ$1024 = A341) + ('All Scores'!AK$2:AK$1024 = A341))
)
"),14)</f>
        <v>14</v>
      </c>
      <c r="E341" s="6">
        <f ca="1">IFERROR(__xludf.DUMMYFUNCTION("SUM(FILTER('All Scores'!AF$2:AF$1024, ('All Scores'!AJ$2:AJ$1024 = A341) + ('All Scores'!AK$2:AK$1024 = A341)))
"),59)</f>
        <v>59</v>
      </c>
      <c r="F341" s="6">
        <f ca="1">IFERROR(__xludf.DUMMYFUNCTION("SUM(FILTER('All Scores'!AD$2:AD$1024, ('All Scores'!AJ$2:AJ$1024 = A341) + ('All Scores'!AK$2:AK$1024 = A341)))
"),15)</f>
        <v>15</v>
      </c>
      <c r="G341" s="21">
        <f t="shared" ca="1" si="2"/>
        <v>0.25423728813559321</v>
      </c>
      <c r="H341" s="169"/>
      <c r="I341" s="169"/>
      <c r="J341" s="6"/>
      <c r="K341" s="188"/>
      <c r="L341" s="189"/>
      <c r="M341" s="189"/>
      <c r="N341" s="6"/>
      <c r="O341" s="6"/>
      <c r="P341" s="6"/>
      <c r="Q341" s="169"/>
      <c r="R341" s="6"/>
      <c r="S341" s="6"/>
      <c r="T341" s="169"/>
      <c r="U341" s="6"/>
      <c r="V341" s="169"/>
      <c r="W341" s="169"/>
      <c r="X341" s="169"/>
      <c r="Y341" s="169"/>
      <c r="Z341" s="169"/>
      <c r="AA341" s="169"/>
      <c r="AB341" s="169"/>
      <c r="AC341" s="169"/>
      <c r="AD341" s="169"/>
      <c r="AE341" s="169"/>
      <c r="AF341" s="169"/>
      <c r="AG341" s="169"/>
      <c r="AH341" s="169"/>
      <c r="AI341" s="169"/>
      <c r="AJ341" s="169"/>
      <c r="AK341" s="169"/>
      <c r="AL341" s="169"/>
      <c r="AM341" s="169"/>
      <c r="AN341" s="169"/>
      <c r="AO341" s="169"/>
      <c r="AP341" s="169"/>
      <c r="AQ341" s="169"/>
      <c r="AR341" s="169"/>
    </row>
    <row r="342" spans="1:44" ht="12.5">
      <c r="A342" s="169" t="str">
        <f ca="1">IFERROR(__xludf.DUMMYFUNCTION("""COMPUTED_VALUE"""),"Paul Yaple")</f>
        <v>Paul Yaple</v>
      </c>
      <c r="B342" s="186">
        <f ca="1">COUNTIF('All Scores'!AJ:AK,A342)</f>
        <v>3</v>
      </c>
      <c r="C342" s="186">
        <f ca="1">IFERROR(__xludf.DUMMYFUNCTION("MIN(FILTER('All Scores'!AI$2:AI$1024, ('All Scores'!AJ$2:AJ$1024 = A342) + ('All Scores'!AK$2:AK$1024 = A342)))"),3)</f>
        <v>3</v>
      </c>
      <c r="D342" s="187">
        <f ca="1">IFERROR(__xludf.DUMMYFUNCTION("AVERAGE(FILTER('All Scores'!AI$2:AI$1024, ('All Scores'!AJ$2:AJ$1024 = A342) + ('All Scores'!AK$2:AK$1024 = A342))
)
"),12)</f>
        <v>12</v>
      </c>
      <c r="E342" s="6">
        <f ca="1">IFERROR(__xludf.DUMMYFUNCTION("SUM(FILTER('All Scores'!AF$2:AF$1024, ('All Scores'!AJ$2:AJ$1024 = A342) + ('All Scores'!AK$2:AK$1024 = A342)))
"),209)</f>
        <v>209</v>
      </c>
      <c r="F342" s="6">
        <f ca="1">IFERROR(__xludf.DUMMYFUNCTION("SUM(FILTER('All Scores'!AD$2:AD$1024, ('All Scores'!AJ$2:AJ$1024 = A342) + ('All Scores'!AK$2:AK$1024 = A342)))
"),108)</f>
        <v>108</v>
      </c>
      <c r="G342" s="21">
        <f t="shared" ca="1" si="2"/>
        <v>0.51674641148325362</v>
      </c>
      <c r="H342" s="169"/>
      <c r="I342" s="169"/>
      <c r="J342" s="6"/>
      <c r="K342" s="188"/>
      <c r="L342" s="189"/>
      <c r="M342" s="189"/>
      <c r="N342" s="6"/>
      <c r="O342" s="6"/>
      <c r="P342" s="6"/>
      <c r="Q342" s="169"/>
      <c r="R342" s="6"/>
      <c r="S342" s="6"/>
      <c r="T342" s="169"/>
      <c r="U342" s="6"/>
      <c r="V342" s="169"/>
      <c r="W342" s="169"/>
      <c r="X342" s="169"/>
      <c r="Y342" s="169"/>
      <c r="Z342" s="169"/>
      <c r="AA342" s="169"/>
      <c r="AB342" s="169"/>
      <c r="AC342" s="169"/>
      <c r="AD342" s="169"/>
      <c r="AE342" s="169"/>
      <c r="AF342" s="169"/>
      <c r="AG342" s="169"/>
      <c r="AH342" s="169"/>
      <c r="AI342" s="169"/>
      <c r="AJ342" s="169"/>
      <c r="AK342" s="169"/>
      <c r="AL342" s="169"/>
      <c r="AM342" s="169"/>
      <c r="AN342" s="169"/>
      <c r="AO342" s="169"/>
      <c r="AP342" s="169"/>
      <c r="AQ342" s="169"/>
      <c r="AR342" s="169"/>
    </row>
    <row r="343" spans="1:44" ht="12.5">
      <c r="A343" s="169" t="str">
        <f ca="1">IFERROR(__xludf.DUMMYFUNCTION("""COMPUTED_VALUE"""),"Phoebe Davenport")</f>
        <v>Phoebe Davenport</v>
      </c>
      <c r="B343" s="186">
        <f ca="1">COUNTIF('All Scores'!AJ:AK,A343)</f>
        <v>1</v>
      </c>
      <c r="C343" s="186">
        <f ca="1">IFERROR(__xludf.DUMMYFUNCTION("MIN(FILTER('All Scores'!AI$2:AI$1024, ('All Scores'!AJ$2:AJ$1024 = A343) + ('All Scores'!AK$2:AK$1024 = A343)))"),16)</f>
        <v>16</v>
      </c>
      <c r="D343" s="187">
        <f ca="1">IFERROR(__xludf.DUMMYFUNCTION("AVERAGE(FILTER('All Scores'!AI$2:AI$1024, ('All Scores'!AJ$2:AJ$1024 = A343) + ('All Scores'!AK$2:AK$1024 = A343))
)
"),16)</f>
        <v>16</v>
      </c>
      <c r="E343" s="6">
        <f ca="1">IFERROR(__xludf.DUMMYFUNCTION("SUM(FILTER('All Scores'!AF$2:AF$1024, ('All Scores'!AJ$2:AJ$1024 = A343) + ('All Scores'!AK$2:AK$1024 = A343)))
"),57)</f>
        <v>57</v>
      </c>
      <c r="F343" s="6">
        <f ca="1">IFERROR(__xludf.DUMMYFUNCTION("SUM(FILTER('All Scores'!AD$2:AD$1024, ('All Scores'!AJ$2:AJ$1024 = A343) + ('All Scores'!AK$2:AK$1024 = A343)))
"),13)</f>
        <v>13</v>
      </c>
      <c r="G343" s="21">
        <f t="shared" ca="1" si="2"/>
        <v>0.22807017543859648</v>
      </c>
      <c r="H343" s="169"/>
      <c r="I343" s="169"/>
      <c r="J343" s="6"/>
      <c r="K343" s="188"/>
      <c r="L343" s="189"/>
      <c r="M343" s="189"/>
      <c r="N343" s="6"/>
      <c r="O343" s="6"/>
      <c r="P343" s="6"/>
      <c r="Q343" s="169"/>
      <c r="R343" s="6"/>
      <c r="S343" s="6"/>
      <c r="T343" s="169"/>
      <c r="U343" s="6"/>
      <c r="V343" s="169"/>
      <c r="W343" s="169"/>
      <c r="X343" s="169"/>
      <c r="Y343" s="169"/>
      <c r="Z343" s="169"/>
      <c r="AA343" s="169"/>
      <c r="AB343" s="169"/>
      <c r="AC343" s="169"/>
      <c r="AD343" s="169"/>
      <c r="AE343" s="169"/>
      <c r="AF343" s="169"/>
      <c r="AG343" s="169"/>
      <c r="AH343" s="169"/>
      <c r="AI343" s="169"/>
      <c r="AJ343" s="169"/>
      <c r="AK343" s="169"/>
      <c r="AL343" s="169"/>
      <c r="AM343" s="169"/>
      <c r="AN343" s="169"/>
      <c r="AO343" s="169"/>
      <c r="AP343" s="169"/>
      <c r="AQ343" s="169"/>
      <c r="AR343" s="169"/>
    </row>
    <row r="344" spans="1:44" ht="12.5">
      <c r="A344" s="169" t="str">
        <f ca="1">IFERROR(__xludf.DUMMYFUNCTION("""COMPUTED_VALUE"""),"Phyllis Norman")</f>
        <v>Phyllis Norman</v>
      </c>
      <c r="B344" s="186">
        <f ca="1">COUNTIF('All Scores'!AJ:AK,A344)</f>
        <v>2</v>
      </c>
      <c r="C344" s="186">
        <f ca="1">IFERROR(__xludf.DUMMYFUNCTION("MIN(FILTER('All Scores'!AI$2:AI$1024, ('All Scores'!AJ$2:AJ$1024 = A344) + ('All Scores'!AK$2:AK$1024 = A344)))"),2)</f>
        <v>2</v>
      </c>
      <c r="D344" s="187">
        <f ca="1">IFERROR(__xludf.DUMMYFUNCTION("AVERAGE(FILTER('All Scores'!AI$2:AI$1024, ('All Scores'!AJ$2:AJ$1024 = A344) + ('All Scores'!AK$2:AK$1024 = A344))
)
"),7)</f>
        <v>7</v>
      </c>
      <c r="E344" s="6">
        <f ca="1">IFERROR(__xludf.DUMMYFUNCTION("SUM(FILTER('All Scores'!AF$2:AF$1024, ('All Scores'!AJ$2:AJ$1024 = A344) + ('All Scores'!AK$2:AK$1024 = A344)))
"),181)</f>
        <v>181</v>
      </c>
      <c r="F344" s="6">
        <f ca="1">IFERROR(__xludf.DUMMYFUNCTION("SUM(FILTER('All Scores'!AD$2:AD$1024, ('All Scores'!AJ$2:AJ$1024 = A344) + ('All Scores'!AK$2:AK$1024 = A344)))
"),106)</f>
        <v>106</v>
      </c>
      <c r="G344" s="21">
        <f t="shared" ca="1" si="2"/>
        <v>0.58563535911602205</v>
      </c>
      <c r="H344" s="169"/>
      <c r="I344" s="169"/>
      <c r="J344" s="6"/>
      <c r="K344" s="188"/>
      <c r="L344" s="189"/>
      <c r="M344" s="189"/>
      <c r="N344" s="6"/>
      <c r="O344" s="6"/>
      <c r="P344" s="6"/>
      <c r="Q344" s="169"/>
      <c r="R344" s="6"/>
      <c r="S344" s="6"/>
      <c r="T344" s="169"/>
      <c r="U344" s="6"/>
      <c r="V344" s="169"/>
      <c r="W344" s="169"/>
      <c r="X344" s="169"/>
      <c r="Y344" s="169"/>
      <c r="Z344" s="169"/>
      <c r="AA344" s="169"/>
      <c r="AB344" s="169"/>
      <c r="AC344" s="169"/>
      <c r="AD344" s="169"/>
      <c r="AE344" s="169"/>
      <c r="AF344" s="169"/>
      <c r="AG344" s="169"/>
      <c r="AH344" s="169"/>
      <c r="AI344" s="169"/>
      <c r="AJ344" s="169"/>
      <c r="AK344" s="169"/>
      <c r="AL344" s="169"/>
      <c r="AM344" s="169"/>
      <c r="AN344" s="169"/>
      <c r="AO344" s="169"/>
      <c r="AP344" s="169"/>
      <c r="AQ344" s="169"/>
      <c r="AR344" s="169"/>
    </row>
    <row r="345" spans="1:44" ht="12.5">
      <c r="A345" s="169" t="str">
        <f ca="1">IFERROR(__xludf.DUMMYFUNCTION("""COMPUTED_VALUE"""),"Prashant Patel")</f>
        <v>Prashant Patel</v>
      </c>
      <c r="B345" s="186">
        <f ca="1">COUNTIF('All Scores'!AJ:AK,A345)</f>
        <v>1</v>
      </c>
      <c r="C345" s="186">
        <f ca="1">IFERROR(__xludf.DUMMYFUNCTION("MIN(FILTER('All Scores'!AI$2:AI$1024, ('All Scores'!AJ$2:AJ$1024 = A345) + ('All Scores'!AK$2:AK$1024 = A345)))"),10)</f>
        <v>10</v>
      </c>
      <c r="D345" s="187">
        <f ca="1">IFERROR(__xludf.DUMMYFUNCTION("AVERAGE(FILTER('All Scores'!AI$2:AI$1024, ('All Scores'!AJ$2:AJ$1024 = A345) + ('All Scores'!AK$2:AK$1024 = A345))
)
"),10)</f>
        <v>10</v>
      </c>
      <c r="E345" s="6">
        <f ca="1">IFERROR(__xludf.DUMMYFUNCTION("SUM(FILTER('All Scores'!AF$2:AF$1024, ('All Scores'!AJ$2:AJ$1024 = A345) + ('All Scores'!AK$2:AK$1024 = A345)))
"),53)</f>
        <v>53</v>
      </c>
      <c r="F345" s="6">
        <f ca="1">IFERROR(__xludf.DUMMYFUNCTION("SUM(FILTER('All Scores'!AD$2:AD$1024, ('All Scores'!AJ$2:AJ$1024 = A345) + ('All Scores'!AK$2:AK$1024 = A345)))
"),27)</f>
        <v>27</v>
      </c>
      <c r="G345" s="21">
        <f t="shared" ca="1" si="2"/>
        <v>0.50943396226415094</v>
      </c>
      <c r="H345" s="169"/>
      <c r="I345" s="169"/>
      <c r="J345" s="6"/>
      <c r="K345" s="188"/>
      <c r="L345" s="189"/>
      <c r="M345" s="189"/>
      <c r="N345" s="6"/>
      <c r="O345" s="6"/>
      <c r="P345" s="6"/>
      <c r="Q345" s="169"/>
      <c r="R345" s="6"/>
      <c r="S345" s="6"/>
      <c r="T345" s="169"/>
      <c r="U345" s="6"/>
      <c r="V345" s="169"/>
      <c r="W345" s="169"/>
      <c r="X345" s="169"/>
      <c r="Y345" s="169"/>
      <c r="Z345" s="169"/>
      <c r="AA345" s="169"/>
      <c r="AB345" s="169"/>
      <c r="AC345" s="169"/>
      <c r="AD345" s="169"/>
      <c r="AE345" s="169"/>
      <c r="AF345" s="169"/>
      <c r="AG345" s="169"/>
      <c r="AH345" s="169"/>
      <c r="AI345" s="169"/>
      <c r="AJ345" s="169"/>
      <c r="AK345" s="169"/>
      <c r="AL345" s="169"/>
      <c r="AM345" s="169"/>
      <c r="AN345" s="169"/>
      <c r="AO345" s="169"/>
      <c r="AP345" s="169"/>
      <c r="AQ345" s="169"/>
      <c r="AR345" s="169"/>
    </row>
    <row r="346" spans="1:44" ht="12.5">
      <c r="A346" s="169" t="str">
        <f ca="1">IFERROR(__xludf.DUMMYFUNCTION("""COMPUTED_VALUE"""),"Prashant Vemireddy")</f>
        <v>Prashant Vemireddy</v>
      </c>
      <c r="B346" s="186">
        <f ca="1">COUNTIF('All Scores'!AJ:AK,A346)</f>
        <v>1</v>
      </c>
      <c r="C346" s="186">
        <f ca="1">IFERROR(__xludf.DUMMYFUNCTION("MIN(FILTER('All Scores'!AI$2:AI$1024, ('All Scores'!AJ$2:AJ$1024 = A346) + ('All Scores'!AK$2:AK$1024 = A346)))"),5)</f>
        <v>5</v>
      </c>
      <c r="D346" s="187">
        <f ca="1">IFERROR(__xludf.DUMMYFUNCTION("AVERAGE(FILTER('All Scores'!AI$2:AI$1024, ('All Scores'!AJ$2:AJ$1024 = A346) + ('All Scores'!AK$2:AK$1024 = A346))
)
"),5)</f>
        <v>5</v>
      </c>
      <c r="E346" s="6">
        <f ca="1">IFERROR(__xludf.DUMMYFUNCTION("SUM(FILTER('All Scores'!AF$2:AF$1024, ('All Scores'!AJ$2:AJ$1024 = A346) + ('All Scores'!AK$2:AK$1024 = A346)))
"),54)</f>
        <v>54</v>
      </c>
      <c r="F346" s="6">
        <f ca="1">IFERROR(__xludf.DUMMYFUNCTION("SUM(FILTER('All Scores'!AD$2:AD$1024, ('All Scores'!AJ$2:AJ$1024 = A346) + ('All Scores'!AK$2:AK$1024 = A346)))
"),30)</f>
        <v>30</v>
      </c>
      <c r="G346" s="21">
        <f t="shared" ca="1" si="2"/>
        <v>0.55555555555555558</v>
      </c>
      <c r="H346" s="169"/>
      <c r="I346" s="169"/>
      <c r="J346" s="6"/>
      <c r="K346" s="188"/>
      <c r="L346" s="189"/>
      <c r="M346" s="189"/>
      <c r="N346" s="6"/>
      <c r="O346" s="6"/>
      <c r="P346" s="6"/>
      <c r="Q346" s="169"/>
      <c r="R346" s="6"/>
      <c r="S346" s="6"/>
      <c r="T346" s="169"/>
      <c r="U346" s="6"/>
      <c r="V346" s="169"/>
      <c r="W346" s="169"/>
      <c r="X346" s="169"/>
      <c r="Y346" s="169"/>
      <c r="Z346" s="169"/>
      <c r="AA346" s="169"/>
      <c r="AB346" s="169"/>
      <c r="AC346" s="169"/>
      <c r="AD346" s="169"/>
      <c r="AE346" s="169"/>
      <c r="AF346" s="169"/>
      <c r="AG346" s="169"/>
      <c r="AH346" s="169"/>
      <c r="AI346" s="169"/>
      <c r="AJ346" s="169"/>
      <c r="AK346" s="169"/>
      <c r="AL346" s="169"/>
      <c r="AM346" s="169"/>
      <c r="AN346" s="169"/>
      <c r="AO346" s="169"/>
      <c r="AP346" s="169"/>
      <c r="AQ346" s="169"/>
      <c r="AR346" s="169"/>
    </row>
    <row r="347" spans="1:44" ht="12.5">
      <c r="A347" s="169" t="str">
        <f ca="1">IFERROR(__xludf.DUMMYFUNCTION("""COMPUTED_VALUE"""),"Randy Burgess")</f>
        <v>Randy Burgess</v>
      </c>
      <c r="B347" s="186">
        <f ca="1">COUNTIF('All Scores'!AJ:AK,A347)</f>
        <v>4</v>
      </c>
      <c r="C347" s="186">
        <f ca="1">IFERROR(__xludf.DUMMYFUNCTION("MIN(FILTER('All Scores'!AI$2:AI$1024, ('All Scores'!AJ$2:AJ$1024 = A347) + ('All Scores'!AK$2:AK$1024 = A347)))"),1)</f>
        <v>1</v>
      </c>
      <c r="D347" s="187">
        <f ca="1">IFERROR(__xludf.DUMMYFUNCTION("AVERAGE(FILTER('All Scores'!AI$2:AI$1024, ('All Scores'!AJ$2:AJ$1024 = A347) + ('All Scores'!AK$2:AK$1024 = A347))
)
"),5.75)</f>
        <v>5.75</v>
      </c>
      <c r="E347" s="6">
        <f ca="1">IFERROR(__xludf.DUMMYFUNCTION("SUM(FILTER('All Scores'!AF$2:AF$1024, ('All Scores'!AJ$2:AJ$1024 = A347) + ('All Scores'!AK$2:AK$1024 = A347)))
"),349)</f>
        <v>349</v>
      </c>
      <c r="F347" s="6">
        <f ca="1">IFERROR(__xludf.DUMMYFUNCTION("SUM(FILTER('All Scores'!AD$2:AD$1024, ('All Scores'!AJ$2:AJ$1024 = A347) + ('All Scores'!AK$2:AK$1024 = A347)))
"),210)</f>
        <v>210</v>
      </c>
      <c r="G347" s="21">
        <f t="shared" ca="1" si="2"/>
        <v>0.60171919770773641</v>
      </c>
      <c r="H347" s="169"/>
      <c r="I347" s="169"/>
      <c r="J347" s="6"/>
      <c r="K347" s="188"/>
      <c r="L347" s="189"/>
      <c r="M347" s="189"/>
      <c r="N347" s="6"/>
      <c r="O347" s="6"/>
      <c r="P347" s="6"/>
      <c r="Q347" s="169"/>
      <c r="R347" s="6"/>
      <c r="S347" s="6"/>
      <c r="T347" s="169"/>
      <c r="U347" s="6"/>
      <c r="V347" s="169"/>
      <c r="W347" s="169"/>
      <c r="X347" s="169"/>
      <c r="Y347" s="169"/>
      <c r="Z347" s="169"/>
      <c r="AA347" s="169"/>
      <c r="AB347" s="169"/>
      <c r="AC347" s="169"/>
      <c r="AD347" s="169"/>
      <c r="AE347" s="169"/>
      <c r="AF347" s="169"/>
      <c r="AG347" s="169"/>
      <c r="AH347" s="169"/>
      <c r="AI347" s="169"/>
      <c r="AJ347" s="169"/>
      <c r="AK347" s="169"/>
      <c r="AL347" s="169"/>
      <c r="AM347" s="169"/>
      <c r="AN347" s="169"/>
      <c r="AO347" s="169"/>
      <c r="AP347" s="169"/>
      <c r="AQ347" s="169"/>
      <c r="AR347" s="169"/>
    </row>
    <row r="348" spans="1:44" ht="12.5">
      <c r="A348" s="169" t="str">
        <f ca="1">IFERROR(__xludf.DUMMYFUNCTION("""COMPUTED_VALUE"""),"Randy Swearengin")</f>
        <v>Randy Swearengin</v>
      </c>
      <c r="B348" s="186">
        <f ca="1">COUNTIF('All Scores'!AJ:AK,A348)</f>
        <v>6</v>
      </c>
      <c r="C348" s="186">
        <f ca="1">IFERROR(__xludf.DUMMYFUNCTION("MIN(FILTER('All Scores'!AI$2:AI$1024, ('All Scores'!AJ$2:AJ$1024 = A348) + ('All Scores'!AK$2:AK$1024 = A348)))"),4)</f>
        <v>4</v>
      </c>
      <c r="D348" s="187">
        <f ca="1">IFERROR(__xludf.DUMMYFUNCTION("AVERAGE(FILTER('All Scores'!AI$2:AI$1024, ('All Scores'!AJ$2:AJ$1024 = A348) + ('All Scores'!AK$2:AK$1024 = A348))
)
"),8.66666666666666)</f>
        <v>8.6666666666666607</v>
      </c>
      <c r="E348" s="6">
        <f ca="1">IFERROR(__xludf.DUMMYFUNCTION("SUM(FILTER('All Scores'!AF$2:AF$1024, ('All Scores'!AJ$2:AJ$1024 = A348) + ('All Scores'!AK$2:AK$1024 = A348)))
"),364)</f>
        <v>364</v>
      </c>
      <c r="F348" s="6">
        <f ca="1">IFERROR(__xludf.DUMMYFUNCTION("SUM(FILTER('All Scores'!AD$2:AD$1024, ('All Scores'!AJ$2:AJ$1024 = A348) + ('All Scores'!AK$2:AK$1024 = A348)))
"),175)</f>
        <v>175</v>
      </c>
      <c r="G348" s="21">
        <f t="shared" ca="1" si="2"/>
        <v>0.48076923076923078</v>
      </c>
      <c r="H348" s="169"/>
      <c r="I348" s="169"/>
      <c r="J348" s="6"/>
      <c r="K348" s="188"/>
      <c r="L348" s="189"/>
      <c r="M348" s="189"/>
      <c r="N348" s="6"/>
      <c r="O348" s="6"/>
      <c r="P348" s="6"/>
      <c r="Q348" s="169"/>
      <c r="R348" s="6"/>
      <c r="S348" s="6"/>
      <c r="T348" s="169"/>
      <c r="U348" s="6"/>
      <c r="V348" s="169"/>
      <c r="W348" s="169"/>
      <c r="X348" s="169"/>
      <c r="Y348" s="169"/>
      <c r="Z348" s="169"/>
      <c r="AA348" s="169"/>
      <c r="AB348" s="169"/>
      <c r="AC348" s="169"/>
      <c r="AD348" s="169"/>
      <c r="AE348" s="169"/>
      <c r="AF348" s="169"/>
      <c r="AG348" s="169"/>
      <c r="AH348" s="169"/>
      <c r="AI348" s="169"/>
      <c r="AJ348" s="169"/>
      <c r="AK348" s="169"/>
      <c r="AL348" s="169"/>
      <c r="AM348" s="169"/>
      <c r="AN348" s="169"/>
      <c r="AO348" s="169"/>
      <c r="AP348" s="169"/>
      <c r="AQ348" s="169"/>
      <c r="AR348" s="169"/>
    </row>
    <row r="349" spans="1:44" ht="12.5">
      <c r="A349" s="169" t="str">
        <f ca="1">IFERROR(__xludf.DUMMYFUNCTION("""COMPUTED_VALUE"""),"Raquel Madison")</f>
        <v>Raquel Madison</v>
      </c>
      <c r="B349" s="186">
        <f ca="1">COUNTIF('All Scores'!AJ:AK,A349)</f>
        <v>10</v>
      </c>
      <c r="C349" s="186">
        <f ca="1">IFERROR(__xludf.DUMMYFUNCTION("MIN(FILTER('All Scores'!AI$2:AI$1024, ('All Scores'!AJ$2:AJ$1024 = A349) + ('All Scores'!AK$2:AK$1024 = A349)))"),2)</f>
        <v>2</v>
      </c>
      <c r="D349" s="187">
        <f ca="1">IFERROR(__xludf.DUMMYFUNCTION("AVERAGE(FILTER('All Scores'!AI$2:AI$1024, ('All Scores'!AJ$2:AJ$1024 = A349) + ('All Scores'!AK$2:AK$1024 = A349))
)
"),12.2)</f>
        <v>12.2</v>
      </c>
      <c r="E349" s="6">
        <f ca="1">IFERROR(__xludf.DUMMYFUNCTION("SUM(FILTER('All Scores'!AF$2:AF$1024, ('All Scores'!AJ$2:AJ$1024 = A349) + ('All Scores'!AK$2:AK$1024 = A349)))
"),715)</f>
        <v>715</v>
      </c>
      <c r="F349" s="6">
        <f ca="1">IFERROR(__xludf.DUMMYFUNCTION("SUM(FILTER('All Scores'!AD$2:AD$1024, ('All Scores'!AJ$2:AJ$1024 = A349) + ('All Scores'!AK$2:AK$1024 = A349)))
"),342)</f>
        <v>342</v>
      </c>
      <c r="G349" s="21">
        <f t="shared" ca="1" si="2"/>
        <v>0.47832167832167832</v>
      </c>
      <c r="H349" s="169"/>
      <c r="I349" s="169"/>
      <c r="J349" s="6"/>
      <c r="K349" s="188"/>
      <c r="L349" s="189"/>
      <c r="M349" s="189"/>
      <c r="N349" s="6"/>
      <c r="O349" s="6"/>
      <c r="P349" s="6"/>
      <c r="Q349" s="169"/>
      <c r="R349" s="6"/>
      <c r="S349" s="6"/>
      <c r="T349" s="169"/>
      <c r="U349" s="6"/>
      <c r="V349" s="169"/>
      <c r="W349" s="169"/>
      <c r="X349" s="169"/>
      <c r="Y349" s="169"/>
      <c r="Z349" s="169"/>
      <c r="AA349" s="169"/>
      <c r="AB349" s="169"/>
      <c r="AC349" s="169"/>
      <c r="AD349" s="169"/>
      <c r="AE349" s="169"/>
      <c r="AF349" s="169"/>
      <c r="AG349" s="169"/>
      <c r="AH349" s="169"/>
      <c r="AI349" s="169"/>
      <c r="AJ349" s="169"/>
      <c r="AK349" s="169"/>
      <c r="AL349" s="169"/>
      <c r="AM349" s="169"/>
      <c r="AN349" s="169"/>
      <c r="AO349" s="169"/>
      <c r="AP349" s="169"/>
      <c r="AQ349" s="169"/>
      <c r="AR349" s="169"/>
    </row>
    <row r="350" spans="1:44" ht="12.5">
      <c r="A350" s="169" t="str">
        <f ca="1">IFERROR(__xludf.DUMMYFUNCTION("""COMPUTED_VALUE"""),"Richard Lawrence")</f>
        <v>Richard Lawrence</v>
      </c>
      <c r="B350" s="186">
        <f ca="1">COUNTIF('All Scores'!AJ:AK,A350)</f>
        <v>5</v>
      </c>
      <c r="C350" s="186">
        <f ca="1">IFERROR(__xludf.DUMMYFUNCTION("MIN(FILTER('All Scores'!AI$2:AI$1024, ('All Scores'!AJ$2:AJ$1024 = A350) + ('All Scores'!AK$2:AK$1024 = A350)))"),7)</f>
        <v>7</v>
      </c>
      <c r="D350" s="187">
        <f ca="1">IFERROR(__xludf.DUMMYFUNCTION("AVERAGE(FILTER('All Scores'!AI$2:AI$1024, ('All Scores'!AJ$2:AJ$1024 = A350) + ('All Scores'!AK$2:AK$1024 = A350))
)
"),10.4)</f>
        <v>10.4</v>
      </c>
      <c r="E350" s="6">
        <f ca="1">IFERROR(__xludf.DUMMYFUNCTION("SUM(FILTER('All Scores'!AF$2:AF$1024, ('All Scores'!AJ$2:AJ$1024 = A350) + ('All Scores'!AK$2:AK$1024 = A350)))
"),362)</f>
        <v>362</v>
      </c>
      <c r="F350" s="6">
        <f ca="1">IFERROR(__xludf.DUMMYFUNCTION("SUM(FILTER('All Scores'!AD$2:AD$1024, ('All Scores'!AJ$2:AJ$1024 = A350) + ('All Scores'!AK$2:AK$1024 = A350)))
"),173)</f>
        <v>173</v>
      </c>
      <c r="G350" s="21">
        <f t="shared" ca="1" si="2"/>
        <v>0.47790055248618785</v>
      </c>
      <c r="H350" s="169"/>
      <c r="I350" s="169"/>
      <c r="J350" s="6"/>
      <c r="K350" s="188"/>
      <c r="L350" s="189"/>
      <c r="M350" s="189"/>
      <c r="N350" s="6"/>
      <c r="O350" s="6"/>
      <c r="P350" s="6"/>
      <c r="Q350" s="169"/>
      <c r="R350" s="6"/>
      <c r="S350" s="6"/>
      <c r="T350" s="169"/>
      <c r="U350" s="6"/>
      <c r="V350" s="169"/>
      <c r="W350" s="169"/>
      <c r="X350" s="169"/>
      <c r="Y350" s="169"/>
      <c r="Z350" s="169"/>
      <c r="AA350" s="169"/>
      <c r="AB350" s="169"/>
      <c r="AC350" s="169"/>
      <c r="AD350" s="169"/>
      <c r="AE350" s="169"/>
      <c r="AF350" s="169"/>
      <c r="AG350" s="169"/>
      <c r="AH350" s="169"/>
      <c r="AI350" s="169"/>
      <c r="AJ350" s="169"/>
      <c r="AK350" s="169"/>
      <c r="AL350" s="169"/>
      <c r="AM350" s="169"/>
      <c r="AN350" s="169"/>
      <c r="AO350" s="169"/>
      <c r="AP350" s="169"/>
      <c r="AQ350" s="169"/>
      <c r="AR350" s="169"/>
    </row>
    <row r="351" spans="1:44" ht="12.5">
      <c r="A351" s="169" t="str">
        <f ca="1">IFERROR(__xludf.DUMMYFUNCTION("""COMPUTED_VALUE"""),"Rick Nash")</f>
        <v>Rick Nash</v>
      </c>
      <c r="B351" s="186">
        <f ca="1">COUNTIF('All Scores'!AJ:AK,A351)</f>
        <v>1</v>
      </c>
      <c r="C351" s="186">
        <f ca="1">IFERROR(__xludf.DUMMYFUNCTION("MIN(FILTER('All Scores'!AI$2:AI$1024, ('All Scores'!AJ$2:AJ$1024 = A351) + ('All Scores'!AK$2:AK$1024 = A351)))"),11)</f>
        <v>11</v>
      </c>
      <c r="D351" s="187">
        <f ca="1">IFERROR(__xludf.DUMMYFUNCTION("AVERAGE(FILTER('All Scores'!AI$2:AI$1024, ('All Scores'!AJ$2:AJ$1024 = A351) + ('All Scores'!AK$2:AK$1024 = A351))
)
"),11)</f>
        <v>11</v>
      </c>
      <c r="E351" s="6">
        <f ca="1">IFERROR(__xludf.DUMMYFUNCTION("SUM(FILTER('All Scores'!AF$2:AF$1024, ('All Scores'!AJ$2:AJ$1024 = A351) + ('All Scores'!AK$2:AK$1024 = A351)))
"),66)</f>
        <v>66</v>
      </c>
      <c r="F351" s="6">
        <f ca="1">IFERROR(__xludf.DUMMYFUNCTION("SUM(FILTER('All Scores'!AD$2:AD$1024, ('All Scores'!AJ$2:AJ$1024 = A351) + ('All Scores'!AK$2:AK$1024 = A351)))
"),23)</f>
        <v>23</v>
      </c>
      <c r="G351" s="21">
        <f t="shared" ca="1" si="2"/>
        <v>0.34848484848484851</v>
      </c>
      <c r="H351" s="169"/>
      <c r="I351" s="169"/>
      <c r="J351" s="6"/>
      <c r="K351" s="188"/>
      <c r="L351" s="189"/>
      <c r="M351" s="189"/>
      <c r="N351" s="6"/>
      <c r="O351" s="6"/>
      <c r="P351" s="6"/>
      <c r="Q351" s="169"/>
      <c r="R351" s="6"/>
      <c r="S351" s="6"/>
      <c r="T351" s="169"/>
      <c r="U351" s="6"/>
      <c r="V351" s="169"/>
      <c r="W351" s="169"/>
      <c r="X351" s="169"/>
      <c r="Y351" s="169"/>
      <c r="Z351" s="169"/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69"/>
      <c r="AN351" s="169"/>
      <c r="AO351" s="169"/>
      <c r="AP351" s="169"/>
      <c r="AQ351" s="169"/>
      <c r="AR351" s="169"/>
    </row>
    <row r="352" spans="1:44" ht="12.5">
      <c r="A352" s="169" t="str">
        <f ca="1">IFERROR(__xludf.DUMMYFUNCTION("""COMPUTED_VALUE"""),"Ricky Carvajal")</f>
        <v>Ricky Carvajal</v>
      </c>
      <c r="B352" s="186">
        <f ca="1">COUNTIF('All Scores'!AJ:AK,A352)</f>
        <v>5</v>
      </c>
      <c r="C352" s="186">
        <f ca="1">IFERROR(__xludf.DUMMYFUNCTION("MIN(FILTER('All Scores'!AI$2:AI$1024, ('All Scores'!AJ$2:AJ$1024 = A352) + ('All Scores'!AK$2:AK$1024 = A352)))"),9)</f>
        <v>9</v>
      </c>
      <c r="D352" s="187">
        <f ca="1">IFERROR(__xludf.DUMMYFUNCTION("AVERAGE(FILTER('All Scores'!AI$2:AI$1024, ('All Scores'!AJ$2:AJ$1024 = A352) + ('All Scores'!AK$2:AK$1024 = A352))
)
"),14.6)</f>
        <v>14.6</v>
      </c>
      <c r="E352" s="6">
        <f ca="1">IFERROR(__xludf.DUMMYFUNCTION("SUM(FILTER('All Scores'!AF$2:AF$1024, ('All Scores'!AJ$2:AJ$1024 = A352) + ('All Scores'!AK$2:AK$1024 = A352)))
"),267)</f>
        <v>267</v>
      </c>
      <c r="F352" s="6">
        <f ca="1">IFERROR(__xludf.DUMMYFUNCTION("SUM(FILTER('All Scores'!AD$2:AD$1024, ('All Scores'!AJ$2:AJ$1024 = A352) + ('All Scores'!AK$2:AK$1024 = A352)))
"),116)</f>
        <v>116</v>
      </c>
      <c r="G352" s="21">
        <f t="shared" ca="1" si="2"/>
        <v>0.43445692883895132</v>
      </c>
      <c r="H352" s="169"/>
      <c r="I352" s="169"/>
      <c r="J352" s="6"/>
      <c r="K352" s="188"/>
      <c r="L352" s="189"/>
      <c r="M352" s="189"/>
      <c r="N352" s="6"/>
      <c r="O352" s="6"/>
      <c r="P352" s="6"/>
      <c r="Q352" s="169"/>
      <c r="R352" s="6"/>
      <c r="S352" s="6"/>
      <c r="T352" s="169"/>
      <c r="U352" s="6"/>
      <c r="V352" s="169"/>
      <c r="W352" s="169"/>
      <c r="X352" s="169"/>
      <c r="Y352" s="169"/>
      <c r="Z352" s="169"/>
      <c r="AA352" s="169"/>
      <c r="AB352" s="169"/>
      <c r="AC352" s="169"/>
      <c r="AD352" s="169"/>
      <c r="AE352" s="169"/>
      <c r="AF352" s="169"/>
      <c r="AG352" s="169"/>
      <c r="AH352" s="169"/>
      <c r="AI352" s="169"/>
      <c r="AJ352" s="169"/>
      <c r="AK352" s="169"/>
      <c r="AL352" s="169"/>
      <c r="AM352" s="169"/>
      <c r="AN352" s="169"/>
      <c r="AO352" s="169"/>
      <c r="AP352" s="169"/>
      <c r="AQ352" s="169"/>
      <c r="AR352" s="169"/>
    </row>
    <row r="353" spans="1:44" ht="12.5">
      <c r="A353" s="169" t="str">
        <f ca="1">IFERROR(__xludf.DUMMYFUNCTION("""COMPUTED_VALUE"""),"Rob Hurtado")</f>
        <v>Rob Hurtado</v>
      </c>
      <c r="B353" s="186">
        <f ca="1">COUNTIF('All Scores'!AJ:AK,A353)</f>
        <v>8</v>
      </c>
      <c r="C353" s="186">
        <f ca="1">IFERROR(__xludf.DUMMYFUNCTION("MIN(FILTER('All Scores'!AI$2:AI$1024, ('All Scores'!AJ$2:AJ$1024 = A353) + ('All Scores'!AK$2:AK$1024 = A353)))"),1)</f>
        <v>1</v>
      </c>
      <c r="D353" s="187">
        <f ca="1">IFERROR(__xludf.DUMMYFUNCTION("AVERAGE(FILTER('All Scores'!AI$2:AI$1024, ('All Scores'!AJ$2:AJ$1024 = A353) + ('All Scores'!AK$2:AK$1024 = A353))
)
"),7.875)</f>
        <v>7.875</v>
      </c>
      <c r="E353" s="6">
        <f ca="1">IFERROR(__xludf.DUMMYFUNCTION("SUM(FILTER('All Scores'!AF$2:AF$1024, ('All Scores'!AJ$2:AJ$1024 = A353) + ('All Scores'!AK$2:AK$1024 = A353)))
"),596)</f>
        <v>596</v>
      </c>
      <c r="F353" s="6">
        <f ca="1">IFERROR(__xludf.DUMMYFUNCTION("SUM(FILTER('All Scores'!AD$2:AD$1024, ('All Scores'!AJ$2:AJ$1024 = A353) + ('All Scores'!AK$2:AK$1024 = A353)))
"),352)</f>
        <v>352</v>
      </c>
      <c r="G353" s="21">
        <f t="shared" ca="1" si="2"/>
        <v>0.59060402684563762</v>
      </c>
      <c r="H353" s="169"/>
      <c r="I353" s="169"/>
      <c r="J353" s="6"/>
      <c r="K353" s="188"/>
      <c r="L353" s="189"/>
      <c r="M353" s="189"/>
      <c r="N353" s="6"/>
      <c r="O353" s="6"/>
      <c r="P353" s="6"/>
      <c r="Q353" s="169"/>
      <c r="R353" s="6"/>
      <c r="S353" s="6"/>
      <c r="T353" s="169"/>
      <c r="U353" s="6"/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69"/>
      <c r="AN353" s="169"/>
      <c r="AO353" s="169"/>
      <c r="AP353" s="169"/>
      <c r="AQ353" s="169"/>
      <c r="AR353" s="169"/>
    </row>
    <row r="354" spans="1:44" ht="12.5">
      <c r="A354" s="169" t="str">
        <f ca="1">IFERROR(__xludf.DUMMYFUNCTION("""COMPUTED_VALUE"""),"Robert Humble")</f>
        <v>Robert Humble</v>
      </c>
      <c r="B354" s="186">
        <f ca="1">COUNTIF('All Scores'!AJ:AK,A354)</f>
        <v>1</v>
      </c>
      <c r="C354" s="186">
        <f ca="1">IFERROR(__xludf.DUMMYFUNCTION("MIN(FILTER('All Scores'!AI$2:AI$1024, ('All Scores'!AJ$2:AJ$1024 = A354) + ('All Scores'!AK$2:AK$1024 = A354)))"),5)</f>
        <v>5</v>
      </c>
      <c r="D354" s="187">
        <f ca="1">IFERROR(__xludf.DUMMYFUNCTION("AVERAGE(FILTER('All Scores'!AI$2:AI$1024, ('All Scores'!AJ$2:AJ$1024 = A354) + ('All Scores'!AK$2:AK$1024 = A354))
)
"),5)</f>
        <v>5</v>
      </c>
      <c r="E354" s="6">
        <f ca="1">IFERROR(__xludf.DUMMYFUNCTION("SUM(FILTER('All Scores'!AF$2:AF$1024, ('All Scores'!AJ$2:AJ$1024 = A354) + ('All Scores'!AK$2:AK$1024 = A354)))
"),71)</f>
        <v>71</v>
      </c>
      <c r="F354" s="6">
        <f ca="1">IFERROR(__xludf.DUMMYFUNCTION("SUM(FILTER('All Scores'!AD$2:AD$1024, ('All Scores'!AJ$2:AJ$1024 = A354) + ('All Scores'!AK$2:AK$1024 = A354)))
"),40)</f>
        <v>40</v>
      </c>
      <c r="G354" s="21">
        <f t="shared" ca="1" si="2"/>
        <v>0.56338028169014087</v>
      </c>
      <c r="H354" s="169"/>
      <c r="I354" s="169"/>
      <c r="J354" s="6"/>
      <c r="K354" s="188"/>
      <c r="L354" s="189"/>
      <c r="M354" s="189"/>
      <c r="N354" s="6"/>
      <c r="O354" s="6"/>
      <c r="P354" s="6"/>
      <c r="Q354" s="169"/>
      <c r="R354" s="6"/>
      <c r="S354" s="6"/>
      <c r="T354" s="169"/>
      <c r="U354" s="6"/>
      <c r="V354" s="169"/>
      <c r="W354" s="169"/>
      <c r="X354" s="169"/>
      <c r="Y354" s="169"/>
      <c r="Z354" s="169"/>
      <c r="AA354" s="169"/>
      <c r="AB354" s="169"/>
      <c r="AC354" s="169"/>
      <c r="AD354" s="169"/>
      <c r="AE354" s="169"/>
      <c r="AF354" s="169"/>
      <c r="AG354" s="169"/>
      <c r="AH354" s="169"/>
      <c r="AI354" s="169"/>
      <c r="AJ354" s="169"/>
      <c r="AK354" s="169"/>
      <c r="AL354" s="169"/>
      <c r="AM354" s="169"/>
      <c r="AN354" s="169"/>
      <c r="AO354" s="169"/>
      <c r="AP354" s="169"/>
      <c r="AQ354" s="169"/>
      <c r="AR354" s="169"/>
    </row>
    <row r="355" spans="1:44" ht="12.5">
      <c r="A355" s="169" t="str">
        <f ca="1">IFERROR(__xludf.DUMMYFUNCTION("""COMPUTED_VALUE"""),"Robert Madison")</f>
        <v>Robert Madison</v>
      </c>
      <c r="B355" s="186">
        <f ca="1">COUNTIF('All Scores'!AJ:AK,A355)</f>
        <v>26</v>
      </c>
      <c r="C355" s="186">
        <f ca="1">IFERROR(__xludf.DUMMYFUNCTION("MIN(FILTER('All Scores'!AI$2:AI$1024, ('All Scores'!AJ$2:AJ$1024 = A355) + ('All Scores'!AK$2:AK$1024 = A355)))"),1)</f>
        <v>1</v>
      </c>
      <c r="D355" s="187">
        <f ca="1">IFERROR(__xludf.DUMMYFUNCTION("AVERAGE(FILTER('All Scores'!AI$2:AI$1024, ('All Scores'!AJ$2:AJ$1024 = A355) + ('All Scores'!AK$2:AK$1024 = A355))
)
"),10.2692307692307)</f>
        <v>10.269230769230701</v>
      </c>
      <c r="E355" s="6">
        <f ca="1">IFERROR(__xludf.DUMMYFUNCTION("SUM(FILTER('All Scores'!AF$2:AF$1024, ('All Scores'!AJ$2:AJ$1024 = A355) + ('All Scores'!AK$2:AK$1024 = A355)))
"),1752)</f>
        <v>1752</v>
      </c>
      <c r="F355" s="6">
        <f ca="1">IFERROR(__xludf.DUMMYFUNCTION("SUM(FILTER('All Scores'!AD$2:AD$1024, ('All Scores'!AJ$2:AJ$1024 = A355) + ('All Scores'!AK$2:AK$1024 = A355)))
"),810)</f>
        <v>810</v>
      </c>
      <c r="G355" s="21">
        <f t="shared" ca="1" si="2"/>
        <v>0.46232876712328769</v>
      </c>
      <c r="H355" s="169"/>
      <c r="I355" s="169"/>
      <c r="J355" s="6"/>
      <c r="K355" s="188"/>
      <c r="L355" s="189"/>
      <c r="M355" s="189"/>
      <c r="N355" s="6"/>
      <c r="O355" s="6"/>
      <c r="P355" s="6"/>
      <c r="Q355" s="169"/>
      <c r="R355" s="6"/>
      <c r="S355" s="6"/>
      <c r="T355" s="169"/>
      <c r="U355" s="6"/>
      <c r="V355" s="169"/>
      <c r="W355" s="169"/>
      <c r="X355" s="169"/>
      <c r="Y355" s="169"/>
      <c r="Z355" s="169"/>
      <c r="AA355" s="169"/>
      <c r="AB355" s="169"/>
      <c r="AC355" s="169"/>
      <c r="AD355" s="169"/>
      <c r="AE355" s="169"/>
      <c r="AF355" s="169"/>
      <c r="AG355" s="169"/>
      <c r="AH355" s="169"/>
      <c r="AI355" s="169"/>
      <c r="AJ355" s="169"/>
      <c r="AK355" s="169"/>
      <c r="AL355" s="169"/>
      <c r="AM355" s="169"/>
      <c r="AN355" s="169"/>
      <c r="AO355" s="169"/>
      <c r="AP355" s="169"/>
      <c r="AQ355" s="169"/>
      <c r="AR355" s="169"/>
    </row>
    <row r="356" spans="1:44" ht="12.5">
      <c r="A356" s="169" t="str">
        <f ca="1">IFERROR(__xludf.DUMMYFUNCTION("""COMPUTED_VALUE"""),"Robert Reed")</f>
        <v>Robert Reed</v>
      </c>
      <c r="B356" s="186">
        <f ca="1">COUNTIF('All Scores'!AJ:AK,A356)</f>
        <v>2</v>
      </c>
      <c r="C356" s="186">
        <f ca="1">IFERROR(__xludf.DUMMYFUNCTION("MIN(FILTER('All Scores'!AI$2:AI$1024, ('All Scores'!AJ$2:AJ$1024 = A356) + ('All Scores'!AK$2:AK$1024 = A356)))"),6)</f>
        <v>6</v>
      </c>
      <c r="D356" s="187">
        <f ca="1">IFERROR(__xludf.DUMMYFUNCTION("AVERAGE(FILTER('All Scores'!AI$2:AI$1024, ('All Scores'!AJ$2:AJ$1024 = A356) + ('All Scores'!AK$2:AK$1024 = A356))
)
"),6)</f>
        <v>6</v>
      </c>
      <c r="E356" s="6">
        <f ca="1">IFERROR(__xludf.DUMMYFUNCTION("SUM(FILTER('All Scores'!AF$2:AF$1024, ('All Scores'!AJ$2:AJ$1024 = A356) + ('All Scores'!AK$2:AK$1024 = A356)))
"),141)</f>
        <v>141</v>
      </c>
      <c r="F356" s="6">
        <f ca="1">IFERROR(__xludf.DUMMYFUNCTION("SUM(FILTER('All Scores'!AD$2:AD$1024, ('All Scores'!AJ$2:AJ$1024 = A356) + ('All Scores'!AK$2:AK$1024 = A356)))
"),78)</f>
        <v>78</v>
      </c>
      <c r="G356" s="21">
        <f t="shared" ca="1" si="2"/>
        <v>0.55319148936170215</v>
      </c>
      <c r="H356" s="169"/>
      <c r="I356" s="169"/>
      <c r="J356" s="6"/>
      <c r="K356" s="188"/>
      <c r="L356" s="189"/>
      <c r="M356" s="189"/>
      <c r="N356" s="6"/>
      <c r="O356" s="6"/>
      <c r="P356" s="6"/>
      <c r="Q356" s="169"/>
      <c r="R356" s="6"/>
      <c r="S356" s="6"/>
      <c r="T356" s="169"/>
      <c r="U356" s="6"/>
      <c r="V356" s="169"/>
      <c r="W356" s="169"/>
      <c r="X356" s="169"/>
      <c r="Y356" s="169"/>
      <c r="Z356" s="169"/>
      <c r="AA356" s="169"/>
      <c r="AB356" s="169"/>
      <c r="AC356" s="169"/>
      <c r="AD356" s="169"/>
      <c r="AE356" s="169"/>
      <c r="AF356" s="169"/>
      <c r="AG356" s="169"/>
      <c r="AH356" s="169"/>
      <c r="AI356" s="169"/>
      <c r="AJ356" s="169"/>
      <c r="AK356" s="169"/>
      <c r="AL356" s="169"/>
      <c r="AM356" s="169"/>
      <c r="AN356" s="169"/>
      <c r="AO356" s="169"/>
      <c r="AP356" s="169"/>
      <c r="AQ356" s="169"/>
      <c r="AR356" s="169"/>
    </row>
    <row r="357" spans="1:44" ht="12.5">
      <c r="A357" s="169" t="str">
        <f ca="1">IFERROR(__xludf.DUMMYFUNCTION("""COMPUTED_VALUE"""),"Robin Yaple")</f>
        <v>Robin Yaple</v>
      </c>
      <c r="B357" s="186">
        <f ca="1">COUNTIF('All Scores'!AJ:AK,A357)</f>
        <v>1</v>
      </c>
      <c r="C357" s="186">
        <f ca="1">IFERROR(__xludf.DUMMYFUNCTION("MIN(FILTER('All Scores'!AI$2:AI$1024, ('All Scores'!AJ$2:AJ$1024 = A357) + ('All Scores'!AK$2:AK$1024 = A357)))"),1)</f>
        <v>1</v>
      </c>
      <c r="D357" s="187">
        <f ca="1">IFERROR(__xludf.DUMMYFUNCTION("AVERAGE(FILTER('All Scores'!AI$2:AI$1024, ('All Scores'!AJ$2:AJ$1024 = A357) + ('All Scores'!AK$2:AK$1024 = A357))
)
"),1)</f>
        <v>1</v>
      </c>
      <c r="E357" s="6">
        <f ca="1">IFERROR(__xludf.DUMMYFUNCTION("SUM(FILTER('All Scores'!AF$2:AF$1024, ('All Scores'!AJ$2:AJ$1024 = A357) + ('All Scores'!AK$2:AK$1024 = A357)))
"),116)</f>
        <v>116</v>
      </c>
      <c r="F357" s="6">
        <f ca="1">IFERROR(__xludf.DUMMYFUNCTION("SUM(FILTER('All Scores'!AD$2:AD$1024, ('All Scores'!AJ$2:AJ$1024 = A357) + ('All Scores'!AK$2:AK$1024 = A357)))
"),78)</f>
        <v>78</v>
      </c>
      <c r="G357" s="21">
        <f t="shared" ca="1" si="2"/>
        <v>0.67241379310344829</v>
      </c>
      <c r="H357" s="169"/>
      <c r="I357" s="169"/>
      <c r="J357" s="6"/>
      <c r="K357" s="188"/>
      <c r="L357" s="189"/>
      <c r="M357" s="189"/>
      <c r="N357" s="6"/>
      <c r="O357" s="6"/>
      <c r="P357" s="6"/>
      <c r="Q357" s="169"/>
      <c r="R357" s="6"/>
      <c r="S357" s="6"/>
      <c r="T357" s="169"/>
      <c r="U357" s="6"/>
      <c r="V357" s="169"/>
      <c r="W357" s="169"/>
      <c r="X357" s="169"/>
      <c r="Y357" s="169"/>
      <c r="Z357" s="169"/>
      <c r="AA357" s="169"/>
      <c r="AB357" s="169"/>
      <c r="AC357" s="169"/>
      <c r="AD357" s="169"/>
      <c r="AE357" s="169"/>
      <c r="AF357" s="169"/>
      <c r="AG357" s="169"/>
      <c r="AH357" s="169"/>
      <c r="AI357" s="169"/>
      <c r="AJ357" s="169"/>
      <c r="AK357" s="169"/>
      <c r="AL357" s="169"/>
      <c r="AM357" s="169"/>
      <c r="AN357" s="169"/>
      <c r="AO357" s="169"/>
      <c r="AP357" s="169"/>
      <c r="AQ357" s="169"/>
      <c r="AR357" s="169"/>
    </row>
    <row r="358" spans="1:44" ht="12.5">
      <c r="A358" s="169" t="str">
        <f ca="1">IFERROR(__xludf.DUMMYFUNCTION("""COMPUTED_VALUE"""),"Rod Muff")</f>
        <v>Rod Muff</v>
      </c>
      <c r="B358" s="186">
        <f ca="1">COUNTIF('All Scores'!AJ:AK,A358)</f>
        <v>4</v>
      </c>
      <c r="C358" s="186">
        <f ca="1">IFERROR(__xludf.DUMMYFUNCTION("MIN(FILTER('All Scores'!AI$2:AI$1024, ('All Scores'!AJ$2:AJ$1024 = A358) + ('All Scores'!AK$2:AK$1024 = A358)))"),3)</f>
        <v>3</v>
      </c>
      <c r="D358" s="187">
        <f ca="1">IFERROR(__xludf.DUMMYFUNCTION("AVERAGE(FILTER('All Scores'!AI$2:AI$1024, ('All Scores'!AJ$2:AJ$1024 = A358) + ('All Scores'!AK$2:AK$1024 = A358))
)
"),5.75)</f>
        <v>5.75</v>
      </c>
      <c r="E358" s="6">
        <f ca="1">IFERROR(__xludf.DUMMYFUNCTION("SUM(FILTER('All Scores'!AF$2:AF$1024, ('All Scores'!AJ$2:AJ$1024 = A358) + ('All Scores'!AK$2:AK$1024 = A358)))
"),265)</f>
        <v>265</v>
      </c>
      <c r="F358" s="6">
        <f ca="1">IFERROR(__xludf.DUMMYFUNCTION("SUM(FILTER('All Scores'!AD$2:AD$1024, ('All Scores'!AJ$2:AJ$1024 = A358) + ('All Scores'!AK$2:AK$1024 = A358)))
"),149)</f>
        <v>149</v>
      </c>
      <c r="G358" s="21">
        <f t="shared" ca="1" si="2"/>
        <v>0.56226415094339621</v>
      </c>
      <c r="H358" s="169"/>
      <c r="I358" s="169"/>
      <c r="J358" s="6"/>
      <c r="K358" s="188"/>
      <c r="L358" s="189"/>
      <c r="M358" s="189"/>
      <c r="N358" s="6"/>
      <c r="O358" s="6"/>
      <c r="P358" s="6"/>
      <c r="Q358" s="169"/>
      <c r="R358" s="6"/>
      <c r="S358" s="6"/>
      <c r="T358" s="169"/>
      <c r="U358" s="6"/>
      <c r="V358" s="169"/>
      <c r="W358" s="169"/>
      <c r="X358" s="169"/>
      <c r="Y358" s="169"/>
      <c r="Z358" s="169"/>
      <c r="AA358" s="169"/>
      <c r="AB358" s="169"/>
      <c r="AC358" s="169"/>
      <c r="AD358" s="169"/>
      <c r="AE358" s="169"/>
      <c r="AF358" s="169"/>
      <c r="AG358" s="169"/>
      <c r="AH358" s="169"/>
      <c r="AI358" s="169"/>
      <c r="AJ358" s="169"/>
      <c r="AK358" s="169"/>
      <c r="AL358" s="169"/>
      <c r="AM358" s="169"/>
      <c r="AN358" s="169"/>
      <c r="AO358" s="169"/>
      <c r="AP358" s="169"/>
      <c r="AQ358" s="169"/>
      <c r="AR358" s="169"/>
    </row>
    <row r="359" spans="1:44" ht="12.5">
      <c r="A359" s="169" t="str">
        <f ca="1">IFERROR(__xludf.DUMMYFUNCTION("""COMPUTED_VALUE"""),"rodrigo carvajal")</f>
        <v>rodrigo carvajal</v>
      </c>
      <c r="B359" s="186">
        <f ca="1">COUNTIF('All Scores'!AJ:AK,A359)</f>
        <v>1</v>
      </c>
      <c r="C359" s="186">
        <f ca="1">IFERROR(__xludf.DUMMYFUNCTION("MIN(FILTER('All Scores'!AI$2:AI$1024, ('All Scores'!AJ$2:AJ$1024 = A359) + ('All Scores'!AK$2:AK$1024 = A359)))"),16)</f>
        <v>16</v>
      </c>
      <c r="D359" s="187">
        <f ca="1">IFERROR(__xludf.DUMMYFUNCTION("AVERAGE(FILTER('All Scores'!AI$2:AI$1024, ('All Scores'!AJ$2:AJ$1024 = A359) + ('All Scores'!AK$2:AK$1024 = A359))
)
"),16)</f>
        <v>16</v>
      </c>
      <c r="E359" s="6">
        <f ca="1">IFERROR(__xludf.DUMMYFUNCTION("SUM(FILTER('All Scores'!AF$2:AF$1024, ('All Scores'!AJ$2:AJ$1024 = A359) + ('All Scores'!AK$2:AK$1024 = A359)))
"),41)</f>
        <v>41</v>
      </c>
      <c r="F359" s="6">
        <f ca="1">IFERROR(__xludf.DUMMYFUNCTION("SUM(FILTER('All Scores'!AD$2:AD$1024, ('All Scores'!AJ$2:AJ$1024 = A359) + ('All Scores'!AK$2:AK$1024 = A359)))
"),8)</f>
        <v>8</v>
      </c>
      <c r="G359" s="21">
        <f t="shared" ca="1" si="2"/>
        <v>0.1951219512195122</v>
      </c>
      <c r="H359" s="169"/>
      <c r="I359" s="169"/>
      <c r="J359" s="6"/>
      <c r="K359" s="188"/>
      <c r="L359" s="189"/>
      <c r="M359" s="189"/>
      <c r="N359" s="6"/>
      <c r="O359" s="6"/>
      <c r="P359" s="6"/>
      <c r="Q359" s="169"/>
      <c r="R359" s="6"/>
      <c r="S359" s="6"/>
      <c r="T359" s="169"/>
      <c r="U359" s="6"/>
      <c r="V359" s="169"/>
      <c r="W359" s="169"/>
      <c r="X359" s="169"/>
      <c r="Y359" s="169"/>
      <c r="Z359" s="169"/>
      <c r="AA359" s="169"/>
      <c r="AB359" s="169"/>
      <c r="AC359" s="169"/>
      <c r="AD359" s="169"/>
      <c r="AE359" s="169"/>
      <c r="AF359" s="169"/>
      <c r="AG359" s="169"/>
      <c r="AH359" s="169"/>
      <c r="AI359" s="169"/>
      <c r="AJ359" s="169"/>
      <c r="AK359" s="169"/>
      <c r="AL359" s="169"/>
      <c r="AM359" s="169"/>
      <c r="AN359" s="169"/>
      <c r="AO359" s="169"/>
      <c r="AP359" s="169"/>
      <c r="AQ359" s="169"/>
      <c r="AR359" s="169"/>
    </row>
    <row r="360" spans="1:44" ht="12.5">
      <c r="A360" s="169" t="str">
        <f ca="1">IFERROR(__xludf.DUMMYFUNCTION("""COMPUTED_VALUE"""),"Romy Carlson")</f>
        <v>Romy Carlson</v>
      </c>
      <c r="B360" s="186">
        <f ca="1">COUNTIF('All Scores'!AJ:AK,A360)</f>
        <v>2</v>
      </c>
      <c r="C360" s="186">
        <f ca="1">IFERROR(__xludf.DUMMYFUNCTION("MIN(FILTER('All Scores'!AI$2:AI$1024, ('All Scores'!AJ$2:AJ$1024 = A360) + ('All Scores'!AK$2:AK$1024 = A360)))"),1)</f>
        <v>1</v>
      </c>
      <c r="D360" s="187">
        <f ca="1">IFERROR(__xludf.DUMMYFUNCTION("AVERAGE(FILTER('All Scores'!AI$2:AI$1024, ('All Scores'!AJ$2:AJ$1024 = A360) + ('All Scores'!AK$2:AK$1024 = A360))
)
"),3)</f>
        <v>3</v>
      </c>
      <c r="E360" s="6">
        <f ca="1">IFERROR(__xludf.DUMMYFUNCTION("SUM(FILTER('All Scores'!AF$2:AF$1024, ('All Scores'!AJ$2:AJ$1024 = A360) + ('All Scores'!AK$2:AK$1024 = A360)))
"),191)</f>
        <v>191</v>
      </c>
      <c r="F360" s="6">
        <f ca="1">IFERROR(__xludf.DUMMYFUNCTION("SUM(FILTER('All Scores'!AD$2:AD$1024, ('All Scores'!AJ$2:AJ$1024 = A360) + ('All Scores'!AK$2:AK$1024 = A360)))
"),116)</f>
        <v>116</v>
      </c>
      <c r="G360" s="21">
        <f t="shared" ca="1" si="2"/>
        <v>0.60732984293193715</v>
      </c>
      <c r="H360" s="169"/>
      <c r="I360" s="169"/>
      <c r="J360" s="6"/>
      <c r="K360" s="188"/>
      <c r="L360" s="189"/>
      <c r="M360" s="189"/>
      <c r="N360" s="6"/>
      <c r="O360" s="6"/>
      <c r="P360" s="6"/>
      <c r="Q360" s="169"/>
      <c r="R360" s="6"/>
      <c r="S360" s="6"/>
      <c r="T360" s="169"/>
      <c r="U360" s="6"/>
      <c r="V360" s="169"/>
      <c r="W360" s="169"/>
      <c r="X360" s="169"/>
      <c r="Y360" s="169"/>
      <c r="Z360" s="169"/>
      <c r="AA360" s="169"/>
      <c r="AB360" s="169"/>
      <c r="AC360" s="169"/>
      <c r="AD360" s="169"/>
      <c r="AE360" s="169"/>
      <c r="AF360" s="169"/>
      <c r="AG360" s="169"/>
      <c r="AH360" s="169"/>
      <c r="AI360" s="169"/>
      <c r="AJ360" s="169"/>
      <c r="AK360" s="169"/>
      <c r="AL360" s="169"/>
      <c r="AM360" s="169"/>
      <c r="AN360" s="169"/>
      <c r="AO360" s="169"/>
      <c r="AP360" s="169"/>
      <c r="AQ360" s="169"/>
      <c r="AR360" s="169"/>
    </row>
    <row r="361" spans="1:44" ht="12.5">
      <c r="A361" s="169" t="str">
        <f ca="1">IFERROR(__xludf.DUMMYFUNCTION("""COMPUTED_VALUE"""),"Ron Larson")</f>
        <v>Ron Larson</v>
      </c>
      <c r="B361" s="186">
        <f ca="1">COUNTIF('All Scores'!AJ:AK,A361)</f>
        <v>3</v>
      </c>
      <c r="C361" s="186">
        <f ca="1">IFERROR(__xludf.DUMMYFUNCTION("MIN(FILTER('All Scores'!AI$2:AI$1024, ('All Scores'!AJ$2:AJ$1024 = A361) + ('All Scores'!AK$2:AK$1024 = A361)))"),5)</f>
        <v>5</v>
      </c>
      <c r="D361" s="187">
        <f ca="1">IFERROR(__xludf.DUMMYFUNCTION("AVERAGE(FILTER('All Scores'!AI$2:AI$1024, ('All Scores'!AJ$2:AJ$1024 = A361) + ('All Scores'!AK$2:AK$1024 = A361))
)
"),15.6666666666666)</f>
        <v>15.6666666666666</v>
      </c>
      <c r="E361" s="6">
        <f ca="1">IFERROR(__xludf.DUMMYFUNCTION("SUM(FILTER('All Scores'!AF$2:AF$1024, ('All Scores'!AJ$2:AJ$1024 = A361) + ('All Scores'!AK$2:AK$1024 = A361)))
"),190)</f>
        <v>190</v>
      </c>
      <c r="F361" s="6">
        <f ca="1">IFERROR(__xludf.DUMMYFUNCTION("SUM(FILTER('All Scores'!AD$2:AD$1024, ('All Scores'!AJ$2:AJ$1024 = A361) + ('All Scores'!AK$2:AK$1024 = A361)))
"),82)</f>
        <v>82</v>
      </c>
      <c r="G361" s="21">
        <f t="shared" ca="1" si="2"/>
        <v>0.43157894736842106</v>
      </c>
      <c r="H361" s="169"/>
      <c r="I361" s="169"/>
      <c r="J361" s="6"/>
      <c r="K361" s="188"/>
      <c r="L361" s="189"/>
      <c r="M361" s="189"/>
      <c r="N361" s="6"/>
      <c r="O361" s="6"/>
      <c r="P361" s="6"/>
      <c r="Q361" s="169"/>
      <c r="R361" s="6"/>
      <c r="S361" s="6"/>
      <c r="T361" s="169"/>
      <c r="U361" s="6"/>
      <c r="V361" s="169"/>
      <c r="W361" s="169"/>
      <c r="X361" s="169"/>
      <c r="Y361" s="169"/>
      <c r="Z361" s="169"/>
      <c r="AA361" s="169"/>
      <c r="AB361" s="169"/>
      <c r="AC361" s="169"/>
      <c r="AD361" s="169"/>
      <c r="AE361" s="169"/>
      <c r="AF361" s="169"/>
      <c r="AG361" s="169"/>
      <c r="AH361" s="169"/>
      <c r="AI361" s="169"/>
      <c r="AJ361" s="169"/>
      <c r="AK361" s="169"/>
      <c r="AL361" s="169"/>
      <c r="AM361" s="169"/>
      <c r="AN361" s="169"/>
      <c r="AO361" s="169"/>
      <c r="AP361" s="169"/>
      <c r="AQ361" s="169"/>
      <c r="AR361" s="169"/>
    </row>
    <row r="362" spans="1:44" ht="12.5">
      <c r="A362" s="169" t="str">
        <f ca="1">IFERROR(__xludf.DUMMYFUNCTION("""COMPUTED_VALUE"""),"Ronni Rosewicz")</f>
        <v>Ronni Rosewicz</v>
      </c>
      <c r="B362" s="186">
        <f ca="1">COUNTIF('All Scores'!AJ:AK,A362)</f>
        <v>1</v>
      </c>
      <c r="C362" s="186">
        <f ca="1">IFERROR(__xludf.DUMMYFUNCTION("MIN(FILTER('All Scores'!AI$2:AI$1024, ('All Scores'!AJ$2:AJ$1024 = A362) + ('All Scores'!AK$2:AK$1024 = A362)))"),5)</f>
        <v>5</v>
      </c>
      <c r="D362" s="187">
        <f ca="1">IFERROR(__xludf.DUMMYFUNCTION("AVERAGE(FILTER('All Scores'!AI$2:AI$1024, ('All Scores'!AJ$2:AJ$1024 = A362) + ('All Scores'!AK$2:AK$1024 = A362))
)
"),5)</f>
        <v>5</v>
      </c>
      <c r="E362" s="6">
        <f ca="1">IFERROR(__xludf.DUMMYFUNCTION("SUM(FILTER('All Scores'!AF$2:AF$1024, ('All Scores'!AJ$2:AJ$1024 = A362) + ('All Scores'!AK$2:AK$1024 = A362)))
"),91)</f>
        <v>91</v>
      </c>
      <c r="F362" s="6">
        <f ca="1">IFERROR(__xludf.DUMMYFUNCTION("SUM(FILTER('All Scores'!AD$2:AD$1024, ('All Scores'!AJ$2:AJ$1024 = A362) + ('All Scores'!AK$2:AK$1024 = A362)))
"),50)</f>
        <v>50</v>
      </c>
      <c r="G362" s="21">
        <f t="shared" ca="1" si="2"/>
        <v>0.5494505494505495</v>
      </c>
      <c r="H362" s="169"/>
      <c r="I362" s="169"/>
      <c r="J362" s="6"/>
      <c r="K362" s="188"/>
      <c r="L362" s="189"/>
      <c r="M362" s="189"/>
      <c r="N362" s="6"/>
      <c r="O362" s="6"/>
      <c r="P362" s="6"/>
      <c r="Q362" s="169"/>
      <c r="R362" s="6"/>
      <c r="S362" s="6"/>
      <c r="T362" s="169"/>
      <c r="U362" s="6"/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69"/>
      <c r="AN362" s="169"/>
      <c r="AO362" s="169"/>
      <c r="AP362" s="169"/>
      <c r="AQ362" s="169"/>
      <c r="AR362" s="169"/>
    </row>
    <row r="363" spans="1:44" ht="12.5">
      <c r="A363" s="169" t="str">
        <f ca="1">IFERROR(__xludf.DUMMYFUNCTION("""COMPUTED_VALUE"""),"Rory Carvajal")</f>
        <v>Rory Carvajal</v>
      </c>
      <c r="B363" s="186">
        <f ca="1">COUNTIF('All Scores'!AJ:AK,A363)</f>
        <v>1</v>
      </c>
      <c r="C363" s="186">
        <f ca="1">IFERROR(__xludf.DUMMYFUNCTION("MIN(FILTER('All Scores'!AI$2:AI$1024, ('All Scores'!AJ$2:AJ$1024 = A363) + ('All Scores'!AK$2:AK$1024 = A363)))"),11)</f>
        <v>11</v>
      </c>
      <c r="D363" s="187">
        <f ca="1">IFERROR(__xludf.DUMMYFUNCTION("AVERAGE(FILTER('All Scores'!AI$2:AI$1024, ('All Scores'!AJ$2:AJ$1024 = A363) + ('All Scores'!AK$2:AK$1024 = A363))
)
"),11)</f>
        <v>11</v>
      </c>
      <c r="E363" s="6">
        <f ca="1">IFERROR(__xludf.DUMMYFUNCTION("SUM(FILTER('All Scores'!AF$2:AF$1024, ('All Scores'!AJ$2:AJ$1024 = A363) + ('All Scores'!AK$2:AK$1024 = A363)))
"),57)</f>
        <v>57</v>
      </c>
      <c r="F363" s="6">
        <f ca="1">IFERROR(__xludf.DUMMYFUNCTION("SUM(FILTER('All Scores'!AD$2:AD$1024, ('All Scores'!AJ$2:AJ$1024 = A363) + ('All Scores'!AK$2:AK$1024 = A363)))
"),24)</f>
        <v>24</v>
      </c>
      <c r="G363" s="21">
        <f t="shared" ca="1" si="2"/>
        <v>0.42105263157894735</v>
      </c>
      <c r="H363" s="169"/>
      <c r="I363" s="169"/>
      <c r="J363" s="6"/>
      <c r="K363" s="188"/>
      <c r="L363" s="189"/>
      <c r="M363" s="189"/>
      <c r="N363" s="6"/>
      <c r="O363" s="6"/>
      <c r="P363" s="6"/>
      <c r="Q363" s="169"/>
      <c r="R363" s="6"/>
      <c r="S363" s="6"/>
      <c r="T363" s="169"/>
      <c r="U363" s="6"/>
      <c r="V363" s="169"/>
      <c r="W363" s="169"/>
      <c r="X363" s="169"/>
      <c r="Y363" s="169"/>
      <c r="Z363" s="169"/>
      <c r="AA363" s="169"/>
      <c r="AB363" s="169"/>
      <c r="AC363" s="169"/>
      <c r="AD363" s="169"/>
      <c r="AE363" s="169"/>
      <c r="AF363" s="169"/>
      <c r="AG363" s="169"/>
      <c r="AH363" s="169"/>
      <c r="AI363" s="169"/>
      <c r="AJ363" s="169"/>
      <c r="AK363" s="169"/>
      <c r="AL363" s="169"/>
      <c r="AM363" s="169"/>
      <c r="AN363" s="169"/>
      <c r="AO363" s="169"/>
      <c r="AP363" s="169"/>
      <c r="AQ363" s="169"/>
      <c r="AR363" s="169"/>
    </row>
    <row r="364" spans="1:44" ht="12.5">
      <c r="A364" s="169" t="str">
        <f ca="1">IFERROR(__xludf.DUMMYFUNCTION("""COMPUTED_VALUE"""),"Roy Haler")</f>
        <v>Roy Haler</v>
      </c>
      <c r="B364" s="186">
        <f ca="1">COUNTIF('All Scores'!AJ:AK,A364)</f>
        <v>2</v>
      </c>
      <c r="C364" s="186">
        <f ca="1">IFERROR(__xludf.DUMMYFUNCTION("MIN(FILTER('All Scores'!AI$2:AI$1024, ('All Scores'!AJ$2:AJ$1024 = A364) + ('All Scores'!AK$2:AK$1024 = A364)))"),14)</f>
        <v>14</v>
      </c>
      <c r="D364" s="187">
        <f ca="1">IFERROR(__xludf.DUMMYFUNCTION("AVERAGE(FILTER('All Scores'!AI$2:AI$1024, ('All Scores'!AJ$2:AJ$1024 = A364) + ('All Scores'!AK$2:AK$1024 = A364))
)
"),15)</f>
        <v>15</v>
      </c>
      <c r="E364" s="6">
        <f ca="1">IFERROR(__xludf.DUMMYFUNCTION("SUM(FILTER('All Scores'!AF$2:AF$1024, ('All Scores'!AJ$2:AJ$1024 = A364) + ('All Scores'!AK$2:AK$1024 = A364)))
"),84)</f>
        <v>84</v>
      </c>
      <c r="F364" s="6">
        <f ca="1">IFERROR(__xludf.DUMMYFUNCTION("SUM(FILTER('All Scores'!AD$2:AD$1024, ('All Scores'!AJ$2:AJ$1024 = A364) + ('All Scores'!AK$2:AK$1024 = A364)))
"),18)</f>
        <v>18</v>
      </c>
      <c r="G364" s="21">
        <f t="shared" ca="1" si="2"/>
        <v>0.21428571428571427</v>
      </c>
      <c r="H364" s="169"/>
      <c r="I364" s="169"/>
      <c r="J364" s="6"/>
      <c r="K364" s="188"/>
      <c r="L364" s="189"/>
      <c r="M364" s="189"/>
      <c r="N364" s="6"/>
      <c r="O364" s="6"/>
      <c r="P364" s="6"/>
      <c r="Q364" s="169"/>
      <c r="R364" s="6"/>
      <c r="S364" s="6"/>
      <c r="T364" s="169"/>
      <c r="U364" s="6"/>
      <c r="V364" s="169"/>
      <c r="W364" s="169"/>
      <c r="X364" s="169"/>
      <c r="Y364" s="169"/>
      <c r="Z364" s="169"/>
      <c r="AA364" s="169"/>
      <c r="AB364" s="169"/>
      <c r="AC364" s="169"/>
      <c r="AD364" s="169"/>
      <c r="AE364" s="169"/>
      <c r="AF364" s="169"/>
      <c r="AG364" s="169"/>
      <c r="AH364" s="169"/>
      <c r="AI364" s="169"/>
      <c r="AJ364" s="169"/>
      <c r="AK364" s="169"/>
      <c r="AL364" s="169"/>
      <c r="AM364" s="169"/>
      <c r="AN364" s="169"/>
      <c r="AO364" s="169"/>
      <c r="AP364" s="169"/>
      <c r="AQ364" s="169"/>
      <c r="AR364" s="169"/>
    </row>
    <row r="365" spans="1:44" ht="12.5">
      <c r="A365" s="169" t="str">
        <f ca="1">IFERROR(__xludf.DUMMYFUNCTION("""COMPUTED_VALUE"""),"Roy True")</f>
        <v>Roy True</v>
      </c>
      <c r="B365" s="186">
        <f ca="1">COUNTIF('All Scores'!AJ:AK,A365)</f>
        <v>3</v>
      </c>
      <c r="C365" s="186">
        <f ca="1">IFERROR(__xludf.DUMMYFUNCTION("MIN(FILTER('All Scores'!AI$2:AI$1024, ('All Scores'!AJ$2:AJ$1024 = A365) + ('All Scores'!AK$2:AK$1024 = A365)))"),2)</f>
        <v>2</v>
      </c>
      <c r="D365" s="187">
        <f ca="1">IFERROR(__xludf.DUMMYFUNCTION("AVERAGE(FILTER('All Scores'!AI$2:AI$1024, ('All Scores'!AJ$2:AJ$1024 = A365) + ('All Scores'!AK$2:AK$1024 = A365))
)
"),6.33333333333333)</f>
        <v>6.3333333333333304</v>
      </c>
      <c r="E365" s="6">
        <f ca="1">IFERROR(__xludf.DUMMYFUNCTION("SUM(FILTER('All Scores'!AF$2:AF$1024, ('All Scores'!AJ$2:AJ$1024 = A365) + ('All Scores'!AK$2:AK$1024 = A365)))
"),265)</f>
        <v>265</v>
      </c>
      <c r="F365" s="6">
        <f ca="1">IFERROR(__xludf.DUMMYFUNCTION("SUM(FILTER('All Scores'!AD$2:AD$1024, ('All Scores'!AJ$2:AJ$1024 = A365) + ('All Scores'!AK$2:AK$1024 = A365)))
"),138)</f>
        <v>138</v>
      </c>
      <c r="G365" s="21">
        <f t="shared" ca="1" si="2"/>
        <v>0.52075471698113207</v>
      </c>
      <c r="H365" s="169"/>
      <c r="I365" s="169"/>
      <c r="J365" s="6"/>
      <c r="K365" s="188"/>
      <c r="L365" s="189"/>
      <c r="M365" s="189"/>
      <c r="N365" s="6"/>
      <c r="O365" s="6"/>
      <c r="P365" s="6"/>
      <c r="Q365" s="169"/>
      <c r="R365" s="6"/>
      <c r="S365" s="6"/>
      <c r="T365" s="169"/>
      <c r="U365" s="6"/>
      <c r="V365" s="169"/>
      <c r="W365" s="169"/>
      <c r="X365" s="169"/>
      <c r="Y365" s="169"/>
      <c r="Z365" s="169"/>
      <c r="AA365" s="169"/>
      <c r="AB365" s="169"/>
      <c r="AC365" s="169"/>
      <c r="AD365" s="169"/>
      <c r="AE365" s="169"/>
      <c r="AF365" s="169"/>
      <c r="AG365" s="169"/>
      <c r="AH365" s="169"/>
      <c r="AI365" s="169"/>
      <c r="AJ365" s="169"/>
      <c r="AK365" s="169"/>
      <c r="AL365" s="169"/>
      <c r="AM365" s="169"/>
      <c r="AN365" s="169"/>
      <c r="AO365" s="169"/>
      <c r="AP365" s="169"/>
      <c r="AQ365" s="169"/>
      <c r="AR365" s="169"/>
    </row>
    <row r="366" spans="1:44" ht="12.5">
      <c r="A366" s="169" t="str">
        <f ca="1">IFERROR(__xludf.DUMMYFUNCTION("""COMPUTED_VALUE"""),"Rudi Karnchanasorn")</f>
        <v>Rudi Karnchanasorn</v>
      </c>
      <c r="B366" s="186">
        <f ca="1">COUNTIF('All Scores'!AJ:AK,A366)</f>
        <v>2</v>
      </c>
      <c r="C366" s="186">
        <f ca="1">IFERROR(__xludf.DUMMYFUNCTION("MIN(FILTER('All Scores'!AI$2:AI$1024, ('All Scores'!AJ$2:AJ$1024 = A366) + ('All Scores'!AK$2:AK$1024 = A366)))"),5)</f>
        <v>5</v>
      </c>
      <c r="D366" s="187">
        <f ca="1">IFERROR(__xludf.DUMMYFUNCTION("AVERAGE(FILTER('All Scores'!AI$2:AI$1024, ('All Scores'!AJ$2:AJ$1024 = A366) + ('All Scores'!AK$2:AK$1024 = A366))
)
"),10.5)</f>
        <v>10.5</v>
      </c>
      <c r="E366" s="6">
        <f ca="1">IFERROR(__xludf.DUMMYFUNCTION("SUM(FILTER('All Scores'!AF$2:AF$1024, ('All Scores'!AJ$2:AJ$1024 = A366) + ('All Scores'!AK$2:AK$1024 = A366)))
"),155)</f>
        <v>155</v>
      </c>
      <c r="F366" s="6">
        <f ca="1">IFERROR(__xludf.DUMMYFUNCTION("SUM(FILTER('All Scores'!AD$2:AD$1024, ('All Scores'!AJ$2:AJ$1024 = A366) + ('All Scores'!AK$2:AK$1024 = A366)))
"),68)</f>
        <v>68</v>
      </c>
      <c r="G366" s="21">
        <f t="shared" ca="1" si="2"/>
        <v>0.43870967741935485</v>
      </c>
      <c r="H366" s="169"/>
      <c r="I366" s="169"/>
      <c r="J366" s="6"/>
      <c r="K366" s="188"/>
      <c r="L366" s="189"/>
      <c r="M366" s="189"/>
      <c r="N366" s="6"/>
      <c r="O366" s="6"/>
      <c r="P366" s="6"/>
      <c r="Q366" s="169"/>
      <c r="R366" s="6"/>
      <c r="S366" s="6"/>
      <c r="T366" s="169"/>
      <c r="U366" s="6"/>
      <c r="V366" s="169"/>
      <c r="W366" s="169"/>
      <c r="X366" s="169"/>
      <c r="Y366" s="169"/>
      <c r="Z366" s="169"/>
      <c r="AA366" s="169"/>
      <c r="AB366" s="169"/>
      <c r="AC366" s="169"/>
      <c r="AD366" s="169"/>
      <c r="AE366" s="169"/>
      <c r="AF366" s="169"/>
      <c r="AG366" s="169"/>
      <c r="AH366" s="169"/>
      <c r="AI366" s="169"/>
      <c r="AJ366" s="169"/>
      <c r="AK366" s="169"/>
      <c r="AL366" s="169"/>
      <c r="AM366" s="169"/>
      <c r="AN366" s="169"/>
      <c r="AO366" s="169"/>
      <c r="AP366" s="169"/>
      <c r="AQ366" s="169"/>
      <c r="AR366" s="169"/>
    </row>
    <row r="367" spans="1:44" ht="12.5">
      <c r="A367" s="169" t="str">
        <f ca="1">IFERROR(__xludf.DUMMYFUNCTION("""COMPUTED_VALUE"""),"Ryan Carpenter")</f>
        <v>Ryan Carpenter</v>
      </c>
      <c r="B367" s="186">
        <f ca="1">COUNTIF('All Scores'!AJ:AK,A367)</f>
        <v>6</v>
      </c>
      <c r="C367" s="186">
        <f ca="1">IFERROR(__xludf.DUMMYFUNCTION("MIN(FILTER('All Scores'!AI$2:AI$1024, ('All Scores'!AJ$2:AJ$1024 = A367) + ('All Scores'!AK$2:AK$1024 = A367)))"),1)</f>
        <v>1</v>
      </c>
      <c r="D367" s="187">
        <f ca="1">IFERROR(__xludf.DUMMYFUNCTION("AVERAGE(FILTER('All Scores'!AI$2:AI$1024, ('All Scores'!AJ$2:AJ$1024 = A367) + ('All Scores'!AK$2:AK$1024 = A367))
)
"),6)</f>
        <v>6</v>
      </c>
      <c r="E367" s="6">
        <f ca="1">IFERROR(__xludf.DUMMYFUNCTION("SUM(FILTER('All Scores'!AF$2:AF$1024, ('All Scores'!AJ$2:AJ$1024 = A367) + ('All Scores'!AK$2:AK$1024 = A367)))
"),568)</f>
        <v>568</v>
      </c>
      <c r="F367" s="6">
        <f ca="1">IFERROR(__xludf.DUMMYFUNCTION("SUM(FILTER('All Scores'!AD$2:AD$1024, ('All Scores'!AJ$2:AJ$1024 = A367) + ('All Scores'!AK$2:AK$1024 = A367)))
"),340)</f>
        <v>340</v>
      </c>
      <c r="G367" s="21">
        <f t="shared" ca="1" si="2"/>
        <v>0.59859154929577463</v>
      </c>
      <c r="H367" s="169"/>
      <c r="I367" s="169"/>
      <c r="J367" s="6"/>
      <c r="K367" s="188"/>
      <c r="L367" s="189"/>
      <c r="M367" s="189"/>
      <c r="N367" s="6"/>
      <c r="O367" s="6"/>
      <c r="P367" s="6"/>
      <c r="Q367" s="169"/>
      <c r="R367" s="6"/>
      <c r="S367" s="6"/>
      <c r="T367" s="169"/>
      <c r="U367" s="6"/>
      <c r="V367" s="169"/>
      <c r="W367" s="169"/>
      <c r="X367" s="169"/>
      <c r="Y367" s="169"/>
      <c r="Z367" s="169"/>
      <c r="AA367" s="169"/>
      <c r="AB367" s="169"/>
      <c r="AC367" s="169"/>
      <c r="AD367" s="169"/>
      <c r="AE367" s="169"/>
      <c r="AF367" s="169"/>
      <c r="AG367" s="169"/>
      <c r="AH367" s="169"/>
      <c r="AI367" s="169"/>
      <c r="AJ367" s="169"/>
      <c r="AK367" s="169"/>
      <c r="AL367" s="169"/>
      <c r="AM367" s="169"/>
      <c r="AN367" s="169"/>
      <c r="AO367" s="169"/>
      <c r="AP367" s="169"/>
      <c r="AQ367" s="169"/>
      <c r="AR367" s="169"/>
    </row>
    <row r="368" spans="1:44" ht="12.5">
      <c r="A368" s="169" t="str">
        <f ca="1">IFERROR(__xludf.DUMMYFUNCTION("""COMPUTED_VALUE"""),"Ryan Kimbrell")</f>
        <v>Ryan Kimbrell</v>
      </c>
      <c r="B368" s="186">
        <f ca="1">COUNTIF('All Scores'!AJ:AK,A368)</f>
        <v>2</v>
      </c>
      <c r="C368" s="186">
        <f ca="1">IFERROR(__xludf.DUMMYFUNCTION("MIN(FILTER('All Scores'!AI$2:AI$1024, ('All Scores'!AJ$2:AJ$1024 = A368) + ('All Scores'!AK$2:AK$1024 = A368)))"),6)</f>
        <v>6</v>
      </c>
      <c r="D368" s="187">
        <f ca="1">IFERROR(__xludf.DUMMYFUNCTION("AVERAGE(FILTER('All Scores'!AI$2:AI$1024, ('All Scores'!AJ$2:AJ$1024 = A368) + ('All Scores'!AK$2:AK$1024 = A368))
)
"),10.5)</f>
        <v>10.5</v>
      </c>
      <c r="E368" s="6">
        <f ca="1">IFERROR(__xludf.DUMMYFUNCTION("SUM(FILTER('All Scores'!AF$2:AF$1024, ('All Scores'!AJ$2:AJ$1024 = A368) + ('All Scores'!AK$2:AK$1024 = A368)))
"),120)</f>
        <v>120</v>
      </c>
      <c r="F368" s="6">
        <f ca="1">IFERROR(__xludf.DUMMYFUNCTION("SUM(FILTER('All Scores'!AD$2:AD$1024, ('All Scores'!AJ$2:AJ$1024 = A368) + ('All Scores'!AK$2:AK$1024 = A368)))
"),54)</f>
        <v>54</v>
      </c>
      <c r="G368" s="21">
        <f t="shared" ca="1" si="2"/>
        <v>0.45</v>
      </c>
      <c r="H368" s="169"/>
      <c r="I368" s="169"/>
      <c r="J368" s="6"/>
      <c r="K368" s="188"/>
      <c r="L368" s="189"/>
      <c r="M368" s="189"/>
      <c r="N368" s="6"/>
      <c r="O368" s="6"/>
      <c r="P368" s="6"/>
      <c r="Q368" s="169"/>
      <c r="R368" s="6"/>
      <c r="S368" s="6"/>
      <c r="T368" s="169"/>
      <c r="U368" s="6"/>
      <c r="V368" s="169"/>
      <c r="W368" s="169"/>
      <c r="X368" s="169"/>
      <c r="Y368" s="169"/>
      <c r="Z368" s="169"/>
      <c r="AA368" s="169"/>
      <c r="AB368" s="169"/>
      <c r="AC368" s="169"/>
      <c r="AD368" s="169"/>
      <c r="AE368" s="169"/>
      <c r="AF368" s="169"/>
      <c r="AG368" s="169"/>
      <c r="AH368" s="169"/>
      <c r="AI368" s="169"/>
      <c r="AJ368" s="169"/>
      <c r="AK368" s="169"/>
      <c r="AL368" s="169"/>
      <c r="AM368" s="169"/>
      <c r="AN368" s="169"/>
      <c r="AO368" s="169"/>
      <c r="AP368" s="169"/>
      <c r="AQ368" s="169"/>
      <c r="AR368" s="169"/>
    </row>
    <row r="369" spans="1:44" ht="12.5">
      <c r="A369" s="169" t="str">
        <f ca="1">IFERROR(__xludf.DUMMYFUNCTION("""COMPUTED_VALUE"""),"Ryan Vereyken")</f>
        <v>Ryan Vereyken</v>
      </c>
      <c r="B369" s="186">
        <f ca="1">COUNTIF('All Scores'!AJ:AK,A369)</f>
        <v>1</v>
      </c>
      <c r="C369" s="186">
        <f ca="1">IFERROR(__xludf.DUMMYFUNCTION("MIN(FILTER('All Scores'!AI$2:AI$1024, ('All Scores'!AJ$2:AJ$1024 = A369) + ('All Scores'!AK$2:AK$1024 = A369)))"),16)</f>
        <v>16</v>
      </c>
      <c r="D369" s="187">
        <f ca="1">IFERROR(__xludf.DUMMYFUNCTION("AVERAGE(FILTER('All Scores'!AI$2:AI$1024, ('All Scores'!AJ$2:AJ$1024 = A369) + ('All Scores'!AK$2:AK$1024 = A369))
)
"),16)</f>
        <v>16</v>
      </c>
      <c r="E369" s="6">
        <f ca="1">IFERROR(__xludf.DUMMYFUNCTION("SUM(FILTER('All Scores'!AF$2:AF$1024, ('All Scores'!AJ$2:AJ$1024 = A369) + ('All Scores'!AK$2:AK$1024 = A369)))
"),39)</f>
        <v>39</v>
      </c>
      <c r="F369" s="6">
        <f ca="1">IFERROR(__xludf.DUMMYFUNCTION("SUM(FILTER('All Scores'!AD$2:AD$1024, ('All Scores'!AJ$2:AJ$1024 = A369) + ('All Scores'!AK$2:AK$1024 = A369)))
"),6)</f>
        <v>6</v>
      </c>
      <c r="G369" s="21">
        <f t="shared" ca="1" si="2"/>
        <v>0.15384615384615385</v>
      </c>
      <c r="H369" s="169"/>
      <c r="I369" s="169"/>
      <c r="J369" s="6"/>
      <c r="K369" s="188"/>
      <c r="L369" s="189"/>
      <c r="M369" s="189"/>
      <c r="N369" s="6"/>
      <c r="O369" s="6"/>
      <c r="P369" s="6"/>
      <c r="Q369" s="169"/>
      <c r="R369" s="6"/>
      <c r="S369" s="6"/>
      <c r="T369" s="169"/>
      <c r="U369" s="6"/>
      <c r="V369" s="169"/>
      <c r="W369" s="169"/>
      <c r="X369" s="169"/>
      <c r="Y369" s="169"/>
      <c r="Z369" s="169"/>
      <c r="AA369" s="169"/>
      <c r="AB369" s="169"/>
      <c r="AC369" s="169"/>
      <c r="AD369" s="169"/>
      <c r="AE369" s="169"/>
      <c r="AF369" s="169"/>
      <c r="AG369" s="169"/>
      <c r="AH369" s="169"/>
      <c r="AI369" s="169"/>
      <c r="AJ369" s="169"/>
      <c r="AK369" s="169"/>
      <c r="AL369" s="169"/>
      <c r="AM369" s="169"/>
      <c r="AN369" s="169"/>
      <c r="AO369" s="169"/>
      <c r="AP369" s="169"/>
      <c r="AQ369" s="169"/>
      <c r="AR369" s="169"/>
    </row>
    <row r="370" spans="1:44" ht="12.5">
      <c r="A370" s="169" t="str">
        <f ca="1">IFERROR(__xludf.DUMMYFUNCTION("""COMPUTED_VALUE"""),"Ryann Redmond")</f>
        <v>Ryann Redmond</v>
      </c>
      <c r="B370" s="186">
        <f ca="1">COUNTIF('All Scores'!AJ:AK,A370)</f>
        <v>1</v>
      </c>
      <c r="C370" s="186">
        <f ca="1">IFERROR(__xludf.DUMMYFUNCTION("MIN(FILTER('All Scores'!AI$2:AI$1024, ('All Scores'!AJ$2:AJ$1024 = A370) + ('All Scores'!AK$2:AK$1024 = A370)))"),11)</f>
        <v>11</v>
      </c>
      <c r="D370" s="187">
        <f ca="1">IFERROR(__xludf.DUMMYFUNCTION("AVERAGE(FILTER('All Scores'!AI$2:AI$1024, ('All Scores'!AJ$2:AJ$1024 = A370) + ('All Scores'!AK$2:AK$1024 = A370))
)
"),11)</f>
        <v>11</v>
      </c>
      <c r="E370" s="6">
        <f ca="1">IFERROR(__xludf.DUMMYFUNCTION("SUM(FILTER('All Scores'!AF$2:AF$1024, ('All Scores'!AJ$2:AJ$1024 = A370) + ('All Scores'!AK$2:AK$1024 = A370)))
"),55)</f>
        <v>55</v>
      </c>
      <c r="F370" s="6">
        <f ca="1">IFERROR(__xludf.DUMMYFUNCTION("SUM(FILTER('All Scores'!AD$2:AD$1024, ('All Scores'!AJ$2:AJ$1024 = A370) + ('All Scores'!AK$2:AK$1024 = A370)))
"),23)</f>
        <v>23</v>
      </c>
      <c r="G370" s="21">
        <f t="shared" ca="1" si="2"/>
        <v>0.41818181818181815</v>
      </c>
      <c r="H370" s="169"/>
      <c r="I370" s="169"/>
      <c r="J370" s="6"/>
      <c r="K370" s="188"/>
      <c r="L370" s="189"/>
      <c r="M370" s="189"/>
      <c r="N370" s="6"/>
      <c r="O370" s="6"/>
      <c r="P370" s="6"/>
      <c r="Q370" s="169"/>
      <c r="R370" s="6"/>
      <c r="S370" s="6"/>
      <c r="T370" s="169"/>
      <c r="U370" s="6"/>
      <c r="V370" s="169"/>
      <c r="W370" s="169"/>
      <c r="X370" s="169"/>
      <c r="Y370" s="169"/>
      <c r="Z370" s="169"/>
      <c r="AA370" s="169"/>
      <c r="AB370" s="169"/>
      <c r="AC370" s="169"/>
      <c r="AD370" s="169"/>
      <c r="AE370" s="169"/>
      <c r="AF370" s="169"/>
      <c r="AG370" s="169"/>
      <c r="AH370" s="169"/>
      <c r="AI370" s="169"/>
      <c r="AJ370" s="169"/>
      <c r="AK370" s="169"/>
      <c r="AL370" s="169"/>
      <c r="AM370" s="169"/>
      <c r="AN370" s="169"/>
      <c r="AO370" s="169"/>
      <c r="AP370" s="169"/>
      <c r="AQ370" s="169"/>
      <c r="AR370" s="169"/>
    </row>
    <row r="371" spans="1:44" ht="12.5">
      <c r="A371" s="169" t="str">
        <f ca="1">IFERROR(__xludf.DUMMYFUNCTION("""COMPUTED_VALUE"""),"Sabrina Caldwell")</f>
        <v>Sabrina Caldwell</v>
      </c>
      <c r="B371" s="186">
        <f ca="1">COUNTIF('All Scores'!AJ:AK,A371)</f>
        <v>1</v>
      </c>
      <c r="C371" s="186">
        <f ca="1">IFERROR(__xludf.DUMMYFUNCTION("MIN(FILTER('All Scores'!AI$2:AI$1024, ('All Scores'!AJ$2:AJ$1024 = A371) + ('All Scores'!AK$2:AK$1024 = A371)))"),23)</f>
        <v>23</v>
      </c>
      <c r="D371" s="187">
        <f ca="1">IFERROR(__xludf.DUMMYFUNCTION("AVERAGE(FILTER('All Scores'!AI$2:AI$1024, ('All Scores'!AJ$2:AJ$1024 = A371) + ('All Scores'!AK$2:AK$1024 = A371))
)
"),23)</f>
        <v>23</v>
      </c>
      <c r="E371" s="6">
        <f ca="1">IFERROR(__xludf.DUMMYFUNCTION("SUM(FILTER('All Scores'!AF$2:AF$1024, ('All Scores'!AJ$2:AJ$1024 = A371) + ('All Scores'!AK$2:AK$1024 = A371)))
"),54)</f>
        <v>54</v>
      </c>
      <c r="F371" s="6">
        <f ca="1">IFERROR(__xludf.DUMMYFUNCTION("SUM(FILTER('All Scores'!AD$2:AD$1024, ('All Scores'!AJ$2:AJ$1024 = A371) + ('All Scores'!AK$2:AK$1024 = A371)))
"),22)</f>
        <v>22</v>
      </c>
      <c r="G371" s="21">
        <f t="shared" ca="1" si="2"/>
        <v>0.40740740740740738</v>
      </c>
      <c r="H371" s="169"/>
      <c r="I371" s="169"/>
      <c r="J371" s="6"/>
      <c r="K371" s="188"/>
      <c r="L371" s="189"/>
      <c r="M371" s="189"/>
      <c r="N371" s="6"/>
      <c r="O371" s="6"/>
      <c r="P371" s="6"/>
      <c r="Q371" s="169"/>
      <c r="R371" s="6"/>
      <c r="S371" s="6"/>
      <c r="T371" s="169"/>
      <c r="U371" s="6"/>
      <c r="V371" s="169"/>
      <c r="W371" s="169"/>
      <c r="X371" s="169"/>
      <c r="Y371" s="169"/>
      <c r="Z371" s="169"/>
      <c r="AA371" s="169"/>
      <c r="AB371" s="169"/>
      <c r="AC371" s="169"/>
      <c r="AD371" s="169"/>
      <c r="AE371" s="169"/>
      <c r="AF371" s="169"/>
      <c r="AG371" s="169"/>
      <c r="AH371" s="169"/>
      <c r="AI371" s="169"/>
      <c r="AJ371" s="169"/>
      <c r="AK371" s="169"/>
      <c r="AL371" s="169"/>
      <c r="AM371" s="169"/>
      <c r="AN371" s="169"/>
      <c r="AO371" s="169"/>
      <c r="AP371" s="169"/>
      <c r="AQ371" s="169"/>
      <c r="AR371" s="169"/>
    </row>
    <row r="372" spans="1:44" ht="12.5">
      <c r="A372" s="169" t="str">
        <f ca="1">IFERROR(__xludf.DUMMYFUNCTION("""COMPUTED_VALUE"""),"Sam Gay")</f>
        <v>Sam Gay</v>
      </c>
      <c r="B372" s="186">
        <f ca="1">COUNTIF('All Scores'!AJ:AK,A372)</f>
        <v>1</v>
      </c>
      <c r="C372" s="186">
        <f ca="1">IFERROR(__xludf.DUMMYFUNCTION("MIN(FILTER('All Scores'!AI$2:AI$1024, ('All Scores'!AJ$2:AJ$1024 = A372) + ('All Scores'!AK$2:AK$1024 = A372)))"),14)</f>
        <v>14</v>
      </c>
      <c r="D372" s="187">
        <f ca="1">IFERROR(__xludf.DUMMYFUNCTION("AVERAGE(FILTER('All Scores'!AI$2:AI$1024, ('All Scores'!AJ$2:AJ$1024 = A372) + ('All Scores'!AK$2:AK$1024 = A372))
)
"),14)</f>
        <v>14</v>
      </c>
      <c r="E372" s="6">
        <f ca="1">IFERROR(__xludf.DUMMYFUNCTION("SUM(FILTER('All Scores'!AF$2:AF$1024, ('All Scores'!AJ$2:AJ$1024 = A372) + ('All Scores'!AK$2:AK$1024 = A372)))
"),68)</f>
        <v>68</v>
      </c>
      <c r="F372" s="6">
        <f ca="1">IFERROR(__xludf.DUMMYFUNCTION("SUM(FILTER('All Scores'!AD$2:AD$1024, ('All Scores'!AJ$2:AJ$1024 = A372) + ('All Scores'!AK$2:AK$1024 = A372)))
"),24)</f>
        <v>24</v>
      </c>
      <c r="G372" s="21">
        <f t="shared" ca="1" si="2"/>
        <v>0.35294117647058826</v>
      </c>
      <c r="H372" s="169"/>
      <c r="I372" s="169"/>
      <c r="J372" s="6"/>
      <c r="K372" s="188"/>
      <c r="L372" s="189"/>
      <c r="M372" s="189"/>
      <c r="N372" s="6"/>
      <c r="O372" s="6"/>
      <c r="P372" s="6"/>
      <c r="Q372" s="169"/>
      <c r="R372" s="6"/>
      <c r="S372" s="6"/>
      <c r="T372" s="169"/>
      <c r="U372" s="6"/>
      <c r="V372" s="169"/>
      <c r="W372" s="169"/>
      <c r="X372" s="169"/>
      <c r="Y372" s="169"/>
      <c r="Z372" s="169"/>
      <c r="AA372" s="169"/>
      <c r="AB372" s="169"/>
      <c r="AC372" s="169"/>
      <c r="AD372" s="169"/>
      <c r="AE372" s="169"/>
      <c r="AF372" s="169"/>
      <c r="AG372" s="169"/>
      <c r="AH372" s="169"/>
      <c r="AI372" s="169"/>
      <c r="AJ372" s="169"/>
      <c r="AK372" s="169"/>
      <c r="AL372" s="169"/>
      <c r="AM372" s="169"/>
      <c r="AN372" s="169"/>
      <c r="AO372" s="169"/>
      <c r="AP372" s="169"/>
      <c r="AQ372" s="169"/>
      <c r="AR372" s="169"/>
    </row>
    <row r="373" spans="1:44" ht="12.5">
      <c r="A373" s="169" t="str">
        <f ca="1">IFERROR(__xludf.DUMMYFUNCTION("""COMPUTED_VALUE"""),"Sam Madison")</f>
        <v>Sam Madison</v>
      </c>
      <c r="B373" s="186">
        <f ca="1">COUNTIF('All Scores'!AJ:AK,A373)</f>
        <v>2</v>
      </c>
      <c r="C373" s="186">
        <f ca="1">IFERROR(__xludf.DUMMYFUNCTION("MIN(FILTER('All Scores'!AI$2:AI$1024, ('All Scores'!AJ$2:AJ$1024 = A373) + ('All Scores'!AK$2:AK$1024 = A373)))"),16)</f>
        <v>16</v>
      </c>
      <c r="D373" s="187">
        <f ca="1">IFERROR(__xludf.DUMMYFUNCTION("AVERAGE(FILTER('All Scores'!AI$2:AI$1024, ('All Scores'!AJ$2:AJ$1024 = A373) + ('All Scores'!AK$2:AK$1024 = A373))
)
"),24)</f>
        <v>24</v>
      </c>
      <c r="E373" s="6">
        <f ca="1">IFERROR(__xludf.DUMMYFUNCTION("SUM(FILTER('All Scores'!AF$2:AF$1024, ('All Scores'!AJ$2:AJ$1024 = A373) + ('All Scores'!AK$2:AK$1024 = A373)))
"),96)</f>
        <v>96</v>
      </c>
      <c r="F373" s="6">
        <f ca="1">IFERROR(__xludf.DUMMYFUNCTION("SUM(FILTER('All Scores'!AD$2:AD$1024, ('All Scores'!AJ$2:AJ$1024 = A373) + ('All Scores'!AK$2:AK$1024 = A373)))
"),19)</f>
        <v>19</v>
      </c>
      <c r="G373" s="21">
        <f t="shared" ca="1" si="2"/>
        <v>0.19791666666666666</v>
      </c>
      <c r="H373" s="169"/>
      <c r="I373" s="169"/>
      <c r="J373" s="6"/>
      <c r="K373" s="188"/>
      <c r="L373" s="189"/>
      <c r="M373" s="189"/>
      <c r="N373" s="6"/>
      <c r="O373" s="6"/>
      <c r="P373" s="6"/>
      <c r="Q373" s="169"/>
      <c r="R373" s="6"/>
      <c r="S373" s="6"/>
      <c r="T373" s="169"/>
      <c r="U373" s="6"/>
      <c r="V373" s="169"/>
      <c r="W373" s="169"/>
      <c r="X373" s="169"/>
      <c r="Y373" s="169"/>
      <c r="Z373" s="169"/>
      <c r="AA373" s="169"/>
      <c r="AB373" s="169"/>
      <c r="AC373" s="169"/>
      <c r="AD373" s="169"/>
      <c r="AE373" s="169"/>
      <c r="AF373" s="169"/>
      <c r="AG373" s="169"/>
      <c r="AH373" s="169"/>
      <c r="AI373" s="169"/>
      <c r="AJ373" s="169"/>
      <c r="AK373" s="169"/>
      <c r="AL373" s="169"/>
      <c r="AM373" s="169"/>
      <c r="AN373" s="169"/>
      <c r="AO373" s="169"/>
      <c r="AP373" s="169"/>
      <c r="AQ373" s="169"/>
      <c r="AR373" s="169"/>
    </row>
    <row r="374" spans="1:44" ht="12.5">
      <c r="A374" s="169" t="str">
        <f ca="1">IFERROR(__xludf.DUMMYFUNCTION("""COMPUTED_VALUE"""),"Samantha Aleman")</f>
        <v>Samantha Aleman</v>
      </c>
      <c r="B374" s="186">
        <f ca="1">COUNTIF('All Scores'!AJ:AK,A374)</f>
        <v>1</v>
      </c>
      <c r="C374" s="186">
        <f ca="1">IFERROR(__xludf.DUMMYFUNCTION("MIN(FILTER('All Scores'!AI$2:AI$1024, ('All Scores'!AJ$2:AJ$1024 = A374) + ('All Scores'!AK$2:AK$1024 = A374)))"),3)</f>
        <v>3</v>
      </c>
      <c r="D374" s="187">
        <f ca="1">IFERROR(__xludf.DUMMYFUNCTION("AVERAGE(FILTER('All Scores'!AI$2:AI$1024, ('All Scores'!AJ$2:AJ$1024 = A374) + ('All Scores'!AK$2:AK$1024 = A374))
)
"),3)</f>
        <v>3</v>
      </c>
      <c r="E374" s="6">
        <f ca="1">IFERROR(__xludf.DUMMYFUNCTION("SUM(FILTER('All Scores'!AF$2:AF$1024, ('All Scores'!AJ$2:AJ$1024 = A374) + ('All Scores'!AK$2:AK$1024 = A374)))
"),102)</f>
        <v>102</v>
      </c>
      <c r="F374" s="6">
        <f ca="1">IFERROR(__xludf.DUMMYFUNCTION("SUM(FILTER('All Scores'!AD$2:AD$1024, ('All Scores'!AJ$2:AJ$1024 = A374) + ('All Scores'!AK$2:AK$1024 = A374)))
"),57)</f>
        <v>57</v>
      </c>
      <c r="G374" s="21">
        <f t="shared" ca="1" si="2"/>
        <v>0.55882352941176472</v>
      </c>
      <c r="H374" s="169"/>
      <c r="I374" s="169"/>
      <c r="J374" s="6"/>
      <c r="K374" s="188"/>
      <c r="L374" s="189"/>
      <c r="M374" s="189"/>
      <c r="N374" s="6"/>
      <c r="O374" s="6"/>
      <c r="P374" s="6"/>
      <c r="Q374" s="169"/>
      <c r="R374" s="6"/>
      <c r="S374" s="6"/>
      <c r="T374" s="169"/>
      <c r="U374" s="6"/>
      <c r="V374" s="169"/>
      <c r="W374" s="169"/>
      <c r="X374" s="169"/>
      <c r="Y374" s="169"/>
      <c r="Z374" s="169"/>
      <c r="AA374" s="169"/>
      <c r="AB374" s="169"/>
      <c r="AC374" s="169"/>
      <c r="AD374" s="169"/>
      <c r="AE374" s="169"/>
      <c r="AF374" s="169"/>
      <c r="AG374" s="169"/>
      <c r="AH374" s="169"/>
      <c r="AI374" s="169"/>
      <c r="AJ374" s="169"/>
      <c r="AK374" s="169"/>
      <c r="AL374" s="169"/>
      <c r="AM374" s="169"/>
      <c r="AN374" s="169"/>
      <c r="AO374" s="169"/>
      <c r="AP374" s="169"/>
      <c r="AQ374" s="169"/>
      <c r="AR374" s="169"/>
    </row>
    <row r="375" spans="1:44" ht="12.5">
      <c r="A375" s="169" t="str">
        <f ca="1">IFERROR(__xludf.DUMMYFUNCTION("""COMPUTED_VALUE"""),"Samantha Green")</f>
        <v>Samantha Green</v>
      </c>
      <c r="B375" s="186">
        <f ca="1">COUNTIF('All Scores'!AJ:AK,A375)</f>
        <v>6</v>
      </c>
      <c r="C375" s="186">
        <f ca="1">IFERROR(__xludf.DUMMYFUNCTION("MIN(FILTER('All Scores'!AI$2:AI$1024, ('All Scores'!AJ$2:AJ$1024 = A375) + ('All Scores'!AK$2:AK$1024 = A375)))"),4)</f>
        <v>4</v>
      </c>
      <c r="D375" s="187">
        <f ca="1">IFERROR(__xludf.DUMMYFUNCTION("AVERAGE(FILTER('All Scores'!AI$2:AI$1024, ('All Scores'!AJ$2:AJ$1024 = A375) + ('All Scores'!AK$2:AK$1024 = A375))
)
"),9.33333333333333)</f>
        <v>9.3333333333333304</v>
      </c>
      <c r="E375" s="6">
        <f ca="1">IFERROR(__xludf.DUMMYFUNCTION("SUM(FILTER('All Scores'!AF$2:AF$1024, ('All Scores'!AJ$2:AJ$1024 = A375) + ('All Scores'!AK$2:AK$1024 = A375)))
"),449)</f>
        <v>449</v>
      </c>
      <c r="F375" s="6">
        <f ca="1">IFERROR(__xludf.DUMMYFUNCTION("SUM(FILTER('All Scores'!AD$2:AD$1024, ('All Scores'!AJ$2:AJ$1024 = A375) + ('All Scores'!AK$2:AK$1024 = A375)))
"),218)</f>
        <v>218</v>
      </c>
      <c r="G375" s="21">
        <f t="shared" ca="1" si="2"/>
        <v>0.48552338530066813</v>
      </c>
      <c r="H375" s="169"/>
      <c r="I375" s="169"/>
      <c r="J375" s="6"/>
      <c r="K375" s="188"/>
      <c r="L375" s="189"/>
      <c r="M375" s="189"/>
      <c r="N375" s="6"/>
      <c r="O375" s="6"/>
      <c r="P375" s="6"/>
      <c r="Q375" s="169"/>
      <c r="R375" s="6"/>
      <c r="S375" s="6"/>
      <c r="T375" s="169"/>
      <c r="U375" s="6"/>
      <c r="V375" s="169"/>
      <c r="W375" s="169"/>
      <c r="X375" s="169"/>
      <c r="Y375" s="169"/>
      <c r="Z375" s="169"/>
      <c r="AA375" s="169"/>
      <c r="AB375" s="169"/>
      <c r="AC375" s="169"/>
      <c r="AD375" s="169"/>
      <c r="AE375" s="169"/>
      <c r="AF375" s="169"/>
      <c r="AG375" s="169"/>
      <c r="AH375" s="169"/>
      <c r="AI375" s="169"/>
      <c r="AJ375" s="169"/>
      <c r="AK375" s="169"/>
      <c r="AL375" s="169"/>
      <c r="AM375" s="169"/>
      <c r="AN375" s="169"/>
      <c r="AO375" s="169"/>
      <c r="AP375" s="169"/>
      <c r="AQ375" s="169"/>
      <c r="AR375" s="169"/>
    </row>
    <row r="376" spans="1:44" ht="12.5">
      <c r="A376" s="169" t="str">
        <f ca="1">IFERROR(__xludf.DUMMYFUNCTION("""COMPUTED_VALUE"""),"Sara Maguire")</f>
        <v>Sara Maguire</v>
      </c>
      <c r="B376" s="186">
        <f ca="1">COUNTIF('All Scores'!AJ:AK,A376)</f>
        <v>2</v>
      </c>
      <c r="C376" s="186">
        <f ca="1">IFERROR(__xludf.DUMMYFUNCTION("MIN(FILTER('All Scores'!AI$2:AI$1024, ('All Scores'!AJ$2:AJ$1024 = A376) + ('All Scores'!AK$2:AK$1024 = A376)))"),4)</f>
        <v>4</v>
      </c>
      <c r="D376" s="187">
        <f ca="1">IFERROR(__xludf.DUMMYFUNCTION("AVERAGE(FILTER('All Scores'!AI$2:AI$1024, ('All Scores'!AJ$2:AJ$1024 = A376) + ('All Scores'!AK$2:AK$1024 = A376))
)
"),9)</f>
        <v>9</v>
      </c>
      <c r="E376" s="6">
        <f ca="1">IFERROR(__xludf.DUMMYFUNCTION("SUM(FILTER('All Scores'!AF$2:AF$1024, ('All Scores'!AJ$2:AJ$1024 = A376) + ('All Scores'!AK$2:AK$1024 = A376)))
"),169)</f>
        <v>169</v>
      </c>
      <c r="F376" s="6">
        <f ca="1">IFERROR(__xludf.DUMMYFUNCTION("SUM(FILTER('All Scores'!AD$2:AD$1024, ('All Scores'!AJ$2:AJ$1024 = A376) + ('All Scores'!AK$2:AK$1024 = A376)))
"),82)</f>
        <v>82</v>
      </c>
      <c r="G376" s="21">
        <f t="shared" ca="1" si="2"/>
        <v>0.48520710059171596</v>
      </c>
      <c r="H376" s="169"/>
      <c r="I376" s="169"/>
      <c r="J376" s="6"/>
      <c r="K376" s="188"/>
      <c r="L376" s="189"/>
      <c r="M376" s="189"/>
      <c r="N376" s="6"/>
      <c r="O376" s="6"/>
      <c r="P376" s="6"/>
      <c r="Q376" s="169"/>
      <c r="R376" s="6"/>
      <c r="S376" s="6"/>
      <c r="T376" s="169"/>
      <c r="U376" s="6"/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  <c r="AI376" s="169"/>
      <c r="AJ376" s="169"/>
      <c r="AK376" s="169"/>
      <c r="AL376" s="169"/>
      <c r="AM376" s="169"/>
      <c r="AN376" s="169"/>
      <c r="AO376" s="169"/>
      <c r="AP376" s="169"/>
      <c r="AQ376" s="169"/>
      <c r="AR376" s="169"/>
    </row>
    <row r="377" spans="1:44" ht="12.5">
      <c r="A377" s="169" t="str">
        <f ca="1">IFERROR(__xludf.DUMMYFUNCTION("""COMPUTED_VALUE"""),"Sarah Page")</f>
        <v>Sarah Page</v>
      </c>
      <c r="B377" s="186">
        <f ca="1">COUNTIF('All Scores'!AJ:AK,A377)</f>
        <v>2</v>
      </c>
      <c r="C377" s="186">
        <f ca="1">IFERROR(__xludf.DUMMYFUNCTION("MIN(FILTER('All Scores'!AI$2:AI$1024, ('All Scores'!AJ$2:AJ$1024 = A377) + ('All Scores'!AK$2:AK$1024 = A377)))"),7)</f>
        <v>7</v>
      </c>
      <c r="D377" s="187">
        <f ca="1">IFERROR(__xludf.DUMMYFUNCTION("AVERAGE(FILTER('All Scores'!AI$2:AI$1024, ('All Scores'!AJ$2:AJ$1024 = A377) + ('All Scores'!AK$2:AK$1024 = A377))
)
"),15.5)</f>
        <v>15.5</v>
      </c>
      <c r="E377" s="6">
        <f ca="1">IFERROR(__xludf.DUMMYFUNCTION("SUM(FILTER('All Scores'!AF$2:AF$1024, ('All Scores'!AJ$2:AJ$1024 = A377) + ('All Scores'!AK$2:AK$1024 = A377)))
"),137)</f>
        <v>137</v>
      </c>
      <c r="F377" s="6">
        <f ca="1">IFERROR(__xludf.DUMMYFUNCTION("SUM(FILTER('All Scores'!AD$2:AD$1024, ('All Scores'!AJ$2:AJ$1024 = A377) + ('All Scores'!AK$2:AK$1024 = A377)))
"),72)</f>
        <v>72</v>
      </c>
      <c r="G377" s="21">
        <f t="shared" ca="1" si="2"/>
        <v>0.52554744525547448</v>
      </c>
      <c r="H377" s="169"/>
      <c r="I377" s="169"/>
      <c r="J377" s="6"/>
      <c r="K377" s="188"/>
      <c r="L377" s="189"/>
      <c r="M377" s="189"/>
      <c r="N377" s="6"/>
      <c r="O377" s="6"/>
      <c r="P377" s="6"/>
      <c r="Q377" s="169"/>
      <c r="R377" s="6"/>
      <c r="S377" s="6"/>
      <c r="T377" s="169"/>
      <c r="U377" s="6"/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</row>
    <row r="378" spans="1:44" ht="12.5">
      <c r="A378" s="169" t="str">
        <f ca="1">IFERROR(__xludf.DUMMYFUNCTION("""COMPUTED_VALUE"""),"Sarah Ross")</f>
        <v>Sarah Ross</v>
      </c>
      <c r="B378" s="186">
        <f ca="1">COUNTIF('All Scores'!AJ:AK,A378)</f>
        <v>1</v>
      </c>
      <c r="C378" s="186">
        <f ca="1">IFERROR(__xludf.DUMMYFUNCTION("MIN(FILTER('All Scores'!AI$2:AI$1024, ('All Scores'!AJ$2:AJ$1024 = A378) + ('All Scores'!AK$2:AK$1024 = A378)))"),5)</f>
        <v>5</v>
      </c>
      <c r="D378" s="187">
        <f ca="1">IFERROR(__xludf.DUMMYFUNCTION("AVERAGE(FILTER('All Scores'!AI$2:AI$1024, ('All Scores'!AJ$2:AJ$1024 = A378) + ('All Scores'!AK$2:AK$1024 = A378))
)
"),5)</f>
        <v>5</v>
      </c>
      <c r="E378" s="6">
        <f ca="1">IFERROR(__xludf.DUMMYFUNCTION("SUM(FILTER('All Scores'!AF$2:AF$1024, ('All Scores'!AJ$2:AJ$1024 = A378) + ('All Scores'!AK$2:AK$1024 = A378)))
"),110)</f>
        <v>110</v>
      </c>
      <c r="F378" s="6">
        <f ca="1">IFERROR(__xludf.DUMMYFUNCTION("SUM(FILTER('All Scores'!AD$2:AD$1024, ('All Scores'!AJ$2:AJ$1024 = A378) + ('All Scores'!AK$2:AK$1024 = A378)))
"),52)</f>
        <v>52</v>
      </c>
      <c r="G378" s="21">
        <f t="shared" ca="1" si="2"/>
        <v>0.47272727272727272</v>
      </c>
      <c r="H378" s="169"/>
      <c r="I378" s="169"/>
      <c r="J378" s="6"/>
      <c r="K378" s="188"/>
      <c r="L378" s="189"/>
      <c r="M378" s="189"/>
      <c r="N378" s="6"/>
      <c r="O378" s="6"/>
      <c r="P378" s="6"/>
      <c r="Q378" s="169"/>
      <c r="R378" s="6"/>
      <c r="S378" s="6"/>
      <c r="T378" s="169"/>
      <c r="U378" s="6"/>
      <c r="V378" s="169"/>
      <c r="W378" s="169"/>
      <c r="X378" s="169"/>
      <c r="Y378" s="169"/>
      <c r="Z378" s="169"/>
      <c r="AA378" s="169"/>
      <c r="AB378" s="169"/>
      <c r="AC378" s="169"/>
      <c r="AD378" s="169"/>
      <c r="AE378" s="169"/>
      <c r="AF378" s="169"/>
      <c r="AG378" s="169"/>
      <c r="AH378" s="169"/>
      <c r="AI378" s="169"/>
      <c r="AJ378" s="169"/>
      <c r="AK378" s="169"/>
      <c r="AL378" s="169"/>
      <c r="AM378" s="169"/>
      <c r="AN378" s="169"/>
      <c r="AO378" s="169"/>
      <c r="AP378" s="169"/>
      <c r="AQ378" s="169"/>
      <c r="AR378" s="169"/>
    </row>
    <row r="379" spans="1:44" ht="12.5">
      <c r="A379" s="169" t="str">
        <f ca="1">IFERROR(__xludf.DUMMYFUNCTION("""COMPUTED_VALUE"""),"Sarah Taber")</f>
        <v>Sarah Taber</v>
      </c>
      <c r="B379" s="186">
        <f ca="1">COUNTIF('All Scores'!AJ:AK,A379)</f>
        <v>1</v>
      </c>
      <c r="C379" s="186">
        <f ca="1">IFERROR(__xludf.DUMMYFUNCTION("MIN(FILTER('All Scores'!AI$2:AI$1024, ('All Scores'!AJ$2:AJ$1024 = A379) + ('All Scores'!AK$2:AK$1024 = A379)))"),8)</f>
        <v>8</v>
      </c>
      <c r="D379" s="187">
        <f ca="1">IFERROR(__xludf.DUMMYFUNCTION("AVERAGE(FILTER('All Scores'!AI$2:AI$1024, ('All Scores'!AJ$2:AJ$1024 = A379) + ('All Scores'!AK$2:AK$1024 = A379))
)
"),8)</f>
        <v>8</v>
      </c>
      <c r="E379" s="6">
        <f ca="1">IFERROR(__xludf.DUMMYFUNCTION("SUM(FILTER('All Scores'!AF$2:AF$1024, ('All Scores'!AJ$2:AJ$1024 = A379) + ('All Scores'!AK$2:AK$1024 = A379)))
"),87)</f>
        <v>87</v>
      </c>
      <c r="F379" s="6">
        <f ca="1">IFERROR(__xludf.DUMMYFUNCTION("SUM(FILTER('All Scores'!AD$2:AD$1024, ('All Scores'!AJ$2:AJ$1024 = A379) + ('All Scores'!AK$2:AK$1024 = A379)))
"),42)</f>
        <v>42</v>
      </c>
      <c r="G379" s="21">
        <f t="shared" ca="1" si="2"/>
        <v>0.48275862068965519</v>
      </c>
      <c r="H379" s="169"/>
      <c r="I379" s="169"/>
      <c r="J379" s="6"/>
      <c r="K379" s="188"/>
      <c r="L379" s="189"/>
      <c r="M379" s="189"/>
      <c r="N379" s="6"/>
      <c r="O379" s="6"/>
      <c r="P379" s="6"/>
      <c r="Q379" s="169"/>
      <c r="R379" s="6"/>
      <c r="S379" s="6"/>
      <c r="T379" s="169"/>
      <c r="U379" s="6"/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  <c r="AI379" s="169"/>
      <c r="AJ379" s="169"/>
      <c r="AK379" s="169"/>
      <c r="AL379" s="169"/>
      <c r="AM379" s="169"/>
      <c r="AN379" s="169"/>
      <c r="AO379" s="169"/>
      <c r="AP379" s="169"/>
      <c r="AQ379" s="169"/>
      <c r="AR379" s="169"/>
    </row>
    <row r="380" spans="1:44" ht="12.5">
      <c r="A380" s="169" t="str">
        <f ca="1">IFERROR(__xludf.DUMMYFUNCTION("""COMPUTED_VALUE"""),"Scott Heffner")</f>
        <v>Scott Heffner</v>
      </c>
      <c r="B380" s="186">
        <f ca="1">COUNTIF('All Scores'!AJ:AK,A380)</f>
        <v>3</v>
      </c>
      <c r="C380" s="186">
        <f ca="1">IFERROR(__xludf.DUMMYFUNCTION("MIN(FILTER('All Scores'!AI$2:AI$1024, ('All Scores'!AJ$2:AJ$1024 = A380) + ('All Scores'!AK$2:AK$1024 = A380)))"),2)</f>
        <v>2</v>
      </c>
      <c r="D380" s="187">
        <f ca="1">IFERROR(__xludf.DUMMYFUNCTION("AVERAGE(FILTER('All Scores'!AI$2:AI$1024, ('All Scores'!AJ$2:AJ$1024 = A380) + ('All Scores'!AK$2:AK$1024 = A380))
)
"),5.66666666666666)</f>
        <v>5.6666666666666599</v>
      </c>
      <c r="E380" s="6">
        <f ca="1">IFERROR(__xludf.DUMMYFUNCTION("SUM(FILTER('All Scores'!AF$2:AF$1024, ('All Scores'!AJ$2:AJ$1024 = A380) + ('All Scores'!AK$2:AK$1024 = A380)))
"),233)</f>
        <v>233</v>
      </c>
      <c r="F380" s="6">
        <f ca="1">IFERROR(__xludf.DUMMYFUNCTION("SUM(FILTER('All Scores'!AD$2:AD$1024, ('All Scores'!AJ$2:AJ$1024 = A380) + ('All Scores'!AK$2:AK$1024 = A380)))
"),129)</f>
        <v>129</v>
      </c>
      <c r="G380" s="21">
        <f t="shared" ca="1" si="2"/>
        <v>0.55364806866952787</v>
      </c>
      <c r="H380" s="169"/>
      <c r="I380" s="169"/>
      <c r="J380" s="6"/>
      <c r="K380" s="188"/>
      <c r="L380" s="189"/>
      <c r="M380" s="189"/>
      <c r="N380" s="6"/>
      <c r="O380" s="6"/>
      <c r="P380" s="6"/>
      <c r="Q380" s="169"/>
      <c r="R380" s="6"/>
      <c r="S380" s="6"/>
      <c r="T380" s="169"/>
      <c r="U380" s="6"/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69"/>
      <c r="AN380" s="169"/>
      <c r="AO380" s="169"/>
      <c r="AP380" s="169"/>
      <c r="AQ380" s="169"/>
      <c r="AR380" s="169"/>
    </row>
    <row r="381" spans="1:44" ht="12.5">
      <c r="A381" s="169" t="str">
        <f ca="1">IFERROR(__xludf.DUMMYFUNCTION("""COMPUTED_VALUE"""),"Scott Hull")</f>
        <v>Scott Hull</v>
      </c>
      <c r="B381" s="186">
        <f ca="1">COUNTIF('All Scores'!AJ:AK,A381)</f>
        <v>1</v>
      </c>
      <c r="C381" s="186">
        <f ca="1">IFERROR(__xludf.DUMMYFUNCTION("MIN(FILTER('All Scores'!AI$2:AI$1024, ('All Scores'!AJ$2:AJ$1024 = A381) + ('All Scores'!AK$2:AK$1024 = A381)))"),7)</f>
        <v>7</v>
      </c>
      <c r="D381" s="187">
        <f ca="1">IFERROR(__xludf.DUMMYFUNCTION("AVERAGE(FILTER('All Scores'!AI$2:AI$1024, ('All Scores'!AJ$2:AJ$1024 = A381) + ('All Scores'!AK$2:AK$1024 = A381))
)
"),7)</f>
        <v>7</v>
      </c>
      <c r="E381" s="6">
        <f ca="1">IFERROR(__xludf.DUMMYFUNCTION("SUM(FILTER('All Scores'!AF$2:AF$1024, ('All Scores'!AJ$2:AJ$1024 = A381) + ('All Scores'!AK$2:AK$1024 = A381)))
"),90)</f>
        <v>90</v>
      </c>
      <c r="F381" s="6">
        <f ca="1">IFERROR(__xludf.DUMMYFUNCTION("SUM(FILTER('All Scores'!AD$2:AD$1024, ('All Scores'!AJ$2:AJ$1024 = A381) + ('All Scores'!AK$2:AK$1024 = A381)))
"),42)</f>
        <v>42</v>
      </c>
      <c r="G381" s="21">
        <f t="shared" ca="1" si="2"/>
        <v>0.46666666666666667</v>
      </c>
      <c r="H381" s="169"/>
      <c r="I381" s="169"/>
      <c r="J381" s="6"/>
      <c r="K381" s="188"/>
      <c r="L381" s="189"/>
      <c r="M381" s="189"/>
      <c r="N381" s="6"/>
      <c r="O381" s="6"/>
      <c r="P381" s="6"/>
      <c r="Q381" s="169"/>
      <c r="R381" s="6"/>
      <c r="S381" s="6"/>
      <c r="T381" s="169"/>
      <c r="U381" s="6"/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  <c r="AI381" s="169"/>
      <c r="AJ381" s="169"/>
      <c r="AK381" s="169"/>
      <c r="AL381" s="169"/>
      <c r="AM381" s="169"/>
      <c r="AN381" s="169"/>
      <c r="AO381" s="169"/>
      <c r="AP381" s="169"/>
      <c r="AQ381" s="169"/>
      <c r="AR381" s="169"/>
    </row>
    <row r="382" spans="1:44" ht="12.5">
      <c r="A382" s="169" t="str">
        <f ca="1">IFERROR(__xludf.DUMMYFUNCTION("""COMPUTED_VALUE"""),"Scott Monachello")</f>
        <v>Scott Monachello</v>
      </c>
      <c r="B382" s="186">
        <f ca="1">COUNTIF('All Scores'!AJ:AK,A382)</f>
        <v>1</v>
      </c>
      <c r="C382" s="186">
        <f ca="1">IFERROR(__xludf.DUMMYFUNCTION("MIN(FILTER('All Scores'!AI$2:AI$1024, ('All Scores'!AJ$2:AJ$1024 = A382) + ('All Scores'!AK$2:AK$1024 = A382)))"),8)</f>
        <v>8</v>
      </c>
      <c r="D382" s="187">
        <f ca="1">IFERROR(__xludf.DUMMYFUNCTION("AVERAGE(FILTER('All Scores'!AI$2:AI$1024, ('All Scores'!AJ$2:AJ$1024 = A382) + ('All Scores'!AK$2:AK$1024 = A382))
)
"),8)</f>
        <v>8</v>
      </c>
      <c r="E382" s="6">
        <f ca="1">IFERROR(__xludf.DUMMYFUNCTION("SUM(FILTER('All Scores'!AF$2:AF$1024, ('All Scores'!AJ$2:AJ$1024 = A382) + ('All Scores'!AK$2:AK$1024 = A382)))
"),60)</f>
        <v>60</v>
      </c>
      <c r="F382" s="6">
        <f ca="1">IFERROR(__xludf.DUMMYFUNCTION("SUM(FILTER('All Scores'!AD$2:AD$1024, ('All Scores'!AJ$2:AJ$1024 = A382) + ('All Scores'!AK$2:AK$1024 = A382)))
"),27)</f>
        <v>27</v>
      </c>
      <c r="G382" s="21">
        <f t="shared" ca="1" si="2"/>
        <v>0.45</v>
      </c>
      <c r="H382" s="169"/>
      <c r="I382" s="169"/>
      <c r="J382" s="6"/>
      <c r="K382" s="188"/>
      <c r="L382" s="189"/>
      <c r="M382" s="189"/>
      <c r="N382" s="6"/>
      <c r="O382" s="6"/>
      <c r="P382" s="6"/>
      <c r="Q382" s="169"/>
      <c r="R382" s="6"/>
      <c r="S382" s="6"/>
      <c r="T382" s="169"/>
      <c r="U382" s="6"/>
      <c r="V382" s="169"/>
      <c r="W382" s="169"/>
      <c r="X382" s="169"/>
      <c r="Y382" s="169"/>
      <c r="Z382" s="169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</row>
    <row r="383" spans="1:44" ht="12.5">
      <c r="A383" s="169" t="str">
        <f ca="1">IFERROR(__xludf.DUMMYFUNCTION("""COMPUTED_VALUE"""),"Scott Siemers")</f>
        <v>Scott Siemers</v>
      </c>
      <c r="B383" s="186">
        <f ca="1">COUNTIF('All Scores'!AJ:AK,A383)</f>
        <v>8</v>
      </c>
      <c r="C383" s="186">
        <f ca="1">IFERROR(__xludf.DUMMYFUNCTION("MIN(FILTER('All Scores'!AI$2:AI$1024, ('All Scores'!AJ$2:AJ$1024 = A383) + ('All Scores'!AK$2:AK$1024 = A383)))"),3)</f>
        <v>3</v>
      </c>
      <c r="D383" s="187">
        <f ca="1">IFERROR(__xludf.DUMMYFUNCTION("AVERAGE(FILTER('All Scores'!AI$2:AI$1024, ('All Scores'!AJ$2:AJ$1024 = A383) + ('All Scores'!AK$2:AK$1024 = A383))
)
"),6.25)</f>
        <v>6.25</v>
      </c>
      <c r="E383" s="6">
        <f ca="1">IFERROR(__xludf.DUMMYFUNCTION("SUM(FILTER('All Scores'!AF$2:AF$1024, ('All Scores'!AJ$2:AJ$1024 = A383) + ('All Scores'!AK$2:AK$1024 = A383)))
"),596)</f>
        <v>596</v>
      </c>
      <c r="F383" s="6">
        <f ca="1">IFERROR(__xludf.DUMMYFUNCTION("SUM(FILTER('All Scores'!AD$2:AD$1024, ('All Scores'!AJ$2:AJ$1024 = A383) + ('All Scores'!AK$2:AK$1024 = A383)))
"),325)</f>
        <v>325</v>
      </c>
      <c r="G383" s="21">
        <f t="shared" ca="1" si="2"/>
        <v>0.54530201342281881</v>
      </c>
      <c r="H383" s="169"/>
      <c r="I383" s="169"/>
      <c r="J383" s="6"/>
      <c r="K383" s="188"/>
      <c r="L383" s="189"/>
      <c r="M383" s="189"/>
      <c r="N383" s="6"/>
      <c r="O383" s="6"/>
      <c r="P383" s="6"/>
      <c r="Q383" s="169"/>
      <c r="R383" s="6"/>
      <c r="S383" s="6"/>
      <c r="T383" s="169"/>
      <c r="U383" s="6"/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  <c r="AI383" s="169"/>
      <c r="AJ383" s="169"/>
      <c r="AK383" s="169"/>
      <c r="AL383" s="169"/>
      <c r="AM383" s="169"/>
      <c r="AN383" s="169"/>
      <c r="AO383" s="169"/>
      <c r="AP383" s="169"/>
      <c r="AQ383" s="169"/>
      <c r="AR383" s="169"/>
    </row>
    <row r="384" spans="1:44" ht="12.5">
      <c r="A384" s="169" t="str">
        <f ca="1">IFERROR(__xludf.DUMMYFUNCTION("""COMPUTED_VALUE"""),"Scott Williamson")</f>
        <v>Scott Williamson</v>
      </c>
      <c r="B384" s="186">
        <f ca="1">COUNTIF('All Scores'!AJ:AK,A384)</f>
        <v>1</v>
      </c>
      <c r="C384" s="186">
        <f ca="1">IFERROR(__xludf.DUMMYFUNCTION("MIN(FILTER('All Scores'!AI$2:AI$1024, ('All Scores'!AJ$2:AJ$1024 = A384) + ('All Scores'!AK$2:AK$1024 = A384)))"),3)</f>
        <v>3</v>
      </c>
      <c r="D384" s="187">
        <f ca="1">IFERROR(__xludf.DUMMYFUNCTION("AVERAGE(FILTER('All Scores'!AI$2:AI$1024, ('All Scores'!AJ$2:AJ$1024 = A384) + ('All Scores'!AK$2:AK$1024 = A384))
)
"),3)</f>
        <v>3</v>
      </c>
      <c r="E384" s="6">
        <f ca="1">IFERROR(__xludf.DUMMYFUNCTION("SUM(FILTER('All Scores'!AF$2:AF$1024, ('All Scores'!AJ$2:AJ$1024 = A384) + ('All Scores'!AK$2:AK$1024 = A384)))
"),104)</f>
        <v>104</v>
      </c>
      <c r="F384" s="6">
        <f ca="1">IFERROR(__xludf.DUMMYFUNCTION("SUM(FILTER('All Scores'!AD$2:AD$1024, ('All Scores'!AJ$2:AJ$1024 = A384) + ('All Scores'!AK$2:AK$1024 = A384)))
"),59)</f>
        <v>59</v>
      </c>
      <c r="G384" s="21">
        <f t="shared" ca="1" si="2"/>
        <v>0.56730769230769229</v>
      </c>
      <c r="H384" s="169"/>
      <c r="I384" s="169"/>
      <c r="J384" s="6"/>
      <c r="K384" s="188"/>
      <c r="L384" s="189"/>
      <c r="M384" s="189"/>
      <c r="N384" s="6"/>
      <c r="O384" s="6"/>
      <c r="P384" s="6"/>
      <c r="Q384" s="169"/>
      <c r="R384" s="6"/>
      <c r="S384" s="6"/>
      <c r="T384" s="169"/>
      <c r="U384" s="6"/>
      <c r="V384" s="169"/>
      <c r="W384" s="169"/>
      <c r="X384" s="169"/>
      <c r="Y384" s="169"/>
      <c r="Z384" s="169"/>
      <c r="AA384" s="169"/>
      <c r="AB384" s="169"/>
      <c r="AC384" s="169"/>
      <c r="AD384" s="169"/>
      <c r="AE384" s="169"/>
      <c r="AF384" s="169"/>
      <c r="AG384" s="169"/>
      <c r="AH384" s="169"/>
      <c r="AI384" s="169"/>
      <c r="AJ384" s="169"/>
      <c r="AK384" s="169"/>
      <c r="AL384" s="169"/>
      <c r="AM384" s="169"/>
      <c r="AN384" s="169"/>
      <c r="AO384" s="169"/>
      <c r="AP384" s="169"/>
      <c r="AQ384" s="169"/>
      <c r="AR384" s="169"/>
    </row>
    <row r="385" spans="1:44" ht="12.5">
      <c r="A385" s="169" t="str">
        <f ca="1">IFERROR(__xludf.DUMMYFUNCTION("""COMPUTED_VALUE"""),"Seema Ahluwalia")</f>
        <v>Seema Ahluwalia</v>
      </c>
      <c r="B385" s="186">
        <f ca="1">COUNTIF('All Scores'!AJ:AK,A385)</f>
        <v>1</v>
      </c>
      <c r="C385" s="186">
        <f ca="1">IFERROR(__xludf.DUMMYFUNCTION("MIN(FILTER('All Scores'!AI$2:AI$1024, ('All Scores'!AJ$2:AJ$1024 = A385) + ('All Scores'!AK$2:AK$1024 = A385)))"),21)</f>
        <v>21</v>
      </c>
      <c r="D385" s="187">
        <f ca="1">IFERROR(__xludf.DUMMYFUNCTION("AVERAGE(FILTER('All Scores'!AI$2:AI$1024, ('All Scores'!AJ$2:AJ$1024 = A385) + ('All Scores'!AK$2:AK$1024 = A385))
)
"),21)</f>
        <v>21</v>
      </c>
      <c r="E385" s="6">
        <f ca="1">IFERROR(__xludf.DUMMYFUNCTION("SUM(FILTER('All Scores'!AF$2:AF$1024, ('All Scores'!AJ$2:AJ$1024 = A385) + ('All Scores'!AK$2:AK$1024 = A385)))
"),53)</f>
        <v>53</v>
      </c>
      <c r="F385" s="6">
        <f ca="1">IFERROR(__xludf.DUMMYFUNCTION("SUM(FILTER('All Scores'!AD$2:AD$1024, ('All Scores'!AJ$2:AJ$1024 = A385) + ('All Scores'!AK$2:AK$1024 = A385)))
"),23)</f>
        <v>23</v>
      </c>
      <c r="G385" s="21">
        <f t="shared" ca="1" si="2"/>
        <v>0.43396226415094341</v>
      </c>
      <c r="H385" s="169"/>
      <c r="I385" s="169"/>
      <c r="J385" s="6"/>
      <c r="K385" s="188"/>
      <c r="L385" s="189"/>
      <c r="M385" s="189"/>
      <c r="N385" s="6"/>
      <c r="O385" s="6"/>
      <c r="P385" s="6"/>
      <c r="Q385" s="169"/>
      <c r="R385" s="6"/>
      <c r="S385" s="6"/>
      <c r="T385" s="169"/>
      <c r="U385" s="6"/>
      <c r="V385" s="169"/>
      <c r="W385" s="169"/>
      <c r="X385" s="169"/>
      <c r="Y385" s="169"/>
      <c r="Z385" s="169"/>
      <c r="AA385" s="169"/>
      <c r="AB385" s="169"/>
      <c r="AC385" s="169"/>
      <c r="AD385" s="169"/>
      <c r="AE385" s="169"/>
      <c r="AF385" s="169"/>
      <c r="AG385" s="169"/>
      <c r="AH385" s="169"/>
      <c r="AI385" s="169"/>
      <c r="AJ385" s="169"/>
      <c r="AK385" s="169"/>
      <c r="AL385" s="169"/>
      <c r="AM385" s="169"/>
      <c r="AN385" s="169"/>
      <c r="AO385" s="169"/>
      <c r="AP385" s="169"/>
      <c r="AQ385" s="169"/>
      <c r="AR385" s="169"/>
    </row>
    <row r="386" spans="1:44" ht="12.5">
      <c r="A386" s="169" t="str">
        <f ca="1">IFERROR(__xludf.DUMMYFUNCTION("""COMPUTED_VALUE"""),"Shanna Loyd")</f>
        <v>Shanna Loyd</v>
      </c>
      <c r="B386" s="186">
        <f ca="1">COUNTIF('All Scores'!AJ:AK,A386)</f>
        <v>9</v>
      </c>
      <c r="C386" s="186">
        <f ca="1">IFERROR(__xludf.DUMMYFUNCTION("MIN(FILTER('All Scores'!AI$2:AI$1024, ('All Scores'!AJ$2:AJ$1024 = A386) + ('All Scores'!AK$2:AK$1024 = A386)))"),1)</f>
        <v>1</v>
      </c>
      <c r="D386" s="187">
        <f ca="1">IFERROR(__xludf.DUMMYFUNCTION("AVERAGE(FILTER('All Scores'!AI$2:AI$1024, ('All Scores'!AJ$2:AJ$1024 = A386) + ('All Scores'!AK$2:AK$1024 = A386))
)
"),7.22222222222222)</f>
        <v>7.2222222222222197</v>
      </c>
      <c r="E386" s="6">
        <f ca="1">IFERROR(__xludf.DUMMYFUNCTION("SUM(FILTER('All Scores'!AF$2:AF$1024, ('All Scores'!AJ$2:AJ$1024 = A386) + ('All Scores'!AK$2:AK$1024 = A386)))
"),685)</f>
        <v>685</v>
      </c>
      <c r="F386" s="6">
        <f ca="1">IFERROR(__xludf.DUMMYFUNCTION("SUM(FILTER('All Scores'!AD$2:AD$1024, ('All Scores'!AJ$2:AJ$1024 = A386) + ('All Scores'!AK$2:AK$1024 = A386)))
"),361)</f>
        <v>361</v>
      </c>
      <c r="G386" s="21">
        <f t="shared" ca="1" si="2"/>
        <v>0.52700729927007295</v>
      </c>
      <c r="H386" s="169"/>
      <c r="I386" s="169"/>
      <c r="J386" s="6"/>
      <c r="K386" s="188"/>
      <c r="L386" s="189"/>
      <c r="M386" s="189"/>
      <c r="N386" s="6"/>
      <c r="O386" s="6"/>
      <c r="P386" s="6"/>
      <c r="Q386" s="169"/>
      <c r="R386" s="6"/>
      <c r="S386" s="6"/>
      <c r="T386" s="169"/>
      <c r="U386" s="6"/>
      <c r="V386" s="169"/>
      <c r="W386" s="169"/>
      <c r="X386" s="169"/>
      <c r="Y386" s="169"/>
      <c r="Z386" s="169"/>
      <c r="AA386" s="169"/>
      <c r="AB386" s="169"/>
      <c r="AC386" s="169"/>
      <c r="AD386" s="169"/>
      <c r="AE386" s="169"/>
      <c r="AF386" s="169"/>
      <c r="AG386" s="169"/>
      <c r="AH386" s="169"/>
      <c r="AI386" s="169"/>
      <c r="AJ386" s="169"/>
      <c r="AK386" s="169"/>
      <c r="AL386" s="169"/>
      <c r="AM386" s="169"/>
      <c r="AN386" s="169"/>
      <c r="AO386" s="169"/>
      <c r="AP386" s="169"/>
      <c r="AQ386" s="169"/>
      <c r="AR386" s="169"/>
    </row>
    <row r="387" spans="1:44" ht="12.5">
      <c r="A387" s="169" t="str">
        <f ca="1">IFERROR(__xludf.DUMMYFUNCTION("""COMPUTED_VALUE"""),"Shannon Lyon")</f>
        <v>Shannon Lyon</v>
      </c>
      <c r="B387" s="186">
        <f ca="1">COUNTIF('All Scores'!AJ:AK,A387)</f>
        <v>6</v>
      </c>
      <c r="C387" s="186">
        <f ca="1">IFERROR(__xludf.DUMMYFUNCTION("MIN(FILTER('All Scores'!AI$2:AI$1024, ('All Scores'!AJ$2:AJ$1024 = A387) + ('All Scores'!AK$2:AK$1024 = A387)))"),3)</f>
        <v>3</v>
      </c>
      <c r="D387" s="187">
        <f ca="1">IFERROR(__xludf.DUMMYFUNCTION("AVERAGE(FILTER('All Scores'!AI$2:AI$1024, ('All Scores'!AJ$2:AJ$1024 = A387) + ('All Scores'!AK$2:AK$1024 = A387))
)
"),10.3333333333333)</f>
        <v>10.3333333333333</v>
      </c>
      <c r="E387" s="6">
        <f ca="1">IFERROR(__xludf.DUMMYFUNCTION("SUM(FILTER('All Scores'!AF$2:AF$1024, ('All Scores'!AJ$2:AJ$1024 = A387) + ('All Scores'!AK$2:AK$1024 = A387)))
"),456)</f>
        <v>456</v>
      </c>
      <c r="F387" s="6">
        <f ca="1">IFERROR(__xludf.DUMMYFUNCTION("SUM(FILTER('All Scores'!AD$2:AD$1024, ('All Scores'!AJ$2:AJ$1024 = A387) + ('All Scores'!AK$2:AK$1024 = A387)))
"),208)</f>
        <v>208</v>
      </c>
      <c r="G387" s="21">
        <f t="shared" ca="1" si="2"/>
        <v>0.45614035087719296</v>
      </c>
      <c r="H387" s="169"/>
      <c r="I387" s="169"/>
      <c r="J387" s="6"/>
      <c r="K387" s="188"/>
      <c r="L387" s="189"/>
      <c r="M387" s="189"/>
      <c r="N387" s="6"/>
      <c r="O387" s="6"/>
      <c r="P387" s="6"/>
      <c r="Q387" s="169"/>
      <c r="R387" s="6"/>
      <c r="S387" s="6"/>
      <c r="T387" s="169"/>
      <c r="U387" s="6"/>
      <c r="V387" s="169"/>
      <c r="W387" s="169"/>
      <c r="X387" s="169"/>
      <c r="Y387" s="169"/>
      <c r="Z387" s="169"/>
      <c r="AA387" s="169"/>
      <c r="AB387" s="169"/>
      <c r="AC387" s="169"/>
      <c r="AD387" s="169"/>
      <c r="AE387" s="169"/>
      <c r="AF387" s="169"/>
      <c r="AG387" s="169"/>
      <c r="AH387" s="169"/>
      <c r="AI387" s="169"/>
      <c r="AJ387" s="169"/>
      <c r="AK387" s="169"/>
      <c r="AL387" s="169"/>
      <c r="AM387" s="169"/>
      <c r="AN387" s="169"/>
      <c r="AO387" s="169"/>
      <c r="AP387" s="169"/>
      <c r="AQ387" s="169"/>
      <c r="AR387" s="169"/>
    </row>
    <row r="388" spans="1:44" ht="12.5">
      <c r="A388" s="169" t="str">
        <f ca="1">IFERROR(__xludf.DUMMYFUNCTION("""COMPUTED_VALUE"""),"Shannon Maize")</f>
        <v>Shannon Maize</v>
      </c>
      <c r="B388" s="186">
        <f ca="1">COUNTIF('All Scores'!AJ:AK,A388)</f>
        <v>1</v>
      </c>
      <c r="C388" s="186">
        <f ca="1">IFERROR(__xludf.DUMMYFUNCTION("MIN(FILTER('All Scores'!AI$2:AI$1024, ('All Scores'!AJ$2:AJ$1024 = A388) + ('All Scores'!AK$2:AK$1024 = A388)))"),3)</f>
        <v>3</v>
      </c>
      <c r="D388" s="187">
        <f ca="1">IFERROR(__xludf.DUMMYFUNCTION("AVERAGE(FILTER('All Scores'!AI$2:AI$1024, ('All Scores'!AJ$2:AJ$1024 = A388) + ('All Scores'!AK$2:AK$1024 = A388))
)
"),3)</f>
        <v>3</v>
      </c>
      <c r="E388" s="6">
        <f ca="1">IFERROR(__xludf.DUMMYFUNCTION("SUM(FILTER('All Scores'!AF$2:AF$1024, ('All Scores'!AJ$2:AJ$1024 = A388) + ('All Scores'!AK$2:AK$1024 = A388)))
"),102)</f>
        <v>102</v>
      </c>
      <c r="F388" s="6">
        <f ca="1">IFERROR(__xludf.DUMMYFUNCTION("SUM(FILTER('All Scores'!AD$2:AD$1024, ('All Scores'!AJ$2:AJ$1024 = A388) + ('All Scores'!AK$2:AK$1024 = A388)))
"),62)</f>
        <v>62</v>
      </c>
      <c r="G388" s="21">
        <f t="shared" ca="1" si="2"/>
        <v>0.60784313725490191</v>
      </c>
      <c r="H388" s="169"/>
      <c r="I388" s="169"/>
      <c r="J388" s="6"/>
      <c r="K388" s="188"/>
      <c r="L388" s="189"/>
      <c r="M388" s="189"/>
      <c r="N388" s="6"/>
      <c r="O388" s="6"/>
      <c r="P388" s="6"/>
      <c r="Q388" s="169"/>
      <c r="R388" s="6"/>
      <c r="S388" s="6"/>
      <c r="T388" s="169"/>
      <c r="U388" s="6"/>
      <c r="V388" s="169"/>
      <c r="W388" s="169"/>
      <c r="X388" s="169"/>
      <c r="Y388" s="169"/>
      <c r="Z388" s="169"/>
      <c r="AA388" s="169"/>
      <c r="AB388" s="169"/>
      <c r="AC388" s="169"/>
      <c r="AD388" s="169"/>
      <c r="AE388" s="169"/>
      <c r="AF388" s="169"/>
      <c r="AG388" s="169"/>
      <c r="AH388" s="169"/>
      <c r="AI388" s="169"/>
      <c r="AJ388" s="169"/>
      <c r="AK388" s="169"/>
      <c r="AL388" s="169"/>
      <c r="AM388" s="169"/>
      <c r="AN388" s="169"/>
      <c r="AO388" s="169"/>
      <c r="AP388" s="169"/>
      <c r="AQ388" s="169"/>
      <c r="AR388" s="169"/>
    </row>
    <row r="389" spans="1:44" ht="12.5">
      <c r="A389" s="169" t="str">
        <f ca="1">IFERROR(__xludf.DUMMYFUNCTION("""COMPUTED_VALUE"""),"Sheila Goins")</f>
        <v>Sheila Goins</v>
      </c>
      <c r="B389" s="186">
        <f ca="1">COUNTIF('All Scores'!AJ:AK,A389)</f>
        <v>1</v>
      </c>
      <c r="C389" s="186">
        <f ca="1">IFERROR(__xludf.DUMMYFUNCTION("MIN(FILTER('All Scores'!AI$2:AI$1024, ('All Scores'!AJ$2:AJ$1024 = A389) + ('All Scores'!AK$2:AK$1024 = A389)))"),16)</f>
        <v>16</v>
      </c>
      <c r="D389" s="187">
        <f ca="1">IFERROR(__xludf.DUMMYFUNCTION("AVERAGE(FILTER('All Scores'!AI$2:AI$1024, ('All Scores'!AJ$2:AJ$1024 = A389) + ('All Scores'!AK$2:AK$1024 = A389))
)
"),16)</f>
        <v>16</v>
      </c>
      <c r="E389" s="6">
        <f ca="1">IFERROR(__xludf.DUMMYFUNCTION("SUM(FILTER('All Scores'!AF$2:AF$1024, ('All Scores'!AJ$2:AJ$1024 = A389) + ('All Scores'!AK$2:AK$1024 = A389)))
"),57)</f>
        <v>57</v>
      </c>
      <c r="F389" s="6">
        <f ca="1">IFERROR(__xludf.DUMMYFUNCTION("SUM(FILTER('All Scores'!AD$2:AD$1024, ('All Scores'!AJ$2:AJ$1024 = A389) + ('All Scores'!AK$2:AK$1024 = A389)))
"),13)</f>
        <v>13</v>
      </c>
      <c r="G389" s="21">
        <f t="shared" ca="1" si="2"/>
        <v>0.22807017543859648</v>
      </c>
      <c r="H389" s="169"/>
      <c r="I389" s="169"/>
      <c r="J389" s="6"/>
      <c r="K389" s="188"/>
      <c r="L389" s="189"/>
      <c r="M389" s="189"/>
      <c r="N389" s="6"/>
      <c r="O389" s="6"/>
      <c r="P389" s="6"/>
      <c r="Q389" s="169"/>
      <c r="R389" s="6"/>
      <c r="S389" s="6"/>
      <c r="T389" s="169"/>
      <c r="U389" s="6"/>
      <c r="V389" s="169"/>
      <c r="W389" s="169"/>
      <c r="X389" s="169"/>
      <c r="Y389" s="169"/>
      <c r="Z389" s="169"/>
      <c r="AA389" s="169"/>
      <c r="AB389" s="169"/>
      <c r="AC389" s="169"/>
      <c r="AD389" s="169"/>
      <c r="AE389" s="169"/>
      <c r="AF389" s="169"/>
      <c r="AG389" s="169"/>
      <c r="AH389" s="169"/>
      <c r="AI389" s="169"/>
      <c r="AJ389" s="169"/>
      <c r="AK389" s="169"/>
      <c r="AL389" s="169"/>
      <c r="AM389" s="169"/>
      <c r="AN389" s="169"/>
      <c r="AO389" s="169"/>
      <c r="AP389" s="169"/>
      <c r="AQ389" s="169"/>
      <c r="AR389" s="169"/>
    </row>
    <row r="390" spans="1:44" ht="12.5">
      <c r="A390" s="169" t="str">
        <f ca="1">IFERROR(__xludf.DUMMYFUNCTION("""COMPUTED_VALUE"""),"Shelly Marsh")</f>
        <v>Shelly Marsh</v>
      </c>
      <c r="B390" s="186">
        <f ca="1">COUNTIF('All Scores'!AJ:AK,A390)</f>
        <v>1</v>
      </c>
      <c r="C390" s="186">
        <f ca="1">IFERROR(__xludf.DUMMYFUNCTION("MIN(FILTER('All Scores'!AI$2:AI$1024, ('All Scores'!AJ$2:AJ$1024 = A390) + ('All Scores'!AK$2:AK$1024 = A390)))"),8)</f>
        <v>8</v>
      </c>
      <c r="D390" s="187">
        <f ca="1">IFERROR(__xludf.DUMMYFUNCTION("AVERAGE(FILTER('All Scores'!AI$2:AI$1024, ('All Scores'!AJ$2:AJ$1024 = A390) + ('All Scores'!AK$2:AK$1024 = A390))
)
"),8)</f>
        <v>8</v>
      </c>
      <c r="E390" s="6">
        <f ca="1">IFERROR(__xludf.DUMMYFUNCTION("SUM(FILTER('All Scores'!AF$2:AF$1024, ('All Scores'!AJ$2:AJ$1024 = A390) + ('All Scores'!AK$2:AK$1024 = A390)))
"),95)</f>
        <v>95</v>
      </c>
      <c r="F390" s="6">
        <f ca="1">IFERROR(__xludf.DUMMYFUNCTION("SUM(FILTER('All Scores'!AD$2:AD$1024, ('All Scores'!AJ$2:AJ$1024 = A390) + ('All Scores'!AK$2:AK$1024 = A390)))
"),46)</f>
        <v>46</v>
      </c>
      <c r="G390" s="21">
        <f t="shared" ca="1" si="2"/>
        <v>0.48421052631578948</v>
      </c>
      <c r="H390" s="169"/>
      <c r="I390" s="169"/>
      <c r="J390" s="6"/>
      <c r="K390" s="188"/>
      <c r="L390" s="189"/>
      <c r="M390" s="189"/>
      <c r="N390" s="6"/>
      <c r="O390" s="6"/>
      <c r="P390" s="6"/>
      <c r="Q390" s="169"/>
      <c r="R390" s="6"/>
      <c r="S390" s="6"/>
      <c r="T390" s="169"/>
      <c r="U390" s="6"/>
      <c r="V390" s="169"/>
      <c r="W390" s="169"/>
      <c r="X390" s="169"/>
      <c r="Y390" s="169"/>
      <c r="Z390" s="169"/>
      <c r="AA390" s="169"/>
      <c r="AB390" s="169"/>
      <c r="AC390" s="169"/>
      <c r="AD390" s="169"/>
      <c r="AE390" s="169"/>
      <c r="AF390" s="169"/>
      <c r="AG390" s="169"/>
      <c r="AH390" s="169"/>
      <c r="AI390" s="169"/>
      <c r="AJ390" s="169"/>
      <c r="AK390" s="169"/>
      <c r="AL390" s="169"/>
      <c r="AM390" s="169"/>
      <c r="AN390" s="169"/>
      <c r="AO390" s="169"/>
      <c r="AP390" s="169"/>
      <c r="AQ390" s="169"/>
      <c r="AR390" s="169"/>
    </row>
    <row r="391" spans="1:44" ht="12.5">
      <c r="A391" s="169" t="str">
        <f ca="1">IFERROR(__xludf.DUMMYFUNCTION("""COMPUTED_VALUE"""),"Shelly Olufson")</f>
        <v>Shelly Olufson</v>
      </c>
      <c r="B391" s="186">
        <f ca="1">COUNTIF('All Scores'!AJ:AK,A391)</f>
        <v>1</v>
      </c>
      <c r="C391" s="186">
        <f ca="1">IFERROR(__xludf.DUMMYFUNCTION("MIN(FILTER('All Scores'!AI$2:AI$1024, ('All Scores'!AJ$2:AJ$1024 = A391) + ('All Scores'!AK$2:AK$1024 = A391)))"),7)</f>
        <v>7</v>
      </c>
      <c r="D391" s="187">
        <f ca="1">IFERROR(__xludf.DUMMYFUNCTION("AVERAGE(FILTER('All Scores'!AI$2:AI$1024, ('All Scores'!AJ$2:AJ$1024 = A391) + ('All Scores'!AK$2:AK$1024 = A391))
)
"),7)</f>
        <v>7</v>
      </c>
      <c r="E391" s="6">
        <f ca="1">IFERROR(__xludf.DUMMYFUNCTION("SUM(FILTER('All Scores'!AF$2:AF$1024, ('All Scores'!AJ$2:AJ$1024 = A391) + ('All Scores'!AK$2:AK$1024 = A391)))
"),72)</f>
        <v>72</v>
      </c>
      <c r="F391" s="6">
        <f ca="1">IFERROR(__xludf.DUMMYFUNCTION("SUM(FILTER('All Scores'!AD$2:AD$1024, ('All Scores'!AJ$2:AJ$1024 = A391) + ('All Scores'!AK$2:AK$1024 = A391)))
"),31)</f>
        <v>31</v>
      </c>
      <c r="G391" s="21">
        <f t="shared" ca="1" si="2"/>
        <v>0.43055555555555558</v>
      </c>
      <c r="H391" s="169"/>
      <c r="I391" s="169"/>
      <c r="J391" s="6"/>
      <c r="K391" s="188"/>
      <c r="L391" s="189"/>
      <c r="M391" s="189"/>
      <c r="N391" s="6"/>
      <c r="O391" s="6"/>
      <c r="P391" s="6"/>
      <c r="Q391" s="169"/>
      <c r="R391" s="6"/>
      <c r="S391" s="6"/>
      <c r="T391" s="169"/>
      <c r="U391" s="6"/>
      <c r="V391" s="169"/>
      <c r="W391" s="169"/>
      <c r="X391" s="169"/>
      <c r="Y391" s="169"/>
      <c r="Z391" s="169"/>
      <c r="AA391" s="169"/>
      <c r="AB391" s="169"/>
      <c r="AC391" s="169"/>
      <c r="AD391" s="169"/>
      <c r="AE391" s="169"/>
      <c r="AF391" s="169"/>
      <c r="AG391" s="169"/>
      <c r="AH391" s="169"/>
      <c r="AI391" s="169"/>
      <c r="AJ391" s="169"/>
      <c r="AK391" s="169"/>
      <c r="AL391" s="169"/>
      <c r="AM391" s="169"/>
      <c r="AN391" s="169"/>
      <c r="AO391" s="169"/>
      <c r="AP391" s="169"/>
      <c r="AQ391" s="169"/>
      <c r="AR391" s="169"/>
    </row>
    <row r="392" spans="1:44" ht="12.5">
      <c r="A392" s="169" t="str">
        <f ca="1">IFERROR(__xludf.DUMMYFUNCTION("""COMPUTED_VALUE"""),"Shuai Wang")</f>
        <v>Shuai Wang</v>
      </c>
      <c r="B392" s="186">
        <f ca="1">COUNTIF('All Scores'!AJ:AK,A392)</f>
        <v>1</v>
      </c>
      <c r="C392" s="186">
        <f ca="1">IFERROR(__xludf.DUMMYFUNCTION("MIN(FILTER('All Scores'!AI$2:AI$1024, ('All Scores'!AJ$2:AJ$1024 = A392) + ('All Scores'!AK$2:AK$1024 = A392)))"),1)</f>
        <v>1</v>
      </c>
      <c r="D392" s="187">
        <f ca="1">IFERROR(__xludf.DUMMYFUNCTION("AVERAGE(FILTER('All Scores'!AI$2:AI$1024, ('All Scores'!AJ$2:AJ$1024 = A392) + ('All Scores'!AK$2:AK$1024 = A392))
)
"),1)</f>
        <v>1</v>
      </c>
      <c r="E392" s="6">
        <f ca="1">IFERROR(__xludf.DUMMYFUNCTION("SUM(FILTER('All Scores'!AF$2:AF$1024, ('All Scores'!AJ$2:AJ$1024 = A392) + ('All Scores'!AK$2:AK$1024 = A392)))
"),114)</f>
        <v>114</v>
      </c>
      <c r="F392" s="6">
        <f ca="1">IFERROR(__xludf.DUMMYFUNCTION("SUM(FILTER('All Scores'!AD$2:AD$1024, ('All Scores'!AJ$2:AJ$1024 = A392) + ('All Scores'!AK$2:AK$1024 = A392)))
"),67)</f>
        <v>67</v>
      </c>
      <c r="G392" s="21">
        <f t="shared" ca="1" si="2"/>
        <v>0.58771929824561409</v>
      </c>
      <c r="H392" s="169"/>
      <c r="I392" s="169"/>
      <c r="J392" s="6"/>
      <c r="K392" s="188"/>
      <c r="L392" s="189"/>
      <c r="M392" s="189"/>
      <c r="N392" s="6"/>
      <c r="O392" s="6"/>
      <c r="P392" s="6"/>
      <c r="Q392" s="169"/>
      <c r="R392" s="6"/>
      <c r="S392" s="6"/>
      <c r="T392" s="169"/>
      <c r="U392" s="6"/>
      <c r="V392" s="169"/>
      <c r="W392" s="169"/>
      <c r="X392" s="169"/>
      <c r="Y392" s="169"/>
      <c r="Z392" s="169"/>
      <c r="AA392" s="169"/>
      <c r="AB392" s="169"/>
      <c r="AC392" s="169"/>
      <c r="AD392" s="169"/>
      <c r="AE392" s="169"/>
      <c r="AF392" s="169"/>
      <c r="AG392" s="169"/>
      <c r="AH392" s="169"/>
      <c r="AI392" s="169"/>
      <c r="AJ392" s="169"/>
      <c r="AK392" s="169"/>
      <c r="AL392" s="169"/>
      <c r="AM392" s="169"/>
      <c r="AN392" s="169"/>
      <c r="AO392" s="169"/>
      <c r="AP392" s="169"/>
      <c r="AQ392" s="169"/>
      <c r="AR392" s="169"/>
    </row>
    <row r="393" spans="1:44" ht="12.5">
      <c r="A393" s="169" t="str">
        <f ca="1">IFERROR(__xludf.DUMMYFUNCTION("""COMPUTED_VALUE"""),"Sia Carlile")</f>
        <v>Sia Carlile</v>
      </c>
      <c r="B393" s="186">
        <f ca="1">COUNTIF('All Scores'!AJ:AK,A393)</f>
        <v>3</v>
      </c>
      <c r="C393" s="186">
        <f ca="1">IFERROR(__xludf.DUMMYFUNCTION("MIN(FILTER('All Scores'!AI$2:AI$1024, ('All Scores'!AJ$2:AJ$1024 = A393) + ('All Scores'!AK$2:AK$1024 = A393)))"),5)</f>
        <v>5</v>
      </c>
      <c r="D393" s="187">
        <f ca="1">IFERROR(__xludf.DUMMYFUNCTION("AVERAGE(FILTER('All Scores'!AI$2:AI$1024, ('All Scores'!AJ$2:AJ$1024 = A393) + ('All Scores'!AK$2:AK$1024 = A393))
)
"),15.3333333333333)</f>
        <v>15.3333333333333</v>
      </c>
      <c r="E393" s="6">
        <f ca="1">IFERROR(__xludf.DUMMYFUNCTION("SUM(FILTER('All Scores'!AF$2:AF$1024, ('All Scores'!AJ$2:AJ$1024 = A393) + ('All Scores'!AK$2:AK$1024 = A393)))
"),202)</f>
        <v>202</v>
      </c>
      <c r="F393" s="6">
        <f ca="1">IFERROR(__xludf.DUMMYFUNCTION("SUM(FILTER('All Scores'!AD$2:AD$1024, ('All Scores'!AJ$2:AJ$1024 = A393) + ('All Scores'!AK$2:AK$1024 = A393)))
"),90)</f>
        <v>90</v>
      </c>
      <c r="G393" s="21">
        <f t="shared" ca="1" si="2"/>
        <v>0.44554455445544555</v>
      </c>
      <c r="H393" s="169"/>
      <c r="I393" s="169"/>
      <c r="J393" s="6"/>
      <c r="K393" s="188"/>
      <c r="L393" s="189"/>
      <c r="M393" s="189"/>
      <c r="N393" s="6"/>
      <c r="O393" s="6"/>
      <c r="P393" s="6"/>
      <c r="Q393" s="169"/>
      <c r="R393" s="6"/>
      <c r="S393" s="6"/>
      <c r="T393" s="169"/>
      <c r="U393" s="6"/>
      <c r="V393" s="169"/>
      <c r="W393" s="169"/>
      <c r="X393" s="169"/>
      <c r="Y393" s="169"/>
      <c r="Z393" s="169"/>
      <c r="AA393" s="169"/>
      <c r="AB393" s="169"/>
      <c r="AC393" s="169"/>
      <c r="AD393" s="169"/>
      <c r="AE393" s="169"/>
      <c r="AF393" s="169"/>
      <c r="AG393" s="169"/>
      <c r="AH393" s="169"/>
      <c r="AI393" s="169"/>
      <c r="AJ393" s="169"/>
      <c r="AK393" s="169"/>
      <c r="AL393" s="169"/>
      <c r="AM393" s="169"/>
      <c r="AN393" s="169"/>
      <c r="AO393" s="169"/>
      <c r="AP393" s="169"/>
      <c r="AQ393" s="169"/>
      <c r="AR393" s="169"/>
    </row>
    <row r="394" spans="1:44" ht="12.5">
      <c r="A394" s="169" t="str">
        <f ca="1">IFERROR(__xludf.DUMMYFUNCTION("""COMPUTED_VALUE"""),"Sid Khan")</f>
        <v>Sid Khan</v>
      </c>
      <c r="B394" s="186">
        <f ca="1">COUNTIF('All Scores'!AJ:AK,A394)</f>
        <v>2</v>
      </c>
      <c r="C394" s="186">
        <f ca="1">IFERROR(__xludf.DUMMYFUNCTION("MIN(FILTER('All Scores'!AI$2:AI$1024, ('All Scores'!AJ$2:AJ$1024 = A394) + ('All Scores'!AK$2:AK$1024 = A394)))"),3)</f>
        <v>3</v>
      </c>
      <c r="D394" s="187">
        <f ca="1">IFERROR(__xludf.DUMMYFUNCTION("AVERAGE(FILTER('All Scores'!AI$2:AI$1024, ('All Scores'!AJ$2:AJ$1024 = A394) + ('All Scores'!AK$2:AK$1024 = A394))
)
"),10.5)</f>
        <v>10.5</v>
      </c>
      <c r="E394" s="6">
        <f ca="1">IFERROR(__xludf.DUMMYFUNCTION("SUM(FILTER('All Scores'!AF$2:AF$1024, ('All Scores'!AJ$2:AJ$1024 = A394) + ('All Scores'!AK$2:AK$1024 = A394)))
"),129)</f>
        <v>129</v>
      </c>
      <c r="F394" s="6">
        <f ca="1">IFERROR(__xludf.DUMMYFUNCTION("SUM(FILTER('All Scores'!AD$2:AD$1024, ('All Scores'!AJ$2:AJ$1024 = A394) + ('All Scores'!AK$2:AK$1024 = A394)))
"),68)</f>
        <v>68</v>
      </c>
      <c r="G394" s="21">
        <f t="shared" ca="1" si="2"/>
        <v>0.52713178294573648</v>
      </c>
      <c r="H394" s="169"/>
      <c r="I394" s="169"/>
      <c r="J394" s="6"/>
      <c r="K394" s="188"/>
      <c r="L394" s="189"/>
      <c r="M394" s="189"/>
      <c r="N394" s="6"/>
      <c r="O394" s="6"/>
      <c r="P394" s="6"/>
      <c r="Q394" s="169"/>
      <c r="R394" s="6"/>
      <c r="S394" s="6"/>
      <c r="T394" s="169"/>
      <c r="U394" s="6"/>
      <c r="V394" s="169"/>
      <c r="W394" s="169"/>
      <c r="X394" s="169"/>
      <c r="Y394" s="169"/>
      <c r="Z394" s="169"/>
      <c r="AA394" s="169"/>
      <c r="AB394" s="169"/>
      <c r="AC394" s="169"/>
      <c r="AD394" s="169"/>
      <c r="AE394" s="169"/>
      <c r="AF394" s="169"/>
      <c r="AG394" s="169"/>
      <c r="AH394" s="169"/>
      <c r="AI394" s="169"/>
      <c r="AJ394" s="169"/>
      <c r="AK394" s="169"/>
      <c r="AL394" s="169"/>
      <c r="AM394" s="169"/>
      <c r="AN394" s="169"/>
      <c r="AO394" s="169"/>
      <c r="AP394" s="169"/>
      <c r="AQ394" s="169"/>
      <c r="AR394" s="169"/>
    </row>
    <row r="395" spans="1:44" ht="12.5">
      <c r="A395" s="169" t="str">
        <f ca="1">IFERROR(__xludf.DUMMYFUNCTION("""COMPUTED_VALUE"""),"Sophia Black")</f>
        <v>Sophia Black</v>
      </c>
      <c r="B395" s="186">
        <f ca="1">COUNTIF('All Scores'!AJ:AK,A395)</f>
        <v>1</v>
      </c>
      <c r="C395" s="186">
        <f ca="1">IFERROR(__xludf.DUMMYFUNCTION("MIN(FILTER('All Scores'!AI$2:AI$1024, ('All Scores'!AJ$2:AJ$1024 = A395) + ('All Scores'!AK$2:AK$1024 = A395)))"),7)</f>
        <v>7</v>
      </c>
      <c r="D395" s="187">
        <f ca="1">IFERROR(__xludf.DUMMYFUNCTION("AVERAGE(FILTER('All Scores'!AI$2:AI$1024, ('All Scores'!AJ$2:AJ$1024 = A395) + ('All Scores'!AK$2:AK$1024 = A395))
)
"),7)</f>
        <v>7</v>
      </c>
      <c r="E395" s="6">
        <f ca="1">IFERROR(__xludf.DUMMYFUNCTION("SUM(FILTER('All Scores'!AF$2:AF$1024, ('All Scores'!AJ$2:AJ$1024 = A395) + ('All Scores'!AK$2:AK$1024 = A395)))
"),86)</f>
        <v>86</v>
      </c>
      <c r="F395" s="6">
        <f ca="1">IFERROR(__xludf.DUMMYFUNCTION("SUM(FILTER('All Scores'!AD$2:AD$1024, ('All Scores'!AJ$2:AJ$1024 = A395) + ('All Scores'!AK$2:AK$1024 = A395)))
"),40)</f>
        <v>40</v>
      </c>
      <c r="G395" s="21">
        <f t="shared" ca="1" si="2"/>
        <v>0.46511627906976744</v>
      </c>
      <c r="H395" s="169"/>
      <c r="I395" s="169"/>
      <c r="J395" s="6"/>
      <c r="K395" s="188"/>
      <c r="L395" s="189"/>
      <c r="M395" s="189"/>
      <c r="N395" s="6"/>
      <c r="O395" s="6"/>
      <c r="P395" s="6"/>
      <c r="Q395" s="169"/>
      <c r="R395" s="6"/>
      <c r="S395" s="6"/>
      <c r="T395" s="169"/>
      <c r="U395" s="6"/>
      <c r="V395" s="169"/>
      <c r="W395" s="169"/>
      <c r="X395" s="169"/>
      <c r="Y395" s="169"/>
      <c r="Z395" s="169"/>
      <c r="AA395" s="169"/>
      <c r="AB395" s="169"/>
      <c r="AC395" s="169"/>
      <c r="AD395" s="169"/>
      <c r="AE395" s="169"/>
      <c r="AF395" s="169"/>
      <c r="AG395" s="169"/>
      <c r="AH395" s="169"/>
      <c r="AI395" s="169"/>
      <c r="AJ395" s="169"/>
      <c r="AK395" s="169"/>
      <c r="AL395" s="169"/>
      <c r="AM395" s="169"/>
      <c r="AN395" s="169"/>
      <c r="AO395" s="169"/>
      <c r="AP395" s="169"/>
      <c r="AQ395" s="169"/>
      <c r="AR395" s="169"/>
    </row>
    <row r="396" spans="1:44" ht="12.5">
      <c r="A396" s="169" t="str">
        <f ca="1">IFERROR(__xludf.DUMMYFUNCTION("""COMPUTED_VALUE"""),"Spencer Terpstra")</f>
        <v>Spencer Terpstra</v>
      </c>
      <c r="B396" s="186">
        <f ca="1">COUNTIF('All Scores'!AJ:AK,A396)</f>
        <v>3</v>
      </c>
      <c r="C396" s="186">
        <f ca="1">IFERROR(__xludf.DUMMYFUNCTION("MIN(FILTER('All Scores'!AI$2:AI$1024, ('All Scores'!AJ$2:AJ$1024 = A396) + ('All Scores'!AK$2:AK$1024 = A396)))"),5)</f>
        <v>5</v>
      </c>
      <c r="D396" s="187">
        <f ca="1">IFERROR(__xludf.DUMMYFUNCTION("AVERAGE(FILTER('All Scores'!AI$2:AI$1024, ('All Scores'!AJ$2:AJ$1024 = A396) + ('All Scores'!AK$2:AK$1024 = A396))
)
"),7.33333333333333)</f>
        <v>7.3333333333333304</v>
      </c>
      <c r="E396" s="6">
        <f ca="1">IFERROR(__xludf.DUMMYFUNCTION("SUM(FILTER('All Scores'!AF$2:AF$1024, ('All Scores'!AJ$2:AJ$1024 = A396) + ('All Scores'!AK$2:AK$1024 = A396)))
"),220)</f>
        <v>220</v>
      </c>
      <c r="F396" s="6">
        <f ca="1">IFERROR(__xludf.DUMMYFUNCTION("SUM(FILTER('All Scores'!AD$2:AD$1024, ('All Scores'!AJ$2:AJ$1024 = A396) + ('All Scores'!AK$2:AK$1024 = A396)))
"),115)</f>
        <v>115</v>
      </c>
      <c r="G396" s="21">
        <f t="shared" ca="1" si="2"/>
        <v>0.52272727272727271</v>
      </c>
      <c r="H396" s="169"/>
      <c r="I396" s="169"/>
      <c r="J396" s="6"/>
      <c r="K396" s="188"/>
      <c r="L396" s="189"/>
      <c r="M396" s="189"/>
      <c r="N396" s="6"/>
      <c r="O396" s="6"/>
      <c r="P396" s="6"/>
      <c r="Q396" s="169"/>
      <c r="R396" s="6"/>
      <c r="S396" s="6"/>
      <c r="T396" s="169"/>
      <c r="U396" s="6"/>
      <c r="V396" s="169"/>
      <c r="W396" s="169"/>
      <c r="X396" s="169"/>
      <c r="Y396" s="169"/>
      <c r="Z396" s="169"/>
      <c r="AA396" s="169"/>
      <c r="AB396" s="169"/>
      <c r="AC396" s="169"/>
      <c r="AD396" s="169"/>
      <c r="AE396" s="169"/>
      <c r="AF396" s="169"/>
      <c r="AG396" s="169"/>
      <c r="AH396" s="169"/>
      <c r="AI396" s="169"/>
      <c r="AJ396" s="169"/>
      <c r="AK396" s="169"/>
      <c r="AL396" s="169"/>
      <c r="AM396" s="169"/>
      <c r="AN396" s="169"/>
      <c r="AO396" s="169"/>
      <c r="AP396" s="169"/>
      <c r="AQ396" s="169"/>
      <c r="AR396" s="169"/>
    </row>
    <row r="397" spans="1:44" ht="12.5">
      <c r="A397" s="169" t="str">
        <f ca="1">IFERROR(__xludf.DUMMYFUNCTION("""COMPUTED_VALUE"""),"Stacie Scifres")</f>
        <v>Stacie Scifres</v>
      </c>
      <c r="B397" s="186">
        <f ca="1">COUNTIF('All Scores'!AJ:AK,A397)</f>
        <v>1</v>
      </c>
      <c r="C397" s="186">
        <f ca="1">IFERROR(__xludf.DUMMYFUNCTION("MIN(FILTER('All Scores'!AI$2:AI$1024, ('All Scores'!AJ$2:AJ$1024 = A397) + ('All Scores'!AK$2:AK$1024 = A397)))"),7)</f>
        <v>7</v>
      </c>
      <c r="D397" s="187">
        <f ca="1">IFERROR(__xludf.DUMMYFUNCTION("AVERAGE(FILTER('All Scores'!AI$2:AI$1024, ('All Scores'!AJ$2:AJ$1024 = A397) + ('All Scores'!AK$2:AK$1024 = A397))
)
"),7)</f>
        <v>7</v>
      </c>
      <c r="E397" s="6">
        <f ca="1">IFERROR(__xludf.DUMMYFUNCTION("SUM(FILTER('All Scores'!AF$2:AF$1024, ('All Scores'!AJ$2:AJ$1024 = A397) + ('All Scores'!AK$2:AK$1024 = A397)))
"),69)</f>
        <v>69</v>
      </c>
      <c r="F397" s="6">
        <f ca="1">IFERROR(__xludf.DUMMYFUNCTION("SUM(FILTER('All Scores'!AD$2:AD$1024, ('All Scores'!AJ$2:AJ$1024 = A397) + ('All Scores'!AK$2:AK$1024 = A397)))
"),42)</f>
        <v>42</v>
      </c>
      <c r="G397" s="21">
        <f t="shared" ca="1" si="2"/>
        <v>0.60869565217391308</v>
      </c>
      <c r="H397" s="169"/>
      <c r="I397" s="169"/>
      <c r="J397" s="6"/>
      <c r="K397" s="188"/>
      <c r="L397" s="189"/>
      <c r="M397" s="189"/>
      <c r="N397" s="6"/>
      <c r="O397" s="6"/>
      <c r="P397" s="6"/>
      <c r="Q397" s="169"/>
      <c r="R397" s="6"/>
      <c r="S397" s="6"/>
      <c r="T397" s="169"/>
      <c r="U397" s="6"/>
      <c r="V397" s="169"/>
      <c r="W397" s="169"/>
      <c r="X397" s="169"/>
      <c r="Y397" s="169"/>
      <c r="Z397" s="169"/>
      <c r="AA397" s="169"/>
      <c r="AB397" s="169"/>
      <c r="AC397" s="169"/>
      <c r="AD397" s="169"/>
      <c r="AE397" s="169"/>
      <c r="AF397" s="169"/>
      <c r="AG397" s="169"/>
      <c r="AH397" s="169"/>
      <c r="AI397" s="169"/>
      <c r="AJ397" s="169"/>
      <c r="AK397" s="169"/>
      <c r="AL397" s="169"/>
      <c r="AM397" s="169"/>
      <c r="AN397" s="169"/>
      <c r="AO397" s="169"/>
      <c r="AP397" s="169"/>
      <c r="AQ397" s="169"/>
      <c r="AR397" s="169"/>
    </row>
    <row r="398" spans="1:44" ht="12.5">
      <c r="A398" s="169" t="str">
        <f ca="1">IFERROR(__xludf.DUMMYFUNCTION("""COMPUTED_VALUE"""),"Stacie Temple")</f>
        <v>Stacie Temple</v>
      </c>
      <c r="B398" s="186">
        <f ca="1">COUNTIF('All Scores'!AJ:AK,A398)</f>
        <v>1</v>
      </c>
      <c r="C398" s="186">
        <f ca="1">IFERROR(__xludf.DUMMYFUNCTION("MIN(FILTER('All Scores'!AI$2:AI$1024, ('All Scores'!AJ$2:AJ$1024 = A398) + ('All Scores'!AK$2:AK$1024 = A398)))"),11)</f>
        <v>11</v>
      </c>
      <c r="D398" s="187">
        <f ca="1">IFERROR(__xludf.DUMMYFUNCTION("AVERAGE(FILTER('All Scores'!AI$2:AI$1024, ('All Scores'!AJ$2:AJ$1024 = A398) + ('All Scores'!AK$2:AK$1024 = A398))
)
"),11)</f>
        <v>11</v>
      </c>
      <c r="E398" s="6">
        <f ca="1">IFERROR(__xludf.DUMMYFUNCTION("SUM(FILTER('All Scores'!AF$2:AF$1024, ('All Scores'!AJ$2:AJ$1024 = A398) + ('All Scores'!AK$2:AK$1024 = A398)))
"),84)</f>
        <v>84</v>
      </c>
      <c r="F398" s="6">
        <f ca="1">IFERROR(__xludf.DUMMYFUNCTION("SUM(FILTER('All Scores'!AD$2:AD$1024, ('All Scores'!AJ$2:AJ$1024 = A398) + ('All Scores'!AK$2:AK$1024 = A398)))
"),39)</f>
        <v>39</v>
      </c>
      <c r="G398" s="21">
        <f t="shared" ca="1" si="2"/>
        <v>0.4642857142857143</v>
      </c>
      <c r="H398" s="169"/>
      <c r="I398" s="169"/>
      <c r="J398" s="6"/>
      <c r="K398" s="188"/>
      <c r="L398" s="189"/>
      <c r="M398" s="189"/>
      <c r="N398" s="6"/>
      <c r="O398" s="6"/>
      <c r="P398" s="6"/>
      <c r="Q398" s="169"/>
      <c r="R398" s="6"/>
      <c r="S398" s="6"/>
      <c r="T398" s="169"/>
      <c r="U398" s="6"/>
      <c r="V398" s="169"/>
      <c r="W398" s="169"/>
      <c r="X398" s="169"/>
      <c r="Y398" s="169"/>
      <c r="Z398" s="169"/>
      <c r="AA398" s="169"/>
      <c r="AB398" s="169"/>
      <c r="AC398" s="169"/>
      <c r="AD398" s="169"/>
      <c r="AE398" s="169"/>
      <c r="AF398" s="169"/>
      <c r="AG398" s="169"/>
      <c r="AH398" s="169"/>
      <c r="AI398" s="169"/>
      <c r="AJ398" s="169"/>
      <c r="AK398" s="169"/>
      <c r="AL398" s="169"/>
      <c r="AM398" s="169"/>
      <c r="AN398" s="169"/>
      <c r="AO398" s="169"/>
      <c r="AP398" s="169"/>
      <c r="AQ398" s="169"/>
      <c r="AR398" s="169"/>
    </row>
    <row r="399" spans="1:44" ht="12.5">
      <c r="A399" s="169" t="str">
        <f ca="1">IFERROR(__xludf.DUMMYFUNCTION("""COMPUTED_VALUE"""),"Stephanie Brittain")</f>
        <v>Stephanie Brittain</v>
      </c>
      <c r="B399" s="186">
        <f ca="1">COUNTIF('All Scores'!AJ:AK,A399)</f>
        <v>2</v>
      </c>
      <c r="C399" s="186">
        <f ca="1">IFERROR(__xludf.DUMMYFUNCTION("MIN(FILTER('All Scores'!AI$2:AI$1024, ('All Scores'!AJ$2:AJ$1024 = A399) + ('All Scores'!AK$2:AK$1024 = A399)))"),6)</f>
        <v>6</v>
      </c>
      <c r="D399" s="187">
        <f ca="1">IFERROR(__xludf.DUMMYFUNCTION("AVERAGE(FILTER('All Scores'!AI$2:AI$1024, ('All Scores'!AJ$2:AJ$1024 = A399) + ('All Scores'!AK$2:AK$1024 = A399))
)
"),7)</f>
        <v>7</v>
      </c>
      <c r="E399" s="6">
        <f ca="1">IFERROR(__xludf.DUMMYFUNCTION("SUM(FILTER('All Scores'!AF$2:AF$1024, ('All Scores'!AJ$2:AJ$1024 = A399) + ('All Scores'!AK$2:AK$1024 = A399)))
"),143)</f>
        <v>143</v>
      </c>
      <c r="F399" s="6">
        <f ca="1">IFERROR(__xludf.DUMMYFUNCTION("SUM(FILTER('All Scores'!AD$2:AD$1024, ('All Scores'!AJ$2:AJ$1024 = A399) + ('All Scores'!AK$2:AK$1024 = A399)))
"),74)</f>
        <v>74</v>
      </c>
      <c r="G399" s="21">
        <f t="shared" ca="1" si="2"/>
        <v>0.5174825174825175</v>
      </c>
      <c r="H399" s="169"/>
      <c r="I399" s="169"/>
      <c r="J399" s="6"/>
      <c r="K399" s="188"/>
      <c r="L399" s="189"/>
      <c r="M399" s="189"/>
      <c r="N399" s="6"/>
      <c r="O399" s="6"/>
      <c r="P399" s="6"/>
      <c r="Q399" s="169"/>
      <c r="R399" s="6"/>
      <c r="S399" s="6"/>
      <c r="T399" s="169"/>
      <c r="U399" s="6"/>
      <c r="V399" s="169"/>
      <c r="W399" s="169"/>
      <c r="X399" s="169"/>
      <c r="Y399" s="169"/>
      <c r="Z399" s="169"/>
      <c r="AA399" s="169"/>
      <c r="AB399" s="169"/>
      <c r="AC399" s="169"/>
      <c r="AD399" s="169"/>
      <c r="AE399" s="169"/>
      <c r="AF399" s="169"/>
      <c r="AG399" s="169"/>
      <c r="AH399" s="169"/>
      <c r="AI399" s="169"/>
      <c r="AJ399" s="169"/>
      <c r="AK399" s="169"/>
      <c r="AL399" s="169"/>
      <c r="AM399" s="169"/>
      <c r="AN399" s="169"/>
      <c r="AO399" s="169"/>
      <c r="AP399" s="169"/>
      <c r="AQ399" s="169"/>
      <c r="AR399" s="169"/>
    </row>
    <row r="400" spans="1:44" ht="12.5">
      <c r="A400" s="169" t="str">
        <f ca="1">IFERROR(__xludf.DUMMYFUNCTION("""COMPUTED_VALUE"""),"Stephanie Campbell")</f>
        <v>Stephanie Campbell</v>
      </c>
      <c r="B400" s="186">
        <f ca="1">COUNTIF('All Scores'!AJ:AK,A400)</f>
        <v>5</v>
      </c>
      <c r="C400" s="186">
        <f ca="1">IFERROR(__xludf.DUMMYFUNCTION("MIN(FILTER('All Scores'!AI$2:AI$1024, ('All Scores'!AJ$2:AJ$1024 = A400) + ('All Scores'!AK$2:AK$1024 = A400)))"),2)</f>
        <v>2</v>
      </c>
      <c r="D400" s="187">
        <f ca="1">IFERROR(__xludf.DUMMYFUNCTION("AVERAGE(FILTER('All Scores'!AI$2:AI$1024, ('All Scores'!AJ$2:AJ$1024 = A400) + ('All Scores'!AK$2:AK$1024 = A400))
)
"),6)</f>
        <v>6</v>
      </c>
      <c r="E400" s="6">
        <f ca="1">IFERROR(__xludf.DUMMYFUNCTION("SUM(FILTER('All Scores'!AF$2:AF$1024, ('All Scores'!AJ$2:AJ$1024 = A400) + ('All Scores'!AK$2:AK$1024 = A400)))
"),454)</f>
        <v>454</v>
      </c>
      <c r="F400" s="6">
        <f ca="1">IFERROR(__xludf.DUMMYFUNCTION("SUM(FILTER('All Scores'!AD$2:AD$1024, ('All Scores'!AJ$2:AJ$1024 = A400) + ('All Scores'!AK$2:AK$1024 = A400)))
"),243)</f>
        <v>243</v>
      </c>
      <c r="G400" s="21">
        <f t="shared" ca="1" si="2"/>
        <v>0.53524229074889873</v>
      </c>
      <c r="H400" s="169"/>
      <c r="I400" s="169"/>
      <c r="J400" s="6"/>
      <c r="K400" s="188"/>
      <c r="L400" s="189"/>
      <c r="M400" s="189"/>
      <c r="N400" s="6"/>
      <c r="O400" s="6"/>
      <c r="P400" s="6"/>
      <c r="Q400" s="169"/>
      <c r="R400" s="6"/>
      <c r="S400" s="6"/>
      <c r="T400" s="169"/>
      <c r="U400" s="6"/>
      <c r="V400" s="169"/>
      <c r="W400" s="169"/>
      <c r="X400" s="169"/>
      <c r="Y400" s="169"/>
      <c r="Z400" s="169"/>
      <c r="AA400" s="169"/>
      <c r="AB400" s="169"/>
      <c r="AC400" s="169"/>
      <c r="AD400" s="169"/>
      <c r="AE400" s="169"/>
      <c r="AF400" s="169"/>
      <c r="AG400" s="169"/>
      <c r="AH400" s="169"/>
      <c r="AI400" s="169"/>
      <c r="AJ400" s="169"/>
      <c r="AK400" s="169"/>
      <c r="AL400" s="169"/>
      <c r="AM400" s="169"/>
      <c r="AN400" s="169"/>
      <c r="AO400" s="169"/>
      <c r="AP400" s="169"/>
      <c r="AQ400" s="169"/>
      <c r="AR400" s="169"/>
    </row>
    <row r="401" spans="1:44" ht="12.5">
      <c r="A401" s="169" t="str">
        <f ca="1">IFERROR(__xludf.DUMMYFUNCTION("""COMPUTED_VALUE"""),"Stephanie Patterson")</f>
        <v>Stephanie Patterson</v>
      </c>
      <c r="B401" s="186">
        <f ca="1">COUNTIF('All Scores'!AJ:AK,A401)</f>
        <v>7</v>
      </c>
      <c r="C401" s="186">
        <f ca="1">IFERROR(__xludf.DUMMYFUNCTION("MIN(FILTER('All Scores'!AI$2:AI$1024, ('All Scores'!AJ$2:AJ$1024 = A401) + ('All Scores'!AK$2:AK$1024 = A401)))"),1)</f>
        <v>1</v>
      </c>
      <c r="D401" s="187">
        <f ca="1">IFERROR(__xludf.DUMMYFUNCTION("AVERAGE(FILTER('All Scores'!AI$2:AI$1024, ('All Scores'!AJ$2:AJ$1024 = A401) + ('All Scores'!AK$2:AK$1024 = A401))
)
"),6.14285714285714)</f>
        <v>6.1428571428571397</v>
      </c>
      <c r="E401" s="6">
        <f ca="1">IFERROR(__xludf.DUMMYFUNCTION("SUM(FILTER('All Scores'!AF$2:AF$1024, ('All Scores'!AJ$2:AJ$1024 = A401) + ('All Scores'!AK$2:AK$1024 = A401)))
"),583)</f>
        <v>583</v>
      </c>
      <c r="F401" s="6">
        <f ca="1">IFERROR(__xludf.DUMMYFUNCTION("SUM(FILTER('All Scores'!AD$2:AD$1024, ('All Scores'!AJ$2:AJ$1024 = A401) + ('All Scores'!AK$2:AK$1024 = A401)))
"),326)</f>
        <v>326</v>
      </c>
      <c r="G401" s="21">
        <f t="shared" ca="1" si="2"/>
        <v>0.55917667238421953</v>
      </c>
      <c r="H401" s="169"/>
      <c r="I401" s="169"/>
      <c r="J401" s="6"/>
      <c r="K401" s="188"/>
      <c r="L401" s="189"/>
      <c r="M401" s="189"/>
      <c r="N401" s="6"/>
      <c r="O401" s="6"/>
      <c r="P401" s="6"/>
      <c r="Q401" s="169"/>
      <c r="R401" s="6"/>
      <c r="S401" s="6"/>
      <c r="T401" s="169"/>
      <c r="U401" s="6"/>
      <c r="V401" s="169"/>
      <c r="W401" s="169"/>
      <c r="X401" s="169"/>
      <c r="Y401" s="169"/>
      <c r="Z401" s="169"/>
      <c r="AA401" s="169"/>
      <c r="AB401" s="169"/>
      <c r="AC401" s="169"/>
      <c r="AD401" s="169"/>
      <c r="AE401" s="169"/>
      <c r="AF401" s="169"/>
      <c r="AG401" s="169"/>
      <c r="AH401" s="169"/>
      <c r="AI401" s="169"/>
      <c r="AJ401" s="169"/>
      <c r="AK401" s="169"/>
      <c r="AL401" s="169"/>
      <c r="AM401" s="169"/>
      <c r="AN401" s="169"/>
      <c r="AO401" s="169"/>
      <c r="AP401" s="169"/>
      <c r="AQ401" s="169"/>
      <c r="AR401" s="169"/>
    </row>
    <row r="402" spans="1:44" ht="12.5">
      <c r="A402" s="169" t="str">
        <f ca="1">IFERROR(__xludf.DUMMYFUNCTION("""COMPUTED_VALUE"""),"Stephanie Theut")</f>
        <v>Stephanie Theut</v>
      </c>
      <c r="B402" s="186">
        <f ca="1">COUNTIF('All Scores'!AJ:AK,A402)</f>
        <v>1</v>
      </c>
      <c r="C402" s="186">
        <f ca="1">IFERROR(__xludf.DUMMYFUNCTION("MIN(FILTER('All Scores'!AI$2:AI$1024, ('All Scores'!AJ$2:AJ$1024 = A402) + ('All Scores'!AK$2:AK$1024 = A402)))"),15)</f>
        <v>15</v>
      </c>
      <c r="D402" s="187">
        <f ca="1">IFERROR(__xludf.DUMMYFUNCTION("AVERAGE(FILTER('All Scores'!AI$2:AI$1024, ('All Scores'!AJ$2:AJ$1024 = A402) + ('All Scores'!AK$2:AK$1024 = A402))
)
"),15)</f>
        <v>15</v>
      </c>
      <c r="E402" s="6">
        <f ca="1">IFERROR(__xludf.DUMMYFUNCTION("SUM(FILTER('All Scores'!AF$2:AF$1024, ('All Scores'!AJ$2:AJ$1024 = A402) + ('All Scores'!AK$2:AK$1024 = A402)))
"),60)</f>
        <v>60</v>
      </c>
      <c r="F402" s="6">
        <f ca="1">IFERROR(__xludf.DUMMYFUNCTION("SUM(FILTER('All Scores'!AD$2:AD$1024, ('All Scores'!AJ$2:AJ$1024 = A402) + ('All Scores'!AK$2:AK$1024 = A402)))
"),16)</f>
        <v>16</v>
      </c>
      <c r="G402" s="21">
        <f t="shared" ca="1" si="2"/>
        <v>0.26666666666666666</v>
      </c>
      <c r="H402" s="169"/>
      <c r="I402" s="169"/>
      <c r="J402" s="6"/>
      <c r="K402" s="188"/>
      <c r="L402" s="189"/>
      <c r="M402" s="189"/>
      <c r="N402" s="6"/>
      <c r="O402" s="6"/>
      <c r="P402" s="6"/>
      <c r="Q402" s="169"/>
      <c r="R402" s="6"/>
      <c r="S402" s="6"/>
      <c r="T402" s="169"/>
      <c r="U402" s="6"/>
      <c r="V402" s="169"/>
      <c r="W402" s="169"/>
      <c r="X402" s="169"/>
      <c r="Y402" s="169"/>
      <c r="Z402" s="169"/>
      <c r="AA402" s="169"/>
      <c r="AB402" s="169"/>
      <c r="AC402" s="169"/>
      <c r="AD402" s="169"/>
      <c r="AE402" s="169"/>
      <c r="AF402" s="169"/>
      <c r="AG402" s="169"/>
      <c r="AH402" s="169"/>
      <c r="AI402" s="169"/>
      <c r="AJ402" s="169"/>
      <c r="AK402" s="169"/>
      <c r="AL402" s="169"/>
      <c r="AM402" s="169"/>
      <c r="AN402" s="169"/>
      <c r="AO402" s="169"/>
      <c r="AP402" s="169"/>
      <c r="AQ402" s="169"/>
      <c r="AR402" s="169"/>
    </row>
    <row r="403" spans="1:44" ht="12.5">
      <c r="A403" s="169" t="str">
        <f ca="1">IFERROR(__xludf.DUMMYFUNCTION("""COMPUTED_VALUE"""),"Stephen Limpic")</f>
        <v>Stephen Limpic</v>
      </c>
      <c r="B403" s="186">
        <f ca="1">COUNTIF('All Scores'!AJ:AK,A403)</f>
        <v>7</v>
      </c>
      <c r="C403" s="186">
        <f ca="1">IFERROR(__xludf.DUMMYFUNCTION("MIN(FILTER('All Scores'!AI$2:AI$1024, ('All Scores'!AJ$2:AJ$1024 = A403) + ('All Scores'!AK$2:AK$1024 = A403)))"),5)</f>
        <v>5</v>
      </c>
      <c r="D403" s="187">
        <f ca="1">IFERROR(__xludf.DUMMYFUNCTION("AVERAGE(FILTER('All Scores'!AI$2:AI$1024, ('All Scores'!AJ$2:AJ$1024 = A403) + ('All Scores'!AK$2:AK$1024 = A403))
)
"),10.2857142857142)</f>
        <v>10.285714285714199</v>
      </c>
      <c r="E403" s="6">
        <f ca="1">IFERROR(__xludf.DUMMYFUNCTION("SUM(FILTER('All Scores'!AF$2:AF$1024, ('All Scores'!AJ$2:AJ$1024 = A403) + ('All Scores'!AK$2:AK$1024 = A403)))
"),541)</f>
        <v>541</v>
      </c>
      <c r="F403" s="6">
        <f ca="1">IFERROR(__xludf.DUMMYFUNCTION("SUM(FILTER('All Scores'!AD$2:AD$1024, ('All Scores'!AJ$2:AJ$1024 = A403) + ('All Scores'!AK$2:AK$1024 = A403)))
"),249)</f>
        <v>249</v>
      </c>
      <c r="G403" s="21">
        <f t="shared" ca="1" si="2"/>
        <v>0.46025878003696857</v>
      </c>
      <c r="H403" s="169"/>
      <c r="I403" s="169"/>
      <c r="J403" s="6"/>
      <c r="K403" s="188"/>
      <c r="L403" s="189"/>
      <c r="M403" s="189"/>
      <c r="N403" s="6"/>
      <c r="O403" s="6"/>
      <c r="P403" s="6"/>
      <c r="Q403" s="169"/>
      <c r="R403" s="6"/>
      <c r="S403" s="6"/>
      <c r="T403" s="169"/>
      <c r="U403" s="6"/>
      <c r="V403" s="169"/>
      <c r="W403" s="169"/>
      <c r="X403" s="169"/>
      <c r="Y403" s="169"/>
      <c r="Z403" s="169"/>
      <c r="AA403" s="169"/>
      <c r="AB403" s="169"/>
      <c r="AC403" s="169"/>
      <c r="AD403" s="169"/>
      <c r="AE403" s="169"/>
      <c r="AF403" s="169"/>
      <c r="AG403" s="169"/>
      <c r="AH403" s="169"/>
      <c r="AI403" s="169"/>
      <c r="AJ403" s="169"/>
      <c r="AK403" s="169"/>
      <c r="AL403" s="169"/>
      <c r="AM403" s="169"/>
      <c r="AN403" s="169"/>
      <c r="AO403" s="169"/>
      <c r="AP403" s="169"/>
      <c r="AQ403" s="169"/>
      <c r="AR403" s="169"/>
    </row>
    <row r="404" spans="1:44" ht="12.5">
      <c r="A404" s="169" t="str">
        <f ca="1">IFERROR(__xludf.DUMMYFUNCTION("""COMPUTED_VALUE"""),"Steve Baker")</f>
        <v>Steve Baker</v>
      </c>
      <c r="B404" s="186">
        <f ca="1">COUNTIF('All Scores'!AJ:AK,A404)</f>
        <v>1</v>
      </c>
      <c r="C404" s="186">
        <f ca="1">IFERROR(__xludf.DUMMYFUNCTION("MIN(FILTER('All Scores'!AI$2:AI$1024, ('All Scores'!AJ$2:AJ$1024 = A404) + ('All Scores'!AK$2:AK$1024 = A404)))"),12)</f>
        <v>12</v>
      </c>
      <c r="D404" s="187">
        <f ca="1">IFERROR(__xludf.DUMMYFUNCTION("AVERAGE(FILTER('All Scores'!AI$2:AI$1024, ('All Scores'!AJ$2:AJ$1024 = A404) + ('All Scores'!AK$2:AK$1024 = A404))
)
"),12)</f>
        <v>12</v>
      </c>
      <c r="E404" s="6">
        <f ca="1">IFERROR(__xludf.DUMMYFUNCTION("SUM(FILTER('All Scores'!AF$2:AF$1024, ('All Scores'!AJ$2:AJ$1024 = A404) + ('All Scores'!AK$2:AK$1024 = A404)))
"),75)</f>
        <v>75</v>
      </c>
      <c r="F404" s="6">
        <f ca="1">IFERROR(__xludf.DUMMYFUNCTION("SUM(FILTER('All Scores'!AD$2:AD$1024, ('All Scores'!AJ$2:AJ$1024 = A404) + ('All Scores'!AK$2:AK$1024 = A404)))
"),39)</f>
        <v>39</v>
      </c>
      <c r="G404" s="21">
        <f t="shared" ca="1" si="2"/>
        <v>0.52</v>
      </c>
      <c r="H404" s="169"/>
      <c r="I404" s="169"/>
      <c r="J404" s="6"/>
      <c r="K404" s="188"/>
      <c r="L404" s="189"/>
      <c r="M404" s="189"/>
      <c r="N404" s="6"/>
      <c r="O404" s="6"/>
      <c r="P404" s="6"/>
      <c r="Q404" s="169"/>
      <c r="R404" s="6"/>
      <c r="S404" s="6"/>
      <c r="T404" s="169"/>
      <c r="U404" s="6"/>
      <c r="V404" s="169"/>
      <c r="W404" s="169"/>
      <c r="X404" s="169"/>
      <c r="Y404" s="169"/>
      <c r="Z404" s="169"/>
      <c r="AA404" s="169"/>
      <c r="AB404" s="169"/>
      <c r="AC404" s="169"/>
      <c r="AD404" s="169"/>
      <c r="AE404" s="169"/>
      <c r="AF404" s="169"/>
      <c r="AG404" s="169"/>
      <c r="AH404" s="169"/>
      <c r="AI404" s="169"/>
      <c r="AJ404" s="169"/>
      <c r="AK404" s="169"/>
      <c r="AL404" s="169"/>
      <c r="AM404" s="169"/>
      <c r="AN404" s="169"/>
      <c r="AO404" s="169"/>
      <c r="AP404" s="169"/>
      <c r="AQ404" s="169"/>
      <c r="AR404" s="169"/>
    </row>
    <row r="405" spans="1:44" ht="12.5">
      <c r="A405" s="169" t="str">
        <f ca="1">IFERROR(__xludf.DUMMYFUNCTION("""COMPUTED_VALUE"""),"Steve Peterson")</f>
        <v>Steve Peterson</v>
      </c>
      <c r="B405" s="186">
        <f ca="1">COUNTIF('All Scores'!AJ:AK,A405)</f>
        <v>5</v>
      </c>
      <c r="C405" s="186">
        <f ca="1">IFERROR(__xludf.DUMMYFUNCTION("MIN(FILTER('All Scores'!AI$2:AI$1024, ('All Scores'!AJ$2:AJ$1024 = A405) + ('All Scores'!AK$2:AK$1024 = A405)))"),5)</f>
        <v>5</v>
      </c>
      <c r="D405" s="187">
        <f ca="1">IFERROR(__xludf.DUMMYFUNCTION("AVERAGE(FILTER('All Scores'!AI$2:AI$1024, ('All Scores'!AJ$2:AJ$1024 = A405) + ('All Scores'!AK$2:AK$1024 = A405))
)
"),13.2)</f>
        <v>13.2</v>
      </c>
      <c r="E405" s="6">
        <f ca="1">IFERROR(__xludf.DUMMYFUNCTION("SUM(FILTER('All Scores'!AF$2:AF$1024, ('All Scores'!AJ$2:AJ$1024 = A405) + ('All Scores'!AK$2:AK$1024 = A405)))
"),269)</f>
        <v>269</v>
      </c>
      <c r="F405" s="6">
        <f ca="1">IFERROR(__xludf.DUMMYFUNCTION("SUM(FILTER('All Scores'!AD$2:AD$1024, ('All Scores'!AJ$2:AJ$1024 = A405) + ('All Scores'!AK$2:AK$1024 = A405)))
"),129)</f>
        <v>129</v>
      </c>
      <c r="G405" s="21">
        <f t="shared" ca="1" si="2"/>
        <v>0.4795539033457249</v>
      </c>
      <c r="H405" s="169"/>
      <c r="I405" s="169"/>
      <c r="J405" s="6"/>
      <c r="K405" s="188"/>
      <c r="L405" s="189"/>
      <c r="M405" s="189"/>
      <c r="N405" s="6"/>
      <c r="O405" s="6"/>
      <c r="P405" s="6"/>
      <c r="Q405" s="169"/>
      <c r="R405" s="6"/>
      <c r="S405" s="6"/>
      <c r="T405" s="169"/>
      <c r="U405" s="6"/>
      <c r="V405" s="169"/>
      <c r="W405" s="169"/>
      <c r="X405" s="169"/>
      <c r="Y405" s="169"/>
      <c r="Z405" s="169"/>
      <c r="AA405" s="169"/>
      <c r="AB405" s="169"/>
      <c r="AC405" s="169"/>
      <c r="AD405" s="169"/>
      <c r="AE405" s="169"/>
      <c r="AF405" s="169"/>
      <c r="AG405" s="169"/>
      <c r="AH405" s="169"/>
      <c r="AI405" s="169"/>
      <c r="AJ405" s="169"/>
      <c r="AK405" s="169"/>
      <c r="AL405" s="169"/>
      <c r="AM405" s="169"/>
      <c r="AN405" s="169"/>
      <c r="AO405" s="169"/>
      <c r="AP405" s="169"/>
      <c r="AQ405" s="169"/>
      <c r="AR405" s="169"/>
    </row>
    <row r="406" spans="1:44" ht="12.5">
      <c r="A406" s="169" t="str">
        <f ca="1">IFERROR(__xludf.DUMMYFUNCTION("""COMPUTED_VALUE"""),"Steve Planchon")</f>
        <v>Steve Planchon</v>
      </c>
      <c r="B406" s="186">
        <f ca="1">COUNTIF('All Scores'!AJ:AK,A406)</f>
        <v>2</v>
      </c>
      <c r="C406" s="186">
        <f ca="1">IFERROR(__xludf.DUMMYFUNCTION("MIN(FILTER('All Scores'!AI$2:AI$1024, ('All Scores'!AJ$2:AJ$1024 = A406) + ('All Scores'!AK$2:AK$1024 = A406)))"),7)</f>
        <v>7</v>
      </c>
      <c r="D406" s="187">
        <f ca="1">IFERROR(__xludf.DUMMYFUNCTION("AVERAGE(FILTER('All Scores'!AI$2:AI$1024, ('All Scores'!AJ$2:AJ$1024 = A406) + ('All Scores'!AK$2:AK$1024 = A406))
)
"),19.5)</f>
        <v>19.5</v>
      </c>
      <c r="E406" s="6">
        <f ca="1">IFERROR(__xludf.DUMMYFUNCTION("SUM(FILTER('All Scores'!AF$2:AF$1024, ('All Scores'!AJ$2:AJ$1024 = A406) + ('All Scores'!AK$2:AK$1024 = A406)))
"),101)</f>
        <v>101</v>
      </c>
      <c r="F406" s="6">
        <f ca="1">IFERROR(__xludf.DUMMYFUNCTION("SUM(FILTER('All Scores'!AD$2:AD$1024, ('All Scores'!AJ$2:AJ$1024 = A406) + ('All Scores'!AK$2:AK$1024 = A406)))
"),39)</f>
        <v>39</v>
      </c>
      <c r="G406" s="21">
        <f t="shared" ca="1" si="2"/>
        <v>0.38613861386138615</v>
      </c>
      <c r="H406" s="169"/>
      <c r="I406" s="169"/>
      <c r="J406" s="6"/>
      <c r="K406" s="188"/>
      <c r="L406" s="189"/>
      <c r="M406" s="189"/>
      <c r="N406" s="6"/>
      <c r="O406" s="6"/>
      <c r="P406" s="6"/>
      <c r="Q406" s="169"/>
      <c r="R406" s="6"/>
      <c r="S406" s="6"/>
      <c r="T406" s="169"/>
      <c r="U406" s="6"/>
      <c r="V406" s="169"/>
      <c r="W406" s="169"/>
      <c r="X406" s="169"/>
      <c r="Y406" s="169"/>
      <c r="Z406" s="169"/>
      <c r="AA406" s="169"/>
      <c r="AB406" s="169"/>
      <c r="AC406" s="169"/>
      <c r="AD406" s="169"/>
      <c r="AE406" s="169"/>
      <c r="AF406" s="169"/>
      <c r="AG406" s="169"/>
      <c r="AH406" s="169"/>
      <c r="AI406" s="169"/>
      <c r="AJ406" s="169"/>
      <c r="AK406" s="169"/>
      <c r="AL406" s="169"/>
      <c r="AM406" s="169"/>
      <c r="AN406" s="169"/>
      <c r="AO406" s="169"/>
      <c r="AP406" s="169"/>
      <c r="AQ406" s="169"/>
      <c r="AR406" s="169"/>
    </row>
    <row r="407" spans="1:44" ht="12.5">
      <c r="A407" s="169" t="str">
        <f ca="1">IFERROR(__xludf.DUMMYFUNCTION("""COMPUTED_VALUE"""),"Steve Schanker")</f>
        <v>Steve Schanker</v>
      </c>
      <c r="B407" s="186">
        <f ca="1">COUNTIF('All Scores'!AJ:AK,A407)</f>
        <v>3</v>
      </c>
      <c r="C407" s="186">
        <f ca="1">IFERROR(__xludf.DUMMYFUNCTION("MIN(FILTER('All Scores'!AI$2:AI$1024, ('All Scores'!AJ$2:AJ$1024 = A407) + ('All Scores'!AK$2:AK$1024 = A407)))"),1)</f>
        <v>1</v>
      </c>
      <c r="D407" s="187">
        <f ca="1">IFERROR(__xludf.DUMMYFUNCTION("AVERAGE(FILTER('All Scores'!AI$2:AI$1024, ('All Scores'!AJ$2:AJ$1024 = A407) + ('All Scores'!AK$2:AK$1024 = A407))
)
"),2.33333333333333)</f>
        <v>2.3333333333333299</v>
      </c>
      <c r="E407" s="6">
        <f ca="1">IFERROR(__xludf.DUMMYFUNCTION("SUM(FILTER('All Scores'!AF$2:AF$1024, ('All Scores'!AJ$2:AJ$1024 = A407) + ('All Scores'!AK$2:AK$1024 = A407)))
"),278)</f>
        <v>278</v>
      </c>
      <c r="F407" s="6">
        <f ca="1">IFERROR(__xludf.DUMMYFUNCTION("SUM(FILTER('All Scores'!AD$2:AD$1024, ('All Scores'!AJ$2:AJ$1024 = A407) + ('All Scores'!AK$2:AK$1024 = A407)))
"),174)</f>
        <v>174</v>
      </c>
      <c r="G407" s="21">
        <f t="shared" ca="1" si="2"/>
        <v>0.62589928057553956</v>
      </c>
      <c r="H407" s="169"/>
      <c r="I407" s="169"/>
      <c r="J407" s="6"/>
      <c r="K407" s="188"/>
      <c r="L407" s="189"/>
      <c r="M407" s="189"/>
      <c r="N407" s="6"/>
      <c r="O407" s="6"/>
      <c r="P407" s="6"/>
      <c r="Q407" s="169"/>
      <c r="R407" s="6"/>
      <c r="S407" s="6"/>
      <c r="T407" s="169"/>
      <c r="U407" s="6"/>
      <c r="V407" s="169"/>
      <c r="W407" s="169"/>
      <c r="X407" s="169"/>
      <c r="Y407" s="169"/>
      <c r="Z407" s="169"/>
      <c r="AA407" s="169"/>
      <c r="AB407" s="169"/>
      <c r="AC407" s="169"/>
      <c r="AD407" s="169"/>
      <c r="AE407" s="169"/>
      <c r="AF407" s="169"/>
      <c r="AG407" s="169"/>
      <c r="AH407" s="169"/>
      <c r="AI407" s="169"/>
      <c r="AJ407" s="169"/>
      <c r="AK407" s="169"/>
      <c r="AL407" s="169"/>
      <c r="AM407" s="169"/>
      <c r="AN407" s="169"/>
      <c r="AO407" s="169"/>
      <c r="AP407" s="169"/>
      <c r="AQ407" s="169"/>
      <c r="AR407" s="169"/>
    </row>
    <row r="408" spans="1:44" ht="12.5">
      <c r="A408" s="169" t="str">
        <f ca="1">IFERROR(__xludf.DUMMYFUNCTION("""COMPUTED_VALUE"""),"Steven Pauwels")</f>
        <v>Steven Pauwels</v>
      </c>
      <c r="B408" s="186">
        <f ca="1">COUNTIF('All Scores'!AJ:AK,A408)</f>
        <v>5</v>
      </c>
      <c r="C408" s="186">
        <f ca="1">IFERROR(__xludf.DUMMYFUNCTION("MIN(FILTER('All Scores'!AI$2:AI$1024, ('All Scores'!AJ$2:AJ$1024 = A408) + ('All Scores'!AK$2:AK$1024 = A408)))"),12)</f>
        <v>12</v>
      </c>
      <c r="D408" s="187">
        <f ca="1">IFERROR(__xludf.DUMMYFUNCTION("AVERAGE(FILTER('All Scores'!AI$2:AI$1024, ('All Scores'!AJ$2:AJ$1024 = A408) + ('All Scores'!AK$2:AK$1024 = A408))
)
"),13.2)</f>
        <v>13.2</v>
      </c>
      <c r="E408" s="6">
        <f ca="1">IFERROR(__xludf.DUMMYFUNCTION("SUM(FILTER('All Scores'!AF$2:AF$1024, ('All Scores'!AJ$2:AJ$1024 = A408) + ('All Scores'!AK$2:AK$1024 = A408)))
"),319)</f>
        <v>319</v>
      </c>
      <c r="F408" s="6">
        <f ca="1">IFERROR(__xludf.DUMMYFUNCTION("SUM(FILTER('All Scores'!AD$2:AD$1024, ('All Scores'!AJ$2:AJ$1024 = A408) + ('All Scores'!AK$2:AK$1024 = A408)))
"),120)</f>
        <v>120</v>
      </c>
      <c r="G408" s="21">
        <f t="shared" ca="1" si="2"/>
        <v>0.37617554858934171</v>
      </c>
      <c r="H408" s="169"/>
      <c r="I408" s="169"/>
      <c r="J408" s="6"/>
      <c r="K408" s="188"/>
      <c r="L408" s="189"/>
      <c r="M408" s="189"/>
      <c r="N408" s="6"/>
      <c r="O408" s="6"/>
      <c r="P408" s="6"/>
      <c r="Q408" s="169"/>
      <c r="R408" s="6"/>
      <c r="S408" s="6"/>
      <c r="T408" s="169"/>
      <c r="U408" s="6"/>
      <c r="V408" s="169"/>
      <c r="W408" s="169"/>
      <c r="X408" s="169"/>
      <c r="Y408" s="169"/>
      <c r="Z408" s="169"/>
      <c r="AA408" s="169"/>
      <c r="AB408" s="169"/>
      <c r="AC408" s="169"/>
      <c r="AD408" s="169"/>
      <c r="AE408" s="169"/>
      <c r="AF408" s="169"/>
      <c r="AG408" s="169"/>
      <c r="AH408" s="169"/>
      <c r="AI408" s="169"/>
      <c r="AJ408" s="169"/>
      <c r="AK408" s="169"/>
      <c r="AL408" s="169"/>
      <c r="AM408" s="169"/>
      <c r="AN408" s="169"/>
      <c r="AO408" s="169"/>
      <c r="AP408" s="169"/>
      <c r="AQ408" s="169"/>
      <c r="AR408" s="169"/>
    </row>
    <row r="409" spans="1:44" ht="12.5">
      <c r="A409" s="169" t="str">
        <f ca="1">IFERROR(__xludf.DUMMYFUNCTION("""COMPUTED_VALUE"""),"Steven Sturis")</f>
        <v>Steven Sturis</v>
      </c>
      <c r="B409" s="186">
        <f ca="1">COUNTIF('All Scores'!AJ:AK,A409)</f>
        <v>4</v>
      </c>
      <c r="C409" s="186">
        <f ca="1">IFERROR(__xludf.DUMMYFUNCTION("MIN(FILTER('All Scores'!AI$2:AI$1024, ('All Scores'!AJ$2:AJ$1024 = A409) + ('All Scores'!AK$2:AK$1024 = A409)))"),1)</f>
        <v>1</v>
      </c>
      <c r="D409" s="187">
        <f ca="1">IFERROR(__xludf.DUMMYFUNCTION("AVERAGE(FILTER('All Scores'!AI$2:AI$1024, ('All Scores'!AJ$2:AJ$1024 = A409) + ('All Scores'!AK$2:AK$1024 = A409))
)
"),10.5)</f>
        <v>10.5</v>
      </c>
      <c r="E409" s="6">
        <f ca="1">IFERROR(__xludf.DUMMYFUNCTION("SUM(FILTER('All Scores'!AF$2:AF$1024, ('All Scores'!AJ$2:AJ$1024 = A409) + ('All Scores'!AK$2:AK$1024 = A409)))
"),251)</f>
        <v>251</v>
      </c>
      <c r="F409" s="6">
        <f ca="1">IFERROR(__xludf.DUMMYFUNCTION("SUM(FILTER('All Scores'!AD$2:AD$1024, ('All Scores'!AJ$2:AJ$1024 = A409) + ('All Scores'!AK$2:AK$1024 = A409)))
"),115)</f>
        <v>115</v>
      </c>
      <c r="G409" s="21">
        <f t="shared" ca="1" si="2"/>
        <v>0.45816733067729082</v>
      </c>
      <c r="H409" s="169"/>
      <c r="I409" s="169"/>
      <c r="J409" s="6"/>
      <c r="K409" s="188"/>
      <c r="L409" s="189"/>
      <c r="M409" s="189"/>
      <c r="N409" s="6"/>
      <c r="O409" s="6"/>
      <c r="P409" s="6"/>
      <c r="Q409" s="169"/>
      <c r="R409" s="6"/>
      <c r="S409" s="6"/>
      <c r="T409" s="169"/>
      <c r="U409" s="6"/>
      <c r="V409" s="169"/>
      <c r="W409" s="169"/>
      <c r="X409" s="169"/>
      <c r="Y409" s="169"/>
      <c r="Z409" s="169"/>
      <c r="AA409" s="169"/>
      <c r="AB409" s="169"/>
      <c r="AC409" s="169"/>
      <c r="AD409" s="169"/>
      <c r="AE409" s="169"/>
      <c r="AF409" s="169"/>
      <c r="AG409" s="169"/>
      <c r="AH409" s="169"/>
      <c r="AI409" s="169"/>
      <c r="AJ409" s="169"/>
      <c r="AK409" s="169"/>
      <c r="AL409" s="169"/>
      <c r="AM409" s="169"/>
      <c r="AN409" s="169"/>
      <c r="AO409" s="169"/>
      <c r="AP409" s="169"/>
      <c r="AQ409" s="169"/>
      <c r="AR409" s="169"/>
    </row>
    <row r="410" spans="1:44" ht="12.5">
      <c r="A410" s="169" t="str">
        <f ca="1">IFERROR(__xludf.DUMMYFUNCTION("""COMPUTED_VALUE"""),"Stuart Carrico")</f>
        <v>Stuart Carrico</v>
      </c>
      <c r="B410" s="186">
        <f ca="1">COUNTIF('All Scores'!AJ:AK,A410)</f>
        <v>1</v>
      </c>
      <c r="C410" s="186">
        <f ca="1">IFERROR(__xludf.DUMMYFUNCTION("MIN(FILTER('All Scores'!AI$2:AI$1024, ('All Scores'!AJ$2:AJ$1024 = A410) + ('All Scores'!AK$2:AK$1024 = A410)))"),3)</f>
        <v>3</v>
      </c>
      <c r="D410" s="187">
        <f ca="1">IFERROR(__xludf.DUMMYFUNCTION("AVERAGE(FILTER('All Scores'!AI$2:AI$1024, ('All Scores'!AJ$2:AJ$1024 = A410) + ('All Scores'!AK$2:AK$1024 = A410))
)
"),3)</f>
        <v>3</v>
      </c>
      <c r="E410" s="6">
        <f ca="1">IFERROR(__xludf.DUMMYFUNCTION("SUM(FILTER('All Scores'!AF$2:AF$1024, ('All Scores'!AJ$2:AJ$1024 = A410) + ('All Scores'!AK$2:AK$1024 = A410)))
"),86)</f>
        <v>86</v>
      </c>
      <c r="F410" s="6">
        <f ca="1">IFERROR(__xludf.DUMMYFUNCTION("SUM(FILTER('All Scores'!AD$2:AD$1024, ('All Scores'!AJ$2:AJ$1024 = A410) + ('All Scores'!AK$2:AK$1024 = A410)))
"),52)</f>
        <v>52</v>
      </c>
      <c r="G410" s="21">
        <f t="shared" ca="1" si="2"/>
        <v>0.60465116279069764</v>
      </c>
      <c r="H410" s="169"/>
      <c r="I410" s="169"/>
      <c r="J410" s="6"/>
      <c r="K410" s="188"/>
      <c r="L410" s="189"/>
      <c r="M410" s="189"/>
      <c r="N410" s="6"/>
      <c r="O410" s="6"/>
      <c r="P410" s="6"/>
      <c r="Q410" s="169"/>
      <c r="R410" s="6"/>
      <c r="S410" s="6"/>
      <c r="T410" s="169"/>
      <c r="U410" s="6"/>
      <c r="V410" s="169"/>
      <c r="W410" s="169"/>
      <c r="X410" s="169"/>
      <c r="Y410" s="169"/>
      <c r="Z410" s="169"/>
      <c r="AA410" s="169"/>
      <c r="AB410" s="169"/>
      <c r="AC410" s="169"/>
      <c r="AD410" s="169"/>
      <c r="AE410" s="169"/>
      <c r="AF410" s="169"/>
      <c r="AG410" s="169"/>
      <c r="AH410" s="169"/>
      <c r="AI410" s="169"/>
      <c r="AJ410" s="169"/>
      <c r="AK410" s="169"/>
      <c r="AL410" s="169"/>
      <c r="AM410" s="169"/>
      <c r="AN410" s="169"/>
      <c r="AO410" s="169"/>
      <c r="AP410" s="169"/>
      <c r="AQ410" s="169"/>
      <c r="AR410" s="169"/>
    </row>
    <row r="411" spans="1:44" ht="12.5">
      <c r="A411" s="169" t="str">
        <f ca="1">IFERROR(__xludf.DUMMYFUNCTION("""COMPUTED_VALUE"""),"Susan Geick")</f>
        <v>Susan Geick</v>
      </c>
      <c r="B411" s="186">
        <f ca="1">COUNTIF('All Scores'!AJ:AK,A411)</f>
        <v>2</v>
      </c>
      <c r="C411" s="186">
        <f ca="1">IFERROR(__xludf.DUMMYFUNCTION("MIN(FILTER('All Scores'!AI$2:AI$1024, ('All Scores'!AJ$2:AJ$1024 = A411) + ('All Scores'!AK$2:AK$1024 = A411)))"),21)</f>
        <v>21</v>
      </c>
      <c r="D411" s="187">
        <f ca="1">IFERROR(__xludf.DUMMYFUNCTION("AVERAGE(FILTER('All Scores'!AI$2:AI$1024, ('All Scores'!AJ$2:AJ$1024 = A411) + ('All Scores'!AK$2:AK$1024 = A411))
)
"),24.5)</f>
        <v>24.5</v>
      </c>
      <c r="E411" s="6">
        <f ca="1">IFERROR(__xludf.DUMMYFUNCTION("SUM(FILTER('All Scores'!AF$2:AF$1024, ('All Scores'!AJ$2:AJ$1024 = A411) + ('All Scores'!AK$2:AK$1024 = A411)))
"),98)</f>
        <v>98</v>
      </c>
      <c r="F411" s="6">
        <f ca="1">IFERROR(__xludf.DUMMYFUNCTION("SUM(FILTER('All Scores'!AD$2:AD$1024, ('All Scores'!AJ$2:AJ$1024 = A411) + ('All Scores'!AK$2:AK$1024 = A411)))
"),39)</f>
        <v>39</v>
      </c>
      <c r="G411" s="21">
        <f t="shared" ca="1" si="2"/>
        <v>0.39795918367346939</v>
      </c>
      <c r="H411" s="169"/>
      <c r="I411" s="169"/>
      <c r="J411" s="6"/>
      <c r="K411" s="188"/>
      <c r="L411" s="189"/>
      <c r="M411" s="189"/>
      <c r="N411" s="6"/>
      <c r="O411" s="6"/>
      <c r="P411" s="6"/>
      <c r="Q411" s="169"/>
      <c r="R411" s="6"/>
      <c r="S411" s="6"/>
      <c r="T411" s="169"/>
      <c r="U411" s="6"/>
      <c r="V411" s="169"/>
      <c r="W411" s="169"/>
      <c r="X411" s="169"/>
      <c r="Y411" s="169"/>
      <c r="Z411" s="169"/>
      <c r="AA411" s="169"/>
      <c r="AB411" s="169"/>
      <c r="AC411" s="169"/>
      <c r="AD411" s="169"/>
      <c r="AE411" s="169"/>
      <c r="AF411" s="169"/>
      <c r="AG411" s="169"/>
      <c r="AH411" s="169"/>
      <c r="AI411" s="169"/>
      <c r="AJ411" s="169"/>
      <c r="AK411" s="169"/>
      <c r="AL411" s="169"/>
      <c r="AM411" s="169"/>
      <c r="AN411" s="169"/>
      <c r="AO411" s="169"/>
      <c r="AP411" s="169"/>
      <c r="AQ411" s="169"/>
      <c r="AR411" s="169"/>
    </row>
    <row r="412" spans="1:44" ht="12.5">
      <c r="A412" s="169" t="str">
        <f ca="1">IFERROR(__xludf.DUMMYFUNCTION("""COMPUTED_VALUE"""),"Susan Mitts")</f>
        <v>Susan Mitts</v>
      </c>
      <c r="B412" s="186">
        <f ca="1">COUNTIF('All Scores'!AJ:AK,A412)</f>
        <v>15</v>
      </c>
      <c r="C412" s="186">
        <f ca="1">IFERROR(__xludf.DUMMYFUNCTION("MIN(FILTER('All Scores'!AI$2:AI$1024, ('All Scores'!AJ$2:AJ$1024 = A412) + ('All Scores'!AK$2:AK$1024 = A412)))"),1)</f>
        <v>1</v>
      </c>
      <c r="D412" s="187">
        <f ca="1">IFERROR(__xludf.DUMMYFUNCTION("AVERAGE(FILTER('All Scores'!AI$2:AI$1024, ('All Scores'!AJ$2:AJ$1024 = A412) + ('All Scores'!AK$2:AK$1024 = A412))
)
"),9.33333333333333)</f>
        <v>9.3333333333333304</v>
      </c>
      <c r="E412" s="6">
        <f ca="1">IFERROR(__xludf.DUMMYFUNCTION("SUM(FILTER('All Scores'!AF$2:AF$1024, ('All Scores'!AJ$2:AJ$1024 = A412) + ('All Scores'!AK$2:AK$1024 = A412)))
"),1247)</f>
        <v>1247</v>
      </c>
      <c r="F412" s="6">
        <f ca="1">IFERROR(__xludf.DUMMYFUNCTION("SUM(FILTER('All Scores'!AD$2:AD$1024, ('All Scores'!AJ$2:AJ$1024 = A412) + ('All Scores'!AK$2:AK$1024 = A412)))
"),622)</f>
        <v>622</v>
      </c>
      <c r="G412" s="21">
        <f t="shared" ca="1" si="2"/>
        <v>0.49879711307137131</v>
      </c>
      <c r="H412" s="169"/>
      <c r="I412" s="169"/>
      <c r="J412" s="6"/>
      <c r="K412" s="188"/>
      <c r="L412" s="189"/>
      <c r="M412" s="189"/>
      <c r="N412" s="6"/>
      <c r="O412" s="6"/>
      <c r="P412" s="6"/>
      <c r="Q412" s="169"/>
      <c r="R412" s="6"/>
      <c r="S412" s="6"/>
      <c r="T412" s="169"/>
      <c r="U412" s="6"/>
      <c r="V412" s="169"/>
      <c r="W412" s="169"/>
      <c r="X412" s="169"/>
      <c r="Y412" s="169"/>
      <c r="Z412" s="169"/>
      <c r="AA412" s="169"/>
      <c r="AB412" s="169"/>
      <c r="AC412" s="169"/>
      <c r="AD412" s="169"/>
      <c r="AE412" s="169"/>
      <c r="AF412" s="169"/>
      <c r="AG412" s="169"/>
      <c r="AH412" s="169"/>
      <c r="AI412" s="169"/>
      <c r="AJ412" s="169"/>
      <c r="AK412" s="169"/>
      <c r="AL412" s="169"/>
      <c r="AM412" s="169"/>
      <c r="AN412" s="169"/>
      <c r="AO412" s="169"/>
      <c r="AP412" s="169"/>
      <c r="AQ412" s="169"/>
      <c r="AR412" s="169"/>
    </row>
    <row r="413" spans="1:44" ht="12.5">
      <c r="A413" s="169" t="str">
        <f ca="1">IFERROR(__xludf.DUMMYFUNCTION("""COMPUTED_VALUE"""),"Susan Murphy")</f>
        <v>Susan Murphy</v>
      </c>
      <c r="B413" s="186">
        <f ca="1">COUNTIF('All Scores'!AJ:AK,A413)</f>
        <v>9</v>
      </c>
      <c r="C413" s="186">
        <f ca="1">IFERROR(__xludf.DUMMYFUNCTION("MIN(FILTER('All Scores'!AI$2:AI$1024, ('All Scores'!AJ$2:AJ$1024 = A413) + ('All Scores'!AK$2:AK$1024 = A413)))"),4)</f>
        <v>4</v>
      </c>
      <c r="D413" s="187">
        <f ca="1">IFERROR(__xludf.DUMMYFUNCTION("AVERAGE(FILTER('All Scores'!AI$2:AI$1024, ('All Scores'!AJ$2:AJ$1024 = A413) + ('All Scores'!AK$2:AK$1024 = A413))
)
"),11.6666666666666)</f>
        <v>11.6666666666666</v>
      </c>
      <c r="E413" s="6">
        <f ca="1">IFERROR(__xludf.DUMMYFUNCTION("SUM(FILTER('All Scores'!AF$2:AF$1024, ('All Scores'!AJ$2:AJ$1024 = A413) + ('All Scores'!AK$2:AK$1024 = A413)))
"),587)</f>
        <v>587</v>
      </c>
      <c r="F413" s="6">
        <f ca="1">IFERROR(__xludf.DUMMYFUNCTION("SUM(FILTER('All Scores'!AD$2:AD$1024, ('All Scores'!AJ$2:AJ$1024 = A413) + ('All Scores'!AK$2:AK$1024 = A413)))
"),245)</f>
        <v>245</v>
      </c>
      <c r="G413" s="21">
        <f t="shared" ca="1" si="2"/>
        <v>0.41737649063032367</v>
      </c>
      <c r="H413" s="169"/>
      <c r="I413" s="169"/>
      <c r="J413" s="6"/>
      <c r="K413" s="188"/>
      <c r="L413" s="189"/>
      <c r="M413" s="189"/>
      <c r="N413" s="6"/>
      <c r="O413" s="6"/>
      <c r="P413" s="6"/>
      <c r="Q413" s="169"/>
      <c r="R413" s="6"/>
      <c r="S413" s="6"/>
      <c r="T413" s="169"/>
      <c r="U413" s="6"/>
      <c r="V413" s="169"/>
      <c r="W413" s="169"/>
      <c r="X413" s="169"/>
      <c r="Y413" s="169"/>
      <c r="Z413" s="169"/>
      <c r="AA413" s="169"/>
      <c r="AB413" s="169"/>
      <c r="AC413" s="169"/>
      <c r="AD413" s="169"/>
      <c r="AE413" s="169"/>
      <c r="AF413" s="169"/>
      <c r="AG413" s="169"/>
      <c r="AH413" s="169"/>
      <c r="AI413" s="169"/>
      <c r="AJ413" s="169"/>
      <c r="AK413" s="169"/>
      <c r="AL413" s="169"/>
      <c r="AM413" s="169"/>
      <c r="AN413" s="169"/>
      <c r="AO413" s="169"/>
      <c r="AP413" s="169"/>
      <c r="AQ413" s="169"/>
      <c r="AR413" s="169"/>
    </row>
    <row r="414" spans="1:44" ht="12.5">
      <c r="A414" s="169" t="str">
        <f ca="1">IFERROR(__xludf.DUMMYFUNCTION("""COMPUTED_VALUE"""),"Susan Scott Savic")</f>
        <v>Susan Scott Savic</v>
      </c>
      <c r="B414" s="186">
        <f ca="1">COUNTIF('All Scores'!AJ:AK,A414)</f>
        <v>2</v>
      </c>
      <c r="C414" s="186">
        <f ca="1">IFERROR(__xludf.DUMMYFUNCTION("MIN(FILTER('All Scores'!AI$2:AI$1024, ('All Scores'!AJ$2:AJ$1024 = A414) + ('All Scores'!AK$2:AK$1024 = A414)))"),6)</f>
        <v>6</v>
      </c>
      <c r="D414" s="187">
        <f ca="1">IFERROR(__xludf.DUMMYFUNCTION("AVERAGE(FILTER('All Scores'!AI$2:AI$1024, ('All Scores'!AJ$2:AJ$1024 = A414) + ('All Scores'!AK$2:AK$1024 = A414))
)
"),8.5)</f>
        <v>8.5</v>
      </c>
      <c r="E414" s="6">
        <f ca="1">IFERROR(__xludf.DUMMYFUNCTION("SUM(FILTER('All Scores'!AF$2:AF$1024, ('All Scores'!AJ$2:AJ$1024 = A414) + ('All Scores'!AK$2:AK$1024 = A414)))
"),152)</f>
        <v>152</v>
      </c>
      <c r="F414" s="6">
        <f ca="1">IFERROR(__xludf.DUMMYFUNCTION("SUM(FILTER('All Scores'!AD$2:AD$1024, ('All Scores'!AJ$2:AJ$1024 = A414) + ('All Scores'!AK$2:AK$1024 = A414)))
"),79)</f>
        <v>79</v>
      </c>
      <c r="G414" s="21">
        <f t="shared" ca="1" si="2"/>
        <v>0.51973684210526316</v>
      </c>
      <c r="H414" s="169"/>
      <c r="I414" s="169"/>
      <c r="J414" s="6"/>
      <c r="K414" s="188"/>
      <c r="L414" s="189"/>
      <c r="M414" s="189"/>
      <c r="N414" s="6"/>
      <c r="O414" s="6"/>
      <c r="P414" s="6"/>
      <c r="Q414" s="169"/>
      <c r="R414" s="6"/>
      <c r="S414" s="6"/>
      <c r="T414" s="169"/>
      <c r="U414" s="6"/>
      <c r="V414" s="169"/>
      <c r="W414" s="169"/>
      <c r="X414" s="169"/>
      <c r="Y414" s="169"/>
      <c r="Z414" s="169"/>
      <c r="AA414" s="169"/>
      <c r="AB414" s="169"/>
      <c r="AC414" s="169"/>
      <c r="AD414" s="169"/>
      <c r="AE414" s="169"/>
      <c r="AF414" s="169"/>
      <c r="AG414" s="169"/>
      <c r="AH414" s="169"/>
      <c r="AI414" s="169"/>
      <c r="AJ414" s="169"/>
      <c r="AK414" s="169"/>
      <c r="AL414" s="169"/>
      <c r="AM414" s="169"/>
      <c r="AN414" s="169"/>
      <c r="AO414" s="169"/>
      <c r="AP414" s="169"/>
      <c r="AQ414" s="169"/>
      <c r="AR414" s="169"/>
    </row>
    <row r="415" spans="1:44" ht="12.5">
      <c r="A415" s="169" t="str">
        <f ca="1">IFERROR(__xludf.DUMMYFUNCTION("""COMPUTED_VALUE"""),"Susanne Jantsch")</f>
        <v>Susanne Jantsch</v>
      </c>
      <c r="B415" s="186">
        <f ca="1">COUNTIF('All Scores'!AJ:AK,A415)</f>
        <v>1</v>
      </c>
      <c r="C415" s="186">
        <f ca="1">IFERROR(__xludf.DUMMYFUNCTION("MIN(FILTER('All Scores'!AI$2:AI$1024, ('All Scores'!AJ$2:AJ$1024 = A415) + ('All Scores'!AK$2:AK$1024 = A415)))"),12)</f>
        <v>12</v>
      </c>
      <c r="D415" s="187">
        <f ca="1">IFERROR(__xludf.DUMMYFUNCTION("AVERAGE(FILTER('All Scores'!AI$2:AI$1024, ('All Scores'!AJ$2:AJ$1024 = A415) + ('All Scores'!AK$2:AK$1024 = A415))
)
"),12)</f>
        <v>12</v>
      </c>
      <c r="E415" s="6">
        <f ca="1">IFERROR(__xludf.DUMMYFUNCTION("SUM(FILTER('All Scores'!AF$2:AF$1024, ('All Scores'!AJ$2:AJ$1024 = A415) + ('All Scores'!AK$2:AK$1024 = A415)))
"),74)</f>
        <v>74</v>
      </c>
      <c r="F415" s="6">
        <f ca="1">IFERROR(__xludf.DUMMYFUNCTION("SUM(FILTER('All Scores'!AD$2:AD$1024, ('All Scores'!AJ$2:AJ$1024 = A415) + ('All Scores'!AK$2:AK$1024 = A415)))
"),30)</f>
        <v>30</v>
      </c>
      <c r="G415" s="21">
        <f t="shared" ca="1" si="2"/>
        <v>0.40540540540540543</v>
      </c>
      <c r="H415" s="169"/>
      <c r="I415" s="169"/>
      <c r="J415" s="6"/>
      <c r="K415" s="188"/>
      <c r="L415" s="189"/>
      <c r="M415" s="189"/>
      <c r="N415" s="6"/>
      <c r="O415" s="6"/>
      <c r="P415" s="6"/>
      <c r="Q415" s="169"/>
      <c r="R415" s="6"/>
      <c r="S415" s="6"/>
      <c r="T415" s="169"/>
      <c r="U415" s="6"/>
      <c r="V415" s="169"/>
      <c r="W415" s="169"/>
      <c r="X415" s="169"/>
      <c r="Y415" s="169"/>
      <c r="Z415" s="169"/>
      <c r="AA415" s="169"/>
      <c r="AB415" s="169"/>
      <c r="AC415" s="169"/>
      <c r="AD415" s="169"/>
      <c r="AE415" s="169"/>
      <c r="AF415" s="169"/>
      <c r="AG415" s="169"/>
      <c r="AH415" s="169"/>
      <c r="AI415" s="169"/>
      <c r="AJ415" s="169"/>
      <c r="AK415" s="169"/>
      <c r="AL415" s="169"/>
      <c r="AM415" s="169"/>
      <c r="AN415" s="169"/>
      <c r="AO415" s="169"/>
      <c r="AP415" s="169"/>
      <c r="AQ415" s="169"/>
      <c r="AR415" s="169"/>
    </row>
    <row r="416" spans="1:44" ht="12.5">
      <c r="A416" s="169" t="str">
        <f ca="1">IFERROR(__xludf.DUMMYFUNCTION("""COMPUTED_VALUE"""),"Susie Keefer")</f>
        <v>Susie Keefer</v>
      </c>
      <c r="B416" s="186">
        <f ca="1">COUNTIF('All Scores'!AJ:AK,A416)</f>
        <v>3</v>
      </c>
      <c r="C416" s="186">
        <f ca="1">IFERROR(__xludf.DUMMYFUNCTION("MIN(FILTER('All Scores'!AI$2:AI$1024, ('All Scores'!AJ$2:AJ$1024 = A416) + ('All Scores'!AK$2:AK$1024 = A416)))"),5)</f>
        <v>5</v>
      </c>
      <c r="D416" s="187">
        <f ca="1">IFERROR(__xludf.DUMMYFUNCTION("AVERAGE(FILTER('All Scores'!AI$2:AI$1024, ('All Scores'!AJ$2:AJ$1024 = A416) + ('All Scores'!AK$2:AK$1024 = A416))
)
"),9.33333333333333)</f>
        <v>9.3333333333333304</v>
      </c>
      <c r="E416" s="6">
        <f ca="1">IFERROR(__xludf.DUMMYFUNCTION("SUM(FILTER('All Scores'!AF$2:AF$1024, ('All Scores'!AJ$2:AJ$1024 = A416) + ('All Scores'!AK$2:AK$1024 = A416)))
"),258)</f>
        <v>258</v>
      </c>
      <c r="F416" s="6">
        <f ca="1">IFERROR(__xludf.DUMMYFUNCTION("SUM(FILTER('All Scores'!AD$2:AD$1024, ('All Scores'!AJ$2:AJ$1024 = A416) + ('All Scores'!AK$2:AK$1024 = A416)))
"),118)</f>
        <v>118</v>
      </c>
      <c r="G416" s="21">
        <f t="shared" ca="1" si="2"/>
        <v>0.4573643410852713</v>
      </c>
      <c r="H416" s="169"/>
      <c r="I416" s="169"/>
      <c r="J416" s="6"/>
      <c r="K416" s="188"/>
      <c r="L416" s="189"/>
      <c r="M416" s="189"/>
      <c r="N416" s="6"/>
      <c r="O416" s="6"/>
      <c r="P416" s="6"/>
      <c r="Q416" s="169"/>
      <c r="R416" s="6"/>
      <c r="S416" s="6"/>
      <c r="T416" s="169"/>
      <c r="U416" s="6"/>
      <c r="V416" s="169"/>
      <c r="W416" s="169"/>
      <c r="X416" s="169"/>
      <c r="Y416" s="169"/>
      <c r="Z416" s="169"/>
      <c r="AA416" s="169"/>
      <c r="AB416" s="169"/>
      <c r="AC416" s="169"/>
      <c r="AD416" s="169"/>
      <c r="AE416" s="169"/>
      <c r="AF416" s="169"/>
      <c r="AG416" s="169"/>
      <c r="AH416" s="169"/>
      <c r="AI416" s="169"/>
      <c r="AJ416" s="169"/>
      <c r="AK416" s="169"/>
      <c r="AL416" s="169"/>
      <c r="AM416" s="169"/>
      <c r="AN416" s="169"/>
      <c r="AO416" s="169"/>
      <c r="AP416" s="169"/>
      <c r="AQ416" s="169"/>
      <c r="AR416" s="169"/>
    </row>
    <row r="417" spans="1:44" ht="12.5">
      <c r="A417" s="169" t="str">
        <f ca="1">IFERROR(__xludf.DUMMYFUNCTION("""COMPUTED_VALUE"""),"Tamara Hutcheson")</f>
        <v>Tamara Hutcheson</v>
      </c>
      <c r="B417" s="186">
        <f ca="1">COUNTIF('All Scores'!AJ:AK,A417)</f>
        <v>2</v>
      </c>
      <c r="C417" s="186">
        <f ca="1">IFERROR(__xludf.DUMMYFUNCTION("MIN(FILTER('All Scores'!AI$2:AI$1024, ('All Scores'!AJ$2:AJ$1024 = A417) + ('All Scores'!AK$2:AK$1024 = A417)))"),2)</f>
        <v>2</v>
      </c>
      <c r="D417" s="187">
        <f ca="1">IFERROR(__xludf.DUMMYFUNCTION("AVERAGE(FILTER('All Scores'!AI$2:AI$1024, ('All Scores'!AJ$2:AJ$1024 = A417) + ('All Scores'!AK$2:AK$1024 = A417))
)
"),2)</f>
        <v>2</v>
      </c>
      <c r="E417" s="6">
        <f ca="1">IFERROR(__xludf.DUMMYFUNCTION("SUM(FILTER('All Scores'!AF$2:AF$1024, ('All Scores'!AJ$2:AJ$1024 = A417) + ('All Scores'!AK$2:AK$1024 = A417)))
"),247)</f>
        <v>247</v>
      </c>
      <c r="F417" s="6">
        <f ca="1">IFERROR(__xludf.DUMMYFUNCTION("SUM(FILTER('All Scores'!AD$2:AD$1024, ('All Scores'!AJ$2:AJ$1024 = A417) + ('All Scores'!AK$2:AK$1024 = A417)))
"),128)</f>
        <v>128</v>
      </c>
      <c r="G417" s="21">
        <f t="shared" ca="1" si="2"/>
        <v>0.51821862348178138</v>
      </c>
      <c r="H417" s="169"/>
      <c r="I417" s="169"/>
      <c r="J417" s="6"/>
      <c r="K417" s="188"/>
      <c r="L417" s="189"/>
      <c r="M417" s="189"/>
      <c r="N417" s="6"/>
      <c r="O417" s="6"/>
      <c r="P417" s="6"/>
      <c r="Q417" s="169"/>
      <c r="R417" s="6"/>
      <c r="S417" s="6"/>
      <c r="T417" s="169"/>
      <c r="U417" s="6"/>
      <c r="V417" s="169"/>
      <c r="W417" s="169"/>
      <c r="X417" s="169"/>
      <c r="Y417" s="169"/>
      <c r="Z417" s="169"/>
      <c r="AA417" s="169"/>
      <c r="AB417" s="169"/>
      <c r="AC417" s="169"/>
      <c r="AD417" s="169"/>
      <c r="AE417" s="169"/>
      <c r="AF417" s="169"/>
      <c r="AG417" s="169"/>
      <c r="AH417" s="169"/>
      <c r="AI417" s="169"/>
      <c r="AJ417" s="169"/>
      <c r="AK417" s="169"/>
      <c r="AL417" s="169"/>
      <c r="AM417" s="169"/>
      <c r="AN417" s="169"/>
      <c r="AO417" s="169"/>
      <c r="AP417" s="169"/>
      <c r="AQ417" s="169"/>
      <c r="AR417" s="169"/>
    </row>
    <row r="418" spans="1:44" ht="12.5">
      <c r="A418" s="169" t="str">
        <f ca="1">IFERROR(__xludf.DUMMYFUNCTION("""COMPUTED_VALUE"""),"Tasha Evatt")</f>
        <v>Tasha Evatt</v>
      </c>
      <c r="B418" s="186">
        <f ca="1">COUNTIF('All Scores'!AJ:AK,A418)</f>
        <v>6</v>
      </c>
      <c r="C418" s="186">
        <f ca="1">IFERROR(__xludf.DUMMYFUNCTION("MIN(FILTER('All Scores'!AI$2:AI$1024, ('All Scores'!AJ$2:AJ$1024 = A418) + ('All Scores'!AK$2:AK$1024 = A418)))"),9)</f>
        <v>9</v>
      </c>
      <c r="D418" s="187">
        <f ca="1">IFERROR(__xludf.DUMMYFUNCTION("AVERAGE(FILTER('All Scores'!AI$2:AI$1024, ('All Scores'!AJ$2:AJ$1024 = A418) + ('All Scores'!AK$2:AK$1024 = A418))
)
"),15.8333333333333)</f>
        <v>15.8333333333333</v>
      </c>
      <c r="E418" s="6">
        <f ca="1">IFERROR(__xludf.DUMMYFUNCTION("SUM(FILTER('All Scores'!AF$2:AF$1024, ('All Scores'!AJ$2:AJ$1024 = A418) + ('All Scores'!AK$2:AK$1024 = A418)))
"),341)</f>
        <v>341</v>
      </c>
      <c r="F418" s="6">
        <f ca="1">IFERROR(__xludf.DUMMYFUNCTION("SUM(FILTER('All Scores'!AD$2:AD$1024, ('All Scores'!AJ$2:AJ$1024 = A418) + ('All Scores'!AK$2:AK$1024 = A418)))
"),158)</f>
        <v>158</v>
      </c>
      <c r="G418" s="21">
        <f t="shared" ca="1" si="2"/>
        <v>0.4633431085043988</v>
      </c>
      <c r="H418" s="169"/>
      <c r="I418" s="169"/>
      <c r="J418" s="6"/>
      <c r="K418" s="188"/>
      <c r="L418" s="189"/>
      <c r="M418" s="189"/>
      <c r="N418" s="6"/>
      <c r="O418" s="6"/>
      <c r="P418" s="6"/>
      <c r="Q418" s="169"/>
      <c r="R418" s="6"/>
      <c r="S418" s="6"/>
      <c r="T418" s="169"/>
      <c r="U418" s="6"/>
      <c r="V418" s="169"/>
      <c r="W418" s="169"/>
      <c r="X418" s="169"/>
      <c r="Y418" s="169"/>
      <c r="Z418" s="169"/>
      <c r="AA418" s="169"/>
      <c r="AB418" s="169"/>
      <c r="AC418" s="169"/>
      <c r="AD418" s="169"/>
      <c r="AE418" s="169"/>
      <c r="AF418" s="169"/>
      <c r="AG418" s="169"/>
      <c r="AH418" s="169"/>
      <c r="AI418" s="169"/>
      <c r="AJ418" s="169"/>
      <c r="AK418" s="169"/>
      <c r="AL418" s="169"/>
      <c r="AM418" s="169"/>
      <c r="AN418" s="169"/>
      <c r="AO418" s="169"/>
      <c r="AP418" s="169"/>
      <c r="AQ418" s="169"/>
      <c r="AR418" s="169"/>
    </row>
    <row r="419" spans="1:44" ht="12.5">
      <c r="A419" s="169" t="str">
        <f ca="1">IFERROR(__xludf.DUMMYFUNCTION("""COMPUTED_VALUE"""),"Terri Lilek")</f>
        <v>Terri Lilek</v>
      </c>
      <c r="B419" s="186">
        <f ca="1">COUNTIF('All Scores'!AJ:AK,A419)</f>
        <v>1</v>
      </c>
      <c r="C419" s="186">
        <f ca="1">IFERROR(__xludf.DUMMYFUNCTION("MIN(FILTER('All Scores'!AI$2:AI$1024, ('All Scores'!AJ$2:AJ$1024 = A419) + ('All Scores'!AK$2:AK$1024 = A419)))"),11)</f>
        <v>11</v>
      </c>
      <c r="D419" s="187">
        <f ca="1">IFERROR(__xludf.DUMMYFUNCTION("AVERAGE(FILTER('All Scores'!AI$2:AI$1024, ('All Scores'!AJ$2:AJ$1024 = A419) + ('All Scores'!AK$2:AK$1024 = A419))
)
"),11)</f>
        <v>11</v>
      </c>
      <c r="E419" s="6">
        <f ca="1">IFERROR(__xludf.DUMMYFUNCTION("SUM(FILTER('All Scores'!AF$2:AF$1024, ('All Scores'!AJ$2:AJ$1024 = A419) + ('All Scores'!AK$2:AK$1024 = A419)))
"),56)</f>
        <v>56</v>
      </c>
      <c r="F419" s="6">
        <f ca="1">IFERROR(__xludf.DUMMYFUNCTION("SUM(FILTER('All Scores'!AD$2:AD$1024, ('All Scores'!AJ$2:AJ$1024 = A419) + ('All Scores'!AK$2:AK$1024 = A419)))
"),37)</f>
        <v>37</v>
      </c>
      <c r="G419" s="21">
        <f t="shared" ca="1" si="2"/>
        <v>0.6607142857142857</v>
      </c>
      <c r="H419" s="169"/>
      <c r="I419" s="169"/>
      <c r="J419" s="6"/>
      <c r="K419" s="188"/>
      <c r="L419" s="189"/>
      <c r="M419" s="189"/>
      <c r="N419" s="6"/>
      <c r="O419" s="6"/>
      <c r="P419" s="6"/>
      <c r="Q419" s="169"/>
      <c r="R419" s="6"/>
      <c r="S419" s="6"/>
      <c r="T419" s="169"/>
      <c r="U419" s="6"/>
      <c r="V419" s="169"/>
      <c r="W419" s="169"/>
      <c r="X419" s="169"/>
      <c r="Y419" s="169"/>
      <c r="Z419" s="169"/>
      <c r="AA419" s="169"/>
      <c r="AB419" s="169"/>
      <c r="AC419" s="169"/>
      <c r="AD419" s="169"/>
      <c r="AE419" s="169"/>
      <c r="AF419" s="169"/>
      <c r="AG419" s="169"/>
      <c r="AH419" s="169"/>
      <c r="AI419" s="169"/>
      <c r="AJ419" s="169"/>
      <c r="AK419" s="169"/>
      <c r="AL419" s="169"/>
      <c r="AM419" s="169"/>
      <c r="AN419" s="169"/>
      <c r="AO419" s="169"/>
      <c r="AP419" s="169"/>
      <c r="AQ419" s="169"/>
      <c r="AR419" s="169"/>
    </row>
    <row r="420" spans="1:44" ht="12.5">
      <c r="A420" s="169" t="str">
        <f ca="1">IFERROR(__xludf.DUMMYFUNCTION("""COMPUTED_VALUE"""),"Tess Edwards")</f>
        <v>Tess Edwards</v>
      </c>
      <c r="B420" s="186">
        <f ca="1">COUNTIF('All Scores'!AJ:AK,A420)</f>
        <v>1</v>
      </c>
      <c r="C420" s="186">
        <f ca="1">IFERROR(__xludf.DUMMYFUNCTION("MIN(FILTER('All Scores'!AI$2:AI$1024, ('All Scores'!AJ$2:AJ$1024 = A420) + ('All Scores'!AK$2:AK$1024 = A420)))"),4)</f>
        <v>4</v>
      </c>
      <c r="D420" s="187">
        <f ca="1">IFERROR(__xludf.DUMMYFUNCTION("AVERAGE(FILTER('All Scores'!AI$2:AI$1024, ('All Scores'!AJ$2:AJ$1024 = A420) + ('All Scores'!AK$2:AK$1024 = A420))
)
"),4)</f>
        <v>4</v>
      </c>
      <c r="E420" s="6">
        <f ca="1">IFERROR(__xludf.DUMMYFUNCTION("SUM(FILTER('All Scores'!AF$2:AF$1024, ('All Scores'!AJ$2:AJ$1024 = A420) + ('All Scores'!AK$2:AK$1024 = A420)))
"),81)</f>
        <v>81</v>
      </c>
      <c r="F420" s="6">
        <f ca="1">IFERROR(__xludf.DUMMYFUNCTION("SUM(FILTER('All Scores'!AD$2:AD$1024, ('All Scores'!AJ$2:AJ$1024 = A420) + ('All Scores'!AK$2:AK$1024 = A420)))
"),54)</f>
        <v>54</v>
      </c>
      <c r="G420" s="21">
        <f t="shared" ca="1" si="2"/>
        <v>0.66666666666666663</v>
      </c>
      <c r="H420" s="169"/>
      <c r="I420" s="169"/>
      <c r="J420" s="6"/>
      <c r="K420" s="188"/>
      <c r="L420" s="189"/>
      <c r="M420" s="189"/>
      <c r="N420" s="6"/>
      <c r="O420" s="6"/>
      <c r="P420" s="6"/>
      <c r="Q420" s="169"/>
      <c r="R420" s="6"/>
      <c r="S420" s="6"/>
      <c r="T420" s="169"/>
      <c r="U420" s="6"/>
      <c r="V420" s="169"/>
      <c r="W420" s="169"/>
      <c r="X420" s="169"/>
      <c r="Y420" s="169"/>
      <c r="Z420" s="169"/>
      <c r="AA420" s="169"/>
      <c r="AB420" s="169"/>
      <c r="AC420" s="169"/>
      <c r="AD420" s="169"/>
      <c r="AE420" s="169"/>
      <c r="AF420" s="169"/>
      <c r="AG420" s="169"/>
      <c r="AH420" s="169"/>
      <c r="AI420" s="169"/>
      <c r="AJ420" s="169"/>
      <c r="AK420" s="169"/>
      <c r="AL420" s="169"/>
      <c r="AM420" s="169"/>
      <c r="AN420" s="169"/>
      <c r="AO420" s="169"/>
      <c r="AP420" s="169"/>
      <c r="AQ420" s="169"/>
      <c r="AR420" s="169"/>
    </row>
    <row r="421" spans="1:44" ht="12.5">
      <c r="A421" s="169" t="str">
        <f ca="1">IFERROR(__xludf.DUMMYFUNCTION("""COMPUTED_VALUE"""),"Theresa Danforth-Costello")</f>
        <v>Theresa Danforth-Costello</v>
      </c>
      <c r="B421" s="186">
        <f ca="1">COUNTIF('All Scores'!AJ:AK,A421)</f>
        <v>1</v>
      </c>
      <c r="C421" s="186">
        <f ca="1">IFERROR(__xludf.DUMMYFUNCTION("MIN(FILTER('All Scores'!AI$2:AI$1024, ('All Scores'!AJ$2:AJ$1024 = A421) + ('All Scores'!AK$2:AK$1024 = A421)))"),14)</f>
        <v>14</v>
      </c>
      <c r="D421" s="187">
        <f ca="1">IFERROR(__xludf.DUMMYFUNCTION("AVERAGE(FILTER('All Scores'!AI$2:AI$1024, ('All Scores'!AJ$2:AJ$1024 = A421) + ('All Scores'!AK$2:AK$1024 = A421))
)
"),14)</f>
        <v>14</v>
      </c>
      <c r="E421" s="6">
        <f ca="1">IFERROR(__xludf.DUMMYFUNCTION("SUM(FILTER('All Scores'!AF$2:AF$1024, ('All Scores'!AJ$2:AJ$1024 = A421) + ('All Scores'!AK$2:AK$1024 = A421)))
"),53)</f>
        <v>53</v>
      </c>
      <c r="F421" s="6">
        <f ca="1">IFERROR(__xludf.DUMMYFUNCTION("SUM(FILTER('All Scores'!AD$2:AD$1024, ('All Scores'!AJ$2:AJ$1024 = A421) + ('All Scores'!AK$2:AK$1024 = A421)))
"),20)</f>
        <v>20</v>
      </c>
      <c r="G421" s="21">
        <f t="shared" ca="1" si="2"/>
        <v>0.37735849056603776</v>
      </c>
      <c r="H421" s="169"/>
      <c r="I421" s="169"/>
      <c r="J421" s="6"/>
      <c r="K421" s="188"/>
      <c r="L421" s="189"/>
      <c r="M421" s="189"/>
      <c r="N421" s="6"/>
      <c r="O421" s="6"/>
      <c r="P421" s="6"/>
      <c r="Q421" s="169"/>
      <c r="R421" s="6"/>
      <c r="S421" s="6"/>
      <c r="T421" s="169"/>
      <c r="U421" s="6"/>
      <c r="V421" s="169"/>
      <c r="W421" s="169"/>
      <c r="X421" s="169"/>
      <c r="Y421" s="169"/>
      <c r="Z421" s="169"/>
      <c r="AA421" s="169"/>
      <c r="AB421" s="169"/>
      <c r="AC421" s="169"/>
      <c r="AD421" s="169"/>
      <c r="AE421" s="169"/>
      <c r="AF421" s="169"/>
      <c r="AG421" s="169"/>
      <c r="AH421" s="169"/>
      <c r="AI421" s="169"/>
      <c r="AJ421" s="169"/>
      <c r="AK421" s="169"/>
      <c r="AL421" s="169"/>
      <c r="AM421" s="169"/>
      <c r="AN421" s="169"/>
      <c r="AO421" s="169"/>
      <c r="AP421" s="169"/>
      <c r="AQ421" s="169"/>
      <c r="AR421" s="169"/>
    </row>
    <row r="422" spans="1:44" ht="12.5">
      <c r="A422" s="169" t="str">
        <f ca="1">IFERROR(__xludf.DUMMYFUNCTION("""COMPUTED_VALUE"""),"Theresa Nelson")</f>
        <v>Theresa Nelson</v>
      </c>
      <c r="B422" s="186">
        <f ca="1">COUNTIF('All Scores'!AJ:AK,A422)</f>
        <v>1</v>
      </c>
      <c r="C422" s="186">
        <f ca="1">IFERROR(__xludf.DUMMYFUNCTION("MIN(FILTER('All Scores'!AI$2:AI$1024, ('All Scores'!AJ$2:AJ$1024 = A422) + ('All Scores'!AK$2:AK$1024 = A422)))"),1)</f>
        <v>1</v>
      </c>
      <c r="D422" s="187">
        <f ca="1">IFERROR(__xludf.DUMMYFUNCTION("AVERAGE(FILTER('All Scores'!AI$2:AI$1024, ('All Scores'!AJ$2:AJ$1024 = A422) + ('All Scores'!AK$2:AK$1024 = A422))
)
"),1)</f>
        <v>1</v>
      </c>
      <c r="E422" s="6">
        <f ca="1">IFERROR(__xludf.DUMMYFUNCTION("SUM(FILTER('All Scores'!AF$2:AF$1024, ('All Scores'!AJ$2:AJ$1024 = A422) + ('All Scores'!AK$2:AK$1024 = A422)))
"),118)</f>
        <v>118</v>
      </c>
      <c r="F422" s="6">
        <f ca="1">IFERROR(__xludf.DUMMYFUNCTION("SUM(FILTER('All Scores'!AD$2:AD$1024, ('All Scores'!AJ$2:AJ$1024 = A422) + ('All Scores'!AK$2:AK$1024 = A422)))
"),72)</f>
        <v>72</v>
      </c>
      <c r="G422" s="21">
        <f t="shared" ca="1" si="2"/>
        <v>0.61016949152542377</v>
      </c>
      <c r="H422" s="169"/>
      <c r="I422" s="169"/>
      <c r="J422" s="6"/>
      <c r="K422" s="188"/>
      <c r="L422" s="189"/>
      <c r="M422" s="189"/>
      <c r="N422" s="6"/>
      <c r="O422" s="6"/>
      <c r="P422" s="6"/>
      <c r="Q422" s="169"/>
      <c r="R422" s="6"/>
      <c r="S422" s="6"/>
      <c r="T422" s="169"/>
      <c r="U422" s="6"/>
      <c r="V422" s="169"/>
      <c r="W422" s="169"/>
      <c r="X422" s="169"/>
      <c r="Y422" s="169"/>
      <c r="Z422" s="169"/>
      <c r="AA422" s="169"/>
      <c r="AB422" s="169"/>
      <c r="AC422" s="169"/>
      <c r="AD422" s="169"/>
      <c r="AE422" s="169"/>
      <c r="AF422" s="169"/>
      <c r="AG422" s="169"/>
      <c r="AH422" s="169"/>
      <c r="AI422" s="169"/>
      <c r="AJ422" s="169"/>
      <c r="AK422" s="169"/>
      <c r="AL422" s="169"/>
      <c r="AM422" s="169"/>
      <c r="AN422" s="169"/>
      <c r="AO422" s="169"/>
      <c r="AP422" s="169"/>
      <c r="AQ422" s="169"/>
      <c r="AR422" s="169"/>
    </row>
    <row r="423" spans="1:44" ht="12.5">
      <c r="A423" s="169" t="str">
        <f ca="1">IFERROR(__xludf.DUMMYFUNCTION("""COMPUTED_VALUE"""),"Thomas Rosewicz")</f>
        <v>Thomas Rosewicz</v>
      </c>
      <c r="B423" s="186">
        <f ca="1">COUNTIF('All Scores'!AJ:AK,A423)</f>
        <v>2</v>
      </c>
      <c r="C423" s="186">
        <f ca="1">IFERROR(__xludf.DUMMYFUNCTION("MIN(FILTER('All Scores'!AI$2:AI$1024, ('All Scores'!AJ$2:AJ$1024 = A423) + ('All Scores'!AK$2:AK$1024 = A423)))"),2)</f>
        <v>2</v>
      </c>
      <c r="D423" s="187">
        <f ca="1">IFERROR(__xludf.DUMMYFUNCTION("AVERAGE(FILTER('All Scores'!AI$2:AI$1024, ('All Scores'!AJ$2:AJ$1024 = A423) + ('All Scores'!AK$2:AK$1024 = A423))
)
"),7)</f>
        <v>7</v>
      </c>
      <c r="E423" s="6">
        <f ca="1">IFERROR(__xludf.DUMMYFUNCTION("SUM(FILTER('All Scores'!AF$2:AF$1024, ('All Scores'!AJ$2:AJ$1024 = A423) + ('All Scores'!AK$2:AK$1024 = A423)))
"),196)</f>
        <v>196</v>
      </c>
      <c r="F423" s="6">
        <f ca="1">IFERROR(__xludf.DUMMYFUNCTION("SUM(FILTER('All Scores'!AD$2:AD$1024, ('All Scores'!AJ$2:AJ$1024 = A423) + ('All Scores'!AK$2:AK$1024 = A423)))
"),107)</f>
        <v>107</v>
      </c>
      <c r="G423" s="21">
        <f t="shared" ca="1" si="2"/>
        <v>0.54591836734693877</v>
      </c>
      <c r="H423" s="169"/>
      <c r="I423" s="169"/>
      <c r="J423" s="6"/>
      <c r="K423" s="188"/>
      <c r="L423" s="189"/>
      <c r="M423" s="189"/>
      <c r="N423" s="6"/>
      <c r="O423" s="6"/>
      <c r="P423" s="6"/>
      <c r="Q423" s="169"/>
      <c r="R423" s="6"/>
      <c r="S423" s="6"/>
      <c r="T423" s="169"/>
      <c r="U423" s="6"/>
      <c r="V423" s="169"/>
      <c r="W423" s="169"/>
      <c r="X423" s="169"/>
      <c r="Y423" s="169"/>
      <c r="Z423" s="169"/>
      <c r="AA423" s="169"/>
      <c r="AB423" s="169"/>
      <c r="AC423" s="169"/>
      <c r="AD423" s="169"/>
      <c r="AE423" s="169"/>
      <c r="AF423" s="169"/>
      <c r="AG423" s="169"/>
      <c r="AH423" s="169"/>
      <c r="AI423" s="169"/>
      <c r="AJ423" s="169"/>
      <c r="AK423" s="169"/>
      <c r="AL423" s="169"/>
      <c r="AM423" s="169"/>
      <c r="AN423" s="169"/>
      <c r="AO423" s="169"/>
      <c r="AP423" s="169"/>
      <c r="AQ423" s="169"/>
      <c r="AR423" s="169"/>
    </row>
    <row r="424" spans="1:44" ht="12.5">
      <c r="A424" s="169" t="str">
        <f ca="1">IFERROR(__xludf.DUMMYFUNCTION("""COMPUTED_VALUE"""),"Thu Nguyen")</f>
        <v>Thu Nguyen</v>
      </c>
      <c r="B424" s="186">
        <f ca="1">COUNTIF('All Scores'!AJ:AK,A424)</f>
        <v>13</v>
      </c>
      <c r="C424" s="186">
        <f ca="1">IFERROR(__xludf.DUMMYFUNCTION("MIN(FILTER('All Scores'!AI$2:AI$1024, ('All Scores'!AJ$2:AJ$1024 = A424) + ('All Scores'!AK$2:AK$1024 = A424)))"),2)</f>
        <v>2</v>
      </c>
      <c r="D424" s="187">
        <f ca="1">IFERROR(__xludf.DUMMYFUNCTION("AVERAGE(FILTER('All Scores'!AI$2:AI$1024, ('All Scores'!AJ$2:AJ$1024 = A424) + ('All Scores'!AK$2:AK$1024 = A424))
)
"),14.5384615384615)</f>
        <v>14.538461538461499</v>
      </c>
      <c r="E424" s="6">
        <f ca="1">IFERROR(__xludf.DUMMYFUNCTION("SUM(FILTER('All Scores'!AF$2:AF$1024, ('All Scores'!AJ$2:AJ$1024 = A424) + ('All Scores'!AK$2:AK$1024 = A424)))
"),848)</f>
        <v>848</v>
      </c>
      <c r="F424" s="6">
        <f ca="1">IFERROR(__xludf.DUMMYFUNCTION("SUM(FILTER('All Scores'!AD$2:AD$1024, ('All Scores'!AJ$2:AJ$1024 = A424) + ('All Scores'!AK$2:AK$1024 = A424)))
"),380)</f>
        <v>380</v>
      </c>
      <c r="G424" s="21">
        <f t="shared" ca="1" si="2"/>
        <v>0.44811320754716982</v>
      </c>
      <c r="H424" s="169"/>
      <c r="I424" s="169"/>
      <c r="J424" s="6"/>
      <c r="K424" s="188"/>
      <c r="L424" s="189"/>
      <c r="M424" s="189"/>
      <c r="N424" s="6"/>
      <c r="O424" s="6"/>
      <c r="P424" s="6"/>
      <c r="Q424" s="169"/>
      <c r="R424" s="6"/>
      <c r="S424" s="6"/>
      <c r="T424" s="169"/>
      <c r="U424" s="6"/>
      <c r="V424" s="169"/>
      <c r="W424" s="169"/>
      <c r="X424" s="169"/>
      <c r="Y424" s="169"/>
      <c r="Z424" s="169"/>
      <c r="AA424" s="169"/>
      <c r="AB424" s="169"/>
      <c r="AC424" s="169"/>
      <c r="AD424" s="169"/>
      <c r="AE424" s="169"/>
      <c r="AF424" s="169"/>
      <c r="AG424" s="169"/>
      <c r="AH424" s="169"/>
      <c r="AI424" s="169"/>
      <c r="AJ424" s="169"/>
      <c r="AK424" s="169"/>
      <c r="AL424" s="169"/>
      <c r="AM424" s="169"/>
      <c r="AN424" s="169"/>
      <c r="AO424" s="169"/>
      <c r="AP424" s="169"/>
      <c r="AQ424" s="169"/>
      <c r="AR424" s="169"/>
    </row>
    <row r="425" spans="1:44" ht="12.5">
      <c r="A425" s="169" t="str">
        <f ca="1">IFERROR(__xludf.DUMMYFUNCTION("""COMPUTED_VALUE"""),"Tiffany Blackwell")</f>
        <v>Tiffany Blackwell</v>
      </c>
      <c r="B425" s="186">
        <f ca="1">COUNTIF('All Scores'!AJ:AK,A425)</f>
        <v>8</v>
      </c>
      <c r="C425" s="186">
        <f ca="1">IFERROR(__xludf.DUMMYFUNCTION("MIN(FILTER('All Scores'!AI$2:AI$1024, ('All Scores'!AJ$2:AJ$1024 = A425) + ('All Scores'!AK$2:AK$1024 = A425)))"),4)</f>
        <v>4</v>
      </c>
      <c r="D425" s="187">
        <f ca="1">IFERROR(__xludf.DUMMYFUNCTION("AVERAGE(FILTER('All Scores'!AI$2:AI$1024, ('All Scores'!AJ$2:AJ$1024 = A425) + ('All Scores'!AK$2:AK$1024 = A425))
)
"),9.125)</f>
        <v>9.125</v>
      </c>
      <c r="E425" s="6">
        <f ca="1">IFERROR(__xludf.DUMMYFUNCTION("SUM(FILTER('All Scores'!AF$2:AF$1024, ('All Scores'!AJ$2:AJ$1024 = A425) + ('All Scores'!AK$2:AK$1024 = A425)))
"),614)</f>
        <v>614</v>
      </c>
      <c r="F425" s="6">
        <f ca="1">IFERROR(__xludf.DUMMYFUNCTION("SUM(FILTER('All Scores'!AD$2:AD$1024, ('All Scores'!AJ$2:AJ$1024 = A425) + ('All Scores'!AK$2:AK$1024 = A425)))
"),313)</f>
        <v>313</v>
      </c>
      <c r="G425" s="21">
        <f t="shared" ca="1" si="2"/>
        <v>0.50977198697068404</v>
      </c>
      <c r="H425" s="169"/>
      <c r="I425" s="169"/>
      <c r="J425" s="6"/>
      <c r="K425" s="188"/>
      <c r="L425" s="189"/>
      <c r="M425" s="189"/>
      <c r="N425" s="6"/>
      <c r="O425" s="6"/>
      <c r="P425" s="6"/>
      <c r="Q425" s="169"/>
      <c r="R425" s="6"/>
      <c r="S425" s="6"/>
      <c r="T425" s="169"/>
      <c r="U425" s="6"/>
      <c r="V425" s="169"/>
      <c r="W425" s="169"/>
      <c r="X425" s="169"/>
      <c r="Y425" s="169"/>
      <c r="Z425" s="169"/>
      <c r="AA425" s="169"/>
      <c r="AB425" s="169"/>
      <c r="AC425" s="169"/>
      <c r="AD425" s="169"/>
      <c r="AE425" s="169"/>
      <c r="AF425" s="169"/>
      <c r="AG425" s="169"/>
      <c r="AH425" s="169"/>
      <c r="AI425" s="169"/>
      <c r="AJ425" s="169"/>
      <c r="AK425" s="169"/>
      <c r="AL425" s="169"/>
      <c r="AM425" s="169"/>
      <c r="AN425" s="169"/>
      <c r="AO425" s="169"/>
      <c r="AP425" s="169"/>
      <c r="AQ425" s="169"/>
      <c r="AR425" s="169"/>
    </row>
    <row r="426" spans="1:44" ht="12.5">
      <c r="A426" s="169" t="str">
        <f ca="1">IFERROR(__xludf.DUMMYFUNCTION("""COMPUTED_VALUE"""),"Tiffiny Humbert")</f>
        <v>Tiffiny Humbert</v>
      </c>
      <c r="B426" s="186">
        <f ca="1">COUNTIF('All Scores'!AJ:AK,A426)</f>
        <v>1</v>
      </c>
      <c r="C426" s="186">
        <f ca="1">IFERROR(__xludf.DUMMYFUNCTION("MIN(FILTER('All Scores'!AI$2:AI$1024, ('All Scores'!AJ$2:AJ$1024 = A426) + ('All Scores'!AK$2:AK$1024 = A426)))"),9)</f>
        <v>9</v>
      </c>
      <c r="D426" s="187">
        <f ca="1">IFERROR(__xludf.DUMMYFUNCTION("AVERAGE(FILTER('All Scores'!AI$2:AI$1024, ('All Scores'!AJ$2:AJ$1024 = A426) + ('All Scores'!AK$2:AK$1024 = A426))
)
"),9)</f>
        <v>9</v>
      </c>
      <c r="E426" s="6">
        <f ca="1">IFERROR(__xludf.DUMMYFUNCTION("SUM(FILTER('All Scores'!AF$2:AF$1024, ('All Scores'!AJ$2:AJ$1024 = A426) + ('All Scores'!AK$2:AK$1024 = A426)))
"),74)</f>
        <v>74</v>
      </c>
      <c r="F426" s="6">
        <f ca="1">IFERROR(__xludf.DUMMYFUNCTION("SUM(FILTER('All Scores'!AD$2:AD$1024, ('All Scores'!AJ$2:AJ$1024 = A426) + ('All Scores'!AK$2:AK$1024 = A426)))
"),41)</f>
        <v>41</v>
      </c>
      <c r="G426" s="21">
        <f t="shared" ca="1" si="2"/>
        <v>0.55405405405405406</v>
      </c>
      <c r="H426" s="169"/>
      <c r="I426" s="169"/>
      <c r="J426" s="6"/>
      <c r="K426" s="188"/>
      <c r="L426" s="189"/>
      <c r="M426" s="189"/>
      <c r="N426" s="6"/>
      <c r="O426" s="6"/>
      <c r="P426" s="6"/>
      <c r="Q426" s="169"/>
      <c r="R426" s="6"/>
      <c r="S426" s="6"/>
      <c r="T426" s="169"/>
      <c r="U426" s="6"/>
      <c r="V426" s="169"/>
      <c r="W426" s="169"/>
      <c r="X426" s="169"/>
      <c r="Y426" s="169"/>
      <c r="Z426" s="169"/>
      <c r="AA426" s="169"/>
      <c r="AB426" s="169"/>
      <c r="AC426" s="169"/>
      <c r="AD426" s="169"/>
      <c r="AE426" s="169"/>
      <c r="AF426" s="169"/>
      <c r="AG426" s="169"/>
      <c r="AH426" s="169"/>
      <c r="AI426" s="169"/>
      <c r="AJ426" s="169"/>
      <c r="AK426" s="169"/>
      <c r="AL426" s="169"/>
      <c r="AM426" s="169"/>
      <c r="AN426" s="169"/>
      <c r="AO426" s="169"/>
      <c r="AP426" s="169"/>
      <c r="AQ426" s="169"/>
      <c r="AR426" s="169"/>
    </row>
    <row r="427" spans="1:44" ht="12.5">
      <c r="A427" s="169" t="str">
        <f ca="1">IFERROR(__xludf.DUMMYFUNCTION("""COMPUTED_VALUE"""),"Tim Askew")</f>
        <v>Tim Askew</v>
      </c>
      <c r="B427" s="186">
        <f ca="1">COUNTIF('All Scores'!AJ:AK,A427)</f>
        <v>4</v>
      </c>
      <c r="C427" s="186">
        <f ca="1">IFERROR(__xludf.DUMMYFUNCTION("MIN(FILTER('All Scores'!AI$2:AI$1024, ('All Scores'!AJ$2:AJ$1024 = A427) + ('All Scores'!AK$2:AK$1024 = A427)))"),4)</f>
        <v>4</v>
      </c>
      <c r="D427" s="187">
        <f ca="1">IFERROR(__xludf.DUMMYFUNCTION("AVERAGE(FILTER('All Scores'!AI$2:AI$1024, ('All Scores'!AJ$2:AJ$1024 = A427) + ('All Scores'!AK$2:AK$1024 = A427))
)
"),7.5)</f>
        <v>7.5</v>
      </c>
      <c r="E427" s="6">
        <f ca="1">IFERROR(__xludf.DUMMYFUNCTION("SUM(FILTER('All Scores'!AF$2:AF$1024, ('All Scores'!AJ$2:AJ$1024 = A427) + ('All Scores'!AK$2:AK$1024 = A427)))
"),248)</f>
        <v>248</v>
      </c>
      <c r="F427" s="6">
        <f ca="1">IFERROR(__xludf.DUMMYFUNCTION("SUM(FILTER('All Scores'!AD$2:AD$1024, ('All Scores'!AJ$2:AJ$1024 = A427) + ('All Scores'!AK$2:AK$1024 = A427)))
"),125)</f>
        <v>125</v>
      </c>
      <c r="G427" s="21">
        <f t="shared" ca="1" si="2"/>
        <v>0.50403225806451613</v>
      </c>
      <c r="H427" s="169"/>
      <c r="I427" s="169"/>
      <c r="J427" s="6"/>
      <c r="K427" s="188"/>
      <c r="L427" s="189"/>
      <c r="M427" s="189"/>
      <c r="N427" s="6"/>
      <c r="O427" s="6"/>
      <c r="P427" s="6"/>
      <c r="Q427" s="169"/>
      <c r="R427" s="6"/>
      <c r="S427" s="6"/>
      <c r="T427" s="169"/>
      <c r="U427" s="6"/>
      <c r="V427" s="169"/>
      <c r="W427" s="169"/>
      <c r="X427" s="169"/>
      <c r="Y427" s="169"/>
      <c r="Z427" s="169"/>
      <c r="AA427" s="169"/>
      <c r="AB427" s="169"/>
      <c r="AC427" s="169"/>
      <c r="AD427" s="169"/>
      <c r="AE427" s="169"/>
      <c r="AF427" s="169"/>
      <c r="AG427" s="169"/>
      <c r="AH427" s="169"/>
      <c r="AI427" s="169"/>
      <c r="AJ427" s="169"/>
      <c r="AK427" s="169"/>
      <c r="AL427" s="169"/>
      <c r="AM427" s="169"/>
      <c r="AN427" s="169"/>
      <c r="AO427" s="169"/>
      <c r="AP427" s="169"/>
      <c r="AQ427" s="169"/>
      <c r="AR427" s="169"/>
    </row>
    <row r="428" spans="1:44" ht="12.5">
      <c r="A428" s="169" t="str">
        <f ca="1">IFERROR(__xludf.DUMMYFUNCTION("""COMPUTED_VALUE"""),"Tim Norris")</f>
        <v>Tim Norris</v>
      </c>
      <c r="B428" s="186">
        <f ca="1">COUNTIF('All Scores'!AJ:AK,A428)</f>
        <v>2</v>
      </c>
      <c r="C428" s="186">
        <f ca="1">IFERROR(__xludf.DUMMYFUNCTION("MIN(FILTER('All Scores'!AI$2:AI$1024, ('All Scores'!AJ$2:AJ$1024 = A428) + ('All Scores'!AK$2:AK$1024 = A428)))"),7)</f>
        <v>7</v>
      </c>
      <c r="D428" s="187">
        <f ca="1">IFERROR(__xludf.DUMMYFUNCTION("AVERAGE(FILTER('All Scores'!AI$2:AI$1024, ('All Scores'!AJ$2:AJ$1024 = A428) + ('All Scores'!AK$2:AK$1024 = A428))
)
"),9.5)</f>
        <v>9.5</v>
      </c>
      <c r="E428" s="6">
        <f ca="1">IFERROR(__xludf.DUMMYFUNCTION("SUM(FILTER('All Scores'!AF$2:AF$1024, ('All Scores'!AJ$2:AJ$1024 = A428) + ('All Scores'!AK$2:AK$1024 = A428)))
"),114)</f>
        <v>114</v>
      </c>
      <c r="F428" s="6">
        <f ca="1">IFERROR(__xludf.DUMMYFUNCTION("SUM(FILTER('All Scores'!AD$2:AD$1024, ('All Scores'!AJ$2:AJ$1024 = A428) + ('All Scores'!AK$2:AK$1024 = A428)))
"),57)</f>
        <v>57</v>
      </c>
      <c r="G428" s="21">
        <f t="shared" ca="1" si="2"/>
        <v>0.5</v>
      </c>
      <c r="H428" s="169"/>
      <c r="I428" s="169"/>
      <c r="J428" s="6"/>
      <c r="K428" s="188"/>
      <c r="L428" s="189"/>
      <c r="M428" s="189"/>
      <c r="N428" s="6"/>
      <c r="O428" s="6"/>
      <c r="P428" s="6"/>
      <c r="Q428" s="169"/>
      <c r="R428" s="6"/>
      <c r="S428" s="6"/>
      <c r="T428" s="169"/>
      <c r="U428" s="6"/>
      <c r="V428" s="169"/>
      <c r="W428" s="169"/>
      <c r="X428" s="169"/>
      <c r="Y428" s="169"/>
      <c r="Z428" s="169"/>
      <c r="AA428" s="169"/>
      <c r="AB428" s="169"/>
      <c r="AC428" s="169"/>
      <c r="AD428" s="169"/>
      <c r="AE428" s="169"/>
      <c r="AF428" s="169"/>
      <c r="AG428" s="169"/>
      <c r="AH428" s="169"/>
      <c r="AI428" s="169"/>
      <c r="AJ428" s="169"/>
      <c r="AK428" s="169"/>
      <c r="AL428" s="169"/>
      <c r="AM428" s="169"/>
      <c r="AN428" s="169"/>
      <c r="AO428" s="169"/>
      <c r="AP428" s="169"/>
      <c r="AQ428" s="169"/>
      <c r="AR428" s="169"/>
    </row>
    <row r="429" spans="1:44" ht="12.5">
      <c r="A429" s="169" t="str">
        <f ca="1">IFERROR(__xludf.DUMMYFUNCTION("""COMPUTED_VALUE"""),"Tina Kempf")</f>
        <v>Tina Kempf</v>
      </c>
      <c r="B429" s="186">
        <f ca="1">COUNTIF('All Scores'!AJ:AK,A429)</f>
        <v>4</v>
      </c>
      <c r="C429" s="186">
        <f ca="1">IFERROR(__xludf.DUMMYFUNCTION("MIN(FILTER('All Scores'!AI$2:AI$1024, ('All Scores'!AJ$2:AJ$1024 = A429) + ('All Scores'!AK$2:AK$1024 = A429)))"),7)</f>
        <v>7</v>
      </c>
      <c r="D429" s="187">
        <f ca="1">IFERROR(__xludf.DUMMYFUNCTION("AVERAGE(FILTER('All Scores'!AI$2:AI$1024, ('All Scores'!AJ$2:AJ$1024 = A429) + ('All Scores'!AK$2:AK$1024 = A429))
)
"),11.75)</f>
        <v>11.75</v>
      </c>
      <c r="E429" s="6">
        <f ca="1">IFERROR(__xludf.DUMMYFUNCTION("SUM(FILTER('All Scores'!AF$2:AF$1024, ('All Scores'!AJ$2:AJ$1024 = A429) + ('All Scores'!AK$2:AK$1024 = A429)))
"),256)</f>
        <v>256</v>
      </c>
      <c r="F429" s="6">
        <f ca="1">IFERROR(__xludf.DUMMYFUNCTION("SUM(FILTER('All Scores'!AD$2:AD$1024, ('All Scores'!AJ$2:AJ$1024 = A429) + ('All Scores'!AK$2:AK$1024 = A429)))
"),126)</f>
        <v>126</v>
      </c>
      <c r="G429" s="21">
        <f t="shared" ca="1" si="2"/>
        <v>0.4921875</v>
      </c>
      <c r="H429" s="169"/>
      <c r="I429" s="169"/>
      <c r="J429" s="6"/>
      <c r="K429" s="188"/>
      <c r="L429" s="189"/>
      <c r="M429" s="189"/>
      <c r="N429" s="6"/>
      <c r="O429" s="6"/>
      <c r="P429" s="6"/>
      <c r="Q429" s="169"/>
      <c r="R429" s="6"/>
      <c r="S429" s="6"/>
      <c r="T429" s="169"/>
      <c r="U429" s="6"/>
      <c r="V429" s="169"/>
      <c r="W429" s="169"/>
      <c r="X429" s="169"/>
      <c r="Y429" s="169"/>
      <c r="Z429" s="169"/>
      <c r="AA429" s="169"/>
      <c r="AB429" s="169"/>
      <c r="AC429" s="169"/>
      <c r="AD429" s="169"/>
      <c r="AE429" s="169"/>
      <c r="AF429" s="169"/>
      <c r="AG429" s="169"/>
      <c r="AH429" s="169"/>
      <c r="AI429" s="169"/>
      <c r="AJ429" s="169"/>
      <c r="AK429" s="169"/>
      <c r="AL429" s="169"/>
      <c r="AM429" s="169"/>
      <c r="AN429" s="169"/>
      <c r="AO429" s="169"/>
      <c r="AP429" s="169"/>
      <c r="AQ429" s="169"/>
      <c r="AR429" s="169"/>
    </row>
    <row r="430" spans="1:44" ht="12.5">
      <c r="A430" s="169" t="str">
        <f ca="1">IFERROR(__xludf.DUMMYFUNCTION("""COMPUTED_VALUE"""),"Todd Jones")</f>
        <v>Todd Jones</v>
      </c>
      <c r="B430" s="186">
        <f ca="1">COUNTIF('All Scores'!AJ:AK,A430)</f>
        <v>1</v>
      </c>
      <c r="C430" s="186">
        <f ca="1">IFERROR(__xludf.DUMMYFUNCTION("MIN(FILTER('All Scores'!AI$2:AI$1024, ('All Scores'!AJ$2:AJ$1024 = A430) + ('All Scores'!AK$2:AK$1024 = A430)))"),10)</f>
        <v>10</v>
      </c>
      <c r="D430" s="187">
        <f ca="1">IFERROR(__xludf.DUMMYFUNCTION("AVERAGE(FILTER('All Scores'!AI$2:AI$1024, ('All Scores'!AJ$2:AJ$1024 = A430) + ('All Scores'!AK$2:AK$1024 = A430))
)
"),10)</f>
        <v>10</v>
      </c>
      <c r="E430" s="6">
        <f ca="1">IFERROR(__xludf.DUMMYFUNCTION("SUM(FILTER('All Scores'!AF$2:AF$1024, ('All Scores'!AJ$2:AJ$1024 = A430) + ('All Scores'!AK$2:AK$1024 = A430)))
"),66)</f>
        <v>66</v>
      </c>
      <c r="F430" s="6">
        <f ca="1">IFERROR(__xludf.DUMMYFUNCTION("SUM(FILTER('All Scores'!AD$2:AD$1024, ('All Scores'!AJ$2:AJ$1024 = A430) + ('All Scores'!AK$2:AK$1024 = A430)))
"),40)</f>
        <v>40</v>
      </c>
      <c r="G430" s="21">
        <f t="shared" ca="1" si="2"/>
        <v>0.60606060606060608</v>
      </c>
      <c r="H430" s="169"/>
      <c r="I430" s="169"/>
      <c r="J430" s="6"/>
      <c r="K430" s="188"/>
      <c r="L430" s="189"/>
      <c r="M430" s="189"/>
      <c r="N430" s="6"/>
      <c r="O430" s="6"/>
      <c r="P430" s="6"/>
      <c r="Q430" s="169"/>
      <c r="R430" s="6"/>
      <c r="S430" s="6"/>
      <c r="T430" s="169"/>
      <c r="U430" s="6"/>
      <c r="V430" s="169"/>
      <c r="W430" s="169"/>
      <c r="X430" s="169"/>
      <c r="Y430" s="169"/>
      <c r="Z430" s="169"/>
      <c r="AA430" s="169"/>
      <c r="AB430" s="169"/>
      <c r="AC430" s="169"/>
      <c r="AD430" s="169"/>
      <c r="AE430" s="169"/>
      <c r="AF430" s="169"/>
      <c r="AG430" s="169"/>
      <c r="AH430" s="169"/>
      <c r="AI430" s="169"/>
      <c r="AJ430" s="169"/>
      <c r="AK430" s="169"/>
      <c r="AL430" s="169"/>
      <c r="AM430" s="169"/>
      <c r="AN430" s="169"/>
      <c r="AO430" s="169"/>
      <c r="AP430" s="169"/>
      <c r="AQ430" s="169"/>
      <c r="AR430" s="169"/>
    </row>
    <row r="431" spans="1:44" ht="12.5">
      <c r="A431" s="169" t="str">
        <f ca="1">IFERROR(__xludf.DUMMYFUNCTION("""COMPUTED_VALUE"""),"Tom Elmendorf")</f>
        <v>Tom Elmendorf</v>
      </c>
      <c r="B431" s="186">
        <f ca="1">COUNTIF('All Scores'!AJ:AK,A431)</f>
        <v>1</v>
      </c>
      <c r="C431" s="186">
        <f ca="1">IFERROR(__xludf.DUMMYFUNCTION("MIN(FILTER('All Scores'!AI$2:AI$1024, ('All Scores'!AJ$2:AJ$1024 = A431) + ('All Scores'!AK$2:AK$1024 = A431)))"),4)</f>
        <v>4</v>
      </c>
      <c r="D431" s="187">
        <f ca="1">IFERROR(__xludf.DUMMYFUNCTION("AVERAGE(FILTER('All Scores'!AI$2:AI$1024, ('All Scores'!AJ$2:AJ$1024 = A431) + ('All Scores'!AK$2:AK$1024 = A431))
)
"),4)</f>
        <v>4</v>
      </c>
      <c r="E431" s="6">
        <f ca="1">IFERROR(__xludf.DUMMYFUNCTION("SUM(FILTER('All Scores'!AF$2:AF$1024, ('All Scores'!AJ$2:AJ$1024 = A431) + ('All Scores'!AK$2:AK$1024 = A431)))
"),82)</f>
        <v>82</v>
      </c>
      <c r="F431" s="6">
        <f ca="1">IFERROR(__xludf.DUMMYFUNCTION("SUM(FILTER('All Scores'!AD$2:AD$1024, ('All Scores'!AJ$2:AJ$1024 = A431) + ('All Scores'!AK$2:AK$1024 = A431)))
"),49)</f>
        <v>49</v>
      </c>
      <c r="G431" s="21">
        <f t="shared" ca="1" si="2"/>
        <v>0.59756097560975607</v>
      </c>
      <c r="H431" s="169"/>
      <c r="I431" s="169"/>
      <c r="J431" s="6"/>
      <c r="K431" s="188"/>
      <c r="L431" s="189"/>
      <c r="M431" s="189"/>
      <c r="N431" s="6"/>
      <c r="O431" s="6"/>
      <c r="P431" s="6"/>
      <c r="Q431" s="169"/>
      <c r="R431" s="6"/>
      <c r="S431" s="6"/>
      <c r="T431" s="169"/>
      <c r="U431" s="6"/>
      <c r="V431" s="169"/>
      <c r="W431" s="169"/>
      <c r="X431" s="169"/>
      <c r="Y431" s="169"/>
      <c r="Z431" s="169"/>
      <c r="AA431" s="169"/>
      <c r="AB431" s="169"/>
      <c r="AC431" s="169"/>
      <c r="AD431" s="169"/>
      <c r="AE431" s="169"/>
      <c r="AF431" s="169"/>
      <c r="AG431" s="169"/>
      <c r="AH431" s="169"/>
      <c r="AI431" s="169"/>
      <c r="AJ431" s="169"/>
      <c r="AK431" s="169"/>
      <c r="AL431" s="169"/>
      <c r="AM431" s="169"/>
      <c r="AN431" s="169"/>
      <c r="AO431" s="169"/>
      <c r="AP431" s="169"/>
      <c r="AQ431" s="169"/>
      <c r="AR431" s="169"/>
    </row>
    <row r="432" spans="1:44" ht="12.5">
      <c r="A432" s="169" t="str">
        <f ca="1">IFERROR(__xludf.DUMMYFUNCTION("""COMPUTED_VALUE"""),"Tom Fangman")</f>
        <v>Tom Fangman</v>
      </c>
      <c r="B432" s="186">
        <f ca="1">COUNTIF('All Scores'!AJ:AK,A432)</f>
        <v>1</v>
      </c>
      <c r="C432" s="186">
        <f ca="1">IFERROR(__xludf.DUMMYFUNCTION("MIN(FILTER('All Scores'!AI$2:AI$1024, ('All Scores'!AJ$2:AJ$1024 = A432) + ('All Scores'!AK$2:AK$1024 = A432)))"),13)</f>
        <v>13</v>
      </c>
      <c r="D432" s="187">
        <f ca="1">IFERROR(__xludf.DUMMYFUNCTION("AVERAGE(FILTER('All Scores'!AI$2:AI$1024, ('All Scores'!AJ$2:AJ$1024 = A432) + ('All Scores'!AK$2:AK$1024 = A432))
)
"),13)</f>
        <v>13</v>
      </c>
      <c r="E432" s="6">
        <f ca="1">IFERROR(__xludf.DUMMYFUNCTION("SUM(FILTER('All Scores'!AF$2:AF$1024, ('All Scores'!AJ$2:AJ$1024 = A432) + ('All Scores'!AK$2:AK$1024 = A432)))
"),64)</f>
        <v>64</v>
      </c>
      <c r="F432" s="6">
        <f ca="1">IFERROR(__xludf.DUMMYFUNCTION("SUM(FILTER('All Scores'!AD$2:AD$1024, ('All Scores'!AJ$2:AJ$1024 = A432) + ('All Scores'!AK$2:AK$1024 = A432)))
"),21)</f>
        <v>21</v>
      </c>
      <c r="G432" s="21">
        <f t="shared" ca="1" si="2"/>
        <v>0.328125</v>
      </c>
      <c r="H432" s="169"/>
      <c r="I432" s="169"/>
      <c r="J432" s="6"/>
      <c r="K432" s="188"/>
      <c r="L432" s="189"/>
      <c r="M432" s="189"/>
      <c r="N432" s="6"/>
      <c r="O432" s="6"/>
      <c r="P432" s="6"/>
      <c r="Q432" s="169"/>
      <c r="R432" s="6"/>
      <c r="S432" s="6"/>
      <c r="T432" s="169"/>
      <c r="U432" s="6"/>
      <c r="V432" s="169"/>
      <c r="W432" s="169"/>
      <c r="X432" s="169"/>
      <c r="Y432" s="169"/>
      <c r="Z432" s="169"/>
      <c r="AA432" s="169"/>
      <c r="AB432" s="169"/>
      <c r="AC432" s="169"/>
      <c r="AD432" s="169"/>
      <c r="AE432" s="169"/>
      <c r="AF432" s="169"/>
      <c r="AG432" s="169"/>
      <c r="AH432" s="169"/>
      <c r="AI432" s="169"/>
      <c r="AJ432" s="169"/>
      <c r="AK432" s="169"/>
      <c r="AL432" s="169"/>
      <c r="AM432" s="169"/>
      <c r="AN432" s="169"/>
      <c r="AO432" s="169"/>
      <c r="AP432" s="169"/>
      <c r="AQ432" s="169"/>
      <c r="AR432" s="169"/>
    </row>
    <row r="433" spans="1:44" ht="12.5">
      <c r="A433" s="169" t="str">
        <f ca="1">IFERROR(__xludf.DUMMYFUNCTION("""COMPUTED_VALUE"""),"Tom Hunt")</f>
        <v>Tom Hunt</v>
      </c>
      <c r="B433" s="186">
        <f ca="1">COUNTIF('All Scores'!AJ:AK,A433)</f>
        <v>2</v>
      </c>
      <c r="C433" s="186">
        <f ca="1">IFERROR(__xludf.DUMMYFUNCTION("MIN(FILTER('All Scores'!AI$2:AI$1024, ('All Scores'!AJ$2:AJ$1024 = A433) + ('All Scores'!AK$2:AK$1024 = A433)))"),7)</f>
        <v>7</v>
      </c>
      <c r="D433" s="187">
        <f ca="1">IFERROR(__xludf.DUMMYFUNCTION("AVERAGE(FILTER('All Scores'!AI$2:AI$1024, ('All Scores'!AJ$2:AJ$1024 = A433) + ('All Scores'!AK$2:AK$1024 = A433))
)
"),10)</f>
        <v>10</v>
      </c>
      <c r="E433" s="6">
        <f ca="1">IFERROR(__xludf.DUMMYFUNCTION("SUM(FILTER('All Scores'!AF$2:AF$1024, ('All Scores'!AJ$2:AJ$1024 = A433) + ('All Scores'!AK$2:AK$1024 = A433)))
"),146)</f>
        <v>146</v>
      </c>
      <c r="F433" s="6">
        <f ca="1">IFERROR(__xludf.DUMMYFUNCTION("SUM(FILTER('All Scores'!AD$2:AD$1024, ('All Scores'!AJ$2:AJ$1024 = A433) + ('All Scores'!AK$2:AK$1024 = A433)))
"),86)</f>
        <v>86</v>
      </c>
      <c r="G433" s="21">
        <f t="shared" ca="1" si="2"/>
        <v>0.58904109589041098</v>
      </c>
      <c r="H433" s="169"/>
      <c r="I433" s="169"/>
      <c r="J433" s="6"/>
      <c r="K433" s="188"/>
      <c r="L433" s="189"/>
      <c r="M433" s="189"/>
      <c r="N433" s="6"/>
      <c r="O433" s="6"/>
      <c r="P433" s="6"/>
      <c r="Q433" s="169"/>
      <c r="R433" s="6"/>
      <c r="S433" s="6"/>
      <c r="T433" s="169"/>
      <c r="U433" s="6"/>
      <c r="V433" s="169"/>
      <c r="W433" s="169"/>
      <c r="X433" s="169"/>
      <c r="Y433" s="169"/>
      <c r="Z433" s="169"/>
      <c r="AA433" s="169"/>
      <c r="AB433" s="169"/>
      <c r="AC433" s="169"/>
      <c r="AD433" s="169"/>
      <c r="AE433" s="169"/>
      <c r="AF433" s="169"/>
      <c r="AG433" s="169"/>
      <c r="AH433" s="169"/>
      <c r="AI433" s="169"/>
      <c r="AJ433" s="169"/>
      <c r="AK433" s="169"/>
      <c r="AL433" s="169"/>
      <c r="AM433" s="169"/>
      <c r="AN433" s="169"/>
      <c r="AO433" s="169"/>
      <c r="AP433" s="169"/>
      <c r="AQ433" s="169"/>
      <c r="AR433" s="169"/>
    </row>
    <row r="434" spans="1:44" ht="12.5">
      <c r="A434" s="169" t="str">
        <f ca="1">IFERROR(__xludf.DUMMYFUNCTION("""COMPUTED_VALUE"""),"Tom Langdon")</f>
        <v>Tom Langdon</v>
      </c>
      <c r="B434" s="186">
        <f ca="1">COUNTIF('All Scores'!AJ:AK,A434)</f>
        <v>1</v>
      </c>
      <c r="C434" s="186">
        <f ca="1">IFERROR(__xludf.DUMMYFUNCTION("MIN(FILTER('All Scores'!AI$2:AI$1024, ('All Scores'!AJ$2:AJ$1024 = A434) + ('All Scores'!AK$2:AK$1024 = A434)))"),7)</f>
        <v>7</v>
      </c>
      <c r="D434" s="187">
        <f ca="1">IFERROR(__xludf.DUMMYFUNCTION("AVERAGE(FILTER('All Scores'!AI$2:AI$1024, ('All Scores'!AJ$2:AJ$1024 = A434) + ('All Scores'!AK$2:AK$1024 = A434))
)
"),7)</f>
        <v>7</v>
      </c>
      <c r="E434" s="6">
        <f ca="1">IFERROR(__xludf.DUMMYFUNCTION("SUM(FILTER('All Scores'!AF$2:AF$1024, ('All Scores'!AJ$2:AJ$1024 = A434) + ('All Scores'!AK$2:AK$1024 = A434)))
"),93)</f>
        <v>93</v>
      </c>
      <c r="F434" s="6">
        <f ca="1">IFERROR(__xludf.DUMMYFUNCTION("SUM(FILTER('All Scores'!AD$2:AD$1024, ('All Scores'!AJ$2:AJ$1024 = A434) + ('All Scores'!AK$2:AK$1024 = A434)))
"),46)</f>
        <v>46</v>
      </c>
      <c r="G434" s="21">
        <f t="shared" ca="1" si="2"/>
        <v>0.4946236559139785</v>
      </c>
      <c r="H434" s="169"/>
      <c r="I434" s="169"/>
      <c r="J434" s="6"/>
      <c r="K434" s="188"/>
      <c r="L434" s="189"/>
      <c r="M434" s="189"/>
      <c r="N434" s="6"/>
      <c r="O434" s="6"/>
      <c r="P434" s="6"/>
      <c r="Q434" s="169"/>
      <c r="R434" s="6"/>
      <c r="S434" s="6"/>
      <c r="T434" s="169"/>
      <c r="U434" s="6"/>
      <c r="V434" s="169"/>
      <c r="W434" s="169"/>
      <c r="X434" s="169"/>
      <c r="Y434" s="169"/>
      <c r="Z434" s="169"/>
      <c r="AA434" s="169"/>
      <c r="AB434" s="169"/>
      <c r="AC434" s="169"/>
      <c r="AD434" s="169"/>
      <c r="AE434" s="169"/>
      <c r="AF434" s="169"/>
      <c r="AG434" s="169"/>
      <c r="AH434" s="169"/>
      <c r="AI434" s="169"/>
      <c r="AJ434" s="169"/>
      <c r="AK434" s="169"/>
      <c r="AL434" s="169"/>
      <c r="AM434" s="169"/>
      <c r="AN434" s="169"/>
      <c r="AO434" s="169"/>
      <c r="AP434" s="169"/>
      <c r="AQ434" s="169"/>
      <c r="AR434" s="169"/>
    </row>
    <row r="435" spans="1:44" ht="12.5">
      <c r="A435" s="169" t="str">
        <f ca="1">IFERROR(__xludf.DUMMYFUNCTION("""COMPUTED_VALUE"""),"Tom Lee")</f>
        <v>Tom Lee</v>
      </c>
      <c r="B435" s="186">
        <f ca="1">COUNTIF('All Scores'!AJ:AK,A435)</f>
        <v>5</v>
      </c>
      <c r="C435" s="186">
        <f ca="1">IFERROR(__xludf.DUMMYFUNCTION("MIN(FILTER('All Scores'!AI$2:AI$1024, ('All Scores'!AJ$2:AJ$1024 = A435) + ('All Scores'!AK$2:AK$1024 = A435)))"),2)</f>
        <v>2</v>
      </c>
      <c r="D435" s="187">
        <f ca="1">IFERROR(__xludf.DUMMYFUNCTION("AVERAGE(FILTER('All Scores'!AI$2:AI$1024, ('All Scores'!AJ$2:AJ$1024 = A435) + ('All Scores'!AK$2:AK$1024 = A435))
)
"),10.2)</f>
        <v>10.199999999999999</v>
      </c>
      <c r="E435" s="6">
        <f ca="1">IFERROR(__xludf.DUMMYFUNCTION("SUM(FILTER('All Scores'!AF$2:AF$1024, ('All Scores'!AJ$2:AJ$1024 = A435) + ('All Scores'!AK$2:AK$1024 = A435)))
"),320)</f>
        <v>320</v>
      </c>
      <c r="F435" s="6">
        <f ca="1">IFERROR(__xludf.DUMMYFUNCTION("SUM(FILTER('All Scores'!AD$2:AD$1024, ('All Scores'!AJ$2:AJ$1024 = A435) + ('All Scores'!AK$2:AK$1024 = A435)))
"),153)</f>
        <v>153</v>
      </c>
      <c r="G435" s="21">
        <f t="shared" ca="1" si="2"/>
        <v>0.47812500000000002</v>
      </c>
      <c r="H435" s="169"/>
      <c r="I435" s="169"/>
      <c r="J435" s="6"/>
      <c r="K435" s="188"/>
      <c r="L435" s="189"/>
      <c r="M435" s="189"/>
      <c r="N435" s="6"/>
      <c r="O435" s="6"/>
      <c r="P435" s="6"/>
      <c r="Q435" s="169"/>
      <c r="R435" s="6"/>
      <c r="S435" s="6"/>
      <c r="T435" s="169"/>
      <c r="U435" s="6"/>
      <c r="V435" s="169"/>
      <c r="W435" s="169"/>
      <c r="X435" s="169"/>
      <c r="Y435" s="169"/>
      <c r="Z435" s="169"/>
      <c r="AA435" s="169"/>
      <c r="AB435" s="169"/>
      <c r="AC435" s="169"/>
      <c r="AD435" s="169"/>
      <c r="AE435" s="169"/>
      <c r="AF435" s="169"/>
      <c r="AG435" s="169"/>
      <c r="AH435" s="169"/>
      <c r="AI435" s="169"/>
      <c r="AJ435" s="169"/>
      <c r="AK435" s="169"/>
      <c r="AL435" s="169"/>
      <c r="AM435" s="169"/>
      <c r="AN435" s="169"/>
      <c r="AO435" s="169"/>
      <c r="AP435" s="169"/>
      <c r="AQ435" s="169"/>
      <c r="AR435" s="169"/>
    </row>
    <row r="436" spans="1:44" ht="12.5">
      <c r="A436" s="169" t="str">
        <f ca="1">IFERROR(__xludf.DUMMYFUNCTION("""COMPUTED_VALUE"""),"Tom Spenceri")</f>
        <v>Tom Spenceri</v>
      </c>
      <c r="B436" s="186">
        <f ca="1">COUNTIF('All Scores'!AJ:AK,A436)</f>
        <v>8</v>
      </c>
      <c r="C436" s="186">
        <f ca="1">IFERROR(__xludf.DUMMYFUNCTION("MIN(FILTER('All Scores'!AI$2:AI$1024, ('All Scores'!AJ$2:AJ$1024 = A436) + ('All Scores'!AK$2:AK$1024 = A436)))"),4)</f>
        <v>4</v>
      </c>
      <c r="D436" s="187">
        <f ca="1">IFERROR(__xludf.DUMMYFUNCTION("AVERAGE(FILTER('All Scores'!AI$2:AI$1024, ('All Scores'!AJ$2:AJ$1024 = A436) + ('All Scores'!AK$2:AK$1024 = A436))
)
"),8.625)</f>
        <v>8.625</v>
      </c>
      <c r="E436" s="6">
        <f ca="1">IFERROR(__xludf.DUMMYFUNCTION("SUM(FILTER('All Scores'!AF$2:AF$1024, ('All Scores'!AJ$2:AJ$1024 = A436) + ('All Scores'!AK$2:AK$1024 = A436)))
"),505)</f>
        <v>505</v>
      </c>
      <c r="F436" s="6">
        <f ca="1">IFERROR(__xludf.DUMMYFUNCTION("SUM(FILTER('All Scores'!AD$2:AD$1024, ('All Scores'!AJ$2:AJ$1024 = A436) + ('All Scores'!AK$2:AK$1024 = A436)))
"),243)</f>
        <v>243</v>
      </c>
      <c r="G436" s="21">
        <f t="shared" ca="1" si="2"/>
        <v>0.48118811881188117</v>
      </c>
      <c r="H436" s="169"/>
      <c r="I436" s="169"/>
      <c r="J436" s="6"/>
      <c r="K436" s="188"/>
      <c r="L436" s="189"/>
      <c r="M436" s="189"/>
      <c r="N436" s="6"/>
      <c r="O436" s="6"/>
      <c r="P436" s="6"/>
      <c r="Q436" s="169"/>
      <c r="R436" s="6"/>
      <c r="S436" s="6"/>
      <c r="T436" s="169"/>
      <c r="U436" s="6"/>
      <c r="V436" s="169"/>
      <c r="W436" s="169"/>
      <c r="X436" s="169"/>
      <c r="Y436" s="169"/>
      <c r="Z436" s="169"/>
      <c r="AA436" s="169"/>
      <c r="AB436" s="169"/>
      <c r="AC436" s="169"/>
      <c r="AD436" s="169"/>
      <c r="AE436" s="169"/>
      <c r="AF436" s="169"/>
      <c r="AG436" s="169"/>
      <c r="AH436" s="169"/>
      <c r="AI436" s="169"/>
      <c r="AJ436" s="169"/>
      <c r="AK436" s="169"/>
      <c r="AL436" s="169"/>
      <c r="AM436" s="169"/>
      <c r="AN436" s="169"/>
      <c r="AO436" s="169"/>
      <c r="AP436" s="169"/>
      <c r="AQ436" s="169"/>
      <c r="AR436" s="169"/>
    </row>
    <row r="437" spans="1:44" ht="12.5">
      <c r="A437" s="169" t="str">
        <f ca="1">IFERROR(__xludf.DUMMYFUNCTION("""COMPUTED_VALUE"""),"Tom Wolfe")</f>
        <v>Tom Wolfe</v>
      </c>
      <c r="B437" s="186">
        <f ca="1">COUNTIF('All Scores'!AJ:AK,A437)</f>
        <v>4</v>
      </c>
      <c r="C437" s="186">
        <f ca="1">IFERROR(__xludf.DUMMYFUNCTION("MIN(FILTER('All Scores'!AI$2:AI$1024, ('All Scores'!AJ$2:AJ$1024 = A437) + ('All Scores'!AK$2:AK$1024 = A437)))"),2)</f>
        <v>2</v>
      </c>
      <c r="D437" s="187">
        <f ca="1">IFERROR(__xludf.DUMMYFUNCTION("AVERAGE(FILTER('All Scores'!AI$2:AI$1024, ('All Scores'!AJ$2:AJ$1024 = A437) + ('All Scores'!AK$2:AK$1024 = A437))
)
"),7.25)</f>
        <v>7.25</v>
      </c>
      <c r="E437" s="6">
        <f ca="1">IFERROR(__xludf.DUMMYFUNCTION("SUM(FILTER('All Scores'!AF$2:AF$1024, ('All Scores'!AJ$2:AJ$1024 = A437) + ('All Scores'!AK$2:AK$1024 = A437)))
"),284)</f>
        <v>284</v>
      </c>
      <c r="F437" s="6">
        <f ca="1">IFERROR(__xludf.DUMMYFUNCTION("SUM(FILTER('All Scores'!AD$2:AD$1024, ('All Scores'!AJ$2:AJ$1024 = A437) + ('All Scores'!AK$2:AK$1024 = A437)))
"),148)</f>
        <v>148</v>
      </c>
      <c r="G437" s="21">
        <f t="shared" ca="1" si="2"/>
        <v>0.52112676056338025</v>
      </c>
      <c r="H437" s="169"/>
      <c r="I437" s="169"/>
      <c r="J437" s="6"/>
      <c r="K437" s="188"/>
      <c r="L437" s="189"/>
      <c r="M437" s="189"/>
      <c r="N437" s="6"/>
      <c r="O437" s="6"/>
      <c r="P437" s="6"/>
      <c r="Q437" s="169"/>
      <c r="R437" s="6"/>
      <c r="S437" s="6"/>
      <c r="T437" s="169"/>
      <c r="U437" s="6"/>
      <c r="V437" s="169"/>
      <c r="W437" s="169"/>
      <c r="X437" s="169"/>
      <c r="Y437" s="169"/>
      <c r="Z437" s="169"/>
      <c r="AA437" s="169"/>
      <c r="AB437" s="169"/>
      <c r="AC437" s="169"/>
      <c r="AD437" s="169"/>
      <c r="AE437" s="169"/>
      <c r="AF437" s="169"/>
      <c r="AG437" s="169"/>
      <c r="AH437" s="169"/>
      <c r="AI437" s="169"/>
      <c r="AJ437" s="169"/>
      <c r="AK437" s="169"/>
      <c r="AL437" s="169"/>
      <c r="AM437" s="169"/>
      <c r="AN437" s="169"/>
      <c r="AO437" s="169"/>
      <c r="AP437" s="169"/>
      <c r="AQ437" s="169"/>
      <c r="AR437" s="169"/>
    </row>
    <row r="438" spans="1:44" ht="12.5">
      <c r="A438" s="169" t="str">
        <f ca="1">IFERROR(__xludf.DUMMYFUNCTION("""COMPUTED_VALUE"""),"Tracy Boone")</f>
        <v>Tracy Boone</v>
      </c>
      <c r="B438" s="186">
        <f ca="1">COUNTIF('All Scores'!AJ:AK,A438)</f>
        <v>1</v>
      </c>
      <c r="C438" s="186">
        <f ca="1">IFERROR(__xludf.DUMMYFUNCTION("MIN(FILTER('All Scores'!AI$2:AI$1024, ('All Scores'!AJ$2:AJ$1024 = A438) + ('All Scores'!AK$2:AK$1024 = A438)))"),8)</f>
        <v>8</v>
      </c>
      <c r="D438" s="187">
        <f ca="1">IFERROR(__xludf.DUMMYFUNCTION("AVERAGE(FILTER('All Scores'!AI$2:AI$1024, ('All Scores'!AJ$2:AJ$1024 = A438) + ('All Scores'!AK$2:AK$1024 = A438))
)
"),8)</f>
        <v>8</v>
      </c>
      <c r="E438" s="6">
        <f ca="1">IFERROR(__xludf.DUMMYFUNCTION("SUM(FILTER('All Scores'!AF$2:AF$1024, ('All Scores'!AJ$2:AJ$1024 = A438) + ('All Scores'!AK$2:AK$1024 = A438)))
"),70)</f>
        <v>70</v>
      </c>
      <c r="F438" s="6">
        <f ca="1">IFERROR(__xludf.DUMMYFUNCTION("SUM(FILTER('All Scores'!AD$2:AD$1024, ('All Scores'!AJ$2:AJ$1024 = A438) + ('All Scores'!AK$2:AK$1024 = A438)))
"),33)</f>
        <v>33</v>
      </c>
      <c r="G438" s="21">
        <f t="shared" ca="1" si="2"/>
        <v>0.47142857142857142</v>
      </c>
      <c r="H438" s="169"/>
      <c r="I438" s="169"/>
      <c r="J438" s="6"/>
      <c r="K438" s="188"/>
      <c r="L438" s="189"/>
      <c r="M438" s="189"/>
      <c r="N438" s="6"/>
      <c r="O438" s="6"/>
      <c r="P438" s="6"/>
      <c r="Q438" s="169"/>
      <c r="R438" s="6"/>
      <c r="S438" s="6"/>
      <c r="T438" s="169"/>
      <c r="U438" s="6"/>
      <c r="V438" s="169"/>
      <c r="W438" s="169"/>
      <c r="X438" s="169"/>
      <c r="Y438" s="169"/>
      <c r="Z438" s="169"/>
      <c r="AA438" s="169"/>
      <c r="AB438" s="169"/>
      <c r="AC438" s="169"/>
      <c r="AD438" s="169"/>
      <c r="AE438" s="169"/>
      <c r="AF438" s="169"/>
      <c r="AG438" s="169"/>
      <c r="AH438" s="169"/>
      <c r="AI438" s="169"/>
      <c r="AJ438" s="169"/>
      <c r="AK438" s="169"/>
      <c r="AL438" s="169"/>
      <c r="AM438" s="169"/>
      <c r="AN438" s="169"/>
      <c r="AO438" s="169"/>
      <c r="AP438" s="169"/>
      <c r="AQ438" s="169"/>
      <c r="AR438" s="169"/>
    </row>
    <row r="439" spans="1:44" ht="12.5">
      <c r="A439" s="169" t="str">
        <f ca="1">IFERROR(__xludf.DUMMYFUNCTION("""COMPUTED_VALUE"""),"Tracy Lockton")</f>
        <v>Tracy Lockton</v>
      </c>
      <c r="B439" s="186">
        <f ca="1">COUNTIF('All Scores'!AJ:AK,A439)</f>
        <v>1</v>
      </c>
      <c r="C439" s="186">
        <f ca="1">IFERROR(__xludf.DUMMYFUNCTION("MIN(FILTER('All Scores'!AI$2:AI$1024, ('All Scores'!AJ$2:AJ$1024 = A439) + ('All Scores'!AK$2:AK$1024 = A439)))"),2)</f>
        <v>2</v>
      </c>
      <c r="D439" s="187">
        <f ca="1">IFERROR(__xludf.DUMMYFUNCTION("AVERAGE(FILTER('All Scores'!AI$2:AI$1024, ('All Scores'!AJ$2:AJ$1024 = A439) + ('All Scores'!AK$2:AK$1024 = A439))
)
"),2)</f>
        <v>2</v>
      </c>
      <c r="E439" s="6">
        <f ca="1">IFERROR(__xludf.DUMMYFUNCTION("SUM(FILTER('All Scores'!AF$2:AF$1024, ('All Scores'!AJ$2:AJ$1024 = A439) + ('All Scores'!AK$2:AK$1024 = A439)))
"),122)</f>
        <v>122</v>
      </c>
      <c r="F439" s="6">
        <f ca="1">IFERROR(__xludf.DUMMYFUNCTION("SUM(FILTER('All Scores'!AD$2:AD$1024, ('All Scores'!AJ$2:AJ$1024 = A439) + ('All Scores'!AK$2:AK$1024 = A439)))
"),74)</f>
        <v>74</v>
      </c>
      <c r="G439" s="21">
        <f t="shared" ca="1" si="2"/>
        <v>0.60655737704918034</v>
      </c>
      <c r="H439" s="169"/>
      <c r="I439" s="169"/>
      <c r="J439" s="6"/>
      <c r="K439" s="188"/>
      <c r="L439" s="189"/>
      <c r="M439" s="189"/>
      <c r="N439" s="6"/>
      <c r="O439" s="6"/>
      <c r="P439" s="6"/>
      <c r="Q439" s="169"/>
      <c r="R439" s="6"/>
      <c r="S439" s="6"/>
      <c r="T439" s="169"/>
      <c r="U439" s="6"/>
      <c r="V439" s="169"/>
      <c r="W439" s="169"/>
      <c r="X439" s="169"/>
      <c r="Y439" s="169"/>
      <c r="Z439" s="169"/>
      <c r="AA439" s="169"/>
      <c r="AB439" s="169"/>
      <c r="AC439" s="169"/>
      <c r="AD439" s="169"/>
      <c r="AE439" s="169"/>
      <c r="AF439" s="169"/>
      <c r="AG439" s="169"/>
      <c r="AH439" s="169"/>
      <c r="AI439" s="169"/>
      <c r="AJ439" s="169"/>
      <c r="AK439" s="169"/>
      <c r="AL439" s="169"/>
      <c r="AM439" s="169"/>
      <c r="AN439" s="169"/>
      <c r="AO439" s="169"/>
      <c r="AP439" s="169"/>
      <c r="AQ439" s="169"/>
      <c r="AR439" s="169"/>
    </row>
    <row r="440" spans="1:44" ht="12.5">
      <c r="A440" s="169" t="str">
        <f ca="1">IFERROR(__xludf.DUMMYFUNCTION("""COMPUTED_VALUE"""),"Travis Gillitzer")</f>
        <v>Travis Gillitzer</v>
      </c>
      <c r="B440" s="186">
        <f ca="1">COUNTIF('All Scores'!AJ:AK,A440)</f>
        <v>2</v>
      </c>
      <c r="C440" s="186">
        <f ca="1">IFERROR(__xludf.DUMMYFUNCTION("MIN(FILTER('All Scores'!AI$2:AI$1024, ('All Scores'!AJ$2:AJ$1024 = A440) + ('All Scores'!AK$2:AK$1024 = A440)))"),1)</f>
        <v>1</v>
      </c>
      <c r="D440" s="187">
        <f ca="1">IFERROR(__xludf.DUMMYFUNCTION("AVERAGE(FILTER('All Scores'!AI$2:AI$1024, ('All Scores'!AJ$2:AJ$1024 = A440) + ('All Scores'!AK$2:AK$1024 = A440))
)
"),8.5)</f>
        <v>8.5</v>
      </c>
      <c r="E440" s="6">
        <f ca="1">IFERROR(__xludf.DUMMYFUNCTION("SUM(FILTER('All Scores'!AF$2:AF$1024, ('All Scores'!AJ$2:AJ$1024 = A440) + ('All Scores'!AK$2:AK$1024 = A440)))
"),147)</f>
        <v>147</v>
      </c>
      <c r="F440" s="6">
        <f ca="1">IFERROR(__xludf.DUMMYFUNCTION("SUM(FILTER('All Scores'!AD$2:AD$1024, ('All Scores'!AJ$2:AJ$1024 = A440) + ('All Scores'!AK$2:AK$1024 = A440)))
"),67)</f>
        <v>67</v>
      </c>
      <c r="G440" s="21">
        <f t="shared" ca="1" si="2"/>
        <v>0.45578231292517007</v>
      </c>
      <c r="H440" s="169"/>
      <c r="I440" s="169"/>
      <c r="J440" s="6"/>
      <c r="K440" s="188"/>
      <c r="L440" s="189"/>
      <c r="M440" s="189"/>
      <c r="N440" s="6"/>
      <c r="O440" s="6"/>
      <c r="P440" s="6"/>
      <c r="Q440" s="169"/>
      <c r="R440" s="6"/>
      <c r="S440" s="6"/>
      <c r="T440" s="169"/>
      <c r="U440" s="6"/>
      <c r="V440" s="169"/>
      <c r="W440" s="169"/>
      <c r="X440" s="169"/>
      <c r="Y440" s="169"/>
      <c r="Z440" s="169"/>
      <c r="AA440" s="169"/>
      <c r="AB440" s="169"/>
      <c r="AC440" s="169"/>
      <c r="AD440" s="169"/>
      <c r="AE440" s="169"/>
      <c r="AF440" s="169"/>
      <c r="AG440" s="169"/>
      <c r="AH440" s="169"/>
      <c r="AI440" s="169"/>
      <c r="AJ440" s="169"/>
      <c r="AK440" s="169"/>
      <c r="AL440" s="169"/>
      <c r="AM440" s="169"/>
      <c r="AN440" s="169"/>
      <c r="AO440" s="169"/>
      <c r="AP440" s="169"/>
      <c r="AQ440" s="169"/>
      <c r="AR440" s="169"/>
    </row>
    <row r="441" spans="1:44" ht="12.5">
      <c r="A441" s="169" t="str">
        <f ca="1">IFERROR(__xludf.DUMMYFUNCTION("""COMPUTED_VALUE"""),"Travis Horn")</f>
        <v>Travis Horn</v>
      </c>
      <c r="B441" s="186">
        <f ca="1">COUNTIF('All Scores'!AJ:AK,A441)</f>
        <v>1</v>
      </c>
      <c r="C441" s="186">
        <f ca="1">IFERROR(__xludf.DUMMYFUNCTION("MIN(FILTER('All Scores'!AI$2:AI$1024, ('All Scores'!AJ$2:AJ$1024 = A441) + ('All Scores'!AK$2:AK$1024 = A441)))"),2)</f>
        <v>2</v>
      </c>
      <c r="D441" s="187">
        <f ca="1">IFERROR(__xludf.DUMMYFUNCTION("AVERAGE(FILTER('All Scores'!AI$2:AI$1024, ('All Scores'!AJ$2:AJ$1024 = A441) + ('All Scores'!AK$2:AK$1024 = A441))
)
"),2)</f>
        <v>2</v>
      </c>
      <c r="E441" s="6">
        <f ca="1">IFERROR(__xludf.DUMMYFUNCTION("SUM(FILTER('All Scores'!AF$2:AF$1024, ('All Scores'!AJ$2:AJ$1024 = A441) + ('All Scores'!AK$2:AK$1024 = A441)))
"),117)</f>
        <v>117</v>
      </c>
      <c r="F441" s="6">
        <f ca="1">IFERROR(__xludf.DUMMYFUNCTION("SUM(FILTER('All Scores'!AD$2:AD$1024, ('All Scores'!AJ$2:AJ$1024 = A441) + ('All Scores'!AK$2:AK$1024 = A441)))
"),63)</f>
        <v>63</v>
      </c>
      <c r="G441" s="21">
        <f t="shared" ca="1" si="2"/>
        <v>0.53846153846153844</v>
      </c>
      <c r="H441" s="169"/>
      <c r="I441" s="169"/>
      <c r="J441" s="6"/>
      <c r="K441" s="188"/>
      <c r="L441" s="189"/>
      <c r="M441" s="189"/>
      <c r="N441" s="6"/>
      <c r="O441" s="6"/>
      <c r="P441" s="6"/>
      <c r="Q441" s="169"/>
      <c r="R441" s="6"/>
      <c r="S441" s="6"/>
      <c r="T441" s="169"/>
      <c r="U441" s="6"/>
      <c r="V441" s="169"/>
      <c r="W441" s="169"/>
      <c r="X441" s="169"/>
      <c r="Y441" s="169"/>
      <c r="Z441" s="169"/>
      <c r="AA441" s="169"/>
      <c r="AB441" s="169"/>
      <c r="AC441" s="169"/>
      <c r="AD441" s="169"/>
      <c r="AE441" s="169"/>
      <c r="AF441" s="169"/>
      <c r="AG441" s="169"/>
      <c r="AH441" s="169"/>
      <c r="AI441" s="169"/>
      <c r="AJ441" s="169"/>
      <c r="AK441" s="169"/>
      <c r="AL441" s="169"/>
      <c r="AM441" s="169"/>
      <c r="AN441" s="169"/>
      <c r="AO441" s="169"/>
      <c r="AP441" s="169"/>
      <c r="AQ441" s="169"/>
      <c r="AR441" s="169"/>
    </row>
    <row r="442" spans="1:44" ht="12.5">
      <c r="A442" s="169" t="str">
        <f ca="1">IFERROR(__xludf.DUMMYFUNCTION("""COMPUTED_VALUE"""),"Trevor Stone")</f>
        <v>Trevor Stone</v>
      </c>
      <c r="B442" s="186">
        <f ca="1">COUNTIF('All Scores'!AJ:AK,A442)</f>
        <v>1</v>
      </c>
      <c r="C442" s="186">
        <f ca="1">IFERROR(__xludf.DUMMYFUNCTION("MIN(FILTER('All Scores'!AI$2:AI$1024, ('All Scores'!AJ$2:AJ$1024 = A442) + ('All Scores'!AK$2:AK$1024 = A442)))"),6)</f>
        <v>6</v>
      </c>
      <c r="D442" s="187">
        <f ca="1">IFERROR(__xludf.DUMMYFUNCTION("AVERAGE(FILTER('All Scores'!AI$2:AI$1024, ('All Scores'!AJ$2:AJ$1024 = A442) + ('All Scores'!AK$2:AK$1024 = A442))
)
"),6)</f>
        <v>6</v>
      </c>
      <c r="E442" s="6">
        <f ca="1">IFERROR(__xludf.DUMMYFUNCTION("SUM(FILTER('All Scores'!AF$2:AF$1024, ('All Scores'!AJ$2:AJ$1024 = A442) + ('All Scores'!AK$2:AK$1024 = A442)))
"),77)</f>
        <v>77</v>
      </c>
      <c r="F442" s="6">
        <f ca="1">IFERROR(__xludf.DUMMYFUNCTION("SUM(FILTER('All Scores'!AD$2:AD$1024, ('All Scores'!AJ$2:AJ$1024 = A442) + ('All Scores'!AK$2:AK$1024 = A442)))
"),39)</f>
        <v>39</v>
      </c>
      <c r="G442" s="21">
        <f t="shared" ca="1" si="2"/>
        <v>0.50649350649350644</v>
      </c>
      <c r="H442" s="169"/>
      <c r="I442" s="169"/>
      <c r="J442" s="6"/>
      <c r="K442" s="188"/>
      <c r="L442" s="189"/>
      <c r="M442" s="189"/>
      <c r="N442" s="6"/>
      <c r="O442" s="6"/>
      <c r="P442" s="6"/>
      <c r="Q442" s="169"/>
      <c r="R442" s="6"/>
      <c r="S442" s="6"/>
      <c r="T442" s="169"/>
      <c r="U442" s="6"/>
      <c r="V442" s="169"/>
      <c r="W442" s="169"/>
      <c r="X442" s="169"/>
      <c r="Y442" s="169"/>
      <c r="Z442" s="169"/>
      <c r="AA442" s="169"/>
      <c r="AB442" s="169"/>
      <c r="AC442" s="169"/>
      <c r="AD442" s="169"/>
      <c r="AE442" s="169"/>
      <c r="AF442" s="169"/>
      <c r="AG442" s="169"/>
      <c r="AH442" s="169"/>
      <c r="AI442" s="169"/>
      <c r="AJ442" s="169"/>
      <c r="AK442" s="169"/>
      <c r="AL442" s="169"/>
      <c r="AM442" s="169"/>
      <c r="AN442" s="169"/>
      <c r="AO442" s="169"/>
      <c r="AP442" s="169"/>
      <c r="AQ442" s="169"/>
      <c r="AR442" s="169"/>
    </row>
    <row r="443" spans="1:44" ht="12.5">
      <c r="A443" s="169" t="str">
        <f ca="1">IFERROR(__xludf.DUMMYFUNCTION("""COMPUTED_VALUE"""),"Troy Caskey")</f>
        <v>Troy Caskey</v>
      </c>
      <c r="B443" s="186">
        <f ca="1">COUNTIF('All Scores'!AJ:AK,A443)</f>
        <v>1</v>
      </c>
      <c r="C443" s="186">
        <f ca="1">IFERROR(__xludf.DUMMYFUNCTION("MIN(FILTER('All Scores'!AI$2:AI$1024, ('All Scores'!AJ$2:AJ$1024 = A443) + ('All Scores'!AK$2:AK$1024 = A443)))"),2)</f>
        <v>2</v>
      </c>
      <c r="D443" s="187">
        <f ca="1">IFERROR(__xludf.DUMMYFUNCTION("AVERAGE(FILTER('All Scores'!AI$2:AI$1024, ('All Scores'!AJ$2:AJ$1024 = A443) + ('All Scores'!AK$2:AK$1024 = A443))
)
"),2)</f>
        <v>2</v>
      </c>
      <c r="E443" s="6">
        <f ca="1">IFERROR(__xludf.DUMMYFUNCTION("SUM(FILTER('All Scores'!AF$2:AF$1024, ('All Scores'!AJ$2:AJ$1024 = A443) + ('All Scores'!AK$2:AK$1024 = A443)))
"),80)</f>
        <v>80</v>
      </c>
      <c r="F443" s="6">
        <f ca="1">IFERROR(__xludf.DUMMYFUNCTION("SUM(FILTER('All Scores'!AD$2:AD$1024, ('All Scores'!AJ$2:AJ$1024 = A443) + ('All Scores'!AK$2:AK$1024 = A443)))
"),50)</f>
        <v>50</v>
      </c>
      <c r="G443" s="21">
        <f t="shared" ca="1" si="2"/>
        <v>0.625</v>
      </c>
      <c r="H443" s="169"/>
      <c r="I443" s="169"/>
      <c r="J443" s="6"/>
      <c r="K443" s="188"/>
      <c r="L443" s="189"/>
      <c r="M443" s="189"/>
      <c r="N443" s="6"/>
      <c r="O443" s="6"/>
      <c r="P443" s="6"/>
      <c r="Q443" s="169"/>
      <c r="R443" s="6"/>
      <c r="S443" s="6"/>
      <c r="T443" s="169"/>
      <c r="U443" s="6"/>
      <c r="V443" s="169"/>
      <c r="W443" s="169"/>
      <c r="X443" s="169"/>
      <c r="Y443" s="169"/>
      <c r="Z443" s="169"/>
      <c r="AA443" s="169"/>
      <c r="AB443" s="169"/>
      <c r="AC443" s="169"/>
      <c r="AD443" s="169"/>
      <c r="AE443" s="169"/>
      <c r="AF443" s="169"/>
      <c r="AG443" s="169"/>
      <c r="AH443" s="169"/>
      <c r="AI443" s="169"/>
      <c r="AJ443" s="169"/>
      <c r="AK443" s="169"/>
      <c r="AL443" s="169"/>
      <c r="AM443" s="169"/>
      <c r="AN443" s="169"/>
      <c r="AO443" s="169"/>
      <c r="AP443" s="169"/>
      <c r="AQ443" s="169"/>
      <c r="AR443" s="169"/>
    </row>
    <row r="444" spans="1:44" ht="12.5">
      <c r="A444" s="169" t="str">
        <f ca="1">IFERROR(__xludf.DUMMYFUNCTION("""COMPUTED_VALUE"""),"Troy Davig")</f>
        <v>Troy Davig</v>
      </c>
      <c r="B444" s="186">
        <f ca="1">COUNTIF('All Scores'!AJ:AK,A444)</f>
        <v>1</v>
      </c>
      <c r="C444" s="186">
        <f ca="1">IFERROR(__xludf.DUMMYFUNCTION("MIN(FILTER('All Scores'!AI$2:AI$1024, ('All Scores'!AJ$2:AJ$1024 = A444) + ('All Scores'!AK$2:AK$1024 = A444)))"),6)</f>
        <v>6</v>
      </c>
      <c r="D444" s="187">
        <f ca="1">IFERROR(__xludf.DUMMYFUNCTION("AVERAGE(FILTER('All Scores'!AI$2:AI$1024, ('All Scores'!AJ$2:AJ$1024 = A444) + ('All Scores'!AK$2:AK$1024 = A444))
)
"),6)</f>
        <v>6</v>
      </c>
      <c r="E444" s="6">
        <f ca="1">IFERROR(__xludf.DUMMYFUNCTION("SUM(FILTER('All Scores'!AF$2:AF$1024, ('All Scores'!AJ$2:AJ$1024 = A444) + ('All Scores'!AK$2:AK$1024 = A444)))
"),67)</f>
        <v>67</v>
      </c>
      <c r="F444" s="6">
        <f ca="1">IFERROR(__xludf.DUMMYFUNCTION("SUM(FILTER('All Scores'!AD$2:AD$1024, ('All Scores'!AJ$2:AJ$1024 = A444) + ('All Scores'!AK$2:AK$1024 = A444)))
"),35)</f>
        <v>35</v>
      </c>
      <c r="G444" s="21">
        <f t="shared" ca="1" si="2"/>
        <v>0.52238805970149249</v>
      </c>
      <c r="H444" s="169"/>
      <c r="I444" s="169"/>
      <c r="J444" s="6"/>
      <c r="K444" s="188"/>
      <c r="L444" s="189"/>
      <c r="M444" s="189"/>
      <c r="N444" s="6"/>
      <c r="O444" s="6"/>
      <c r="P444" s="6"/>
      <c r="Q444" s="169"/>
      <c r="R444" s="6"/>
      <c r="S444" s="6"/>
      <c r="T444" s="169"/>
      <c r="U444" s="6"/>
      <c r="V444" s="169"/>
      <c r="W444" s="169"/>
      <c r="X444" s="169"/>
      <c r="Y444" s="169"/>
      <c r="Z444" s="169"/>
      <c r="AA444" s="169"/>
      <c r="AB444" s="169"/>
      <c r="AC444" s="169"/>
      <c r="AD444" s="169"/>
      <c r="AE444" s="169"/>
      <c r="AF444" s="169"/>
      <c r="AG444" s="169"/>
      <c r="AH444" s="169"/>
      <c r="AI444" s="169"/>
      <c r="AJ444" s="169"/>
      <c r="AK444" s="169"/>
      <c r="AL444" s="169"/>
      <c r="AM444" s="169"/>
      <c r="AN444" s="169"/>
      <c r="AO444" s="169"/>
      <c r="AP444" s="169"/>
      <c r="AQ444" s="169"/>
      <c r="AR444" s="169"/>
    </row>
    <row r="445" spans="1:44" ht="12.5">
      <c r="A445" s="169" t="str">
        <f ca="1">IFERROR(__xludf.DUMMYFUNCTION("""COMPUTED_VALUE"""),"Troy Thomasson")</f>
        <v>Troy Thomasson</v>
      </c>
      <c r="B445" s="186">
        <f ca="1">COUNTIF('All Scores'!AJ:AK,A445)</f>
        <v>9</v>
      </c>
      <c r="C445" s="186">
        <f ca="1">IFERROR(__xludf.DUMMYFUNCTION("MIN(FILTER('All Scores'!AI$2:AI$1024, ('All Scores'!AJ$2:AJ$1024 = A445) + ('All Scores'!AK$2:AK$1024 = A445)))"),1)</f>
        <v>1</v>
      </c>
      <c r="D445" s="187">
        <f ca="1">IFERROR(__xludf.DUMMYFUNCTION("AVERAGE(FILTER('All Scores'!AI$2:AI$1024, ('All Scores'!AJ$2:AJ$1024 = A445) + ('All Scores'!AK$2:AK$1024 = A445))
)
"),6.44444444444444)</f>
        <v>6.4444444444444402</v>
      </c>
      <c r="E445" s="6">
        <f ca="1">IFERROR(__xludf.DUMMYFUNCTION("SUM(FILTER('All Scores'!AF$2:AF$1024, ('All Scores'!AJ$2:AJ$1024 = A445) + ('All Scores'!AK$2:AK$1024 = A445)))
"),813)</f>
        <v>813</v>
      </c>
      <c r="F445" s="6">
        <f ca="1">IFERROR(__xludf.DUMMYFUNCTION("SUM(FILTER('All Scores'!AD$2:AD$1024, ('All Scores'!AJ$2:AJ$1024 = A445) + ('All Scores'!AK$2:AK$1024 = A445)))
"),437)</f>
        <v>437</v>
      </c>
      <c r="G445" s="21">
        <f t="shared" ca="1" si="2"/>
        <v>0.53751537515375158</v>
      </c>
      <c r="H445" s="169"/>
      <c r="I445" s="169"/>
      <c r="J445" s="6"/>
      <c r="K445" s="188"/>
      <c r="L445" s="189"/>
      <c r="M445" s="189"/>
      <c r="N445" s="6"/>
      <c r="O445" s="6"/>
      <c r="P445" s="6"/>
      <c r="Q445" s="169"/>
      <c r="R445" s="6"/>
      <c r="S445" s="6"/>
      <c r="T445" s="169"/>
      <c r="U445" s="6"/>
      <c r="V445" s="169"/>
      <c r="W445" s="169"/>
      <c r="X445" s="169"/>
      <c r="Y445" s="169"/>
      <c r="Z445" s="169"/>
      <c r="AA445" s="169"/>
      <c r="AB445" s="169"/>
      <c r="AC445" s="169"/>
      <c r="AD445" s="169"/>
      <c r="AE445" s="169"/>
      <c r="AF445" s="169"/>
      <c r="AG445" s="169"/>
      <c r="AH445" s="169"/>
      <c r="AI445" s="169"/>
      <c r="AJ445" s="169"/>
      <c r="AK445" s="169"/>
      <c r="AL445" s="169"/>
      <c r="AM445" s="169"/>
      <c r="AN445" s="169"/>
      <c r="AO445" s="169"/>
      <c r="AP445" s="169"/>
      <c r="AQ445" s="169"/>
      <c r="AR445" s="169"/>
    </row>
    <row r="446" spans="1:44" ht="12.5">
      <c r="A446" s="169" t="str">
        <f ca="1">IFERROR(__xludf.DUMMYFUNCTION("""COMPUTED_VALUE"""),"Vageesh Kumar")</f>
        <v>Vageesh Kumar</v>
      </c>
      <c r="B446" s="186">
        <f ca="1">COUNTIF('All Scores'!AJ:AK,A446)</f>
        <v>2</v>
      </c>
      <c r="C446" s="186">
        <f ca="1">IFERROR(__xludf.DUMMYFUNCTION("MIN(FILTER('All Scores'!AI$2:AI$1024, ('All Scores'!AJ$2:AJ$1024 = A446) + ('All Scores'!AK$2:AK$1024 = A446)))"),1)</f>
        <v>1</v>
      </c>
      <c r="D446" s="187">
        <f ca="1">IFERROR(__xludf.DUMMYFUNCTION("AVERAGE(FILTER('All Scores'!AI$2:AI$1024, ('All Scores'!AJ$2:AJ$1024 = A446) + ('All Scores'!AK$2:AK$1024 = A446))
)
"),2.5)</f>
        <v>2.5</v>
      </c>
      <c r="E446" s="6">
        <f ca="1">IFERROR(__xludf.DUMMYFUNCTION("SUM(FILTER('All Scores'!AF$2:AF$1024, ('All Scores'!AJ$2:AJ$1024 = A446) + ('All Scores'!AK$2:AK$1024 = A446)))
"),212)</f>
        <v>212</v>
      </c>
      <c r="F446" s="6">
        <f ca="1">IFERROR(__xludf.DUMMYFUNCTION("SUM(FILTER('All Scores'!AD$2:AD$1024, ('All Scores'!AJ$2:AJ$1024 = A446) + ('All Scores'!AK$2:AK$1024 = A446)))
"),133)</f>
        <v>133</v>
      </c>
      <c r="G446" s="21">
        <f t="shared" ca="1" si="2"/>
        <v>0.62735849056603776</v>
      </c>
      <c r="H446" s="169"/>
      <c r="I446" s="169"/>
      <c r="J446" s="6"/>
      <c r="K446" s="188"/>
      <c r="L446" s="189"/>
      <c r="M446" s="189"/>
      <c r="N446" s="6"/>
      <c r="O446" s="6"/>
      <c r="P446" s="6"/>
      <c r="Q446" s="169"/>
      <c r="R446" s="6"/>
      <c r="S446" s="6"/>
      <c r="T446" s="169"/>
      <c r="U446" s="6"/>
      <c r="V446" s="169"/>
      <c r="W446" s="169"/>
      <c r="X446" s="169"/>
      <c r="Y446" s="169"/>
      <c r="Z446" s="169"/>
      <c r="AA446" s="169"/>
      <c r="AB446" s="169"/>
      <c r="AC446" s="169"/>
      <c r="AD446" s="169"/>
      <c r="AE446" s="169"/>
      <c r="AF446" s="169"/>
      <c r="AG446" s="169"/>
      <c r="AH446" s="169"/>
      <c r="AI446" s="169"/>
      <c r="AJ446" s="169"/>
      <c r="AK446" s="169"/>
      <c r="AL446" s="169"/>
      <c r="AM446" s="169"/>
      <c r="AN446" s="169"/>
      <c r="AO446" s="169"/>
      <c r="AP446" s="169"/>
      <c r="AQ446" s="169"/>
      <c r="AR446" s="169"/>
    </row>
    <row r="447" spans="1:44" ht="12.5">
      <c r="A447" s="169" t="str">
        <f ca="1">IFERROR(__xludf.DUMMYFUNCTION("""COMPUTED_VALUE"""),"Valerie Dubois")</f>
        <v>Valerie Dubois</v>
      </c>
      <c r="B447" s="186">
        <f ca="1">COUNTIF('All Scores'!AJ:AK,A447)</f>
        <v>5</v>
      </c>
      <c r="C447" s="186">
        <f ca="1">IFERROR(__xludf.DUMMYFUNCTION("MIN(FILTER('All Scores'!AI$2:AI$1024, ('All Scores'!AJ$2:AJ$1024 = A447) + ('All Scores'!AK$2:AK$1024 = A447)))"),3)</f>
        <v>3</v>
      </c>
      <c r="D447" s="187">
        <f ca="1">IFERROR(__xludf.DUMMYFUNCTION("AVERAGE(FILTER('All Scores'!AI$2:AI$1024, ('All Scores'!AJ$2:AJ$1024 = A447) + ('All Scores'!AK$2:AK$1024 = A447))
)
"),9.4)</f>
        <v>9.4</v>
      </c>
      <c r="E447" s="6">
        <f ca="1">IFERROR(__xludf.DUMMYFUNCTION("SUM(FILTER('All Scores'!AF$2:AF$1024, ('All Scores'!AJ$2:AJ$1024 = A447) + ('All Scores'!AK$2:AK$1024 = A447)))
"),376)</f>
        <v>376</v>
      </c>
      <c r="F447" s="6">
        <f ca="1">IFERROR(__xludf.DUMMYFUNCTION("SUM(FILTER('All Scores'!AD$2:AD$1024, ('All Scores'!AJ$2:AJ$1024 = A447) + ('All Scores'!AK$2:AK$1024 = A447)))
"),192)</f>
        <v>192</v>
      </c>
      <c r="G447" s="21">
        <f t="shared" ca="1" si="2"/>
        <v>0.51063829787234039</v>
      </c>
      <c r="H447" s="169"/>
      <c r="I447" s="169"/>
      <c r="J447" s="6"/>
      <c r="K447" s="188"/>
      <c r="L447" s="189"/>
      <c r="M447" s="189"/>
      <c r="N447" s="6"/>
      <c r="O447" s="6"/>
      <c r="P447" s="6"/>
      <c r="Q447" s="169"/>
      <c r="R447" s="6"/>
      <c r="S447" s="6"/>
      <c r="T447" s="169"/>
      <c r="U447" s="6"/>
      <c r="V447" s="169"/>
      <c r="W447" s="169"/>
      <c r="X447" s="169"/>
      <c r="Y447" s="169"/>
      <c r="Z447" s="169"/>
      <c r="AA447" s="169"/>
      <c r="AB447" s="169"/>
      <c r="AC447" s="169"/>
      <c r="AD447" s="169"/>
      <c r="AE447" s="169"/>
      <c r="AF447" s="169"/>
      <c r="AG447" s="169"/>
      <c r="AH447" s="169"/>
      <c r="AI447" s="169"/>
      <c r="AJ447" s="169"/>
      <c r="AK447" s="169"/>
      <c r="AL447" s="169"/>
      <c r="AM447" s="169"/>
      <c r="AN447" s="169"/>
      <c r="AO447" s="169"/>
      <c r="AP447" s="169"/>
      <c r="AQ447" s="169"/>
      <c r="AR447" s="169"/>
    </row>
    <row r="448" spans="1:44" ht="12.5">
      <c r="A448" s="169" t="str">
        <f ca="1">IFERROR(__xludf.DUMMYFUNCTION("""COMPUTED_VALUE"""),"Veronica Marrs")</f>
        <v>Veronica Marrs</v>
      </c>
      <c r="B448" s="186">
        <f ca="1">COUNTIF('All Scores'!AJ:AK,A448)</f>
        <v>1</v>
      </c>
      <c r="C448" s="186">
        <f ca="1">IFERROR(__xludf.DUMMYFUNCTION("MIN(FILTER('All Scores'!AI$2:AI$1024, ('All Scores'!AJ$2:AJ$1024 = A448) + ('All Scores'!AK$2:AK$1024 = A448)))"),7)</f>
        <v>7</v>
      </c>
      <c r="D448" s="187">
        <f ca="1">IFERROR(__xludf.DUMMYFUNCTION("AVERAGE(FILTER('All Scores'!AI$2:AI$1024, ('All Scores'!AJ$2:AJ$1024 = A448) + ('All Scores'!AK$2:AK$1024 = A448))
)
"),7)</f>
        <v>7</v>
      </c>
      <c r="E448" s="6">
        <f ca="1">IFERROR(__xludf.DUMMYFUNCTION("SUM(FILTER('All Scores'!AF$2:AF$1024, ('All Scores'!AJ$2:AJ$1024 = A448) + ('All Scores'!AK$2:AK$1024 = A448)))
"),69)</f>
        <v>69</v>
      </c>
      <c r="F448" s="6">
        <f ca="1">IFERROR(__xludf.DUMMYFUNCTION("SUM(FILTER('All Scores'!AD$2:AD$1024, ('All Scores'!AJ$2:AJ$1024 = A448) + ('All Scores'!AK$2:AK$1024 = A448)))
"),42)</f>
        <v>42</v>
      </c>
      <c r="G448" s="21">
        <f t="shared" ca="1" si="2"/>
        <v>0.60869565217391308</v>
      </c>
      <c r="H448" s="169"/>
      <c r="I448" s="169"/>
      <c r="J448" s="6"/>
      <c r="K448" s="188"/>
      <c r="L448" s="189"/>
      <c r="M448" s="189"/>
      <c r="N448" s="6"/>
      <c r="O448" s="6"/>
      <c r="P448" s="6"/>
      <c r="Q448" s="169"/>
      <c r="R448" s="6"/>
      <c r="S448" s="6"/>
      <c r="T448" s="169"/>
      <c r="U448" s="6"/>
      <c r="V448" s="169"/>
      <c r="W448" s="169"/>
      <c r="X448" s="169"/>
      <c r="Y448" s="169"/>
      <c r="Z448" s="169"/>
      <c r="AA448" s="169"/>
      <c r="AB448" s="169"/>
      <c r="AC448" s="169"/>
      <c r="AD448" s="169"/>
      <c r="AE448" s="169"/>
      <c r="AF448" s="169"/>
      <c r="AG448" s="169"/>
      <c r="AH448" s="169"/>
      <c r="AI448" s="169"/>
      <c r="AJ448" s="169"/>
      <c r="AK448" s="169"/>
      <c r="AL448" s="169"/>
      <c r="AM448" s="169"/>
      <c r="AN448" s="169"/>
      <c r="AO448" s="169"/>
      <c r="AP448" s="169"/>
      <c r="AQ448" s="169"/>
      <c r="AR448" s="169"/>
    </row>
    <row r="449" spans="1:44" ht="12.5">
      <c r="A449" s="169" t="str">
        <f ca="1">IFERROR(__xludf.DUMMYFUNCTION("""COMPUTED_VALUE"""),"Viliamu Vaofanua")</f>
        <v>Viliamu Vaofanua</v>
      </c>
      <c r="B449" s="186">
        <f ca="1">COUNTIF('All Scores'!AJ:AK,A449)</f>
        <v>1</v>
      </c>
      <c r="C449" s="186">
        <f ca="1">IFERROR(__xludf.DUMMYFUNCTION("MIN(FILTER('All Scores'!AI$2:AI$1024, ('All Scores'!AJ$2:AJ$1024 = A449) + ('All Scores'!AK$2:AK$1024 = A449)))"),2)</f>
        <v>2</v>
      </c>
      <c r="D449" s="187">
        <f ca="1">IFERROR(__xludf.DUMMYFUNCTION("AVERAGE(FILTER('All Scores'!AI$2:AI$1024, ('All Scores'!AJ$2:AJ$1024 = A449) + ('All Scores'!AK$2:AK$1024 = A449))
)
"),2)</f>
        <v>2</v>
      </c>
      <c r="E449" s="6">
        <f ca="1">IFERROR(__xludf.DUMMYFUNCTION("SUM(FILTER('All Scores'!AF$2:AF$1024, ('All Scores'!AJ$2:AJ$1024 = A449) + ('All Scores'!AK$2:AK$1024 = A449)))
"),137)</f>
        <v>137</v>
      </c>
      <c r="F449" s="6">
        <f ca="1">IFERROR(__xludf.DUMMYFUNCTION("SUM(FILTER('All Scores'!AD$2:AD$1024, ('All Scores'!AJ$2:AJ$1024 = A449) + ('All Scores'!AK$2:AK$1024 = A449)))
"),71)</f>
        <v>71</v>
      </c>
      <c r="G449" s="21">
        <f t="shared" ca="1" si="2"/>
        <v>0.51824817518248179</v>
      </c>
      <c r="H449" s="169"/>
      <c r="I449" s="169"/>
      <c r="J449" s="6"/>
      <c r="K449" s="188"/>
      <c r="L449" s="189"/>
      <c r="M449" s="189"/>
      <c r="N449" s="6"/>
      <c r="O449" s="6"/>
      <c r="P449" s="6"/>
      <c r="Q449" s="169"/>
      <c r="R449" s="6"/>
      <c r="S449" s="6"/>
      <c r="T449" s="169"/>
      <c r="U449" s="6"/>
      <c r="V449" s="169"/>
      <c r="W449" s="169"/>
      <c r="X449" s="169"/>
      <c r="Y449" s="169"/>
      <c r="Z449" s="169"/>
      <c r="AA449" s="169"/>
      <c r="AB449" s="169"/>
      <c r="AC449" s="169"/>
      <c r="AD449" s="169"/>
      <c r="AE449" s="169"/>
      <c r="AF449" s="169"/>
      <c r="AG449" s="169"/>
      <c r="AH449" s="169"/>
      <c r="AI449" s="169"/>
      <c r="AJ449" s="169"/>
      <c r="AK449" s="169"/>
      <c r="AL449" s="169"/>
      <c r="AM449" s="169"/>
      <c r="AN449" s="169"/>
      <c r="AO449" s="169"/>
      <c r="AP449" s="169"/>
      <c r="AQ449" s="169"/>
      <c r="AR449" s="169"/>
    </row>
    <row r="450" spans="1:44" ht="12.5">
      <c r="A450" s="169" t="str">
        <f ca="1">IFERROR(__xludf.DUMMYFUNCTION("""COMPUTED_VALUE"""),"Wendy Leiker")</f>
        <v>Wendy Leiker</v>
      </c>
      <c r="B450" s="186">
        <f ca="1">COUNTIF('All Scores'!AJ:AK,A450)</f>
        <v>2</v>
      </c>
      <c r="C450" s="186">
        <f ca="1">IFERROR(__xludf.DUMMYFUNCTION("MIN(FILTER('All Scores'!AI$2:AI$1024, ('All Scores'!AJ$2:AJ$1024 = A450) + ('All Scores'!AK$2:AK$1024 = A450)))"),8)</f>
        <v>8</v>
      </c>
      <c r="D450" s="187">
        <f ca="1">IFERROR(__xludf.DUMMYFUNCTION("AVERAGE(FILTER('All Scores'!AI$2:AI$1024, ('All Scores'!AJ$2:AJ$1024 = A450) + ('All Scores'!AK$2:AK$1024 = A450))
)
"),11.5)</f>
        <v>11.5</v>
      </c>
      <c r="E450" s="6">
        <f ca="1">IFERROR(__xludf.DUMMYFUNCTION("SUM(FILTER('All Scores'!AF$2:AF$1024, ('All Scores'!AJ$2:AJ$1024 = A450) + ('All Scores'!AK$2:AK$1024 = A450)))
"),157)</f>
        <v>157</v>
      </c>
      <c r="F450" s="6">
        <f ca="1">IFERROR(__xludf.DUMMYFUNCTION("SUM(FILTER('All Scores'!AD$2:AD$1024, ('All Scores'!AJ$2:AJ$1024 = A450) + ('All Scores'!AK$2:AK$1024 = A450)))
"),83)</f>
        <v>83</v>
      </c>
      <c r="G450" s="21">
        <f t="shared" ca="1" si="2"/>
        <v>0.5286624203821656</v>
      </c>
      <c r="H450" s="169"/>
      <c r="I450" s="169"/>
      <c r="J450" s="6"/>
      <c r="K450" s="188"/>
      <c r="L450" s="189"/>
      <c r="M450" s="189"/>
      <c r="N450" s="6"/>
      <c r="O450" s="6"/>
      <c r="P450" s="6"/>
      <c r="Q450" s="169"/>
      <c r="R450" s="6"/>
      <c r="S450" s="6"/>
      <c r="T450" s="169"/>
      <c r="U450" s="6"/>
      <c r="V450" s="169"/>
      <c r="W450" s="169"/>
      <c r="X450" s="169"/>
      <c r="Y450" s="169"/>
      <c r="Z450" s="169"/>
      <c r="AA450" s="169"/>
      <c r="AB450" s="169"/>
      <c r="AC450" s="169"/>
      <c r="AD450" s="169"/>
      <c r="AE450" s="169"/>
      <c r="AF450" s="169"/>
      <c r="AG450" s="169"/>
      <c r="AH450" s="169"/>
      <c r="AI450" s="169"/>
      <c r="AJ450" s="169"/>
      <c r="AK450" s="169"/>
      <c r="AL450" s="169"/>
      <c r="AM450" s="169"/>
      <c r="AN450" s="169"/>
      <c r="AO450" s="169"/>
      <c r="AP450" s="169"/>
      <c r="AQ450" s="169"/>
      <c r="AR450" s="169"/>
    </row>
    <row r="451" spans="1:44" ht="12.5">
      <c r="A451" s="169" t="str">
        <f ca="1">IFERROR(__xludf.DUMMYFUNCTION("""COMPUTED_VALUE"""),"Will Polese")</f>
        <v>Will Polese</v>
      </c>
      <c r="B451" s="186">
        <f ca="1">COUNTIF('All Scores'!AJ:AK,A451)</f>
        <v>4</v>
      </c>
      <c r="C451" s="186">
        <f ca="1">IFERROR(__xludf.DUMMYFUNCTION("MIN(FILTER('All Scores'!AI$2:AI$1024, ('All Scores'!AJ$2:AJ$1024 = A451) + ('All Scores'!AK$2:AK$1024 = A451)))"),5)</f>
        <v>5</v>
      </c>
      <c r="D451" s="187">
        <f ca="1">IFERROR(__xludf.DUMMYFUNCTION("AVERAGE(FILTER('All Scores'!AI$2:AI$1024, ('All Scores'!AJ$2:AJ$1024 = A451) + ('All Scores'!AK$2:AK$1024 = A451))
)
"),10.25)</f>
        <v>10.25</v>
      </c>
      <c r="E451" s="6">
        <f ca="1">IFERROR(__xludf.DUMMYFUNCTION("SUM(FILTER('All Scores'!AF$2:AF$1024, ('All Scores'!AJ$2:AJ$1024 = A451) + ('All Scores'!AK$2:AK$1024 = A451)))
"),291)</f>
        <v>291</v>
      </c>
      <c r="F451" s="6">
        <f ca="1">IFERROR(__xludf.DUMMYFUNCTION("SUM(FILTER('All Scores'!AD$2:AD$1024, ('All Scores'!AJ$2:AJ$1024 = A451) + ('All Scores'!AK$2:AK$1024 = A451)))
"),138)</f>
        <v>138</v>
      </c>
      <c r="G451" s="21">
        <f t="shared" ca="1" si="2"/>
        <v>0.47422680412371132</v>
      </c>
      <c r="H451" s="169"/>
      <c r="I451" s="169"/>
      <c r="J451" s="6"/>
      <c r="K451" s="188"/>
      <c r="L451" s="189"/>
      <c r="M451" s="189"/>
      <c r="N451" s="6"/>
      <c r="O451" s="6"/>
      <c r="P451" s="6"/>
      <c r="Q451" s="169"/>
      <c r="R451" s="6"/>
      <c r="S451" s="6"/>
      <c r="T451" s="169"/>
      <c r="U451" s="6"/>
      <c r="V451" s="169"/>
      <c r="W451" s="169"/>
      <c r="X451" s="169"/>
      <c r="Y451" s="169"/>
      <c r="Z451" s="169"/>
      <c r="AA451" s="169"/>
      <c r="AB451" s="169"/>
      <c r="AC451" s="169"/>
      <c r="AD451" s="169"/>
      <c r="AE451" s="169"/>
      <c r="AF451" s="169"/>
      <c r="AG451" s="169"/>
      <c r="AH451" s="169"/>
      <c r="AI451" s="169"/>
      <c r="AJ451" s="169"/>
      <c r="AK451" s="169"/>
      <c r="AL451" s="169"/>
      <c r="AM451" s="169"/>
      <c r="AN451" s="169"/>
      <c r="AO451" s="169"/>
      <c r="AP451" s="169"/>
      <c r="AQ451" s="169"/>
      <c r="AR451" s="169"/>
    </row>
    <row r="452" spans="1:44" ht="12.5">
      <c r="A452" s="169" t="str">
        <f ca="1">IFERROR(__xludf.DUMMYFUNCTION("""COMPUTED_VALUE"""),"Will Talbert")</f>
        <v>Will Talbert</v>
      </c>
      <c r="B452" s="186">
        <f ca="1">COUNTIF('All Scores'!AJ:AK,A452)</f>
        <v>1</v>
      </c>
      <c r="C452" s="186">
        <f ca="1">IFERROR(__xludf.DUMMYFUNCTION("MIN(FILTER('All Scores'!AI$2:AI$1024, ('All Scores'!AJ$2:AJ$1024 = A452) + ('All Scores'!AK$2:AK$1024 = A452)))"),4)</f>
        <v>4</v>
      </c>
      <c r="D452" s="187">
        <f ca="1">IFERROR(__xludf.DUMMYFUNCTION("AVERAGE(FILTER('All Scores'!AI$2:AI$1024, ('All Scores'!AJ$2:AJ$1024 = A452) + ('All Scores'!AK$2:AK$1024 = A452))
)
"),4)</f>
        <v>4</v>
      </c>
      <c r="E452" s="6">
        <f ca="1">IFERROR(__xludf.DUMMYFUNCTION("SUM(FILTER('All Scores'!AF$2:AF$1024, ('All Scores'!AJ$2:AJ$1024 = A452) + ('All Scores'!AK$2:AK$1024 = A452)))
"),97)</f>
        <v>97</v>
      </c>
      <c r="F452" s="6">
        <f ca="1">IFERROR(__xludf.DUMMYFUNCTION("SUM(FILTER('All Scores'!AD$2:AD$1024, ('All Scores'!AJ$2:AJ$1024 = A452) + ('All Scores'!AK$2:AK$1024 = A452)))
"),59)</f>
        <v>59</v>
      </c>
      <c r="G452" s="21">
        <f t="shared" ca="1" si="2"/>
        <v>0.60824742268041232</v>
      </c>
      <c r="H452" s="169"/>
      <c r="I452" s="169"/>
      <c r="J452" s="6"/>
      <c r="K452" s="188"/>
      <c r="L452" s="189"/>
      <c r="M452" s="189"/>
      <c r="N452" s="6"/>
      <c r="O452" s="6"/>
      <c r="P452" s="6"/>
      <c r="Q452" s="169"/>
      <c r="R452" s="6"/>
      <c r="S452" s="6"/>
      <c r="T452" s="169"/>
      <c r="U452" s="6"/>
      <c r="V452" s="169"/>
      <c r="W452" s="169"/>
      <c r="X452" s="169"/>
      <c r="Y452" s="169"/>
      <c r="Z452" s="169"/>
      <c r="AA452" s="169"/>
      <c r="AB452" s="169"/>
      <c r="AC452" s="169"/>
      <c r="AD452" s="169"/>
      <c r="AE452" s="169"/>
      <c r="AF452" s="169"/>
      <c r="AG452" s="169"/>
      <c r="AH452" s="169"/>
      <c r="AI452" s="169"/>
      <c r="AJ452" s="169"/>
      <c r="AK452" s="169"/>
      <c r="AL452" s="169"/>
      <c r="AM452" s="169"/>
      <c r="AN452" s="169"/>
      <c r="AO452" s="169"/>
      <c r="AP452" s="169"/>
      <c r="AQ452" s="169"/>
      <c r="AR452" s="169"/>
    </row>
    <row r="453" spans="1:44" ht="12.5">
      <c r="A453" s="169" t="str">
        <f ca="1">IFERROR(__xludf.DUMMYFUNCTION("""COMPUTED_VALUE"""),"William Edwards")</f>
        <v>William Edwards</v>
      </c>
      <c r="B453" s="186">
        <f ca="1">COUNTIF('All Scores'!AJ:AK,A453)</f>
        <v>5</v>
      </c>
      <c r="C453" s="186">
        <f ca="1">IFERROR(__xludf.DUMMYFUNCTION("MIN(FILTER('All Scores'!AI$2:AI$1024, ('All Scores'!AJ$2:AJ$1024 = A453) + ('All Scores'!AK$2:AK$1024 = A453)))"),2)</f>
        <v>2</v>
      </c>
      <c r="D453" s="187">
        <f ca="1">IFERROR(__xludf.DUMMYFUNCTION("AVERAGE(FILTER('All Scores'!AI$2:AI$1024, ('All Scores'!AJ$2:AJ$1024 = A453) + ('All Scores'!AK$2:AK$1024 = A453))
)
"),4.4)</f>
        <v>4.4000000000000004</v>
      </c>
      <c r="E453" s="6">
        <f ca="1">IFERROR(__xludf.DUMMYFUNCTION("SUM(FILTER('All Scores'!AF$2:AF$1024, ('All Scores'!AJ$2:AJ$1024 = A453) + ('All Scores'!AK$2:AK$1024 = A453)))
"),342)</f>
        <v>342</v>
      </c>
      <c r="F453" s="6">
        <f ca="1">IFERROR(__xludf.DUMMYFUNCTION("SUM(FILTER('All Scores'!AD$2:AD$1024, ('All Scores'!AJ$2:AJ$1024 = A453) + ('All Scores'!AK$2:AK$1024 = A453)))
"),193)</f>
        <v>193</v>
      </c>
      <c r="G453" s="21">
        <f t="shared" ca="1" si="2"/>
        <v>0.56432748538011701</v>
      </c>
      <c r="H453" s="169"/>
      <c r="I453" s="169"/>
      <c r="J453" s="6"/>
      <c r="K453" s="188"/>
      <c r="L453" s="189"/>
      <c r="M453" s="189"/>
      <c r="N453" s="6"/>
      <c r="O453" s="6"/>
      <c r="P453" s="6"/>
      <c r="Q453" s="169"/>
      <c r="R453" s="6"/>
      <c r="S453" s="6"/>
      <c r="T453" s="169"/>
      <c r="U453" s="6"/>
      <c r="V453" s="169"/>
      <c r="W453" s="169"/>
      <c r="X453" s="169"/>
      <c r="Y453" s="169"/>
      <c r="Z453" s="169"/>
      <c r="AA453" s="169"/>
      <c r="AB453" s="169"/>
      <c r="AC453" s="169"/>
      <c r="AD453" s="169"/>
      <c r="AE453" s="169"/>
      <c r="AF453" s="169"/>
      <c r="AG453" s="169"/>
      <c r="AH453" s="169"/>
      <c r="AI453" s="169"/>
      <c r="AJ453" s="169"/>
      <c r="AK453" s="169"/>
      <c r="AL453" s="169"/>
      <c r="AM453" s="169"/>
      <c r="AN453" s="169"/>
      <c r="AO453" s="169"/>
      <c r="AP453" s="169"/>
      <c r="AQ453" s="169"/>
      <c r="AR453" s="169"/>
    </row>
    <row r="454" spans="1:44" ht="12.5">
      <c r="A454" s="169" t="str">
        <f ca="1">IFERROR(__xludf.DUMMYFUNCTION("""COMPUTED_VALUE"""),"William Gross")</f>
        <v>William Gross</v>
      </c>
      <c r="B454" s="186">
        <f ca="1">COUNTIF('All Scores'!AJ:AK,A454)</f>
        <v>1</v>
      </c>
      <c r="C454" s="186">
        <f ca="1">IFERROR(__xludf.DUMMYFUNCTION("MIN(FILTER('All Scores'!AI$2:AI$1024, ('All Scores'!AJ$2:AJ$1024 = A454) + ('All Scores'!AK$2:AK$1024 = A454)))"),2)</f>
        <v>2</v>
      </c>
      <c r="D454" s="187">
        <f ca="1">IFERROR(__xludf.DUMMYFUNCTION("AVERAGE(FILTER('All Scores'!AI$2:AI$1024, ('All Scores'!AJ$2:AJ$1024 = A454) + ('All Scores'!AK$2:AK$1024 = A454))
)
"),2)</f>
        <v>2</v>
      </c>
      <c r="E454" s="6">
        <f ca="1">IFERROR(__xludf.DUMMYFUNCTION("SUM(FILTER('All Scores'!AF$2:AF$1024, ('All Scores'!AJ$2:AJ$1024 = A454) + ('All Scores'!AK$2:AK$1024 = A454)))
"),105)</f>
        <v>105</v>
      </c>
      <c r="F454" s="6">
        <f ca="1">IFERROR(__xludf.DUMMYFUNCTION("SUM(FILTER('All Scores'!AD$2:AD$1024, ('All Scores'!AJ$2:AJ$1024 = A454) + ('All Scores'!AK$2:AK$1024 = A454)))
"),76)</f>
        <v>76</v>
      </c>
      <c r="G454" s="21">
        <f t="shared" ca="1" si="2"/>
        <v>0.72380952380952379</v>
      </c>
      <c r="H454" s="169"/>
      <c r="I454" s="169"/>
      <c r="J454" s="6"/>
      <c r="K454" s="188"/>
      <c r="L454" s="189"/>
      <c r="M454" s="189"/>
      <c r="N454" s="6"/>
      <c r="O454" s="6"/>
      <c r="P454" s="6"/>
      <c r="Q454" s="169"/>
      <c r="R454" s="6"/>
      <c r="S454" s="6"/>
      <c r="T454" s="169"/>
      <c r="U454" s="6"/>
      <c r="V454" s="169"/>
      <c r="W454" s="169"/>
      <c r="X454" s="169"/>
      <c r="Y454" s="169"/>
      <c r="Z454" s="169"/>
      <c r="AA454" s="169"/>
      <c r="AB454" s="169"/>
      <c r="AC454" s="169"/>
      <c r="AD454" s="169"/>
      <c r="AE454" s="169"/>
      <c r="AF454" s="169"/>
      <c r="AG454" s="169"/>
      <c r="AH454" s="169"/>
      <c r="AI454" s="169"/>
      <c r="AJ454" s="169"/>
      <c r="AK454" s="169"/>
      <c r="AL454" s="169"/>
      <c r="AM454" s="169"/>
      <c r="AN454" s="169"/>
      <c r="AO454" s="169"/>
      <c r="AP454" s="169"/>
      <c r="AQ454" s="169"/>
      <c r="AR454" s="169"/>
    </row>
    <row r="455" spans="1:44" ht="12.5">
      <c r="A455" s="169" t="str">
        <f ca="1">IFERROR(__xludf.DUMMYFUNCTION("""COMPUTED_VALUE"""),"William Hyde")</f>
        <v>William Hyde</v>
      </c>
      <c r="B455" s="186">
        <f ca="1">COUNTIF('All Scores'!AJ:AK,A455)</f>
        <v>5</v>
      </c>
      <c r="C455" s="186">
        <f ca="1">IFERROR(__xludf.DUMMYFUNCTION("MIN(FILTER('All Scores'!AI$2:AI$1024, ('All Scores'!AJ$2:AJ$1024 = A455) + ('All Scores'!AK$2:AK$1024 = A455)))"),2)</f>
        <v>2</v>
      </c>
      <c r="D455" s="187">
        <f ca="1">IFERROR(__xludf.DUMMYFUNCTION("AVERAGE(FILTER('All Scores'!AI$2:AI$1024, ('All Scores'!AJ$2:AJ$1024 = A455) + ('All Scores'!AK$2:AK$1024 = A455))
)
"),8)</f>
        <v>8</v>
      </c>
      <c r="E455" s="6">
        <f ca="1">IFERROR(__xludf.DUMMYFUNCTION("SUM(FILTER('All Scores'!AF$2:AF$1024, ('All Scores'!AJ$2:AJ$1024 = A455) + ('All Scores'!AK$2:AK$1024 = A455)))
"),433)</f>
        <v>433</v>
      </c>
      <c r="F455" s="6">
        <f ca="1">IFERROR(__xludf.DUMMYFUNCTION("SUM(FILTER('All Scores'!AD$2:AD$1024, ('All Scores'!AJ$2:AJ$1024 = A455) + ('All Scores'!AK$2:AK$1024 = A455)))
"),219)</f>
        <v>219</v>
      </c>
      <c r="G455" s="21">
        <f t="shared" ca="1" si="2"/>
        <v>0.50577367205542723</v>
      </c>
      <c r="H455" s="169"/>
      <c r="I455" s="169"/>
      <c r="J455" s="6"/>
      <c r="K455" s="188"/>
      <c r="L455" s="189"/>
      <c r="M455" s="189"/>
      <c r="N455" s="6"/>
      <c r="O455" s="6"/>
      <c r="P455" s="6"/>
      <c r="Q455" s="169"/>
      <c r="R455" s="6"/>
      <c r="S455" s="6"/>
      <c r="T455" s="169"/>
      <c r="U455" s="6"/>
      <c r="V455" s="169"/>
      <c r="W455" s="169"/>
      <c r="X455" s="169"/>
      <c r="Y455" s="169"/>
      <c r="Z455" s="169"/>
      <c r="AA455" s="169"/>
      <c r="AB455" s="169"/>
      <c r="AC455" s="169"/>
      <c r="AD455" s="169"/>
      <c r="AE455" s="169"/>
      <c r="AF455" s="169"/>
      <c r="AG455" s="169"/>
      <c r="AH455" s="169"/>
      <c r="AI455" s="169"/>
      <c r="AJ455" s="169"/>
      <c r="AK455" s="169"/>
      <c r="AL455" s="169"/>
      <c r="AM455" s="169"/>
      <c r="AN455" s="169"/>
      <c r="AO455" s="169"/>
      <c r="AP455" s="169"/>
      <c r="AQ455" s="169"/>
      <c r="AR455" s="169"/>
    </row>
    <row r="456" spans="1:44" ht="12.5">
      <c r="A456" s="169" t="str">
        <f ca="1">IFERROR(__xludf.DUMMYFUNCTION("""COMPUTED_VALUE"""),"Witold Rzepnicki")</f>
        <v>Witold Rzepnicki</v>
      </c>
      <c r="B456" s="186">
        <f ca="1">COUNTIF('All Scores'!AJ:AK,A456)</f>
        <v>1</v>
      </c>
      <c r="C456" s="186">
        <f ca="1">IFERROR(__xludf.DUMMYFUNCTION("MIN(FILTER('All Scores'!AI$2:AI$1024, ('All Scores'!AJ$2:AJ$1024 = A456) + ('All Scores'!AK$2:AK$1024 = A456)))"),2)</f>
        <v>2</v>
      </c>
      <c r="D456" s="187">
        <f ca="1">IFERROR(__xludf.DUMMYFUNCTION("AVERAGE(FILTER('All Scores'!AI$2:AI$1024, ('All Scores'!AJ$2:AJ$1024 = A456) + ('All Scores'!AK$2:AK$1024 = A456))
)
"),2)</f>
        <v>2</v>
      </c>
      <c r="E456" s="6">
        <f ca="1">IFERROR(__xludf.DUMMYFUNCTION("SUM(FILTER('All Scores'!AF$2:AF$1024, ('All Scores'!AJ$2:AJ$1024 = A456) + ('All Scores'!AK$2:AK$1024 = A456)))
"),110)</f>
        <v>110</v>
      </c>
      <c r="F456" s="6">
        <f ca="1">IFERROR(__xludf.DUMMYFUNCTION("SUM(FILTER('All Scores'!AD$2:AD$1024, ('All Scores'!AJ$2:AJ$1024 = A456) + ('All Scores'!AK$2:AK$1024 = A456)))
"),65)</f>
        <v>65</v>
      </c>
      <c r="G456" s="21">
        <f t="shared" ca="1" si="2"/>
        <v>0.59090909090909094</v>
      </c>
      <c r="H456" s="169"/>
      <c r="I456" s="169"/>
      <c r="J456" s="6"/>
      <c r="K456" s="188"/>
      <c r="L456" s="189"/>
      <c r="M456" s="189"/>
      <c r="N456" s="6"/>
      <c r="O456" s="6"/>
      <c r="P456" s="6"/>
      <c r="Q456" s="169"/>
      <c r="R456" s="6"/>
      <c r="S456" s="6"/>
      <c r="T456" s="169"/>
      <c r="U456" s="6"/>
      <c r="V456" s="169"/>
      <c r="W456" s="169"/>
      <c r="X456" s="169"/>
      <c r="Y456" s="169"/>
      <c r="Z456" s="169"/>
      <c r="AA456" s="169"/>
      <c r="AB456" s="169"/>
      <c r="AC456" s="169"/>
      <c r="AD456" s="169"/>
      <c r="AE456" s="169"/>
      <c r="AF456" s="169"/>
      <c r="AG456" s="169"/>
      <c r="AH456" s="169"/>
      <c r="AI456" s="169"/>
      <c r="AJ456" s="169"/>
      <c r="AK456" s="169"/>
      <c r="AL456" s="169"/>
      <c r="AM456" s="169"/>
      <c r="AN456" s="169"/>
      <c r="AO456" s="169"/>
      <c r="AP456" s="169"/>
      <c r="AQ456" s="169"/>
      <c r="AR456" s="169"/>
    </row>
    <row r="457" spans="1:44" ht="12.5">
      <c r="A457" s="169" t="str">
        <f ca="1">IFERROR(__xludf.DUMMYFUNCTION("""COMPUTED_VALUE"""),"Yash Ramoo")</f>
        <v>Yash Ramoo</v>
      </c>
      <c r="B457" s="186">
        <f ca="1">COUNTIF('All Scores'!AJ:AK,A457)</f>
        <v>11</v>
      </c>
      <c r="C457" s="186">
        <f ca="1">IFERROR(__xludf.DUMMYFUNCTION("MIN(FILTER('All Scores'!AI$2:AI$1024, ('All Scores'!AJ$2:AJ$1024 = A457) + ('All Scores'!AK$2:AK$1024 = A457)))"),4)</f>
        <v>4</v>
      </c>
      <c r="D457" s="187">
        <f ca="1">IFERROR(__xludf.DUMMYFUNCTION("AVERAGE(FILTER('All Scores'!AI$2:AI$1024, ('All Scores'!AJ$2:AJ$1024 = A457) + ('All Scores'!AK$2:AK$1024 = A457))
)
"),11.8181818181818)</f>
        <v>11.818181818181801</v>
      </c>
      <c r="E457" s="6">
        <f ca="1">IFERROR(__xludf.DUMMYFUNCTION("SUM(FILTER('All Scores'!AF$2:AF$1024, ('All Scores'!AJ$2:AJ$1024 = A457) + ('All Scores'!AK$2:AK$1024 = A457)))
"),659)</f>
        <v>659</v>
      </c>
      <c r="F457" s="6">
        <f ca="1">IFERROR(__xludf.DUMMYFUNCTION("SUM(FILTER('All Scores'!AD$2:AD$1024, ('All Scores'!AJ$2:AJ$1024 = A457) + ('All Scores'!AK$2:AK$1024 = A457)))
"),321)</f>
        <v>321</v>
      </c>
      <c r="G457" s="21">
        <f t="shared" ca="1" si="2"/>
        <v>0.48710166919575115</v>
      </c>
      <c r="H457" s="169"/>
      <c r="I457" s="169"/>
      <c r="J457" s="6"/>
      <c r="K457" s="188"/>
      <c r="L457" s="189"/>
      <c r="M457" s="189"/>
      <c r="N457" s="6"/>
      <c r="O457" s="6"/>
      <c r="P457" s="6"/>
      <c r="Q457" s="169"/>
      <c r="R457" s="6"/>
      <c r="S457" s="6"/>
      <c r="T457" s="169"/>
      <c r="U457" s="6"/>
      <c r="V457" s="169"/>
      <c r="W457" s="169"/>
      <c r="X457" s="169"/>
      <c r="Y457" s="169"/>
      <c r="Z457" s="169"/>
      <c r="AA457" s="169"/>
      <c r="AB457" s="169"/>
      <c r="AC457" s="169"/>
      <c r="AD457" s="169"/>
      <c r="AE457" s="169"/>
      <c r="AF457" s="169"/>
      <c r="AG457" s="169"/>
      <c r="AH457" s="169"/>
      <c r="AI457" s="169"/>
      <c r="AJ457" s="169"/>
      <c r="AK457" s="169"/>
      <c r="AL457" s="169"/>
      <c r="AM457" s="169"/>
      <c r="AN457" s="169"/>
      <c r="AO457" s="169"/>
      <c r="AP457" s="169"/>
      <c r="AQ457" s="169"/>
      <c r="AR457" s="169"/>
    </row>
    <row r="458" spans="1:44" ht="12.5">
      <c r="A458" s="169" t="str">
        <f ca="1">IFERROR(__xludf.DUMMYFUNCTION("""COMPUTED_VALUE"""),"Yasmine Humbert")</f>
        <v>Yasmine Humbert</v>
      </c>
      <c r="B458" s="186">
        <f ca="1">COUNTIF('All Scores'!AJ:AK,A458)</f>
        <v>1</v>
      </c>
      <c r="C458" s="186">
        <f ca="1">IFERROR(__xludf.DUMMYFUNCTION("MIN(FILTER('All Scores'!AI$2:AI$1024, ('All Scores'!AJ$2:AJ$1024 = A458) + ('All Scores'!AK$2:AK$1024 = A458)))"),3)</f>
        <v>3</v>
      </c>
      <c r="D458" s="187">
        <f ca="1">IFERROR(__xludf.DUMMYFUNCTION("AVERAGE(FILTER('All Scores'!AI$2:AI$1024, ('All Scores'!AJ$2:AJ$1024 = A458) + ('All Scores'!AK$2:AK$1024 = A458))
)
"),3)</f>
        <v>3</v>
      </c>
      <c r="E458" s="6">
        <f ca="1">IFERROR(__xludf.DUMMYFUNCTION("SUM(FILTER('All Scores'!AF$2:AF$1024, ('All Scores'!AJ$2:AJ$1024 = A458) + ('All Scores'!AK$2:AK$1024 = A458)))
"),105)</f>
        <v>105</v>
      </c>
      <c r="F458" s="6">
        <f ca="1">IFERROR(__xludf.DUMMYFUNCTION("SUM(FILTER('All Scores'!AD$2:AD$1024, ('All Scores'!AJ$2:AJ$1024 = A458) + ('All Scores'!AK$2:AK$1024 = A458)))
"),60)</f>
        <v>60</v>
      </c>
      <c r="G458" s="21">
        <f t="shared" ca="1" si="2"/>
        <v>0.5714285714285714</v>
      </c>
      <c r="H458" s="169"/>
      <c r="I458" s="169"/>
      <c r="J458" s="6"/>
      <c r="K458" s="188"/>
      <c r="L458" s="189"/>
      <c r="M458" s="189"/>
      <c r="N458" s="6"/>
      <c r="O458" s="6"/>
      <c r="P458" s="6"/>
      <c r="Q458" s="169"/>
      <c r="R458" s="6"/>
      <c r="S458" s="6"/>
      <c r="T458" s="169"/>
      <c r="U458" s="6"/>
      <c r="V458" s="169"/>
      <c r="W458" s="169"/>
      <c r="X458" s="169"/>
      <c r="Y458" s="169"/>
      <c r="Z458" s="169"/>
      <c r="AA458" s="169"/>
      <c r="AB458" s="169"/>
      <c r="AC458" s="169"/>
      <c r="AD458" s="169"/>
      <c r="AE458" s="169"/>
      <c r="AF458" s="169"/>
      <c r="AG458" s="169"/>
      <c r="AH458" s="169"/>
      <c r="AI458" s="169"/>
      <c r="AJ458" s="169"/>
      <c r="AK458" s="169"/>
      <c r="AL458" s="169"/>
      <c r="AM458" s="169"/>
      <c r="AN458" s="169"/>
      <c r="AO458" s="169"/>
      <c r="AP458" s="169"/>
      <c r="AQ458" s="169"/>
      <c r="AR458" s="169"/>
    </row>
    <row r="459" spans="1:44" ht="12.5">
      <c r="A459" s="169"/>
      <c r="B459" s="186"/>
      <c r="C459" s="186"/>
      <c r="D459" s="187"/>
      <c r="E459" s="6"/>
      <c r="F459" s="6"/>
      <c r="G459" s="21"/>
      <c r="H459" s="169"/>
      <c r="I459" s="169"/>
      <c r="J459" s="6"/>
      <c r="K459" s="188"/>
      <c r="L459" s="189"/>
      <c r="M459" s="189"/>
      <c r="N459" s="6"/>
      <c r="O459" s="6"/>
      <c r="P459" s="6"/>
      <c r="Q459" s="169"/>
      <c r="R459" s="6"/>
      <c r="S459" s="6"/>
      <c r="T459" s="169"/>
      <c r="U459" s="6"/>
      <c r="V459" s="169"/>
      <c r="W459" s="169"/>
      <c r="X459" s="169"/>
      <c r="Y459" s="169"/>
      <c r="Z459" s="169"/>
      <c r="AA459" s="169"/>
      <c r="AB459" s="169"/>
      <c r="AC459" s="169"/>
      <c r="AD459" s="169"/>
      <c r="AE459" s="169"/>
      <c r="AF459" s="169"/>
      <c r="AG459" s="169"/>
      <c r="AH459" s="169"/>
      <c r="AI459" s="169"/>
      <c r="AJ459" s="169"/>
      <c r="AK459" s="169"/>
      <c r="AL459" s="169"/>
      <c r="AM459" s="169"/>
      <c r="AN459" s="169"/>
      <c r="AO459" s="169"/>
      <c r="AP459" s="169"/>
      <c r="AQ459" s="169"/>
      <c r="AR459" s="169"/>
    </row>
    <row r="460" spans="1:44" ht="12.5">
      <c r="A460" s="169"/>
      <c r="B460" s="186"/>
      <c r="C460" s="186"/>
      <c r="D460" s="187"/>
      <c r="E460" s="6"/>
      <c r="F460" s="6"/>
      <c r="G460" s="21"/>
      <c r="H460" s="169"/>
      <c r="I460" s="169"/>
      <c r="J460" s="6"/>
      <c r="K460" s="188"/>
      <c r="L460" s="189"/>
      <c r="M460" s="189"/>
      <c r="N460" s="6"/>
      <c r="O460" s="6"/>
      <c r="P460" s="6"/>
      <c r="Q460" s="169"/>
      <c r="R460" s="6"/>
      <c r="S460" s="6"/>
      <c r="T460" s="169"/>
      <c r="U460" s="6"/>
      <c r="V460" s="169"/>
      <c r="W460" s="169"/>
      <c r="X460" s="169"/>
      <c r="Y460" s="169"/>
      <c r="Z460" s="169"/>
      <c r="AA460" s="169"/>
      <c r="AB460" s="169"/>
      <c r="AC460" s="169"/>
      <c r="AD460" s="169"/>
      <c r="AE460" s="169"/>
      <c r="AF460" s="169"/>
      <c r="AG460" s="169"/>
      <c r="AH460" s="169"/>
      <c r="AI460" s="169"/>
      <c r="AJ460" s="169"/>
      <c r="AK460" s="169"/>
      <c r="AL460" s="169"/>
      <c r="AM460" s="169"/>
      <c r="AN460" s="169"/>
      <c r="AO460" s="169"/>
      <c r="AP460" s="169"/>
      <c r="AQ460" s="169"/>
      <c r="AR460" s="169"/>
    </row>
    <row r="461" spans="1:44" ht="12.5">
      <c r="A461" s="169"/>
      <c r="B461" s="186"/>
      <c r="C461" s="186"/>
      <c r="D461" s="187"/>
      <c r="E461" s="6"/>
      <c r="F461" s="6"/>
      <c r="G461" s="6"/>
      <c r="H461" s="169"/>
      <c r="I461" s="169"/>
      <c r="J461" s="6"/>
      <c r="K461" s="188"/>
      <c r="L461" s="189"/>
      <c r="M461" s="189"/>
      <c r="N461" s="6"/>
      <c r="O461" s="6"/>
      <c r="P461" s="6"/>
      <c r="Q461" s="169"/>
      <c r="R461" s="6"/>
      <c r="S461" s="6"/>
      <c r="T461" s="169"/>
      <c r="U461" s="6"/>
      <c r="V461" s="169"/>
      <c r="W461" s="169"/>
      <c r="X461" s="169"/>
      <c r="Y461" s="169"/>
      <c r="Z461" s="169"/>
      <c r="AA461" s="169"/>
      <c r="AB461" s="169"/>
      <c r="AC461" s="169"/>
      <c r="AD461" s="169"/>
      <c r="AE461" s="169"/>
      <c r="AF461" s="169"/>
      <c r="AG461" s="169"/>
      <c r="AH461" s="169"/>
      <c r="AI461" s="169"/>
      <c r="AJ461" s="169"/>
      <c r="AK461" s="169"/>
      <c r="AL461" s="169"/>
      <c r="AM461" s="169"/>
      <c r="AN461" s="169"/>
      <c r="AO461" s="169"/>
      <c r="AP461" s="169"/>
      <c r="AQ461" s="169"/>
      <c r="AR461" s="169"/>
    </row>
    <row r="462" spans="1:44" ht="12.5">
      <c r="A462" s="169"/>
      <c r="B462" s="186"/>
      <c r="C462" s="186"/>
      <c r="D462" s="187"/>
      <c r="E462" s="6"/>
      <c r="F462" s="6"/>
      <c r="G462" s="6"/>
      <c r="H462" s="169"/>
      <c r="I462" s="169"/>
      <c r="J462" s="6"/>
      <c r="K462" s="188"/>
      <c r="L462" s="189"/>
      <c r="M462" s="189"/>
      <c r="N462" s="6"/>
      <c r="O462" s="6"/>
      <c r="P462" s="6"/>
      <c r="Q462" s="169"/>
      <c r="R462" s="6"/>
      <c r="S462" s="6"/>
      <c r="T462" s="169"/>
      <c r="U462" s="6"/>
      <c r="V462" s="169"/>
      <c r="W462" s="169"/>
      <c r="X462" s="169"/>
      <c r="Y462" s="169"/>
      <c r="Z462" s="169"/>
      <c r="AA462" s="169"/>
      <c r="AB462" s="169"/>
      <c r="AC462" s="169"/>
      <c r="AD462" s="169"/>
      <c r="AE462" s="169"/>
      <c r="AF462" s="169"/>
      <c r="AG462" s="169"/>
      <c r="AH462" s="169"/>
      <c r="AI462" s="169"/>
      <c r="AJ462" s="169"/>
      <c r="AK462" s="169"/>
      <c r="AL462" s="169"/>
      <c r="AM462" s="169"/>
      <c r="AN462" s="169"/>
      <c r="AO462" s="169"/>
      <c r="AP462" s="169"/>
      <c r="AQ462" s="169"/>
      <c r="AR462" s="169"/>
    </row>
    <row r="463" spans="1:44" ht="12.5">
      <c r="A463" s="169"/>
      <c r="B463" s="186"/>
      <c r="C463" s="186"/>
      <c r="D463" s="187"/>
      <c r="E463" s="6"/>
      <c r="F463" s="6"/>
      <c r="G463" s="6"/>
      <c r="H463" s="169"/>
      <c r="I463" s="169"/>
      <c r="J463" s="6"/>
      <c r="K463" s="188"/>
      <c r="L463" s="189"/>
      <c r="M463" s="189"/>
      <c r="N463" s="6"/>
      <c r="O463" s="6"/>
      <c r="P463" s="6"/>
      <c r="Q463" s="169"/>
      <c r="R463" s="6"/>
      <c r="S463" s="6"/>
      <c r="T463" s="169"/>
      <c r="U463" s="6"/>
      <c r="V463" s="169"/>
      <c r="W463" s="169"/>
      <c r="X463" s="169"/>
      <c r="Y463" s="169"/>
      <c r="Z463" s="169"/>
      <c r="AA463" s="169"/>
      <c r="AB463" s="169"/>
      <c r="AC463" s="169"/>
      <c r="AD463" s="169"/>
      <c r="AE463" s="169"/>
      <c r="AF463" s="169"/>
      <c r="AG463" s="169"/>
      <c r="AH463" s="169"/>
      <c r="AI463" s="169"/>
      <c r="AJ463" s="169"/>
      <c r="AK463" s="169"/>
      <c r="AL463" s="169"/>
      <c r="AM463" s="169"/>
      <c r="AN463" s="169"/>
      <c r="AO463" s="169"/>
      <c r="AP463" s="169"/>
      <c r="AQ463" s="169"/>
      <c r="AR463" s="169"/>
    </row>
    <row r="464" spans="1:44" ht="12.5">
      <c r="A464" s="169"/>
      <c r="B464" s="186"/>
      <c r="C464" s="186"/>
      <c r="D464" s="187"/>
      <c r="E464" s="6"/>
      <c r="F464" s="6"/>
      <c r="G464" s="6"/>
      <c r="H464" s="169"/>
      <c r="I464" s="169"/>
      <c r="J464" s="6"/>
      <c r="K464" s="188"/>
      <c r="L464" s="189"/>
      <c r="M464" s="189"/>
      <c r="N464" s="6"/>
      <c r="O464" s="6"/>
      <c r="P464" s="6"/>
      <c r="Q464" s="169"/>
      <c r="R464" s="6"/>
      <c r="S464" s="6"/>
      <c r="T464" s="169"/>
      <c r="U464" s="6"/>
      <c r="V464" s="169"/>
      <c r="W464" s="169"/>
      <c r="X464" s="169"/>
      <c r="Y464" s="169"/>
      <c r="Z464" s="169"/>
      <c r="AA464" s="169"/>
      <c r="AB464" s="169"/>
      <c r="AC464" s="169"/>
      <c r="AD464" s="169"/>
      <c r="AE464" s="169"/>
      <c r="AF464" s="169"/>
      <c r="AG464" s="169"/>
      <c r="AH464" s="169"/>
      <c r="AI464" s="169"/>
      <c r="AJ464" s="169"/>
      <c r="AK464" s="169"/>
      <c r="AL464" s="169"/>
      <c r="AM464" s="169"/>
      <c r="AN464" s="169"/>
      <c r="AO464" s="169"/>
      <c r="AP464" s="169"/>
      <c r="AQ464" s="169"/>
      <c r="AR464" s="169"/>
    </row>
    <row r="465" spans="1:44" ht="12.5">
      <c r="A465" s="169"/>
      <c r="B465" s="186"/>
      <c r="C465" s="186"/>
      <c r="D465" s="187"/>
      <c r="E465" s="6"/>
      <c r="F465" s="6"/>
      <c r="G465" s="6"/>
      <c r="H465" s="169"/>
      <c r="I465" s="169"/>
      <c r="J465" s="6"/>
      <c r="K465" s="188"/>
      <c r="L465" s="189"/>
      <c r="M465" s="189"/>
      <c r="N465" s="6"/>
      <c r="O465" s="6"/>
      <c r="P465" s="6"/>
      <c r="Q465" s="169"/>
      <c r="R465" s="6"/>
      <c r="S465" s="6"/>
      <c r="T465" s="169"/>
      <c r="U465" s="6"/>
      <c r="V465" s="169"/>
      <c r="W465" s="169"/>
      <c r="X465" s="169"/>
      <c r="Y465" s="169"/>
      <c r="Z465" s="169"/>
      <c r="AA465" s="169"/>
      <c r="AB465" s="169"/>
      <c r="AC465" s="169"/>
      <c r="AD465" s="169"/>
      <c r="AE465" s="169"/>
      <c r="AF465" s="169"/>
      <c r="AG465" s="169"/>
      <c r="AH465" s="169"/>
      <c r="AI465" s="169"/>
      <c r="AJ465" s="169"/>
      <c r="AK465" s="169"/>
      <c r="AL465" s="169"/>
      <c r="AM465" s="169"/>
      <c r="AN465" s="169"/>
      <c r="AO465" s="169"/>
      <c r="AP465" s="169"/>
      <c r="AQ465" s="169"/>
      <c r="AR465" s="169"/>
    </row>
    <row r="466" spans="1:44" ht="12.5">
      <c r="A466" s="169"/>
      <c r="B466" s="186"/>
      <c r="C466" s="186"/>
      <c r="D466" s="187"/>
      <c r="E466" s="6"/>
      <c r="F466" s="6"/>
      <c r="G466" s="6"/>
      <c r="H466" s="169"/>
      <c r="I466" s="169"/>
      <c r="J466" s="6"/>
      <c r="K466" s="188"/>
      <c r="L466" s="189"/>
      <c r="M466" s="189"/>
      <c r="N466" s="6"/>
      <c r="O466" s="6"/>
      <c r="P466" s="6"/>
      <c r="Q466" s="169"/>
      <c r="R466" s="6"/>
      <c r="S466" s="6"/>
      <c r="T466" s="169"/>
      <c r="U466" s="6"/>
      <c r="V466" s="169"/>
      <c r="W466" s="169"/>
      <c r="X466" s="169"/>
      <c r="Y466" s="169"/>
      <c r="Z466" s="169"/>
      <c r="AA466" s="169"/>
      <c r="AB466" s="169"/>
      <c r="AC466" s="169"/>
      <c r="AD466" s="169"/>
      <c r="AE466" s="169"/>
      <c r="AF466" s="169"/>
      <c r="AG466" s="169"/>
      <c r="AH466" s="169"/>
      <c r="AI466" s="169"/>
      <c r="AJ466" s="169"/>
      <c r="AK466" s="169"/>
      <c r="AL466" s="169"/>
      <c r="AM466" s="169"/>
      <c r="AN466" s="169"/>
      <c r="AO466" s="169"/>
      <c r="AP466" s="169"/>
      <c r="AQ466" s="169"/>
      <c r="AR466" s="169"/>
    </row>
    <row r="467" spans="1:44" ht="12.5">
      <c r="A467" s="169"/>
      <c r="B467" s="186"/>
      <c r="C467" s="186"/>
      <c r="D467" s="187"/>
      <c r="E467" s="6"/>
      <c r="F467" s="6"/>
      <c r="G467" s="6"/>
      <c r="H467" s="169"/>
      <c r="I467" s="169"/>
      <c r="J467" s="6"/>
      <c r="K467" s="188"/>
      <c r="L467" s="189"/>
      <c r="M467" s="189"/>
      <c r="N467" s="6"/>
      <c r="O467" s="6"/>
      <c r="P467" s="6"/>
      <c r="Q467" s="169"/>
      <c r="R467" s="6"/>
      <c r="S467" s="6"/>
      <c r="T467" s="169"/>
      <c r="U467" s="6"/>
      <c r="V467" s="169"/>
      <c r="W467" s="169"/>
      <c r="X467" s="169"/>
      <c r="Y467" s="169"/>
      <c r="Z467" s="169"/>
      <c r="AA467" s="169"/>
      <c r="AB467" s="169"/>
      <c r="AC467" s="169"/>
      <c r="AD467" s="169"/>
      <c r="AE467" s="169"/>
      <c r="AF467" s="169"/>
      <c r="AG467" s="169"/>
      <c r="AH467" s="169"/>
      <c r="AI467" s="169"/>
      <c r="AJ467" s="169"/>
      <c r="AK467" s="169"/>
      <c r="AL467" s="169"/>
      <c r="AM467" s="169"/>
      <c r="AN467" s="169"/>
      <c r="AO467" s="169"/>
      <c r="AP467" s="169"/>
      <c r="AQ467" s="169"/>
      <c r="AR467" s="169"/>
    </row>
    <row r="468" spans="1:44" ht="12.5">
      <c r="A468" s="169"/>
      <c r="B468" s="186"/>
      <c r="C468" s="186"/>
      <c r="D468" s="187"/>
      <c r="E468" s="6"/>
      <c r="F468" s="6"/>
      <c r="G468" s="6"/>
      <c r="H468" s="169"/>
      <c r="I468" s="169"/>
      <c r="J468" s="6"/>
      <c r="K468" s="188"/>
      <c r="L468" s="189"/>
      <c r="M468" s="189"/>
      <c r="N468" s="6"/>
      <c r="O468" s="6"/>
      <c r="P468" s="6"/>
      <c r="Q468" s="169"/>
      <c r="R468" s="6"/>
      <c r="S468" s="6"/>
      <c r="T468" s="169"/>
      <c r="U468" s="6"/>
      <c r="V468" s="169"/>
      <c r="W468" s="169"/>
      <c r="X468" s="169"/>
      <c r="Y468" s="169"/>
      <c r="Z468" s="169"/>
      <c r="AA468" s="169"/>
      <c r="AB468" s="169"/>
      <c r="AC468" s="169"/>
      <c r="AD468" s="169"/>
      <c r="AE468" s="169"/>
      <c r="AF468" s="169"/>
      <c r="AG468" s="169"/>
      <c r="AH468" s="169"/>
      <c r="AI468" s="169"/>
      <c r="AJ468" s="169"/>
      <c r="AK468" s="169"/>
      <c r="AL468" s="169"/>
      <c r="AM468" s="169"/>
      <c r="AN468" s="169"/>
      <c r="AO468" s="169"/>
      <c r="AP468" s="169"/>
      <c r="AQ468" s="169"/>
      <c r="AR468" s="169"/>
    </row>
    <row r="469" spans="1:44" ht="12.5">
      <c r="A469" s="169"/>
      <c r="B469" s="186"/>
      <c r="C469" s="186"/>
      <c r="D469" s="187"/>
      <c r="E469" s="6"/>
      <c r="F469" s="6"/>
      <c r="G469" s="6"/>
      <c r="H469" s="169"/>
      <c r="I469" s="169"/>
      <c r="J469" s="6"/>
      <c r="K469" s="188"/>
      <c r="L469" s="189"/>
      <c r="M469" s="189"/>
      <c r="N469" s="6"/>
      <c r="O469" s="6"/>
      <c r="P469" s="6"/>
      <c r="Q469" s="169"/>
      <c r="R469" s="6"/>
      <c r="S469" s="6"/>
      <c r="T469" s="169"/>
      <c r="U469" s="6"/>
      <c r="V469" s="169"/>
      <c r="W469" s="169"/>
      <c r="X469" s="169"/>
      <c r="Y469" s="169"/>
      <c r="Z469" s="169"/>
      <c r="AA469" s="169"/>
      <c r="AB469" s="169"/>
      <c r="AC469" s="169"/>
      <c r="AD469" s="169"/>
      <c r="AE469" s="169"/>
      <c r="AF469" s="169"/>
      <c r="AG469" s="169"/>
      <c r="AH469" s="169"/>
      <c r="AI469" s="169"/>
      <c r="AJ469" s="169"/>
      <c r="AK469" s="169"/>
      <c r="AL469" s="169"/>
      <c r="AM469" s="169"/>
      <c r="AN469" s="169"/>
      <c r="AO469" s="169"/>
      <c r="AP469" s="169"/>
      <c r="AQ469" s="169"/>
      <c r="AR469" s="169"/>
    </row>
    <row r="470" spans="1:44" ht="12.5">
      <c r="A470" s="169"/>
      <c r="B470" s="186"/>
      <c r="C470" s="186"/>
      <c r="D470" s="187"/>
      <c r="E470" s="6"/>
      <c r="F470" s="6"/>
      <c r="G470" s="6"/>
      <c r="H470" s="169"/>
      <c r="I470" s="169"/>
      <c r="J470" s="6"/>
      <c r="K470" s="188"/>
      <c r="L470" s="189"/>
      <c r="M470" s="189"/>
      <c r="N470" s="6"/>
      <c r="O470" s="6"/>
      <c r="P470" s="6"/>
      <c r="Q470" s="169"/>
      <c r="R470" s="6"/>
      <c r="S470" s="6"/>
      <c r="T470" s="169"/>
      <c r="U470" s="6"/>
      <c r="V470" s="169"/>
      <c r="W470" s="169"/>
      <c r="X470" s="169"/>
      <c r="Y470" s="169"/>
      <c r="Z470" s="169"/>
      <c r="AA470" s="169"/>
      <c r="AB470" s="169"/>
      <c r="AC470" s="169"/>
      <c r="AD470" s="169"/>
      <c r="AE470" s="169"/>
      <c r="AF470" s="169"/>
      <c r="AG470" s="169"/>
      <c r="AH470" s="169"/>
      <c r="AI470" s="169"/>
      <c r="AJ470" s="169"/>
      <c r="AK470" s="169"/>
      <c r="AL470" s="169"/>
      <c r="AM470" s="169"/>
      <c r="AN470" s="169"/>
      <c r="AO470" s="169"/>
      <c r="AP470" s="169"/>
      <c r="AQ470" s="169"/>
      <c r="AR470" s="169"/>
    </row>
    <row r="471" spans="1:44" ht="12.5">
      <c r="A471" s="169"/>
      <c r="B471" s="186"/>
      <c r="C471" s="186"/>
      <c r="D471" s="187"/>
      <c r="E471" s="6"/>
      <c r="F471" s="6"/>
      <c r="G471" s="6"/>
      <c r="H471" s="169"/>
      <c r="I471" s="169"/>
      <c r="J471" s="6"/>
      <c r="K471" s="188"/>
      <c r="L471" s="189"/>
      <c r="M471" s="189"/>
      <c r="N471" s="6"/>
      <c r="O471" s="6"/>
      <c r="P471" s="6"/>
      <c r="Q471" s="169"/>
      <c r="R471" s="6"/>
      <c r="S471" s="6"/>
      <c r="T471" s="169"/>
      <c r="U471" s="6"/>
      <c r="V471" s="169"/>
      <c r="W471" s="169"/>
      <c r="X471" s="169"/>
      <c r="Y471" s="169"/>
      <c r="Z471" s="169"/>
      <c r="AA471" s="169"/>
      <c r="AB471" s="169"/>
      <c r="AC471" s="169"/>
      <c r="AD471" s="169"/>
      <c r="AE471" s="169"/>
      <c r="AF471" s="169"/>
      <c r="AG471" s="169"/>
      <c r="AH471" s="169"/>
      <c r="AI471" s="169"/>
      <c r="AJ471" s="169"/>
      <c r="AK471" s="169"/>
      <c r="AL471" s="169"/>
      <c r="AM471" s="169"/>
      <c r="AN471" s="169"/>
      <c r="AO471" s="169"/>
      <c r="AP471" s="169"/>
      <c r="AQ471" s="169"/>
      <c r="AR471" s="169"/>
    </row>
    <row r="472" spans="1:44" ht="12.5">
      <c r="A472" s="169"/>
      <c r="B472" s="186"/>
      <c r="C472" s="186"/>
      <c r="D472" s="187"/>
      <c r="E472" s="6"/>
      <c r="F472" s="6"/>
      <c r="G472" s="6"/>
      <c r="H472" s="169"/>
      <c r="I472" s="169"/>
      <c r="J472" s="6"/>
      <c r="K472" s="188"/>
      <c r="L472" s="189"/>
      <c r="M472" s="189"/>
      <c r="N472" s="6"/>
      <c r="O472" s="6"/>
      <c r="P472" s="6"/>
      <c r="Q472" s="169"/>
      <c r="R472" s="6"/>
      <c r="S472" s="6"/>
      <c r="T472" s="169"/>
      <c r="U472" s="6"/>
      <c r="V472" s="169"/>
      <c r="W472" s="169"/>
      <c r="X472" s="169"/>
      <c r="Y472" s="169"/>
      <c r="Z472" s="169"/>
      <c r="AA472" s="169"/>
      <c r="AB472" s="169"/>
      <c r="AC472" s="169"/>
      <c r="AD472" s="169"/>
      <c r="AE472" s="169"/>
      <c r="AF472" s="169"/>
      <c r="AG472" s="169"/>
      <c r="AH472" s="169"/>
      <c r="AI472" s="169"/>
      <c r="AJ472" s="169"/>
      <c r="AK472" s="169"/>
      <c r="AL472" s="169"/>
      <c r="AM472" s="169"/>
      <c r="AN472" s="169"/>
      <c r="AO472" s="169"/>
      <c r="AP472" s="169"/>
      <c r="AQ472" s="169"/>
      <c r="AR472" s="169"/>
    </row>
    <row r="473" spans="1:44" ht="12.5">
      <c r="A473" s="169"/>
      <c r="B473" s="186"/>
      <c r="C473" s="186"/>
      <c r="D473" s="187"/>
      <c r="E473" s="6"/>
      <c r="F473" s="6"/>
      <c r="G473" s="6"/>
      <c r="H473" s="169"/>
      <c r="I473" s="169"/>
      <c r="J473" s="6"/>
      <c r="K473" s="188"/>
      <c r="L473" s="189"/>
      <c r="M473" s="189"/>
      <c r="N473" s="6"/>
      <c r="O473" s="6"/>
      <c r="P473" s="6"/>
      <c r="Q473" s="169"/>
      <c r="R473" s="6"/>
      <c r="S473" s="6"/>
      <c r="T473" s="169"/>
      <c r="U473" s="6"/>
      <c r="V473" s="169"/>
      <c r="W473" s="169"/>
      <c r="X473" s="169"/>
      <c r="Y473" s="169"/>
      <c r="Z473" s="169"/>
      <c r="AA473" s="169"/>
      <c r="AB473" s="169"/>
      <c r="AC473" s="169"/>
      <c r="AD473" s="169"/>
      <c r="AE473" s="169"/>
      <c r="AF473" s="169"/>
      <c r="AG473" s="169"/>
      <c r="AH473" s="169"/>
      <c r="AI473" s="169"/>
      <c r="AJ473" s="169"/>
      <c r="AK473" s="169"/>
      <c r="AL473" s="169"/>
      <c r="AM473" s="169"/>
      <c r="AN473" s="169"/>
      <c r="AO473" s="169"/>
      <c r="AP473" s="169"/>
      <c r="AQ473" s="169"/>
      <c r="AR473" s="169"/>
    </row>
    <row r="474" spans="1:44" ht="12.5">
      <c r="A474" s="169"/>
      <c r="B474" s="186"/>
      <c r="C474" s="186"/>
      <c r="D474" s="187"/>
      <c r="E474" s="6"/>
      <c r="F474" s="6"/>
      <c r="G474" s="6"/>
      <c r="H474" s="169"/>
      <c r="I474" s="169"/>
      <c r="J474" s="6"/>
      <c r="K474" s="188"/>
      <c r="L474" s="189"/>
      <c r="M474" s="189"/>
      <c r="N474" s="6"/>
      <c r="O474" s="6"/>
      <c r="P474" s="6"/>
      <c r="Q474" s="169"/>
      <c r="R474" s="6"/>
      <c r="S474" s="6"/>
      <c r="T474" s="169"/>
      <c r="U474" s="6"/>
      <c r="V474" s="169"/>
      <c r="W474" s="169"/>
      <c r="X474" s="169"/>
      <c r="Y474" s="169"/>
      <c r="Z474" s="169"/>
      <c r="AA474" s="169"/>
      <c r="AB474" s="169"/>
      <c r="AC474" s="169"/>
      <c r="AD474" s="169"/>
      <c r="AE474" s="169"/>
      <c r="AF474" s="169"/>
      <c r="AG474" s="169"/>
      <c r="AH474" s="169"/>
      <c r="AI474" s="169"/>
      <c r="AJ474" s="169"/>
      <c r="AK474" s="169"/>
      <c r="AL474" s="169"/>
      <c r="AM474" s="169"/>
      <c r="AN474" s="169"/>
      <c r="AO474" s="169"/>
      <c r="AP474" s="169"/>
      <c r="AQ474" s="169"/>
      <c r="AR474" s="169"/>
    </row>
    <row r="475" spans="1:44" ht="12.5">
      <c r="A475" s="169"/>
      <c r="B475" s="186"/>
      <c r="C475" s="186"/>
      <c r="D475" s="187"/>
      <c r="E475" s="6"/>
      <c r="F475" s="6"/>
      <c r="G475" s="6"/>
      <c r="H475" s="169"/>
      <c r="I475" s="169"/>
      <c r="J475" s="6"/>
      <c r="K475" s="188"/>
      <c r="L475" s="189"/>
      <c r="M475" s="189"/>
      <c r="N475" s="6"/>
      <c r="O475" s="6"/>
      <c r="P475" s="6"/>
      <c r="Q475" s="169"/>
      <c r="R475" s="6"/>
      <c r="S475" s="6"/>
      <c r="T475" s="169"/>
      <c r="U475" s="6"/>
      <c r="V475" s="169"/>
      <c r="W475" s="169"/>
      <c r="X475" s="169"/>
      <c r="Y475" s="169"/>
      <c r="Z475" s="169"/>
      <c r="AA475" s="169"/>
      <c r="AB475" s="169"/>
      <c r="AC475" s="169"/>
      <c r="AD475" s="169"/>
      <c r="AE475" s="169"/>
      <c r="AF475" s="169"/>
      <c r="AG475" s="169"/>
      <c r="AH475" s="169"/>
      <c r="AI475" s="169"/>
      <c r="AJ475" s="169"/>
      <c r="AK475" s="169"/>
      <c r="AL475" s="169"/>
      <c r="AM475" s="169"/>
      <c r="AN475" s="169"/>
      <c r="AO475" s="169"/>
      <c r="AP475" s="169"/>
      <c r="AQ475" s="169"/>
      <c r="AR475" s="169"/>
    </row>
    <row r="476" spans="1:44" ht="12.5">
      <c r="A476" s="169"/>
      <c r="B476" s="186"/>
      <c r="C476" s="186"/>
      <c r="D476" s="187"/>
      <c r="E476" s="6"/>
      <c r="F476" s="6"/>
      <c r="G476" s="6"/>
      <c r="H476" s="169"/>
      <c r="I476" s="169"/>
      <c r="J476" s="6"/>
      <c r="K476" s="188"/>
      <c r="L476" s="189"/>
      <c r="M476" s="189"/>
      <c r="N476" s="6"/>
      <c r="O476" s="6"/>
      <c r="P476" s="6"/>
      <c r="Q476" s="169"/>
      <c r="R476" s="6"/>
      <c r="S476" s="6"/>
      <c r="T476" s="169"/>
      <c r="U476" s="6"/>
      <c r="V476" s="169"/>
      <c r="W476" s="169"/>
      <c r="X476" s="169"/>
      <c r="Y476" s="169"/>
      <c r="Z476" s="169"/>
      <c r="AA476" s="169"/>
      <c r="AB476" s="169"/>
      <c r="AC476" s="169"/>
      <c r="AD476" s="169"/>
      <c r="AE476" s="169"/>
      <c r="AF476" s="169"/>
      <c r="AG476" s="169"/>
      <c r="AH476" s="169"/>
      <c r="AI476" s="169"/>
      <c r="AJ476" s="169"/>
      <c r="AK476" s="169"/>
      <c r="AL476" s="169"/>
      <c r="AM476" s="169"/>
      <c r="AN476" s="169"/>
      <c r="AO476" s="169"/>
      <c r="AP476" s="169"/>
      <c r="AQ476" s="169"/>
      <c r="AR476" s="169"/>
    </row>
    <row r="477" spans="1:44" ht="12.5">
      <c r="A477" s="169"/>
      <c r="B477" s="186"/>
      <c r="C477" s="186"/>
      <c r="D477" s="187"/>
      <c r="E477" s="6"/>
      <c r="F477" s="6"/>
      <c r="G477" s="6"/>
      <c r="H477" s="169"/>
      <c r="I477" s="169"/>
      <c r="J477" s="6"/>
      <c r="K477" s="188"/>
      <c r="L477" s="189"/>
      <c r="M477" s="189"/>
      <c r="N477" s="6"/>
      <c r="O477" s="6"/>
      <c r="P477" s="6"/>
      <c r="Q477" s="169"/>
      <c r="R477" s="6"/>
      <c r="S477" s="6"/>
      <c r="T477" s="169"/>
      <c r="U477" s="6"/>
      <c r="V477" s="169"/>
      <c r="W477" s="169"/>
      <c r="X477" s="169"/>
      <c r="Y477" s="169"/>
      <c r="Z477" s="169"/>
      <c r="AA477" s="169"/>
      <c r="AB477" s="169"/>
      <c r="AC477" s="169"/>
      <c r="AD477" s="169"/>
      <c r="AE477" s="169"/>
      <c r="AF477" s="169"/>
      <c r="AG477" s="169"/>
      <c r="AH477" s="169"/>
      <c r="AI477" s="169"/>
      <c r="AJ477" s="169"/>
      <c r="AK477" s="169"/>
      <c r="AL477" s="169"/>
      <c r="AM477" s="169"/>
      <c r="AN477" s="169"/>
      <c r="AO477" s="169"/>
      <c r="AP477" s="169"/>
      <c r="AQ477" s="169"/>
      <c r="AR477" s="169"/>
    </row>
    <row r="478" spans="1:44" ht="12.5">
      <c r="A478" s="169"/>
      <c r="B478" s="186"/>
      <c r="C478" s="186"/>
      <c r="D478" s="187"/>
      <c r="E478" s="6"/>
      <c r="F478" s="6"/>
      <c r="G478" s="6"/>
      <c r="H478" s="169"/>
      <c r="I478" s="169"/>
      <c r="J478" s="6"/>
      <c r="K478" s="188"/>
      <c r="L478" s="189"/>
      <c r="M478" s="189"/>
      <c r="N478" s="6"/>
      <c r="O478" s="6"/>
      <c r="P478" s="6"/>
      <c r="Q478" s="169"/>
      <c r="R478" s="6"/>
      <c r="S478" s="6"/>
      <c r="T478" s="169"/>
      <c r="U478" s="6"/>
      <c r="V478" s="169"/>
      <c r="W478" s="169"/>
      <c r="X478" s="169"/>
      <c r="Y478" s="169"/>
      <c r="Z478" s="169"/>
      <c r="AA478" s="169"/>
      <c r="AB478" s="169"/>
      <c r="AC478" s="169"/>
      <c r="AD478" s="169"/>
      <c r="AE478" s="169"/>
      <c r="AF478" s="169"/>
      <c r="AG478" s="169"/>
      <c r="AH478" s="169"/>
      <c r="AI478" s="169"/>
      <c r="AJ478" s="169"/>
      <c r="AK478" s="169"/>
      <c r="AL478" s="169"/>
      <c r="AM478" s="169"/>
      <c r="AN478" s="169"/>
      <c r="AO478" s="169"/>
      <c r="AP478" s="169"/>
      <c r="AQ478" s="169"/>
      <c r="AR478" s="169"/>
    </row>
    <row r="479" spans="1:44" ht="12.5">
      <c r="A479" s="169"/>
      <c r="B479" s="186"/>
      <c r="C479" s="186"/>
      <c r="D479" s="187"/>
      <c r="E479" s="6"/>
      <c r="F479" s="6"/>
      <c r="G479" s="6"/>
      <c r="H479" s="169"/>
      <c r="I479" s="169"/>
      <c r="J479" s="6"/>
      <c r="K479" s="188"/>
      <c r="L479" s="189"/>
      <c r="M479" s="189"/>
      <c r="N479" s="6"/>
      <c r="O479" s="6"/>
      <c r="P479" s="6"/>
      <c r="Q479" s="169"/>
      <c r="R479" s="6"/>
      <c r="S479" s="6"/>
      <c r="T479" s="169"/>
      <c r="U479" s="6"/>
      <c r="V479" s="169"/>
      <c r="W479" s="169"/>
      <c r="X479" s="169"/>
      <c r="Y479" s="169"/>
      <c r="Z479" s="169"/>
      <c r="AA479" s="169"/>
      <c r="AB479" s="169"/>
      <c r="AC479" s="169"/>
      <c r="AD479" s="169"/>
      <c r="AE479" s="169"/>
      <c r="AF479" s="169"/>
      <c r="AG479" s="169"/>
      <c r="AH479" s="169"/>
      <c r="AI479" s="169"/>
      <c r="AJ479" s="169"/>
      <c r="AK479" s="169"/>
      <c r="AL479" s="169"/>
      <c r="AM479" s="169"/>
      <c r="AN479" s="169"/>
      <c r="AO479" s="169"/>
      <c r="AP479" s="169"/>
      <c r="AQ479" s="169"/>
      <c r="AR479" s="169"/>
    </row>
    <row r="480" spans="1:44" ht="12.5">
      <c r="A480" s="169"/>
      <c r="B480" s="186"/>
      <c r="C480" s="186"/>
      <c r="D480" s="187"/>
      <c r="E480" s="6"/>
      <c r="F480" s="6"/>
      <c r="G480" s="6"/>
      <c r="H480" s="169"/>
      <c r="I480" s="169"/>
      <c r="J480" s="6"/>
      <c r="K480" s="188"/>
      <c r="L480" s="189"/>
      <c r="M480" s="189"/>
      <c r="N480" s="6"/>
      <c r="O480" s="6"/>
      <c r="P480" s="6"/>
      <c r="Q480" s="169"/>
      <c r="R480" s="6"/>
      <c r="S480" s="6"/>
      <c r="T480" s="169"/>
      <c r="U480" s="6"/>
      <c r="V480" s="169"/>
      <c r="W480" s="169"/>
      <c r="X480" s="169"/>
      <c r="Y480" s="169"/>
      <c r="Z480" s="169"/>
      <c r="AA480" s="169"/>
      <c r="AB480" s="169"/>
      <c r="AC480" s="169"/>
      <c r="AD480" s="169"/>
      <c r="AE480" s="169"/>
      <c r="AF480" s="169"/>
      <c r="AG480" s="169"/>
      <c r="AH480" s="169"/>
      <c r="AI480" s="169"/>
      <c r="AJ480" s="169"/>
      <c r="AK480" s="169"/>
      <c r="AL480" s="169"/>
      <c r="AM480" s="169"/>
      <c r="AN480" s="169"/>
      <c r="AO480" s="169"/>
      <c r="AP480" s="169"/>
      <c r="AQ480" s="169"/>
      <c r="AR480" s="169"/>
    </row>
    <row r="481" spans="1:44" ht="12.5">
      <c r="A481" s="169"/>
      <c r="B481" s="186"/>
      <c r="C481" s="186"/>
      <c r="D481" s="187"/>
      <c r="E481" s="6"/>
      <c r="F481" s="6"/>
      <c r="G481" s="6"/>
      <c r="H481" s="169"/>
      <c r="I481" s="169"/>
      <c r="J481" s="6"/>
      <c r="K481" s="188"/>
      <c r="L481" s="189"/>
      <c r="M481" s="189"/>
      <c r="N481" s="6"/>
      <c r="O481" s="6"/>
      <c r="P481" s="6"/>
      <c r="Q481" s="169"/>
      <c r="R481" s="6"/>
      <c r="S481" s="6"/>
      <c r="T481" s="169"/>
      <c r="U481" s="6"/>
      <c r="V481" s="169"/>
      <c r="W481" s="169"/>
      <c r="X481" s="169"/>
      <c r="Y481" s="169"/>
      <c r="Z481" s="169"/>
      <c r="AA481" s="169"/>
      <c r="AB481" s="169"/>
      <c r="AC481" s="169"/>
      <c r="AD481" s="169"/>
      <c r="AE481" s="169"/>
      <c r="AF481" s="169"/>
      <c r="AG481" s="169"/>
      <c r="AH481" s="169"/>
      <c r="AI481" s="169"/>
      <c r="AJ481" s="169"/>
      <c r="AK481" s="169"/>
      <c r="AL481" s="169"/>
      <c r="AM481" s="169"/>
      <c r="AN481" s="169"/>
      <c r="AO481" s="169"/>
      <c r="AP481" s="169"/>
      <c r="AQ481" s="169"/>
      <c r="AR481" s="169"/>
    </row>
    <row r="482" spans="1:44" ht="12.5">
      <c r="A482" s="169"/>
      <c r="B482" s="186"/>
      <c r="C482" s="186"/>
      <c r="D482" s="187"/>
      <c r="E482" s="6"/>
      <c r="F482" s="6"/>
      <c r="G482" s="6"/>
      <c r="H482" s="169"/>
      <c r="I482" s="169"/>
      <c r="J482" s="6"/>
      <c r="K482" s="188"/>
      <c r="L482" s="189"/>
      <c r="M482" s="189"/>
      <c r="N482" s="6"/>
      <c r="O482" s="6"/>
      <c r="P482" s="6"/>
      <c r="Q482" s="169"/>
      <c r="R482" s="6"/>
      <c r="S482" s="6"/>
      <c r="T482" s="169"/>
      <c r="U482" s="6"/>
      <c r="V482" s="169"/>
      <c r="W482" s="169"/>
      <c r="X482" s="169"/>
      <c r="Y482" s="169"/>
      <c r="Z482" s="169"/>
      <c r="AA482" s="169"/>
      <c r="AB482" s="169"/>
      <c r="AC482" s="169"/>
      <c r="AD482" s="169"/>
      <c r="AE482" s="169"/>
      <c r="AF482" s="169"/>
      <c r="AG482" s="169"/>
      <c r="AH482" s="169"/>
      <c r="AI482" s="169"/>
      <c r="AJ482" s="169"/>
      <c r="AK482" s="169"/>
      <c r="AL482" s="169"/>
      <c r="AM482" s="169"/>
      <c r="AN482" s="169"/>
      <c r="AO482" s="169"/>
      <c r="AP482" s="169"/>
      <c r="AQ482" s="169"/>
      <c r="AR482" s="169"/>
    </row>
    <row r="483" spans="1:44" ht="12.5">
      <c r="A483" s="169"/>
      <c r="B483" s="186"/>
      <c r="C483" s="186"/>
      <c r="D483" s="187"/>
      <c r="E483" s="6"/>
      <c r="F483" s="6"/>
      <c r="G483" s="6"/>
      <c r="H483" s="169"/>
      <c r="I483" s="169"/>
      <c r="J483" s="6"/>
      <c r="K483" s="188"/>
      <c r="L483" s="189"/>
      <c r="M483" s="189"/>
      <c r="N483" s="6"/>
      <c r="O483" s="6"/>
      <c r="P483" s="6"/>
      <c r="Q483" s="169"/>
      <c r="R483" s="6"/>
      <c r="S483" s="6"/>
      <c r="T483" s="169"/>
      <c r="U483" s="6"/>
      <c r="V483" s="169"/>
      <c r="W483" s="169"/>
      <c r="X483" s="169"/>
      <c r="Y483" s="169"/>
      <c r="Z483" s="169"/>
      <c r="AA483" s="169"/>
      <c r="AB483" s="169"/>
      <c r="AC483" s="169"/>
      <c r="AD483" s="169"/>
      <c r="AE483" s="169"/>
      <c r="AF483" s="169"/>
      <c r="AG483" s="169"/>
      <c r="AH483" s="169"/>
      <c r="AI483" s="169"/>
      <c r="AJ483" s="169"/>
      <c r="AK483" s="169"/>
      <c r="AL483" s="169"/>
      <c r="AM483" s="169"/>
      <c r="AN483" s="169"/>
      <c r="AO483" s="169"/>
      <c r="AP483" s="169"/>
      <c r="AQ483" s="169"/>
      <c r="AR483" s="169"/>
    </row>
    <row r="484" spans="1:44" ht="12.5">
      <c r="A484" s="169"/>
      <c r="B484" s="186"/>
      <c r="C484" s="186"/>
      <c r="D484" s="187"/>
      <c r="E484" s="6"/>
      <c r="F484" s="6"/>
      <c r="G484" s="6"/>
      <c r="H484" s="169"/>
      <c r="I484" s="169"/>
      <c r="J484" s="6"/>
      <c r="K484" s="188"/>
      <c r="L484" s="189"/>
      <c r="M484" s="189"/>
      <c r="N484" s="6"/>
      <c r="O484" s="6"/>
      <c r="P484" s="6"/>
      <c r="Q484" s="169"/>
      <c r="R484" s="6"/>
      <c r="S484" s="6"/>
      <c r="T484" s="169"/>
      <c r="U484" s="6"/>
      <c r="V484" s="169"/>
      <c r="W484" s="169"/>
      <c r="X484" s="169"/>
      <c r="Y484" s="169"/>
      <c r="Z484" s="169"/>
      <c r="AA484" s="169"/>
      <c r="AB484" s="169"/>
      <c r="AC484" s="169"/>
      <c r="AD484" s="169"/>
      <c r="AE484" s="169"/>
      <c r="AF484" s="169"/>
      <c r="AG484" s="169"/>
      <c r="AH484" s="169"/>
      <c r="AI484" s="169"/>
      <c r="AJ484" s="169"/>
      <c r="AK484" s="169"/>
      <c r="AL484" s="169"/>
      <c r="AM484" s="169"/>
      <c r="AN484" s="169"/>
      <c r="AO484" s="169"/>
      <c r="AP484" s="169"/>
      <c r="AQ484" s="169"/>
      <c r="AR484" s="169"/>
    </row>
    <row r="485" spans="1:44" ht="12.5">
      <c r="A485" s="169"/>
      <c r="B485" s="186"/>
      <c r="C485" s="186"/>
      <c r="D485" s="187"/>
      <c r="E485" s="6"/>
      <c r="F485" s="6"/>
      <c r="G485" s="6"/>
      <c r="H485" s="169"/>
      <c r="I485" s="169"/>
      <c r="J485" s="6"/>
      <c r="K485" s="188"/>
      <c r="L485" s="189"/>
      <c r="M485" s="189"/>
      <c r="N485" s="6"/>
      <c r="O485" s="6"/>
      <c r="P485" s="6"/>
      <c r="Q485" s="169"/>
      <c r="R485" s="6"/>
      <c r="S485" s="6"/>
      <c r="T485" s="169"/>
      <c r="U485" s="6"/>
      <c r="V485" s="169"/>
      <c r="W485" s="169"/>
      <c r="X485" s="169"/>
      <c r="Y485" s="169"/>
      <c r="Z485" s="169"/>
      <c r="AA485" s="169"/>
      <c r="AB485" s="169"/>
      <c r="AC485" s="169"/>
      <c r="AD485" s="169"/>
      <c r="AE485" s="169"/>
      <c r="AF485" s="169"/>
      <c r="AG485" s="169"/>
      <c r="AH485" s="169"/>
      <c r="AI485" s="169"/>
      <c r="AJ485" s="169"/>
      <c r="AK485" s="169"/>
      <c r="AL485" s="169"/>
      <c r="AM485" s="169"/>
      <c r="AN485" s="169"/>
      <c r="AO485" s="169"/>
      <c r="AP485" s="169"/>
      <c r="AQ485" s="169"/>
      <c r="AR485" s="169"/>
    </row>
    <row r="486" spans="1:44" ht="12.5">
      <c r="A486" s="169"/>
      <c r="B486" s="186"/>
      <c r="C486" s="186"/>
      <c r="D486" s="187"/>
      <c r="E486" s="6"/>
      <c r="F486" s="6"/>
      <c r="G486" s="6"/>
      <c r="H486" s="169"/>
      <c r="I486" s="169"/>
      <c r="J486" s="6"/>
      <c r="K486" s="188"/>
      <c r="L486" s="189"/>
      <c r="M486" s="189"/>
      <c r="N486" s="6"/>
      <c r="O486" s="6"/>
      <c r="P486" s="6"/>
      <c r="Q486" s="169"/>
      <c r="R486" s="6"/>
      <c r="S486" s="6"/>
      <c r="T486" s="169"/>
      <c r="U486" s="6"/>
      <c r="V486" s="169"/>
      <c r="W486" s="169"/>
      <c r="X486" s="169"/>
      <c r="Y486" s="169"/>
      <c r="Z486" s="169"/>
      <c r="AA486" s="169"/>
      <c r="AB486" s="169"/>
      <c r="AC486" s="169"/>
      <c r="AD486" s="169"/>
      <c r="AE486" s="169"/>
      <c r="AF486" s="169"/>
      <c r="AG486" s="169"/>
      <c r="AH486" s="169"/>
      <c r="AI486" s="169"/>
      <c r="AJ486" s="169"/>
      <c r="AK486" s="169"/>
      <c r="AL486" s="169"/>
      <c r="AM486" s="169"/>
      <c r="AN486" s="169"/>
      <c r="AO486" s="169"/>
      <c r="AP486" s="169"/>
      <c r="AQ486" s="169"/>
      <c r="AR486" s="169"/>
    </row>
    <row r="487" spans="1:44" ht="12.5">
      <c r="A487" s="169"/>
      <c r="B487" s="186"/>
      <c r="C487" s="186"/>
      <c r="D487" s="187"/>
      <c r="E487" s="6"/>
      <c r="F487" s="6"/>
      <c r="G487" s="6"/>
      <c r="H487" s="169"/>
      <c r="I487" s="169"/>
      <c r="J487" s="6"/>
      <c r="K487" s="188"/>
      <c r="L487" s="189"/>
      <c r="M487" s="189"/>
      <c r="N487" s="6"/>
      <c r="O487" s="6"/>
      <c r="P487" s="6"/>
      <c r="Q487" s="169"/>
      <c r="R487" s="6"/>
      <c r="S487" s="6"/>
      <c r="T487" s="169"/>
      <c r="U487" s="6"/>
      <c r="V487" s="169"/>
      <c r="W487" s="169"/>
      <c r="X487" s="169"/>
      <c r="Y487" s="169"/>
      <c r="Z487" s="169"/>
      <c r="AA487" s="169"/>
      <c r="AB487" s="169"/>
      <c r="AC487" s="169"/>
      <c r="AD487" s="169"/>
      <c r="AE487" s="169"/>
      <c r="AF487" s="169"/>
      <c r="AG487" s="169"/>
      <c r="AH487" s="169"/>
      <c r="AI487" s="169"/>
      <c r="AJ487" s="169"/>
      <c r="AK487" s="169"/>
      <c r="AL487" s="169"/>
      <c r="AM487" s="169"/>
      <c r="AN487" s="169"/>
      <c r="AO487" s="169"/>
      <c r="AP487" s="169"/>
      <c r="AQ487" s="169"/>
      <c r="AR487" s="169"/>
    </row>
    <row r="488" spans="1:44" ht="12.5">
      <c r="A488" s="169"/>
      <c r="B488" s="186"/>
      <c r="C488" s="186"/>
      <c r="D488" s="187"/>
      <c r="E488" s="6"/>
      <c r="F488" s="6"/>
      <c r="G488" s="6"/>
      <c r="H488" s="169"/>
      <c r="I488" s="169"/>
      <c r="J488" s="6"/>
      <c r="K488" s="188"/>
      <c r="L488" s="189"/>
      <c r="M488" s="189"/>
      <c r="N488" s="6"/>
      <c r="O488" s="6"/>
      <c r="P488" s="6"/>
      <c r="Q488" s="169"/>
      <c r="R488" s="6"/>
      <c r="S488" s="6"/>
      <c r="T488" s="169"/>
      <c r="U488" s="6"/>
      <c r="V488" s="169"/>
      <c r="W488" s="169"/>
      <c r="X488" s="169"/>
      <c r="Y488" s="169"/>
      <c r="Z488" s="169"/>
      <c r="AA488" s="169"/>
      <c r="AB488" s="169"/>
      <c r="AC488" s="169"/>
      <c r="AD488" s="169"/>
      <c r="AE488" s="169"/>
      <c r="AF488" s="169"/>
      <c r="AG488" s="169"/>
      <c r="AH488" s="169"/>
      <c r="AI488" s="169"/>
      <c r="AJ488" s="169"/>
      <c r="AK488" s="169"/>
      <c r="AL488" s="169"/>
      <c r="AM488" s="169"/>
      <c r="AN488" s="169"/>
      <c r="AO488" s="169"/>
      <c r="AP488" s="169"/>
      <c r="AQ488" s="169"/>
      <c r="AR488" s="169"/>
    </row>
    <row r="489" spans="1:44" ht="12.5">
      <c r="A489" s="169"/>
      <c r="B489" s="186"/>
      <c r="C489" s="186"/>
      <c r="D489" s="187"/>
      <c r="E489" s="6"/>
      <c r="F489" s="6"/>
      <c r="G489" s="6"/>
      <c r="H489" s="169"/>
      <c r="I489" s="169"/>
      <c r="J489" s="6"/>
      <c r="K489" s="188"/>
      <c r="L489" s="189"/>
      <c r="M489" s="189"/>
      <c r="N489" s="6"/>
      <c r="O489" s="6"/>
      <c r="P489" s="6"/>
      <c r="Q489" s="169"/>
      <c r="R489" s="6"/>
      <c r="S489" s="6"/>
      <c r="T489" s="169"/>
      <c r="U489" s="6"/>
      <c r="V489" s="169"/>
      <c r="W489" s="169"/>
      <c r="X489" s="169"/>
      <c r="Y489" s="169"/>
      <c r="Z489" s="169"/>
      <c r="AA489" s="169"/>
      <c r="AB489" s="169"/>
      <c r="AC489" s="169"/>
      <c r="AD489" s="169"/>
      <c r="AE489" s="169"/>
      <c r="AF489" s="169"/>
      <c r="AG489" s="169"/>
      <c r="AH489" s="169"/>
      <c r="AI489" s="169"/>
      <c r="AJ489" s="169"/>
      <c r="AK489" s="169"/>
      <c r="AL489" s="169"/>
      <c r="AM489" s="169"/>
      <c r="AN489" s="169"/>
      <c r="AO489" s="169"/>
      <c r="AP489" s="169"/>
      <c r="AQ489" s="169"/>
      <c r="AR489" s="169"/>
    </row>
    <row r="490" spans="1:44" ht="12.5">
      <c r="A490" s="169"/>
      <c r="B490" s="186"/>
      <c r="C490" s="186"/>
      <c r="D490" s="187"/>
      <c r="E490" s="6"/>
      <c r="F490" s="6"/>
      <c r="G490" s="6"/>
      <c r="H490" s="169"/>
      <c r="I490" s="169"/>
      <c r="J490" s="6"/>
      <c r="K490" s="188"/>
      <c r="L490" s="189"/>
      <c r="M490" s="189"/>
      <c r="N490" s="6"/>
      <c r="O490" s="6"/>
      <c r="P490" s="6"/>
      <c r="Q490" s="169"/>
      <c r="R490" s="6"/>
      <c r="S490" s="6"/>
      <c r="T490" s="169"/>
      <c r="U490" s="6"/>
      <c r="V490" s="169"/>
      <c r="W490" s="169"/>
      <c r="X490" s="169"/>
      <c r="Y490" s="169"/>
      <c r="Z490" s="169"/>
      <c r="AA490" s="169"/>
      <c r="AB490" s="169"/>
      <c r="AC490" s="169"/>
      <c r="AD490" s="169"/>
      <c r="AE490" s="169"/>
      <c r="AF490" s="169"/>
      <c r="AG490" s="169"/>
      <c r="AH490" s="169"/>
      <c r="AI490" s="169"/>
      <c r="AJ490" s="169"/>
      <c r="AK490" s="169"/>
      <c r="AL490" s="169"/>
      <c r="AM490" s="169"/>
      <c r="AN490" s="169"/>
      <c r="AO490" s="169"/>
      <c r="AP490" s="169"/>
      <c r="AQ490" s="169"/>
      <c r="AR490" s="169"/>
    </row>
    <row r="491" spans="1:44" ht="12.5">
      <c r="A491" s="169"/>
      <c r="B491" s="186"/>
      <c r="C491" s="186"/>
      <c r="D491" s="187"/>
      <c r="E491" s="6"/>
      <c r="F491" s="6"/>
      <c r="G491" s="6"/>
      <c r="H491" s="169"/>
      <c r="I491" s="169"/>
      <c r="J491" s="6"/>
      <c r="K491" s="188"/>
      <c r="L491" s="189"/>
      <c r="M491" s="189"/>
      <c r="N491" s="6"/>
      <c r="O491" s="6"/>
      <c r="P491" s="6"/>
      <c r="Q491" s="169"/>
      <c r="R491" s="6"/>
      <c r="S491" s="6"/>
      <c r="T491" s="169"/>
      <c r="U491" s="6"/>
      <c r="V491" s="169"/>
      <c r="W491" s="169"/>
      <c r="X491" s="169"/>
      <c r="Y491" s="169"/>
      <c r="Z491" s="169"/>
      <c r="AA491" s="169"/>
      <c r="AB491" s="169"/>
      <c r="AC491" s="169"/>
      <c r="AD491" s="169"/>
      <c r="AE491" s="169"/>
      <c r="AF491" s="169"/>
      <c r="AG491" s="169"/>
      <c r="AH491" s="169"/>
      <c r="AI491" s="169"/>
      <c r="AJ491" s="169"/>
      <c r="AK491" s="169"/>
      <c r="AL491" s="169"/>
      <c r="AM491" s="169"/>
      <c r="AN491" s="169"/>
      <c r="AO491" s="169"/>
      <c r="AP491" s="169"/>
      <c r="AQ491" s="169"/>
      <c r="AR491" s="169"/>
    </row>
    <row r="492" spans="1:44" ht="12.5">
      <c r="A492" s="169"/>
      <c r="B492" s="186"/>
      <c r="C492" s="186"/>
      <c r="D492" s="187"/>
      <c r="E492" s="6"/>
      <c r="F492" s="6"/>
      <c r="G492" s="6"/>
      <c r="H492" s="169"/>
      <c r="I492" s="169"/>
      <c r="J492" s="6"/>
      <c r="K492" s="188"/>
      <c r="L492" s="189"/>
      <c r="M492" s="189"/>
      <c r="N492" s="6"/>
      <c r="O492" s="6"/>
      <c r="P492" s="6"/>
      <c r="Q492" s="169"/>
      <c r="R492" s="6"/>
      <c r="S492" s="6"/>
      <c r="T492" s="169"/>
      <c r="U492" s="6"/>
      <c r="V492" s="169"/>
      <c r="W492" s="169"/>
      <c r="X492" s="169"/>
      <c r="Y492" s="169"/>
      <c r="Z492" s="169"/>
      <c r="AA492" s="169"/>
      <c r="AB492" s="169"/>
      <c r="AC492" s="169"/>
      <c r="AD492" s="169"/>
      <c r="AE492" s="169"/>
      <c r="AF492" s="169"/>
      <c r="AG492" s="169"/>
      <c r="AH492" s="169"/>
      <c r="AI492" s="169"/>
      <c r="AJ492" s="169"/>
      <c r="AK492" s="169"/>
      <c r="AL492" s="169"/>
      <c r="AM492" s="169"/>
      <c r="AN492" s="169"/>
      <c r="AO492" s="169"/>
      <c r="AP492" s="169"/>
      <c r="AQ492" s="169"/>
      <c r="AR492" s="169"/>
    </row>
    <row r="493" spans="1:44" ht="12.5">
      <c r="A493" s="169"/>
      <c r="B493" s="186"/>
      <c r="C493" s="186"/>
      <c r="D493" s="187"/>
      <c r="E493" s="6"/>
      <c r="F493" s="6"/>
      <c r="G493" s="6"/>
      <c r="H493" s="169"/>
      <c r="I493" s="169"/>
      <c r="J493" s="6"/>
      <c r="K493" s="188"/>
      <c r="L493" s="189"/>
      <c r="M493" s="189"/>
      <c r="N493" s="6"/>
      <c r="O493" s="6"/>
      <c r="P493" s="6"/>
      <c r="Q493" s="169"/>
      <c r="R493" s="6"/>
      <c r="S493" s="6"/>
      <c r="T493" s="169"/>
      <c r="U493" s="6"/>
      <c r="V493" s="169"/>
      <c r="W493" s="169"/>
      <c r="X493" s="169"/>
      <c r="Y493" s="169"/>
      <c r="Z493" s="169"/>
      <c r="AA493" s="169"/>
      <c r="AB493" s="169"/>
      <c r="AC493" s="169"/>
      <c r="AD493" s="169"/>
      <c r="AE493" s="169"/>
      <c r="AF493" s="169"/>
      <c r="AG493" s="169"/>
      <c r="AH493" s="169"/>
      <c r="AI493" s="169"/>
      <c r="AJ493" s="169"/>
      <c r="AK493" s="169"/>
      <c r="AL493" s="169"/>
      <c r="AM493" s="169"/>
      <c r="AN493" s="169"/>
      <c r="AO493" s="169"/>
      <c r="AP493" s="169"/>
      <c r="AQ493" s="169"/>
      <c r="AR493" s="169"/>
    </row>
    <row r="494" spans="1:44" ht="12.5">
      <c r="A494" s="169"/>
      <c r="B494" s="186"/>
      <c r="C494" s="186"/>
      <c r="D494" s="187"/>
      <c r="E494" s="6"/>
      <c r="F494" s="6"/>
      <c r="G494" s="6"/>
      <c r="H494" s="169"/>
      <c r="I494" s="169"/>
      <c r="J494" s="6"/>
      <c r="K494" s="188"/>
      <c r="L494" s="189"/>
      <c r="M494" s="189"/>
      <c r="N494" s="6"/>
      <c r="O494" s="6"/>
      <c r="P494" s="6"/>
      <c r="Q494" s="169"/>
      <c r="R494" s="6"/>
      <c r="S494" s="6"/>
      <c r="T494" s="169"/>
      <c r="U494" s="6"/>
      <c r="V494" s="169"/>
      <c r="W494" s="169"/>
      <c r="X494" s="169"/>
      <c r="Y494" s="169"/>
      <c r="Z494" s="169"/>
      <c r="AA494" s="169"/>
      <c r="AB494" s="169"/>
      <c r="AC494" s="169"/>
      <c r="AD494" s="169"/>
      <c r="AE494" s="169"/>
      <c r="AF494" s="169"/>
      <c r="AG494" s="169"/>
      <c r="AH494" s="169"/>
      <c r="AI494" s="169"/>
      <c r="AJ494" s="169"/>
      <c r="AK494" s="169"/>
      <c r="AL494" s="169"/>
      <c r="AM494" s="169"/>
      <c r="AN494" s="169"/>
      <c r="AO494" s="169"/>
      <c r="AP494" s="169"/>
      <c r="AQ494" s="169"/>
      <c r="AR494" s="169"/>
    </row>
    <row r="495" spans="1:44" ht="12.5">
      <c r="A495" s="169"/>
      <c r="B495" s="186"/>
      <c r="C495" s="186"/>
      <c r="D495" s="187"/>
      <c r="E495" s="6"/>
      <c r="F495" s="6"/>
      <c r="G495" s="6"/>
      <c r="H495" s="169"/>
      <c r="I495" s="169"/>
      <c r="J495" s="6"/>
      <c r="K495" s="188"/>
      <c r="L495" s="189"/>
      <c r="M495" s="189"/>
      <c r="N495" s="6"/>
      <c r="O495" s="6"/>
      <c r="P495" s="6"/>
      <c r="Q495" s="169"/>
      <c r="R495" s="6"/>
      <c r="S495" s="6"/>
      <c r="T495" s="169"/>
      <c r="U495" s="6"/>
      <c r="V495" s="169"/>
      <c r="W495" s="169"/>
      <c r="X495" s="169"/>
      <c r="Y495" s="169"/>
      <c r="Z495" s="169"/>
      <c r="AA495" s="169"/>
      <c r="AB495" s="169"/>
      <c r="AC495" s="169"/>
      <c r="AD495" s="169"/>
      <c r="AE495" s="169"/>
      <c r="AF495" s="169"/>
      <c r="AG495" s="169"/>
      <c r="AH495" s="169"/>
      <c r="AI495" s="169"/>
      <c r="AJ495" s="169"/>
      <c r="AK495" s="169"/>
      <c r="AL495" s="169"/>
      <c r="AM495" s="169"/>
      <c r="AN495" s="169"/>
      <c r="AO495" s="169"/>
      <c r="AP495" s="169"/>
      <c r="AQ495" s="169"/>
      <c r="AR495" s="169"/>
    </row>
    <row r="496" spans="1:44" ht="12.5">
      <c r="A496" s="169"/>
      <c r="B496" s="186"/>
      <c r="C496" s="186"/>
      <c r="D496" s="187"/>
      <c r="E496" s="6"/>
      <c r="F496" s="6"/>
      <c r="G496" s="6"/>
      <c r="H496" s="169"/>
      <c r="I496" s="169"/>
      <c r="J496" s="6"/>
      <c r="K496" s="188"/>
      <c r="L496" s="189"/>
      <c r="M496" s="189"/>
      <c r="N496" s="6"/>
      <c r="O496" s="6"/>
      <c r="P496" s="6"/>
      <c r="Q496" s="169"/>
      <c r="R496" s="6"/>
      <c r="S496" s="6"/>
      <c r="T496" s="169"/>
      <c r="U496" s="6"/>
      <c r="V496" s="169"/>
      <c r="W496" s="169"/>
      <c r="X496" s="169"/>
      <c r="Y496" s="169"/>
      <c r="Z496" s="169"/>
      <c r="AA496" s="169"/>
      <c r="AB496" s="169"/>
      <c r="AC496" s="169"/>
      <c r="AD496" s="169"/>
      <c r="AE496" s="169"/>
      <c r="AF496" s="169"/>
      <c r="AG496" s="169"/>
      <c r="AH496" s="169"/>
      <c r="AI496" s="169"/>
      <c r="AJ496" s="169"/>
      <c r="AK496" s="169"/>
      <c r="AL496" s="169"/>
      <c r="AM496" s="169"/>
      <c r="AN496" s="169"/>
      <c r="AO496" s="169"/>
      <c r="AP496" s="169"/>
      <c r="AQ496" s="169"/>
      <c r="AR496" s="169"/>
    </row>
    <row r="497" spans="1:44" ht="12.5">
      <c r="A497" s="169"/>
      <c r="B497" s="186"/>
      <c r="C497" s="186"/>
      <c r="D497" s="187"/>
      <c r="E497" s="6"/>
      <c r="F497" s="6"/>
      <c r="G497" s="6"/>
      <c r="H497" s="169"/>
      <c r="I497" s="169"/>
      <c r="J497" s="6"/>
      <c r="K497" s="188"/>
      <c r="L497" s="189"/>
      <c r="M497" s="189"/>
      <c r="N497" s="6"/>
      <c r="O497" s="6"/>
      <c r="P497" s="6"/>
      <c r="Q497" s="169"/>
      <c r="R497" s="6"/>
      <c r="S497" s="6"/>
      <c r="T497" s="169"/>
      <c r="U497" s="6"/>
      <c r="V497" s="169"/>
      <c r="W497" s="169"/>
      <c r="X497" s="169"/>
      <c r="Y497" s="169"/>
      <c r="Z497" s="169"/>
      <c r="AA497" s="169"/>
      <c r="AB497" s="169"/>
      <c r="AC497" s="169"/>
      <c r="AD497" s="169"/>
      <c r="AE497" s="169"/>
      <c r="AF497" s="169"/>
      <c r="AG497" s="169"/>
      <c r="AH497" s="169"/>
      <c r="AI497" s="169"/>
      <c r="AJ497" s="169"/>
      <c r="AK497" s="169"/>
      <c r="AL497" s="169"/>
      <c r="AM497" s="169"/>
      <c r="AN497" s="169"/>
      <c r="AO497" s="169"/>
      <c r="AP497" s="169"/>
      <c r="AQ497" s="169"/>
      <c r="AR497" s="169"/>
    </row>
    <row r="498" spans="1:44" ht="12.5">
      <c r="A498" s="169"/>
      <c r="B498" s="186"/>
      <c r="C498" s="186"/>
      <c r="D498" s="187"/>
      <c r="E498" s="6"/>
      <c r="F498" s="6"/>
      <c r="G498" s="6"/>
      <c r="H498" s="169"/>
      <c r="I498" s="169"/>
      <c r="J498" s="6"/>
      <c r="K498" s="188"/>
      <c r="L498" s="189"/>
      <c r="M498" s="189"/>
      <c r="N498" s="6"/>
      <c r="O498" s="6"/>
      <c r="P498" s="6"/>
      <c r="Q498" s="169"/>
      <c r="R498" s="6"/>
      <c r="S498" s="6"/>
      <c r="T498" s="169"/>
      <c r="U498" s="6"/>
      <c r="V498" s="169"/>
      <c r="W498" s="169"/>
      <c r="X498" s="169"/>
      <c r="Y498" s="169"/>
      <c r="Z498" s="169"/>
      <c r="AA498" s="169"/>
      <c r="AB498" s="169"/>
      <c r="AC498" s="169"/>
      <c r="AD498" s="169"/>
      <c r="AE498" s="169"/>
      <c r="AF498" s="169"/>
      <c r="AG498" s="169"/>
      <c r="AH498" s="169"/>
      <c r="AI498" s="169"/>
      <c r="AJ498" s="169"/>
      <c r="AK498" s="169"/>
      <c r="AL498" s="169"/>
      <c r="AM498" s="169"/>
      <c r="AN498" s="169"/>
      <c r="AO498" s="169"/>
      <c r="AP498" s="169"/>
      <c r="AQ498" s="169"/>
      <c r="AR498" s="169"/>
    </row>
    <row r="499" spans="1:44" ht="12.5">
      <c r="A499" s="169"/>
      <c r="B499" s="186"/>
      <c r="C499" s="186"/>
      <c r="D499" s="187"/>
      <c r="E499" s="6"/>
      <c r="F499" s="6"/>
      <c r="G499" s="6"/>
      <c r="H499" s="169"/>
      <c r="I499" s="169"/>
      <c r="J499" s="6"/>
      <c r="K499" s="188"/>
      <c r="L499" s="189"/>
      <c r="M499" s="189"/>
      <c r="N499" s="6"/>
      <c r="O499" s="6"/>
      <c r="P499" s="6"/>
      <c r="Q499" s="169"/>
      <c r="R499" s="6"/>
      <c r="S499" s="6"/>
      <c r="T499" s="169"/>
      <c r="U499" s="6"/>
      <c r="V499" s="169"/>
      <c r="W499" s="169"/>
      <c r="X499" s="169"/>
      <c r="Y499" s="169"/>
      <c r="Z499" s="169"/>
      <c r="AA499" s="169"/>
      <c r="AB499" s="169"/>
      <c r="AC499" s="169"/>
      <c r="AD499" s="169"/>
      <c r="AE499" s="169"/>
      <c r="AF499" s="169"/>
      <c r="AG499" s="169"/>
      <c r="AH499" s="169"/>
      <c r="AI499" s="169"/>
      <c r="AJ499" s="169"/>
      <c r="AK499" s="169"/>
      <c r="AL499" s="169"/>
      <c r="AM499" s="169"/>
      <c r="AN499" s="169"/>
      <c r="AO499" s="169"/>
      <c r="AP499" s="169"/>
      <c r="AQ499" s="169"/>
      <c r="AR499" s="169"/>
    </row>
    <row r="500" spans="1:44" ht="12.5">
      <c r="A500" s="169"/>
      <c r="B500" s="186"/>
      <c r="C500" s="186"/>
      <c r="D500" s="187"/>
      <c r="E500" s="6"/>
      <c r="F500" s="6"/>
      <c r="G500" s="6"/>
      <c r="H500" s="169"/>
      <c r="I500" s="169"/>
      <c r="J500" s="6"/>
      <c r="K500" s="188"/>
      <c r="L500" s="189"/>
      <c r="M500" s="189"/>
      <c r="N500" s="6"/>
      <c r="O500" s="6"/>
      <c r="P500" s="6"/>
      <c r="Q500" s="169"/>
      <c r="R500" s="6"/>
      <c r="S500" s="6"/>
      <c r="T500" s="169"/>
      <c r="U500" s="6"/>
      <c r="V500" s="169"/>
      <c r="W500" s="169"/>
      <c r="X500" s="169"/>
      <c r="Y500" s="169"/>
      <c r="Z500" s="169"/>
      <c r="AA500" s="169"/>
      <c r="AB500" s="169"/>
      <c r="AC500" s="169"/>
      <c r="AD500" s="169"/>
      <c r="AE500" s="169"/>
      <c r="AF500" s="169"/>
      <c r="AG500" s="169"/>
      <c r="AH500" s="169"/>
      <c r="AI500" s="169"/>
      <c r="AJ500" s="169"/>
      <c r="AK500" s="169"/>
      <c r="AL500" s="169"/>
      <c r="AM500" s="169"/>
      <c r="AN500" s="169"/>
      <c r="AO500" s="169"/>
      <c r="AP500" s="169"/>
      <c r="AQ500" s="169"/>
      <c r="AR500" s="169"/>
    </row>
    <row r="501" spans="1:44" ht="12.5">
      <c r="A501" s="169"/>
      <c r="B501" s="186"/>
      <c r="C501" s="186"/>
      <c r="D501" s="187"/>
      <c r="E501" s="6"/>
      <c r="F501" s="6"/>
      <c r="G501" s="6"/>
      <c r="H501" s="169"/>
      <c r="I501" s="169"/>
      <c r="J501" s="6"/>
      <c r="K501" s="188"/>
      <c r="L501" s="189"/>
      <c r="M501" s="189"/>
      <c r="N501" s="6"/>
      <c r="O501" s="6"/>
      <c r="P501" s="6"/>
      <c r="Q501" s="169"/>
      <c r="R501" s="6"/>
      <c r="S501" s="6"/>
      <c r="T501" s="169"/>
      <c r="U501" s="6"/>
      <c r="V501" s="169"/>
      <c r="W501" s="169"/>
      <c r="X501" s="169"/>
      <c r="Y501" s="169"/>
      <c r="Z501" s="169"/>
      <c r="AA501" s="169"/>
      <c r="AB501" s="169"/>
      <c r="AC501" s="169"/>
      <c r="AD501" s="169"/>
      <c r="AE501" s="169"/>
      <c r="AF501" s="169"/>
      <c r="AG501" s="169"/>
      <c r="AH501" s="169"/>
      <c r="AI501" s="169"/>
      <c r="AJ501" s="169"/>
      <c r="AK501" s="169"/>
      <c r="AL501" s="169"/>
      <c r="AM501" s="169"/>
      <c r="AN501" s="169"/>
      <c r="AO501" s="169"/>
      <c r="AP501" s="169"/>
      <c r="AQ501" s="169"/>
      <c r="AR501" s="169"/>
    </row>
    <row r="502" spans="1:44" ht="12.5">
      <c r="A502" s="169"/>
      <c r="B502" s="186"/>
      <c r="C502" s="186"/>
      <c r="D502" s="187"/>
      <c r="E502" s="6"/>
      <c r="F502" s="6"/>
      <c r="G502" s="6"/>
      <c r="H502" s="169"/>
      <c r="I502" s="169"/>
      <c r="J502" s="6"/>
      <c r="K502" s="188"/>
      <c r="L502" s="189"/>
      <c r="M502" s="189"/>
      <c r="N502" s="6"/>
      <c r="O502" s="6"/>
      <c r="P502" s="6"/>
      <c r="Q502" s="169"/>
      <c r="R502" s="6"/>
      <c r="S502" s="6"/>
      <c r="T502" s="169"/>
      <c r="U502" s="6"/>
      <c r="V502" s="169"/>
      <c r="W502" s="169"/>
      <c r="X502" s="169"/>
      <c r="Y502" s="169"/>
      <c r="Z502" s="169"/>
      <c r="AA502" s="169"/>
      <c r="AB502" s="169"/>
      <c r="AC502" s="169"/>
      <c r="AD502" s="169"/>
      <c r="AE502" s="169"/>
      <c r="AF502" s="169"/>
      <c r="AG502" s="169"/>
      <c r="AH502" s="169"/>
      <c r="AI502" s="169"/>
      <c r="AJ502" s="169"/>
      <c r="AK502" s="169"/>
      <c r="AL502" s="169"/>
      <c r="AM502" s="169"/>
      <c r="AN502" s="169"/>
      <c r="AO502" s="169"/>
      <c r="AP502" s="169"/>
      <c r="AQ502" s="169"/>
      <c r="AR502" s="169"/>
    </row>
    <row r="503" spans="1:44" ht="12.5">
      <c r="A503" s="169"/>
      <c r="B503" s="186"/>
      <c r="C503" s="186"/>
      <c r="D503" s="187"/>
      <c r="E503" s="6"/>
      <c r="F503" s="6"/>
      <c r="G503" s="6"/>
      <c r="H503" s="169"/>
      <c r="I503" s="169"/>
      <c r="J503" s="6"/>
      <c r="K503" s="188"/>
      <c r="L503" s="189"/>
      <c r="M503" s="189"/>
      <c r="N503" s="6"/>
      <c r="O503" s="6"/>
      <c r="P503" s="6"/>
      <c r="Q503" s="169"/>
      <c r="R503" s="6"/>
      <c r="S503" s="6"/>
      <c r="T503" s="169"/>
      <c r="U503" s="6"/>
      <c r="V503" s="169"/>
      <c r="W503" s="169"/>
      <c r="X503" s="169"/>
      <c r="Y503" s="169"/>
      <c r="Z503" s="169"/>
      <c r="AA503" s="169"/>
      <c r="AB503" s="169"/>
      <c r="AC503" s="169"/>
      <c r="AD503" s="169"/>
      <c r="AE503" s="169"/>
      <c r="AF503" s="169"/>
      <c r="AG503" s="169"/>
      <c r="AH503" s="169"/>
      <c r="AI503" s="169"/>
      <c r="AJ503" s="169"/>
      <c r="AK503" s="169"/>
      <c r="AL503" s="169"/>
      <c r="AM503" s="169"/>
      <c r="AN503" s="169"/>
      <c r="AO503" s="169"/>
      <c r="AP503" s="169"/>
      <c r="AQ503" s="169"/>
      <c r="AR503" s="169"/>
    </row>
    <row r="504" spans="1:44" ht="12.5">
      <c r="A504" s="169"/>
      <c r="B504" s="186"/>
      <c r="C504" s="186"/>
      <c r="D504" s="187"/>
      <c r="E504" s="6"/>
      <c r="F504" s="6"/>
      <c r="G504" s="6"/>
      <c r="H504" s="169"/>
      <c r="I504" s="169"/>
      <c r="J504" s="6"/>
      <c r="K504" s="188"/>
      <c r="L504" s="189"/>
      <c r="M504" s="189"/>
      <c r="N504" s="6"/>
      <c r="O504" s="6"/>
      <c r="P504" s="6"/>
      <c r="Q504" s="169"/>
      <c r="R504" s="6"/>
      <c r="S504" s="6"/>
      <c r="T504" s="169"/>
      <c r="U504" s="6"/>
      <c r="V504" s="169"/>
      <c r="W504" s="169"/>
      <c r="X504" s="169"/>
      <c r="Y504" s="169"/>
      <c r="Z504" s="169"/>
      <c r="AA504" s="169"/>
      <c r="AB504" s="169"/>
      <c r="AC504" s="169"/>
      <c r="AD504" s="169"/>
      <c r="AE504" s="169"/>
      <c r="AF504" s="169"/>
      <c r="AG504" s="169"/>
      <c r="AH504" s="169"/>
      <c r="AI504" s="169"/>
      <c r="AJ504" s="169"/>
      <c r="AK504" s="169"/>
      <c r="AL504" s="169"/>
      <c r="AM504" s="169"/>
      <c r="AN504" s="169"/>
      <c r="AO504" s="169"/>
      <c r="AP504" s="169"/>
      <c r="AQ504" s="169"/>
      <c r="AR504" s="169"/>
    </row>
    <row r="505" spans="1:44" ht="12.5">
      <c r="A505" s="169"/>
      <c r="B505" s="186"/>
      <c r="C505" s="186"/>
      <c r="D505" s="187"/>
      <c r="E505" s="6"/>
      <c r="F505" s="6"/>
      <c r="G505" s="6"/>
      <c r="H505" s="169"/>
      <c r="I505" s="169"/>
      <c r="J505" s="6"/>
      <c r="K505" s="188"/>
      <c r="L505" s="189"/>
      <c r="M505" s="189"/>
      <c r="N505" s="6"/>
      <c r="O505" s="6"/>
      <c r="P505" s="6"/>
      <c r="Q505" s="169"/>
      <c r="R505" s="6"/>
      <c r="S505" s="6"/>
      <c r="T505" s="169"/>
      <c r="U505" s="6"/>
      <c r="V505" s="169"/>
      <c r="W505" s="169"/>
      <c r="X505" s="169"/>
      <c r="Y505" s="169"/>
      <c r="Z505" s="169"/>
      <c r="AA505" s="169"/>
      <c r="AB505" s="169"/>
      <c r="AC505" s="169"/>
      <c r="AD505" s="169"/>
      <c r="AE505" s="169"/>
      <c r="AF505" s="169"/>
      <c r="AG505" s="169"/>
      <c r="AH505" s="169"/>
      <c r="AI505" s="169"/>
      <c r="AJ505" s="169"/>
      <c r="AK505" s="169"/>
      <c r="AL505" s="169"/>
      <c r="AM505" s="169"/>
      <c r="AN505" s="169"/>
      <c r="AO505" s="169"/>
      <c r="AP505" s="169"/>
      <c r="AQ505" s="169"/>
      <c r="AR505" s="169"/>
    </row>
    <row r="506" spans="1:44" ht="12.5">
      <c r="A506" s="169"/>
      <c r="B506" s="186"/>
      <c r="C506" s="186"/>
      <c r="D506" s="187"/>
      <c r="E506" s="6"/>
      <c r="F506" s="6"/>
      <c r="G506" s="6"/>
      <c r="H506" s="169"/>
      <c r="I506" s="169"/>
      <c r="J506" s="6"/>
      <c r="K506" s="188"/>
      <c r="L506" s="189"/>
      <c r="M506" s="189"/>
      <c r="N506" s="6"/>
      <c r="O506" s="6"/>
      <c r="P506" s="6"/>
      <c r="Q506" s="169"/>
      <c r="R506" s="6"/>
      <c r="S506" s="6"/>
      <c r="T506" s="169"/>
      <c r="U506" s="6"/>
      <c r="V506" s="169"/>
      <c r="W506" s="169"/>
      <c r="X506" s="169"/>
      <c r="Y506" s="169"/>
      <c r="Z506" s="169"/>
      <c r="AA506" s="169"/>
      <c r="AB506" s="169"/>
      <c r="AC506" s="169"/>
      <c r="AD506" s="169"/>
      <c r="AE506" s="169"/>
      <c r="AF506" s="169"/>
      <c r="AG506" s="169"/>
      <c r="AH506" s="169"/>
      <c r="AI506" s="169"/>
      <c r="AJ506" s="169"/>
      <c r="AK506" s="169"/>
      <c r="AL506" s="169"/>
      <c r="AM506" s="169"/>
      <c r="AN506" s="169"/>
      <c r="AO506" s="169"/>
      <c r="AP506" s="169"/>
      <c r="AQ506" s="169"/>
      <c r="AR506" s="169"/>
    </row>
    <row r="507" spans="1:44" ht="12.5">
      <c r="A507" s="169"/>
      <c r="B507" s="186"/>
      <c r="C507" s="186"/>
      <c r="D507" s="187"/>
      <c r="E507" s="6"/>
      <c r="F507" s="6"/>
      <c r="G507" s="6"/>
      <c r="H507" s="169"/>
      <c r="I507" s="169"/>
      <c r="J507" s="6"/>
      <c r="K507" s="188"/>
      <c r="L507" s="189"/>
      <c r="M507" s="189"/>
      <c r="N507" s="6"/>
      <c r="O507" s="6"/>
      <c r="P507" s="6"/>
      <c r="Q507" s="169"/>
      <c r="R507" s="6"/>
      <c r="S507" s="6"/>
      <c r="T507" s="169"/>
      <c r="U507" s="6"/>
      <c r="V507" s="169"/>
      <c r="W507" s="169"/>
      <c r="X507" s="169"/>
      <c r="Y507" s="169"/>
      <c r="Z507" s="169"/>
      <c r="AA507" s="169"/>
      <c r="AB507" s="169"/>
      <c r="AC507" s="169"/>
      <c r="AD507" s="169"/>
      <c r="AE507" s="169"/>
      <c r="AF507" s="169"/>
      <c r="AG507" s="169"/>
      <c r="AH507" s="169"/>
      <c r="AI507" s="169"/>
      <c r="AJ507" s="169"/>
      <c r="AK507" s="169"/>
      <c r="AL507" s="169"/>
      <c r="AM507" s="169"/>
      <c r="AN507" s="169"/>
      <c r="AO507" s="169"/>
      <c r="AP507" s="169"/>
      <c r="AQ507" s="169"/>
      <c r="AR507" s="169"/>
    </row>
    <row r="508" spans="1:44" ht="12.5">
      <c r="A508" s="169"/>
      <c r="B508" s="186"/>
      <c r="C508" s="186"/>
      <c r="D508" s="187"/>
      <c r="E508" s="6"/>
      <c r="F508" s="6"/>
      <c r="G508" s="6"/>
      <c r="H508" s="169"/>
      <c r="I508" s="169"/>
      <c r="J508" s="6"/>
      <c r="K508" s="188"/>
      <c r="L508" s="189"/>
      <c r="M508" s="189"/>
      <c r="N508" s="6"/>
      <c r="O508" s="6"/>
      <c r="P508" s="6"/>
      <c r="Q508" s="169"/>
      <c r="R508" s="6"/>
      <c r="S508" s="6"/>
      <c r="T508" s="169"/>
      <c r="U508" s="6"/>
      <c r="V508" s="169"/>
      <c r="W508" s="169"/>
      <c r="X508" s="169"/>
      <c r="Y508" s="169"/>
      <c r="Z508" s="169"/>
      <c r="AA508" s="169"/>
      <c r="AB508" s="169"/>
      <c r="AC508" s="169"/>
      <c r="AD508" s="169"/>
      <c r="AE508" s="169"/>
      <c r="AF508" s="169"/>
      <c r="AG508" s="169"/>
      <c r="AH508" s="169"/>
      <c r="AI508" s="169"/>
      <c r="AJ508" s="169"/>
      <c r="AK508" s="169"/>
      <c r="AL508" s="169"/>
      <c r="AM508" s="169"/>
      <c r="AN508" s="169"/>
      <c r="AO508" s="169"/>
      <c r="AP508" s="169"/>
      <c r="AQ508" s="169"/>
      <c r="AR508" s="169"/>
    </row>
    <row r="509" spans="1:44" ht="12.5">
      <c r="A509" s="169"/>
      <c r="B509" s="186"/>
      <c r="C509" s="186"/>
      <c r="D509" s="187"/>
      <c r="E509" s="6"/>
      <c r="F509" s="6"/>
      <c r="G509" s="6"/>
      <c r="H509" s="169"/>
      <c r="I509" s="169"/>
      <c r="J509" s="6"/>
      <c r="K509" s="188"/>
      <c r="L509" s="189"/>
      <c r="M509" s="189"/>
      <c r="N509" s="6"/>
      <c r="O509" s="6"/>
      <c r="P509" s="6"/>
      <c r="Q509" s="169"/>
      <c r="R509" s="6"/>
      <c r="S509" s="6"/>
      <c r="T509" s="169"/>
      <c r="U509" s="6"/>
      <c r="V509" s="169"/>
      <c r="W509" s="169"/>
      <c r="X509" s="169"/>
      <c r="Y509" s="169"/>
      <c r="Z509" s="169"/>
      <c r="AA509" s="169"/>
      <c r="AB509" s="169"/>
      <c r="AC509" s="169"/>
      <c r="AD509" s="169"/>
      <c r="AE509" s="169"/>
      <c r="AF509" s="169"/>
      <c r="AG509" s="169"/>
      <c r="AH509" s="169"/>
      <c r="AI509" s="169"/>
      <c r="AJ509" s="169"/>
      <c r="AK509" s="169"/>
      <c r="AL509" s="169"/>
      <c r="AM509" s="169"/>
      <c r="AN509" s="169"/>
      <c r="AO509" s="169"/>
      <c r="AP509" s="169"/>
      <c r="AQ509" s="169"/>
      <c r="AR509" s="169"/>
    </row>
    <row r="510" spans="1:44" ht="12.5">
      <c r="A510" s="169"/>
      <c r="B510" s="186"/>
      <c r="C510" s="186"/>
      <c r="D510" s="187"/>
      <c r="E510" s="6"/>
      <c r="F510" s="6"/>
      <c r="G510" s="6"/>
      <c r="H510" s="169"/>
      <c r="I510" s="169"/>
      <c r="J510" s="6"/>
      <c r="K510" s="188"/>
      <c r="L510" s="189"/>
      <c r="M510" s="189"/>
      <c r="N510" s="6"/>
      <c r="O510" s="6"/>
      <c r="P510" s="6"/>
      <c r="Q510" s="169"/>
      <c r="R510" s="6"/>
      <c r="S510" s="6"/>
      <c r="T510" s="169"/>
      <c r="U510" s="6"/>
      <c r="V510" s="169"/>
      <c r="W510" s="169"/>
      <c r="X510" s="169"/>
      <c r="Y510" s="169"/>
      <c r="Z510" s="169"/>
      <c r="AA510" s="169"/>
      <c r="AB510" s="169"/>
      <c r="AC510" s="169"/>
      <c r="AD510" s="169"/>
      <c r="AE510" s="169"/>
      <c r="AF510" s="169"/>
      <c r="AG510" s="169"/>
      <c r="AH510" s="169"/>
      <c r="AI510" s="169"/>
      <c r="AJ510" s="169"/>
      <c r="AK510" s="169"/>
      <c r="AL510" s="169"/>
      <c r="AM510" s="169"/>
      <c r="AN510" s="169"/>
      <c r="AO510" s="169"/>
      <c r="AP510" s="169"/>
      <c r="AQ510" s="169"/>
      <c r="AR510" s="169"/>
    </row>
    <row r="511" spans="1:44" ht="12.5">
      <c r="A511" s="169"/>
      <c r="B511" s="186"/>
      <c r="C511" s="186"/>
      <c r="D511" s="187"/>
      <c r="E511" s="6"/>
      <c r="F511" s="6"/>
      <c r="G511" s="6"/>
      <c r="H511" s="169"/>
      <c r="I511" s="169"/>
      <c r="J511" s="6"/>
      <c r="K511" s="188"/>
      <c r="L511" s="189"/>
      <c r="M511" s="189"/>
      <c r="N511" s="6"/>
      <c r="O511" s="6"/>
      <c r="P511" s="6"/>
      <c r="Q511" s="169"/>
      <c r="R511" s="6"/>
      <c r="S511" s="6"/>
      <c r="T511" s="169"/>
      <c r="U511" s="6"/>
      <c r="V511" s="169"/>
      <c r="W511" s="169"/>
      <c r="X511" s="169"/>
      <c r="Y511" s="169"/>
      <c r="Z511" s="169"/>
      <c r="AA511" s="169"/>
      <c r="AB511" s="169"/>
      <c r="AC511" s="169"/>
      <c r="AD511" s="169"/>
      <c r="AE511" s="169"/>
      <c r="AF511" s="169"/>
      <c r="AG511" s="169"/>
      <c r="AH511" s="169"/>
      <c r="AI511" s="169"/>
      <c r="AJ511" s="169"/>
      <c r="AK511" s="169"/>
      <c r="AL511" s="169"/>
      <c r="AM511" s="169"/>
      <c r="AN511" s="169"/>
      <c r="AO511" s="169"/>
      <c r="AP511" s="169"/>
      <c r="AQ511" s="169"/>
      <c r="AR511" s="169"/>
    </row>
    <row r="512" spans="1:44" ht="12.5">
      <c r="A512" s="169"/>
      <c r="B512" s="186"/>
      <c r="C512" s="186"/>
      <c r="D512" s="187"/>
      <c r="E512" s="6"/>
      <c r="F512" s="6"/>
      <c r="G512" s="6"/>
      <c r="H512" s="169"/>
      <c r="I512" s="169"/>
      <c r="J512" s="6"/>
      <c r="K512" s="188"/>
      <c r="L512" s="189"/>
      <c r="M512" s="189"/>
      <c r="N512" s="6"/>
      <c r="O512" s="6"/>
      <c r="P512" s="6"/>
      <c r="Q512" s="169"/>
      <c r="R512" s="6"/>
      <c r="S512" s="6"/>
      <c r="T512" s="169"/>
      <c r="U512" s="6"/>
      <c r="V512" s="169"/>
      <c r="W512" s="169"/>
      <c r="X512" s="169"/>
      <c r="Y512" s="169"/>
      <c r="Z512" s="169"/>
      <c r="AA512" s="169"/>
      <c r="AB512" s="169"/>
      <c r="AC512" s="169"/>
      <c r="AD512" s="169"/>
      <c r="AE512" s="169"/>
      <c r="AF512" s="169"/>
      <c r="AG512" s="169"/>
      <c r="AH512" s="169"/>
      <c r="AI512" s="169"/>
      <c r="AJ512" s="169"/>
      <c r="AK512" s="169"/>
      <c r="AL512" s="169"/>
      <c r="AM512" s="169"/>
      <c r="AN512" s="169"/>
      <c r="AO512" s="169"/>
      <c r="AP512" s="169"/>
      <c r="AQ512" s="169"/>
      <c r="AR512" s="169"/>
    </row>
    <row r="513" spans="1:44" ht="12.5">
      <c r="A513" s="169"/>
      <c r="B513" s="186"/>
      <c r="C513" s="186"/>
      <c r="D513" s="187"/>
      <c r="E513" s="6"/>
      <c r="F513" s="6"/>
      <c r="G513" s="6"/>
      <c r="H513" s="169"/>
      <c r="I513" s="169"/>
      <c r="J513" s="6"/>
      <c r="K513" s="188"/>
      <c r="L513" s="189"/>
      <c r="M513" s="189"/>
      <c r="N513" s="6"/>
      <c r="O513" s="6"/>
      <c r="P513" s="6"/>
      <c r="Q513" s="169"/>
      <c r="R513" s="6"/>
      <c r="S513" s="6"/>
      <c r="T513" s="169"/>
      <c r="U513" s="6"/>
      <c r="V513" s="169"/>
      <c r="W513" s="169"/>
      <c r="X513" s="169"/>
      <c r="Y513" s="169"/>
      <c r="Z513" s="169"/>
      <c r="AA513" s="169"/>
      <c r="AB513" s="169"/>
      <c r="AC513" s="169"/>
      <c r="AD513" s="169"/>
      <c r="AE513" s="169"/>
      <c r="AF513" s="169"/>
      <c r="AG513" s="169"/>
      <c r="AH513" s="169"/>
      <c r="AI513" s="169"/>
      <c r="AJ513" s="169"/>
      <c r="AK513" s="169"/>
      <c r="AL513" s="169"/>
      <c r="AM513" s="169"/>
      <c r="AN513" s="169"/>
      <c r="AO513" s="169"/>
      <c r="AP513" s="169"/>
      <c r="AQ513" s="169"/>
      <c r="AR513" s="169"/>
    </row>
    <row r="514" spans="1:44" ht="12.5">
      <c r="A514" s="169"/>
      <c r="B514" s="186"/>
      <c r="C514" s="186"/>
      <c r="D514" s="187"/>
      <c r="E514" s="6"/>
      <c r="F514" s="6"/>
      <c r="G514" s="6"/>
      <c r="H514" s="169"/>
      <c r="I514" s="169"/>
      <c r="J514" s="6"/>
      <c r="K514" s="188"/>
      <c r="L514" s="189"/>
      <c r="M514" s="189"/>
      <c r="N514" s="6"/>
      <c r="O514" s="6"/>
      <c r="P514" s="6"/>
      <c r="Q514" s="169"/>
      <c r="R514" s="6"/>
      <c r="S514" s="6"/>
      <c r="T514" s="169"/>
      <c r="U514" s="6"/>
      <c r="V514" s="169"/>
      <c r="W514" s="169"/>
      <c r="X514" s="169"/>
      <c r="Y514" s="169"/>
      <c r="Z514" s="169"/>
      <c r="AA514" s="169"/>
      <c r="AB514" s="169"/>
      <c r="AC514" s="169"/>
      <c r="AD514" s="169"/>
      <c r="AE514" s="169"/>
      <c r="AF514" s="169"/>
      <c r="AG514" s="169"/>
      <c r="AH514" s="169"/>
      <c r="AI514" s="169"/>
      <c r="AJ514" s="169"/>
      <c r="AK514" s="169"/>
      <c r="AL514" s="169"/>
      <c r="AM514" s="169"/>
      <c r="AN514" s="169"/>
      <c r="AO514" s="169"/>
      <c r="AP514" s="169"/>
      <c r="AQ514" s="169"/>
      <c r="AR514" s="169"/>
    </row>
    <row r="515" spans="1:44" ht="12.5">
      <c r="A515" s="169"/>
      <c r="B515" s="186"/>
      <c r="C515" s="186"/>
      <c r="D515" s="187"/>
      <c r="E515" s="6"/>
      <c r="F515" s="6"/>
      <c r="G515" s="6"/>
      <c r="H515" s="169"/>
      <c r="I515" s="169"/>
      <c r="J515" s="6"/>
      <c r="K515" s="188"/>
      <c r="L515" s="189"/>
      <c r="M515" s="189"/>
      <c r="N515" s="6"/>
      <c r="O515" s="6"/>
      <c r="P515" s="6"/>
      <c r="Q515" s="169"/>
      <c r="R515" s="6"/>
      <c r="S515" s="6"/>
      <c r="T515" s="169"/>
      <c r="U515" s="6"/>
      <c r="V515" s="169"/>
      <c r="W515" s="169"/>
      <c r="X515" s="169"/>
      <c r="Y515" s="169"/>
      <c r="Z515" s="169"/>
      <c r="AA515" s="169"/>
      <c r="AB515" s="169"/>
      <c r="AC515" s="169"/>
      <c r="AD515" s="169"/>
      <c r="AE515" s="169"/>
      <c r="AF515" s="169"/>
      <c r="AG515" s="169"/>
      <c r="AH515" s="169"/>
      <c r="AI515" s="169"/>
      <c r="AJ515" s="169"/>
      <c r="AK515" s="169"/>
      <c r="AL515" s="169"/>
      <c r="AM515" s="169"/>
      <c r="AN515" s="169"/>
      <c r="AO515" s="169"/>
      <c r="AP515" s="169"/>
      <c r="AQ515" s="169"/>
      <c r="AR515" s="169"/>
    </row>
    <row r="516" spans="1:44" ht="12.5">
      <c r="A516" s="169"/>
      <c r="B516" s="186"/>
      <c r="C516" s="186"/>
      <c r="D516" s="187"/>
      <c r="E516" s="6"/>
      <c r="F516" s="6"/>
      <c r="G516" s="6"/>
      <c r="H516" s="169"/>
      <c r="I516" s="169"/>
      <c r="J516" s="6"/>
      <c r="K516" s="188"/>
      <c r="L516" s="189"/>
      <c r="M516" s="189"/>
      <c r="N516" s="6"/>
      <c r="O516" s="6"/>
      <c r="P516" s="6"/>
      <c r="Q516" s="169"/>
      <c r="R516" s="6"/>
      <c r="S516" s="6"/>
      <c r="T516" s="169"/>
      <c r="U516" s="6"/>
      <c r="V516" s="169"/>
      <c r="W516" s="169"/>
      <c r="X516" s="169"/>
      <c r="Y516" s="169"/>
      <c r="Z516" s="169"/>
      <c r="AA516" s="169"/>
      <c r="AB516" s="169"/>
      <c r="AC516" s="169"/>
      <c r="AD516" s="169"/>
      <c r="AE516" s="169"/>
      <c r="AF516" s="169"/>
      <c r="AG516" s="169"/>
      <c r="AH516" s="169"/>
      <c r="AI516" s="169"/>
      <c r="AJ516" s="169"/>
      <c r="AK516" s="169"/>
      <c r="AL516" s="169"/>
      <c r="AM516" s="169"/>
      <c r="AN516" s="169"/>
      <c r="AO516" s="169"/>
      <c r="AP516" s="169"/>
      <c r="AQ516" s="169"/>
      <c r="AR516" s="169"/>
    </row>
    <row r="517" spans="1:44" ht="12.5">
      <c r="A517" s="169"/>
      <c r="B517" s="186"/>
      <c r="C517" s="186"/>
      <c r="D517" s="187"/>
      <c r="E517" s="6"/>
      <c r="F517" s="6"/>
      <c r="G517" s="6"/>
      <c r="H517" s="169"/>
      <c r="I517" s="169"/>
      <c r="J517" s="6"/>
      <c r="K517" s="188"/>
      <c r="L517" s="189"/>
      <c r="M517" s="189"/>
      <c r="N517" s="6"/>
      <c r="O517" s="6"/>
      <c r="P517" s="6"/>
      <c r="Q517" s="169"/>
      <c r="R517" s="6"/>
      <c r="S517" s="6"/>
      <c r="T517" s="169"/>
      <c r="U517" s="6"/>
      <c r="V517" s="169"/>
      <c r="W517" s="169"/>
      <c r="X517" s="169"/>
      <c r="Y517" s="169"/>
      <c r="Z517" s="169"/>
      <c r="AA517" s="169"/>
      <c r="AB517" s="169"/>
      <c r="AC517" s="169"/>
      <c r="AD517" s="169"/>
      <c r="AE517" s="169"/>
      <c r="AF517" s="169"/>
      <c r="AG517" s="169"/>
      <c r="AH517" s="169"/>
      <c r="AI517" s="169"/>
      <c r="AJ517" s="169"/>
      <c r="AK517" s="169"/>
      <c r="AL517" s="169"/>
      <c r="AM517" s="169"/>
      <c r="AN517" s="169"/>
      <c r="AO517" s="169"/>
      <c r="AP517" s="169"/>
      <c r="AQ517" s="169"/>
      <c r="AR517" s="169"/>
    </row>
    <row r="518" spans="1:44" ht="12.5">
      <c r="A518" s="169"/>
      <c r="B518" s="186"/>
      <c r="C518" s="186"/>
      <c r="D518" s="187"/>
      <c r="E518" s="6"/>
      <c r="F518" s="6"/>
      <c r="G518" s="6"/>
      <c r="H518" s="169"/>
      <c r="I518" s="169"/>
      <c r="J518" s="6"/>
      <c r="K518" s="188"/>
      <c r="L518" s="189"/>
      <c r="M518" s="189"/>
      <c r="N518" s="6"/>
      <c r="O518" s="6"/>
      <c r="P518" s="6"/>
      <c r="Q518" s="169"/>
      <c r="R518" s="6"/>
      <c r="S518" s="6"/>
      <c r="T518" s="169"/>
      <c r="U518" s="6"/>
      <c r="V518" s="169"/>
      <c r="W518" s="169"/>
      <c r="X518" s="169"/>
      <c r="Y518" s="169"/>
      <c r="Z518" s="169"/>
      <c r="AA518" s="169"/>
      <c r="AB518" s="169"/>
      <c r="AC518" s="169"/>
      <c r="AD518" s="169"/>
      <c r="AE518" s="169"/>
      <c r="AF518" s="169"/>
      <c r="AG518" s="169"/>
      <c r="AH518" s="169"/>
      <c r="AI518" s="169"/>
      <c r="AJ518" s="169"/>
      <c r="AK518" s="169"/>
      <c r="AL518" s="169"/>
      <c r="AM518" s="169"/>
      <c r="AN518" s="169"/>
      <c r="AO518" s="169"/>
      <c r="AP518" s="169"/>
      <c r="AQ518" s="169"/>
      <c r="AR518" s="169"/>
    </row>
    <row r="519" spans="1:44" ht="12.5">
      <c r="A519" s="169"/>
      <c r="B519" s="186"/>
      <c r="C519" s="186"/>
      <c r="D519" s="187"/>
      <c r="E519" s="6"/>
      <c r="F519" s="6"/>
      <c r="G519" s="6"/>
      <c r="H519" s="169"/>
      <c r="I519" s="169"/>
      <c r="J519" s="6"/>
      <c r="K519" s="188"/>
      <c r="L519" s="189"/>
      <c r="M519" s="189"/>
      <c r="N519" s="6"/>
      <c r="O519" s="6"/>
      <c r="P519" s="6"/>
      <c r="Q519" s="169"/>
      <c r="R519" s="6"/>
      <c r="S519" s="6"/>
      <c r="T519" s="169"/>
      <c r="U519" s="6"/>
      <c r="V519" s="169"/>
      <c r="W519" s="169"/>
      <c r="X519" s="169"/>
      <c r="Y519" s="169"/>
      <c r="Z519" s="169"/>
      <c r="AA519" s="169"/>
      <c r="AB519" s="169"/>
      <c r="AC519" s="169"/>
      <c r="AD519" s="169"/>
      <c r="AE519" s="169"/>
      <c r="AF519" s="169"/>
      <c r="AG519" s="169"/>
      <c r="AH519" s="169"/>
      <c r="AI519" s="169"/>
      <c r="AJ519" s="169"/>
      <c r="AK519" s="169"/>
      <c r="AL519" s="169"/>
      <c r="AM519" s="169"/>
      <c r="AN519" s="169"/>
      <c r="AO519" s="169"/>
      <c r="AP519" s="169"/>
      <c r="AQ519" s="169"/>
      <c r="AR519" s="169"/>
    </row>
    <row r="520" spans="1:44" ht="12.5">
      <c r="A520" s="169"/>
      <c r="B520" s="186"/>
      <c r="C520" s="186"/>
      <c r="D520" s="187"/>
      <c r="E520" s="6"/>
      <c r="F520" s="6"/>
      <c r="G520" s="6"/>
      <c r="H520" s="169"/>
      <c r="I520" s="169"/>
      <c r="J520" s="6"/>
      <c r="K520" s="188"/>
      <c r="L520" s="189"/>
      <c r="M520" s="189"/>
      <c r="N520" s="6"/>
      <c r="O520" s="6"/>
      <c r="P520" s="6"/>
      <c r="Q520" s="169"/>
      <c r="R520" s="6"/>
      <c r="S520" s="6"/>
      <c r="T520" s="169"/>
      <c r="U520" s="6"/>
      <c r="V520" s="169"/>
      <c r="W520" s="169"/>
      <c r="X520" s="169"/>
      <c r="Y520" s="169"/>
      <c r="Z520" s="169"/>
      <c r="AA520" s="169"/>
      <c r="AB520" s="169"/>
      <c r="AC520" s="169"/>
      <c r="AD520" s="169"/>
      <c r="AE520" s="169"/>
      <c r="AF520" s="169"/>
      <c r="AG520" s="169"/>
      <c r="AH520" s="169"/>
      <c r="AI520" s="169"/>
      <c r="AJ520" s="169"/>
      <c r="AK520" s="169"/>
      <c r="AL520" s="169"/>
      <c r="AM520" s="169"/>
      <c r="AN520" s="169"/>
      <c r="AO520" s="169"/>
      <c r="AP520" s="169"/>
      <c r="AQ520" s="169"/>
      <c r="AR520" s="169"/>
    </row>
    <row r="521" spans="1:44" ht="12.5">
      <c r="A521" s="169"/>
      <c r="B521" s="186"/>
      <c r="C521" s="186"/>
      <c r="D521" s="187"/>
      <c r="E521" s="6"/>
      <c r="F521" s="6"/>
      <c r="G521" s="6"/>
      <c r="H521" s="169"/>
      <c r="I521" s="169"/>
      <c r="J521" s="6"/>
      <c r="K521" s="188"/>
      <c r="L521" s="189"/>
      <c r="M521" s="189"/>
      <c r="N521" s="6"/>
      <c r="O521" s="6"/>
      <c r="P521" s="6"/>
      <c r="Q521" s="169"/>
      <c r="R521" s="6"/>
      <c r="S521" s="6"/>
      <c r="T521" s="169"/>
      <c r="U521" s="6"/>
      <c r="V521" s="169"/>
      <c r="W521" s="169"/>
      <c r="X521" s="169"/>
      <c r="Y521" s="169"/>
      <c r="Z521" s="169"/>
      <c r="AA521" s="169"/>
      <c r="AB521" s="169"/>
      <c r="AC521" s="169"/>
      <c r="AD521" s="169"/>
      <c r="AE521" s="169"/>
      <c r="AF521" s="169"/>
      <c r="AG521" s="169"/>
      <c r="AH521" s="169"/>
      <c r="AI521" s="169"/>
      <c r="AJ521" s="169"/>
      <c r="AK521" s="169"/>
      <c r="AL521" s="169"/>
      <c r="AM521" s="169"/>
      <c r="AN521" s="169"/>
      <c r="AO521" s="169"/>
      <c r="AP521" s="169"/>
      <c r="AQ521" s="169"/>
      <c r="AR521" s="169"/>
    </row>
    <row r="522" spans="1:44" ht="12.5">
      <c r="A522" s="169"/>
      <c r="B522" s="186"/>
      <c r="C522" s="186"/>
      <c r="D522" s="187"/>
      <c r="E522" s="6"/>
      <c r="F522" s="6"/>
      <c r="G522" s="6"/>
      <c r="H522" s="169"/>
      <c r="I522" s="169"/>
      <c r="J522" s="6"/>
      <c r="K522" s="188"/>
      <c r="L522" s="189"/>
      <c r="M522" s="189"/>
      <c r="N522" s="6"/>
      <c r="O522" s="6"/>
      <c r="P522" s="6"/>
      <c r="Q522" s="169"/>
      <c r="R522" s="6"/>
      <c r="S522" s="6"/>
      <c r="T522" s="169"/>
      <c r="U522" s="6"/>
      <c r="V522" s="169"/>
      <c r="W522" s="169"/>
      <c r="X522" s="169"/>
      <c r="Y522" s="169"/>
      <c r="Z522" s="169"/>
      <c r="AA522" s="169"/>
      <c r="AB522" s="169"/>
      <c r="AC522" s="169"/>
      <c r="AD522" s="169"/>
      <c r="AE522" s="169"/>
      <c r="AF522" s="169"/>
      <c r="AG522" s="169"/>
      <c r="AH522" s="169"/>
      <c r="AI522" s="169"/>
      <c r="AJ522" s="169"/>
      <c r="AK522" s="169"/>
      <c r="AL522" s="169"/>
      <c r="AM522" s="169"/>
      <c r="AN522" s="169"/>
      <c r="AO522" s="169"/>
      <c r="AP522" s="169"/>
      <c r="AQ522" s="169"/>
      <c r="AR522" s="169"/>
    </row>
    <row r="523" spans="1:44" ht="12.5">
      <c r="A523" s="169"/>
      <c r="B523" s="186"/>
      <c r="C523" s="186"/>
      <c r="D523" s="187"/>
      <c r="E523" s="6"/>
      <c r="F523" s="6"/>
      <c r="G523" s="6"/>
      <c r="H523" s="169"/>
      <c r="I523" s="169"/>
      <c r="J523" s="6"/>
      <c r="K523" s="188"/>
      <c r="L523" s="189"/>
      <c r="M523" s="189"/>
      <c r="N523" s="6"/>
      <c r="O523" s="6"/>
      <c r="P523" s="6"/>
      <c r="Q523" s="169"/>
      <c r="R523" s="6"/>
      <c r="S523" s="6"/>
      <c r="T523" s="169"/>
      <c r="U523" s="6"/>
      <c r="V523" s="169"/>
      <c r="W523" s="169"/>
      <c r="X523" s="169"/>
      <c r="Y523" s="169"/>
      <c r="Z523" s="169"/>
      <c r="AA523" s="169"/>
      <c r="AB523" s="169"/>
      <c r="AC523" s="169"/>
      <c r="AD523" s="169"/>
      <c r="AE523" s="169"/>
      <c r="AF523" s="169"/>
      <c r="AG523" s="169"/>
      <c r="AH523" s="169"/>
      <c r="AI523" s="169"/>
      <c r="AJ523" s="169"/>
      <c r="AK523" s="169"/>
      <c r="AL523" s="169"/>
      <c r="AM523" s="169"/>
      <c r="AN523" s="169"/>
      <c r="AO523" s="169"/>
      <c r="AP523" s="169"/>
      <c r="AQ523" s="169"/>
      <c r="AR523" s="169"/>
    </row>
    <row r="524" spans="1:44" ht="12.5">
      <c r="A524" s="169"/>
      <c r="B524" s="186"/>
      <c r="C524" s="186"/>
      <c r="D524" s="187"/>
      <c r="E524" s="6"/>
      <c r="F524" s="6"/>
      <c r="G524" s="6"/>
      <c r="H524" s="169"/>
      <c r="I524" s="169"/>
      <c r="J524" s="6"/>
      <c r="K524" s="188"/>
      <c r="L524" s="189"/>
      <c r="M524" s="189"/>
      <c r="N524" s="6"/>
      <c r="O524" s="6"/>
      <c r="P524" s="6"/>
      <c r="Q524" s="169"/>
      <c r="R524" s="6"/>
      <c r="S524" s="6"/>
      <c r="T524" s="169"/>
      <c r="U524" s="6"/>
      <c r="V524" s="169"/>
      <c r="W524" s="169"/>
      <c r="X524" s="169"/>
      <c r="Y524" s="169"/>
      <c r="Z524" s="169"/>
      <c r="AA524" s="169"/>
      <c r="AB524" s="169"/>
      <c r="AC524" s="169"/>
      <c r="AD524" s="169"/>
      <c r="AE524" s="169"/>
      <c r="AF524" s="169"/>
      <c r="AG524" s="169"/>
      <c r="AH524" s="169"/>
      <c r="AI524" s="169"/>
      <c r="AJ524" s="169"/>
      <c r="AK524" s="169"/>
      <c r="AL524" s="169"/>
      <c r="AM524" s="169"/>
      <c r="AN524" s="169"/>
      <c r="AO524" s="169"/>
      <c r="AP524" s="169"/>
      <c r="AQ524" s="169"/>
      <c r="AR524" s="169"/>
    </row>
    <row r="525" spans="1:44" ht="12.5">
      <c r="A525" s="169"/>
      <c r="B525" s="186"/>
      <c r="C525" s="186"/>
      <c r="D525" s="187"/>
      <c r="E525" s="6"/>
      <c r="F525" s="6"/>
      <c r="G525" s="6"/>
      <c r="H525" s="169"/>
      <c r="I525" s="169"/>
      <c r="J525" s="6"/>
      <c r="K525" s="188"/>
      <c r="L525" s="189"/>
      <c r="M525" s="189"/>
      <c r="N525" s="6"/>
      <c r="O525" s="6"/>
      <c r="P525" s="6"/>
      <c r="Q525" s="169"/>
      <c r="R525" s="6"/>
      <c r="S525" s="6"/>
      <c r="T525" s="169"/>
      <c r="U525" s="6"/>
      <c r="V525" s="169"/>
      <c r="W525" s="169"/>
      <c r="X525" s="169"/>
      <c r="Y525" s="169"/>
      <c r="Z525" s="169"/>
      <c r="AA525" s="169"/>
      <c r="AB525" s="169"/>
      <c r="AC525" s="169"/>
      <c r="AD525" s="169"/>
      <c r="AE525" s="169"/>
      <c r="AF525" s="169"/>
      <c r="AG525" s="169"/>
      <c r="AH525" s="169"/>
      <c r="AI525" s="169"/>
      <c r="AJ525" s="169"/>
      <c r="AK525" s="169"/>
      <c r="AL525" s="169"/>
      <c r="AM525" s="169"/>
      <c r="AN525" s="169"/>
      <c r="AO525" s="169"/>
      <c r="AP525" s="169"/>
      <c r="AQ525" s="169"/>
      <c r="AR525" s="169"/>
    </row>
    <row r="526" spans="1:44" ht="12.5">
      <c r="A526" s="169"/>
      <c r="B526" s="186"/>
      <c r="C526" s="186"/>
      <c r="D526" s="187"/>
      <c r="E526" s="6"/>
      <c r="F526" s="6"/>
      <c r="G526" s="6"/>
      <c r="H526" s="169"/>
      <c r="I526" s="169"/>
      <c r="J526" s="6"/>
      <c r="K526" s="188"/>
      <c r="L526" s="189"/>
      <c r="M526" s="189"/>
      <c r="N526" s="6"/>
      <c r="O526" s="6"/>
      <c r="P526" s="6"/>
      <c r="Q526" s="169"/>
      <c r="R526" s="6"/>
      <c r="S526" s="6"/>
      <c r="T526" s="169"/>
      <c r="U526" s="6"/>
      <c r="V526" s="169"/>
      <c r="W526" s="169"/>
      <c r="X526" s="169"/>
      <c r="Y526" s="169"/>
      <c r="Z526" s="169"/>
      <c r="AA526" s="169"/>
      <c r="AB526" s="169"/>
      <c r="AC526" s="169"/>
      <c r="AD526" s="169"/>
      <c r="AE526" s="169"/>
      <c r="AF526" s="169"/>
      <c r="AG526" s="169"/>
      <c r="AH526" s="169"/>
      <c r="AI526" s="169"/>
      <c r="AJ526" s="169"/>
      <c r="AK526" s="169"/>
      <c r="AL526" s="169"/>
      <c r="AM526" s="169"/>
      <c r="AN526" s="169"/>
      <c r="AO526" s="169"/>
      <c r="AP526" s="169"/>
      <c r="AQ526" s="169"/>
      <c r="AR526" s="169"/>
    </row>
    <row r="527" spans="1:44" ht="12.5">
      <c r="A527" s="169"/>
      <c r="B527" s="186"/>
      <c r="C527" s="186"/>
      <c r="D527" s="187"/>
      <c r="E527" s="6"/>
      <c r="F527" s="6"/>
      <c r="G527" s="6"/>
      <c r="H527" s="169"/>
      <c r="I527" s="169"/>
      <c r="J527" s="6"/>
      <c r="K527" s="188"/>
      <c r="L527" s="189"/>
      <c r="M527" s="189"/>
      <c r="N527" s="6"/>
      <c r="O527" s="6"/>
      <c r="P527" s="6"/>
      <c r="Q527" s="169"/>
      <c r="R527" s="6"/>
      <c r="S527" s="6"/>
      <c r="T527" s="169"/>
      <c r="U527" s="6"/>
      <c r="V527" s="169"/>
      <c r="W527" s="169"/>
      <c r="X527" s="169"/>
      <c r="Y527" s="169"/>
      <c r="Z527" s="169"/>
      <c r="AA527" s="169"/>
      <c r="AB527" s="169"/>
      <c r="AC527" s="169"/>
      <c r="AD527" s="169"/>
      <c r="AE527" s="169"/>
      <c r="AF527" s="169"/>
      <c r="AG527" s="169"/>
      <c r="AH527" s="169"/>
      <c r="AI527" s="169"/>
      <c r="AJ527" s="169"/>
      <c r="AK527" s="169"/>
      <c r="AL527" s="169"/>
      <c r="AM527" s="169"/>
      <c r="AN527" s="169"/>
      <c r="AO527" s="169"/>
      <c r="AP527" s="169"/>
      <c r="AQ527" s="169"/>
      <c r="AR527" s="169"/>
    </row>
    <row r="528" spans="1:44" ht="12.5">
      <c r="A528" s="169"/>
      <c r="B528" s="186"/>
      <c r="C528" s="186"/>
      <c r="D528" s="187"/>
      <c r="E528" s="6"/>
      <c r="F528" s="6"/>
      <c r="G528" s="6"/>
      <c r="H528" s="169"/>
      <c r="I528" s="169"/>
      <c r="J528" s="6"/>
      <c r="K528" s="188"/>
      <c r="L528" s="189"/>
      <c r="M528" s="189"/>
      <c r="N528" s="6"/>
      <c r="O528" s="6"/>
      <c r="P528" s="6"/>
      <c r="Q528" s="169"/>
      <c r="R528" s="6"/>
      <c r="S528" s="6"/>
      <c r="T528" s="169"/>
      <c r="U528" s="6"/>
      <c r="V528" s="169"/>
      <c r="W528" s="169"/>
      <c r="X528" s="169"/>
      <c r="Y528" s="169"/>
      <c r="Z528" s="169"/>
      <c r="AA528" s="169"/>
      <c r="AB528" s="169"/>
      <c r="AC528" s="169"/>
      <c r="AD528" s="169"/>
      <c r="AE528" s="169"/>
      <c r="AF528" s="169"/>
      <c r="AG528" s="169"/>
      <c r="AH528" s="169"/>
      <c r="AI528" s="169"/>
      <c r="AJ528" s="169"/>
      <c r="AK528" s="169"/>
      <c r="AL528" s="169"/>
      <c r="AM528" s="169"/>
      <c r="AN528" s="169"/>
      <c r="AO528" s="169"/>
      <c r="AP528" s="169"/>
      <c r="AQ528" s="169"/>
      <c r="AR528" s="169"/>
    </row>
    <row r="529" spans="1:44" ht="12.5">
      <c r="A529" s="169"/>
      <c r="B529" s="186"/>
      <c r="C529" s="186"/>
      <c r="D529" s="187"/>
      <c r="E529" s="6"/>
      <c r="F529" s="6"/>
      <c r="G529" s="6"/>
      <c r="H529" s="169"/>
      <c r="I529" s="169"/>
      <c r="J529" s="6"/>
      <c r="K529" s="188"/>
      <c r="L529" s="189"/>
      <c r="M529" s="189"/>
      <c r="N529" s="6"/>
      <c r="O529" s="6"/>
      <c r="P529" s="6"/>
      <c r="Q529" s="169"/>
      <c r="R529" s="6"/>
      <c r="S529" s="6"/>
      <c r="T529" s="169"/>
      <c r="U529" s="6"/>
      <c r="V529" s="169"/>
      <c r="W529" s="169"/>
      <c r="X529" s="169"/>
      <c r="Y529" s="169"/>
      <c r="Z529" s="169"/>
      <c r="AA529" s="169"/>
      <c r="AB529" s="169"/>
      <c r="AC529" s="169"/>
      <c r="AD529" s="169"/>
      <c r="AE529" s="169"/>
      <c r="AF529" s="169"/>
      <c r="AG529" s="169"/>
      <c r="AH529" s="169"/>
      <c r="AI529" s="169"/>
      <c r="AJ529" s="169"/>
      <c r="AK529" s="169"/>
      <c r="AL529" s="169"/>
      <c r="AM529" s="169"/>
      <c r="AN529" s="169"/>
      <c r="AO529" s="169"/>
      <c r="AP529" s="169"/>
      <c r="AQ529" s="169"/>
      <c r="AR529" s="169"/>
    </row>
    <row r="530" spans="1:44" ht="12.5">
      <c r="A530" s="169"/>
      <c r="B530" s="186"/>
      <c r="C530" s="186"/>
      <c r="D530" s="187"/>
      <c r="E530" s="6"/>
      <c r="F530" s="6"/>
      <c r="G530" s="6"/>
      <c r="H530" s="169"/>
      <c r="I530" s="169"/>
      <c r="J530" s="6"/>
      <c r="K530" s="188"/>
      <c r="L530" s="189"/>
      <c r="M530" s="189"/>
      <c r="N530" s="6"/>
      <c r="O530" s="6"/>
      <c r="P530" s="6"/>
      <c r="Q530" s="169"/>
      <c r="R530" s="6"/>
      <c r="S530" s="6"/>
      <c r="T530" s="169"/>
      <c r="U530" s="6"/>
      <c r="V530" s="169"/>
      <c r="W530" s="169"/>
      <c r="X530" s="169"/>
      <c r="Y530" s="169"/>
      <c r="Z530" s="169"/>
      <c r="AA530" s="169"/>
      <c r="AB530" s="169"/>
      <c r="AC530" s="169"/>
      <c r="AD530" s="169"/>
      <c r="AE530" s="169"/>
      <c r="AF530" s="169"/>
      <c r="AG530" s="169"/>
      <c r="AH530" s="169"/>
      <c r="AI530" s="169"/>
      <c r="AJ530" s="169"/>
      <c r="AK530" s="169"/>
      <c r="AL530" s="169"/>
      <c r="AM530" s="169"/>
      <c r="AN530" s="169"/>
      <c r="AO530" s="169"/>
      <c r="AP530" s="169"/>
      <c r="AQ530" s="169"/>
      <c r="AR530" s="169"/>
    </row>
    <row r="531" spans="1:44" ht="12.5">
      <c r="A531" s="169"/>
      <c r="B531" s="186"/>
      <c r="C531" s="186"/>
      <c r="D531" s="187"/>
      <c r="E531" s="6"/>
      <c r="F531" s="6"/>
      <c r="G531" s="6"/>
      <c r="H531" s="169"/>
      <c r="I531" s="169"/>
      <c r="J531" s="6"/>
      <c r="K531" s="188"/>
      <c r="L531" s="189"/>
      <c r="M531" s="189"/>
      <c r="N531" s="6"/>
      <c r="O531" s="6"/>
      <c r="P531" s="6"/>
      <c r="Q531" s="169"/>
      <c r="R531" s="6"/>
      <c r="S531" s="6"/>
      <c r="T531" s="169"/>
      <c r="U531" s="6"/>
      <c r="V531" s="169"/>
      <c r="W531" s="169"/>
      <c r="X531" s="169"/>
      <c r="Y531" s="169"/>
      <c r="Z531" s="169"/>
      <c r="AA531" s="169"/>
      <c r="AB531" s="169"/>
      <c r="AC531" s="169"/>
      <c r="AD531" s="169"/>
      <c r="AE531" s="169"/>
      <c r="AF531" s="169"/>
      <c r="AG531" s="169"/>
      <c r="AH531" s="169"/>
      <c r="AI531" s="169"/>
      <c r="AJ531" s="169"/>
      <c r="AK531" s="169"/>
      <c r="AL531" s="169"/>
      <c r="AM531" s="169"/>
      <c r="AN531" s="169"/>
      <c r="AO531" s="169"/>
      <c r="AP531" s="169"/>
      <c r="AQ531" s="169"/>
      <c r="AR531" s="169"/>
    </row>
    <row r="532" spans="1:44" ht="12.5">
      <c r="A532" s="169"/>
      <c r="B532" s="186"/>
      <c r="C532" s="186"/>
      <c r="D532" s="187"/>
      <c r="E532" s="6"/>
      <c r="F532" s="6"/>
      <c r="G532" s="6"/>
      <c r="H532" s="169"/>
      <c r="I532" s="169"/>
      <c r="J532" s="6"/>
      <c r="K532" s="188"/>
      <c r="L532" s="189"/>
      <c r="M532" s="189"/>
      <c r="N532" s="6"/>
      <c r="O532" s="6"/>
      <c r="P532" s="6"/>
      <c r="Q532" s="169"/>
      <c r="R532" s="6"/>
      <c r="S532" s="6"/>
      <c r="T532" s="169"/>
      <c r="U532" s="6"/>
      <c r="V532" s="169"/>
      <c r="W532" s="169"/>
      <c r="X532" s="169"/>
      <c r="Y532" s="169"/>
      <c r="Z532" s="169"/>
      <c r="AA532" s="169"/>
      <c r="AB532" s="169"/>
      <c r="AC532" s="169"/>
      <c r="AD532" s="169"/>
      <c r="AE532" s="169"/>
      <c r="AF532" s="169"/>
      <c r="AG532" s="169"/>
      <c r="AH532" s="169"/>
      <c r="AI532" s="169"/>
      <c r="AJ532" s="169"/>
      <c r="AK532" s="169"/>
      <c r="AL532" s="169"/>
      <c r="AM532" s="169"/>
      <c r="AN532" s="169"/>
      <c r="AO532" s="169"/>
      <c r="AP532" s="169"/>
      <c r="AQ532" s="169"/>
      <c r="AR532" s="169"/>
    </row>
    <row r="533" spans="1:44" ht="12.5">
      <c r="A533" s="169"/>
      <c r="B533" s="186"/>
      <c r="C533" s="186"/>
      <c r="D533" s="187"/>
      <c r="E533" s="6"/>
      <c r="F533" s="6"/>
      <c r="G533" s="6"/>
      <c r="H533" s="169"/>
      <c r="I533" s="169"/>
      <c r="J533" s="6"/>
      <c r="K533" s="188"/>
      <c r="L533" s="189"/>
      <c r="M533" s="189"/>
      <c r="N533" s="6"/>
      <c r="O533" s="6"/>
      <c r="P533" s="6"/>
      <c r="Q533" s="169"/>
      <c r="R533" s="6"/>
      <c r="S533" s="6"/>
      <c r="T533" s="169"/>
      <c r="U533" s="6"/>
      <c r="V533" s="169"/>
      <c r="W533" s="169"/>
      <c r="X533" s="169"/>
      <c r="Y533" s="169"/>
      <c r="Z533" s="169"/>
      <c r="AA533" s="169"/>
      <c r="AB533" s="169"/>
      <c r="AC533" s="169"/>
      <c r="AD533" s="169"/>
      <c r="AE533" s="169"/>
      <c r="AF533" s="169"/>
      <c r="AG533" s="169"/>
      <c r="AH533" s="169"/>
      <c r="AI533" s="169"/>
      <c r="AJ533" s="169"/>
      <c r="AK533" s="169"/>
      <c r="AL533" s="169"/>
      <c r="AM533" s="169"/>
      <c r="AN533" s="169"/>
      <c r="AO533" s="169"/>
      <c r="AP533" s="169"/>
      <c r="AQ533" s="169"/>
      <c r="AR533" s="169"/>
    </row>
    <row r="534" spans="1:44" ht="12.5">
      <c r="A534" s="169"/>
      <c r="B534" s="186"/>
      <c r="C534" s="186"/>
      <c r="D534" s="187"/>
      <c r="E534" s="6"/>
      <c r="F534" s="6"/>
      <c r="G534" s="6"/>
      <c r="H534" s="169"/>
      <c r="I534" s="169"/>
      <c r="J534" s="6"/>
      <c r="K534" s="188"/>
      <c r="L534" s="189"/>
      <c r="M534" s="189"/>
      <c r="N534" s="6"/>
      <c r="O534" s="6"/>
      <c r="P534" s="6"/>
      <c r="Q534" s="169"/>
      <c r="R534" s="6"/>
      <c r="S534" s="6"/>
      <c r="T534" s="169"/>
      <c r="U534" s="6"/>
      <c r="V534" s="169"/>
      <c r="W534" s="169"/>
      <c r="X534" s="169"/>
      <c r="Y534" s="169"/>
      <c r="Z534" s="169"/>
      <c r="AA534" s="169"/>
      <c r="AB534" s="169"/>
      <c r="AC534" s="169"/>
      <c r="AD534" s="169"/>
      <c r="AE534" s="169"/>
      <c r="AF534" s="169"/>
      <c r="AG534" s="169"/>
      <c r="AH534" s="169"/>
      <c r="AI534" s="169"/>
      <c r="AJ534" s="169"/>
      <c r="AK534" s="169"/>
      <c r="AL534" s="169"/>
      <c r="AM534" s="169"/>
      <c r="AN534" s="169"/>
      <c r="AO534" s="169"/>
      <c r="AP534" s="169"/>
      <c r="AQ534" s="169"/>
      <c r="AR534" s="169"/>
    </row>
    <row r="535" spans="1:44" ht="12.5">
      <c r="A535" s="169"/>
      <c r="B535" s="186"/>
      <c r="C535" s="186"/>
      <c r="D535" s="187"/>
      <c r="E535" s="6"/>
      <c r="F535" s="6"/>
      <c r="G535" s="6"/>
      <c r="H535" s="169"/>
      <c r="I535" s="169"/>
      <c r="J535" s="6"/>
      <c r="K535" s="188"/>
      <c r="L535" s="189"/>
      <c r="M535" s="189"/>
      <c r="N535" s="6"/>
      <c r="O535" s="6"/>
      <c r="P535" s="6"/>
      <c r="Q535" s="169"/>
      <c r="R535" s="6"/>
      <c r="S535" s="6"/>
      <c r="T535" s="169"/>
      <c r="U535" s="6"/>
      <c r="V535" s="169"/>
      <c r="W535" s="169"/>
      <c r="X535" s="169"/>
      <c r="Y535" s="169"/>
      <c r="Z535" s="169"/>
      <c r="AA535" s="169"/>
      <c r="AB535" s="169"/>
      <c r="AC535" s="169"/>
      <c r="AD535" s="169"/>
      <c r="AE535" s="169"/>
      <c r="AF535" s="169"/>
      <c r="AG535" s="169"/>
      <c r="AH535" s="169"/>
      <c r="AI535" s="169"/>
      <c r="AJ535" s="169"/>
      <c r="AK535" s="169"/>
      <c r="AL535" s="169"/>
      <c r="AM535" s="169"/>
      <c r="AN535" s="169"/>
      <c r="AO535" s="169"/>
      <c r="AP535" s="169"/>
      <c r="AQ535" s="169"/>
      <c r="AR535" s="169"/>
    </row>
    <row r="536" spans="1:44" ht="12.5">
      <c r="A536" s="169"/>
      <c r="B536" s="186"/>
      <c r="C536" s="186"/>
      <c r="D536" s="187"/>
      <c r="E536" s="6"/>
      <c r="F536" s="6"/>
      <c r="G536" s="6"/>
      <c r="H536" s="169"/>
      <c r="I536" s="169"/>
      <c r="J536" s="6"/>
      <c r="K536" s="188"/>
      <c r="L536" s="189"/>
      <c r="M536" s="189"/>
      <c r="N536" s="6"/>
      <c r="O536" s="6"/>
      <c r="P536" s="6"/>
      <c r="Q536" s="169"/>
      <c r="R536" s="6"/>
      <c r="S536" s="6"/>
      <c r="T536" s="169"/>
      <c r="U536" s="6"/>
      <c r="V536" s="169"/>
      <c r="W536" s="169"/>
      <c r="X536" s="169"/>
      <c r="Y536" s="169"/>
      <c r="Z536" s="169"/>
      <c r="AA536" s="169"/>
      <c r="AB536" s="169"/>
      <c r="AC536" s="169"/>
      <c r="AD536" s="169"/>
      <c r="AE536" s="169"/>
      <c r="AF536" s="169"/>
      <c r="AG536" s="169"/>
      <c r="AH536" s="169"/>
      <c r="AI536" s="169"/>
      <c r="AJ536" s="169"/>
      <c r="AK536" s="169"/>
      <c r="AL536" s="169"/>
      <c r="AM536" s="169"/>
      <c r="AN536" s="169"/>
      <c r="AO536" s="169"/>
      <c r="AP536" s="169"/>
      <c r="AQ536" s="169"/>
      <c r="AR536" s="169"/>
    </row>
    <row r="537" spans="1:44" ht="12.5">
      <c r="A537" s="169"/>
      <c r="B537" s="186"/>
      <c r="C537" s="186"/>
      <c r="D537" s="187"/>
      <c r="E537" s="6"/>
      <c r="F537" s="6"/>
      <c r="G537" s="6"/>
      <c r="H537" s="169"/>
      <c r="I537" s="169"/>
      <c r="J537" s="6"/>
      <c r="K537" s="188"/>
      <c r="L537" s="189"/>
      <c r="M537" s="189"/>
      <c r="N537" s="6"/>
      <c r="O537" s="6"/>
      <c r="P537" s="6"/>
      <c r="Q537" s="169"/>
      <c r="R537" s="6"/>
      <c r="S537" s="6"/>
      <c r="T537" s="169"/>
      <c r="U537" s="6"/>
      <c r="V537" s="169"/>
      <c r="W537" s="169"/>
      <c r="X537" s="169"/>
      <c r="Y537" s="169"/>
      <c r="Z537" s="169"/>
      <c r="AA537" s="169"/>
      <c r="AB537" s="169"/>
      <c r="AC537" s="169"/>
      <c r="AD537" s="169"/>
      <c r="AE537" s="169"/>
      <c r="AF537" s="169"/>
      <c r="AG537" s="169"/>
      <c r="AH537" s="169"/>
      <c r="AI537" s="169"/>
      <c r="AJ537" s="169"/>
      <c r="AK537" s="169"/>
      <c r="AL537" s="169"/>
      <c r="AM537" s="169"/>
      <c r="AN537" s="169"/>
      <c r="AO537" s="169"/>
      <c r="AP537" s="169"/>
      <c r="AQ537" s="169"/>
      <c r="AR537" s="169"/>
    </row>
    <row r="538" spans="1:44" ht="12.5">
      <c r="A538" s="169"/>
      <c r="B538" s="186"/>
      <c r="C538" s="186"/>
      <c r="D538" s="187"/>
      <c r="E538" s="6"/>
      <c r="F538" s="6"/>
      <c r="G538" s="6"/>
      <c r="H538" s="169"/>
      <c r="I538" s="169"/>
      <c r="J538" s="6"/>
      <c r="K538" s="188"/>
      <c r="L538" s="189"/>
      <c r="M538" s="189"/>
      <c r="N538" s="6"/>
      <c r="O538" s="6"/>
      <c r="P538" s="6"/>
      <c r="Q538" s="169"/>
      <c r="R538" s="6"/>
      <c r="S538" s="6"/>
      <c r="T538" s="169"/>
      <c r="U538" s="6"/>
      <c r="V538" s="169"/>
      <c r="W538" s="169"/>
      <c r="X538" s="169"/>
      <c r="Y538" s="169"/>
      <c r="Z538" s="169"/>
      <c r="AA538" s="169"/>
      <c r="AB538" s="169"/>
      <c r="AC538" s="169"/>
      <c r="AD538" s="169"/>
      <c r="AE538" s="169"/>
      <c r="AF538" s="169"/>
      <c r="AG538" s="169"/>
      <c r="AH538" s="169"/>
      <c r="AI538" s="169"/>
      <c r="AJ538" s="169"/>
      <c r="AK538" s="169"/>
      <c r="AL538" s="169"/>
      <c r="AM538" s="169"/>
      <c r="AN538" s="169"/>
      <c r="AO538" s="169"/>
      <c r="AP538" s="169"/>
      <c r="AQ538" s="169"/>
      <c r="AR538" s="169"/>
    </row>
    <row r="539" spans="1:44" ht="12.5">
      <c r="A539" s="169"/>
      <c r="B539" s="186"/>
      <c r="C539" s="186"/>
      <c r="D539" s="187"/>
      <c r="E539" s="6"/>
      <c r="F539" s="6"/>
      <c r="G539" s="6"/>
      <c r="H539" s="169"/>
      <c r="I539" s="169"/>
      <c r="J539" s="6"/>
      <c r="K539" s="188"/>
      <c r="L539" s="189"/>
      <c r="M539" s="189"/>
      <c r="N539" s="6"/>
      <c r="O539" s="6"/>
      <c r="P539" s="6"/>
      <c r="Q539" s="169"/>
      <c r="R539" s="6"/>
      <c r="S539" s="6"/>
      <c r="T539" s="169"/>
      <c r="U539" s="6"/>
      <c r="V539" s="169"/>
      <c r="W539" s="169"/>
      <c r="X539" s="169"/>
      <c r="Y539" s="169"/>
      <c r="Z539" s="169"/>
      <c r="AA539" s="169"/>
      <c r="AB539" s="169"/>
      <c r="AC539" s="169"/>
      <c r="AD539" s="169"/>
      <c r="AE539" s="169"/>
      <c r="AF539" s="169"/>
      <c r="AG539" s="169"/>
      <c r="AH539" s="169"/>
      <c r="AI539" s="169"/>
      <c r="AJ539" s="169"/>
      <c r="AK539" s="169"/>
      <c r="AL539" s="169"/>
      <c r="AM539" s="169"/>
      <c r="AN539" s="169"/>
      <c r="AO539" s="169"/>
      <c r="AP539" s="169"/>
      <c r="AQ539" s="169"/>
      <c r="AR539" s="169"/>
    </row>
    <row r="540" spans="1:44" ht="12.5">
      <c r="A540" s="169"/>
      <c r="B540" s="186"/>
      <c r="C540" s="186"/>
      <c r="D540" s="187"/>
      <c r="E540" s="6"/>
      <c r="F540" s="6"/>
      <c r="G540" s="6"/>
      <c r="H540" s="169"/>
      <c r="I540" s="169"/>
      <c r="J540" s="6"/>
      <c r="K540" s="188"/>
      <c r="L540" s="189"/>
      <c r="M540" s="189"/>
      <c r="N540" s="6"/>
      <c r="O540" s="6"/>
      <c r="P540" s="6"/>
      <c r="Q540" s="169"/>
      <c r="R540" s="6"/>
      <c r="S540" s="6"/>
      <c r="T540" s="169"/>
      <c r="U540" s="6"/>
      <c r="V540" s="169"/>
      <c r="W540" s="169"/>
      <c r="X540" s="169"/>
      <c r="Y540" s="169"/>
      <c r="Z540" s="169"/>
      <c r="AA540" s="169"/>
      <c r="AB540" s="169"/>
      <c r="AC540" s="169"/>
      <c r="AD540" s="169"/>
      <c r="AE540" s="169"/>
      <c r="AF540" s="169"/>
      <c r="AG540" s="169"/>
      <c r="AH540" s="169"/>
      <c r="AI540" s="169"/>
      <c r="AJ540" s="169"/>
      <c r="AK540" s="169"/>
      <c r="AL540" s="169"/>
      <c r="AM540" s="169"/>
      <c r="AN540" s="169"/>
      <c r="AO540" s="169"/>
      <c r="AP540" s="169"/>
      <c r="AQ540" s="169"/>
      <c r="AR540" s="169"/>
    </row>
    <row r="541" spans="1:44" ht="12.5">
      <c r="A541" s="169"/>
      <c r="B541" s="186"/>
      <c r="C541" s="186"/>
      <c r="D541" s="187"/>
      <c r="E541" s="6"/>
      <c r="F541" s="6"/>
      <c r="G541" s="6"/>
      <c r="H541" s="169"/>
      <c r="I541" s="169"/>
      <c r="J541" s="6"/>
      <c r="K541" s="188"/>
      <c r="L541" s="189"/>
      <c r="M541" s="189"/>
      <c r="N541" s="6"/>
      <c r="O541" s="6"/>
      <c r="P541" s="6"/>
      <c r="Q541" s="169"/>
      <c r="R541" s="6"/>
      <c r="S541" s="6"/>
      <c r="T541" s="169"/>
      <c r="U541" s="6"/>
      <c r="V541" s="169"/>
      <c r="W541" s="169"/>
      <c r="X541" s="169"/>
      <c r="Y541" s="169"/>
      <c r="Z541" s="169"/>
      <c r="AA541" s="169"/>
      <c r="AB541" s="169"/>
      <c r="AC541" s="169"/>
      <c r="AD541" s="169"/>
      <c r="AE541" s="169"/>
      <c r="AF541" s="169"/>
      <c r="AG541" s="169"/>
      <c r="AH541" s="169"/>
      <c r="AI541" s="169"/>
      <c r="AJ541" s="169"/>
      <c r="AK541" s="169"/>
      <c r="AL541" s="169"/>
      <c r="AM541" s="169"/>
      <c r="AN541" s="169"/>
      <c r="AO541" s="169"/>
      <c r="AP541" s="169"/>
      <c r="AQ541" s="169"/>
      <c r="AR541" s="169"/>
    </row>
    <row r="542" spans="1:44" ht="12.5">
      <c r="A542" s="169"/>
      <c r="B542" s="186"/>
      <c r="C542" s="186"/>
      <c r="D542" s="187"/>
      <c r="E542" s="6"/>
      <c r="F542" s="6"/>
      <c r="G542" s="6"/>
      <c r="H542" s="169"/>
      <c r="I542" s="169"/>
      <c r="J542" s="6"/>
      <c r="K542" s="188"/>
      <c r="L542" s="189"/>
      <c r="M542" s="189"/>
      <c r="N542" s="6"/>
      <c r="O542" s="6"/>
      <c r="P542" s="6"/>
      <c r="Q542" s="169"/>
      <c r="R542" s="6"/>
      <c r="S542" s="6"/>
      <c r="T542" s="169"/>
      <c r="U542" s="6"/>
      <c r="V542" s="169"/>
      <c r="W542" s="169"/>
      <c r="X542" s="169"/>
      <c r="Y542" s="169"/>
      <c r="Z542" s="169"/>
      <c r="AA542" s="169"/>
      <c r="AB542" s="169"/>
      <c r="AC542" s="169"/>
      <c r="AD542" s="169"/>
      <c r="AE542" s="169"/>
      <c r="AF542" s="169"/>
      <c r="AG542" s="169"/>
      <c r="AH542" s="169"/>
      <c r="AI542" s="169"/>
      <c r="AJ542" s="169"/>
      <c r="AK542" s="169"/>
      <c r="AL542" s="169"/>
      <c r="AM542" s="169"/>
      <c r="AN542" s="169"/>
      <c r="AO542" s="169"/>
      <c r="AP542" s="169"/>
      <c r="AQ542" s="169"/>
      <c r="AR542" s="169"/>
    </row>
    <row r="543" spans="1:44" ht="12.5">
      <c r="A543" s="169"/>
      <c r="B543" s="186"/>
      <c r="C543" s="186"/>
      <c r="D543" s="187"/>
      <c r="E543" s="6"/>
      <c r="F543" s="6"/>
      <c r="G543" s="6"/>
      <c r="H543" s="169"/>
      <c r="I543" s="169"/>
      <c r="J543" s="6"/>
      <c r="K543" s="188"/>
      <c r="L543" s="189"/>
      <c r="M543" s="189"/>
      <c r="N543" s="6"/>
      <c r="O543" s="6"/>
      <c r="P543" s="6"/>
      <c r="Q543" s="169"/>
      <c r="R543" s="6"/>
      <c r="S543" s="6"/>
      <c r="T543" s="169"/>
      <c r="U543" s="6"/>
      <c r="V543" s="169"/>
      <c r="W543" s="169"/>
      <c r="X543" s="169"/>
      <c r="Y543" s="169"/>
      <c r="Z543" s="169"/>
      <c r="AA543" s="169"/>
      <c r="AB543" s="169"/>
      <c r="AC543" s="169"/>
      <c r="AD543" s="169"/>
      <c r="AE543" s="169"/>
      <c r="AF543" s="169"/>
      <c r="AG543" s="169"/>
      <c r="AH543" s="169"/>
      <c r="AI543" s="169"/>
      <c r="AJ543" s="169"/>
      <c r="AK543" s="169"/>
      <c r="AL543" s="169"/>
      <c r="AM543" s="169"/>
      <c r="AN543" s="169"/>
      <c r="AO543" s="169"/>
      <c r="AP543" s="169"/>
      <c r="AQ543" s="169"/>
      <c r="AR543" s="169"/>
    </row>
    <row r="544" spans="1:44" ht="12.5">
      <c r="A544" s="169"/>
      <c r="B544" s="186"/>
      <c r="C544" s="186"/>
      <c r="D544" s="187"/>
      <c r="E544" s="6"/>
      <c r="F544" s="6"/>
      <c r="G544" s="6"/>
      <c r="H544" s="169"/>
      <c r="I544" s="169"/>
      <c r="J544" s="6"/>
      <c r="K544" s="188"/>
      <c r="L544" s="189"/>
      <c r="M544" s="189"/>
      <c r="N544" s="6"/>
      <c r="O544" s="6"/>
      <c r="P544" s="6"/>
      <c r="Q544" s="169"/>
      <c r="R544" s="6"/>
      <c r="S544" s="6"/>
      <c r="T544" s="169"/>
      <c r="U544" s="6"/>
      <c r="V544" s="169"/>
      <c r="W544" s="169"/>
      <c r="X544" s="169"/>
      <c r="Y544" s="169"/>
      <c r="Z544" s="169"/>
      <c r="AA544" s="169"/>
      <c r="AB544" s="169"/>
      <c r="AC544" s="169"/>
      <c r="AD544" s="169"/>
      <c r="AE544" s="169"/>
      <c r="AF544" s="169"/>
      <c r="AG544" s="169"/>
      <c r="AH544" s="169"/>
      <c r="AI544" s="169"/>
      <c r="AJ544" s="169"/>
      <c r="AK544" s="169"/>
      <c r="AL544" s="169"/>
      <c r="AM544" s="169"/>
      <c r="AN544" s="169"/>
      <c r="AO544" s="169"/>
      <c r="AP544" s="169"/>
      <c r="AQ544" s="169"/>
      <c r="AR544" s="169"/>
    </row>
    <row r="545" spans="1:44" ht="12.5">
      <c r="A545" s="169"/>
      <c r="B545" s="186"/>
      <c r="C545" s="186"/>
      <c r="D545" s="187"/>
      <c r="E545" s="6"/>
      <c r="F545" s="6"/>
      <c r="G545" s="6"/>
      <c r="H545" s="169"/>
      <c r="I545" s="169"/>
      <c r="J545" s="6"/>
      <c r="K545" s="188"/>
      <c r="L545" s="189"/>
      <c r="M545" s="189"/>
      <c r="N545" s="6"/>
      <c r="O545" s="6"/>
      <c r="P545" s="6"/>
      <c r="Q545" s="169"/>
      <c r="R545" s="6"/>
      <c r="S545" s="6"/>
      <c r="T545" s="169"/>
      <c r="U545" s="6"/>
      <c r="V545" s="169"/>
      <c r="W545" s="169"/>
      <c r="X545" s="169"/>
      <c r="Y545" s="169"/>
      <c r="Z545" s="169"/>
      <c r="AA545" s="169"/>
      <c r="AB545" s="169"/>
      <c r="AC545" s="169"/>
      <c r="AD545" s="169"/>
      <c r="AE545" s="169"/>
      <c r="AF545" s="169"/>
      <c r="AG545" s="169"/>
      <c r="AH545" s="169"/>
      <c r="AI545" s="169"/>
      <c r="AJ545" s="169"/>
      <c r="AK545" s="169"/>
      <c r="AL545" s="169"/>
      <c r="AM545" s="169"/>
      <c r="AN545" s="169"/>
      <c r="AO545" s="169"/>
      <c r="AP545" s="169"/>
      <c r="AQ545" s="169"/>
      <c r="AR545" s="169"/>
    </row>
    <row r="546" spans="1:44" ht="12.5">
      <c r="A546" s="169"/>
      <c r="B546" s="186"/>
      <c r="C546" s="186"/>
      <c r="D546" s="187"/>
      <c r="E546" s="6"/>
      <c r="F546" s="6"/>
      <c r="G546" s="6"/>
      <c r="H546" s="169"/>
      <c r="I546" s="169"/>
      <c r="J546" s="6"/>
      <c r="K546" s="188"/>
      <c r="L546" s="189"/>
      <c r="M546" s="189"/>
      <c r="N546" s="6"/>
      <c r="O546" s="6"/>
      <c r="P546" s="6"/>
      <c r="Q546" s="169"/>
      <c r="R546" s="6"/>
      <c r="S546" s="6"/>
      <c r="T546" s="169"/>
      <c r="U546" s="6"/>
      <c r="V546" s="169"/>
      <c r="W546" s="169"/>
      <c r="X546" s="169"/>
      <c r="Y546" s="169"/>
      <c r="Z546" s="169"/>
      <c r="AA546" s="169"/>
      <c r="AB546" s="169"/>
      <c r="AC546" s="169"/>
      <c r="AD546" s="169"/>
      <c r="AE546" s="169"/>
      <c r="AF546" s="169"/>
      <c r="AG546" s="169"/>
      <c r="AH546" s="169"/>
      <c r="AI546" s="169"/>
      <c r="AJ546" s="169"/>
      <c r="AK546" s="169"/>
      <c r="AL546" s="169"/>
      <c r="AM546" s="169"/>
      <c r="AN546" s="169"/>
      <c r="AO546" s="169"/>
      <c r="AP546" s="169"/>
      <c r="AQ546" s="169"/>
      <c r="AR546" s="169"/>
    </row>
    <row r="547" spans="1:44" ht="12.5">
      <c r="A547" s="169"/>
      <c r="B547" s="186"/>
      <c r="C547" s="186"/>
      <c r="D547" s="187"/>
      <c r="E547" s="6"/>
      <c r="F547" s="6"/>
      <c r="G547" s="6"/>
      <c r="H547" s="169"/>
      <c r="I547" s="169"/>
      <c r="J547" s="6"/>
      <c r="K547" s="188"/>
      <c r="L547" s="189"/>
      <c r="M547" s="189"/>
      <c r="N547" s="6"/>
      <c r="O547" s="6"/>
      <c r="P547" s="6"/>
      <c r="Q547" s="169"/>
      <c r="R547" s="6"/>
      <c r="S547" s="6"/>
      <c r="T547" s="169"/>
      <c r="U547" s="6"/>
      <c r="V547" s="169"/>
      <c r="W547" s="169"/>
      <c r="X547" s="169"/>
      <c r="Y547" s="169"/>
      <c r="Z547" s="169"/>
      <c r="AA547" s="169"/>
      <c r="AB547" s="169"/>
      <c r="AC547" s="169"/>
      <c r="AD547" s="169"/>
      <c r="AE547" s="169"/>
      <c r="AF547" s="169"/>
      <c r="AG547" s="169"/>
      <c r="AH547" s="169"/>
      <c r="AI547" s="169"/>
      <c r="AJ547" s="169"/>
      <c r="AK547" s="169"/>
      <c r="AL547" s="169"/>
      <c r="AM547" s="169"/>
      <c r="AN547" s="169"/>
      <c r="AO547" s="169"/>
      <c r="AP547" s="169"/>
      <c r="AQ547" s="169"/>
      <c r="AR547" s="169"/>
    </row>
    <row r="548" spans="1:44" ht="12.5">
      <c r="A548" s="169"/>
      <c r="B548" s="186"/>
      <c r="C548" s="186"/>
      <c r="D548" s="187"/>
      <c r="E548" s="6"/>
      <c r="F548" s="6"/>
      <c r="G548" s="6"/>
      <c r="H548" s="169"/>
      <c r="I548" s="169"/>
      <c r="J548" s="6"/>
      <c r="K548" s="188"/>
      <c r="L548" s="189"/>
      <c r="M548" s="189"/>
      <c r="N548" s="6"/>
      <c r="O548" s="6"/>
      <c r="P548" s="6"/>
      <c r="Q548" s="169"/>
      <c r="R548" s="6"/>
      <c r="S548" s="6"/>
      <c r="T548" s="169"/>
      <c r="U548" s="6"/>
      <c r="V548" s="169"/>
      <c r="W548" s="169"/>
      <c r="X548" s="169"/>
      <c r="Y548" s="169"/>
      <c r="Z548" s="169"/>
      <c r="AA548" s="169"/>
      <c r="AB548" s="169"/>
      <c r="AC548" s="169"/>
      <c r="AD548" s="169"/>
      <c r="AE548" s="169"/>
      <c r="AF548" s="169"/>
      <c r="AG548" s="169"/>
      <c r="AH548" s="169"/>
      <c r="AI548" s="169"/>
      <c r="AJ548" s="169"/>
      <c r="AK548" s="169"/>
      <c r="AL548" s="169"/>
      <c r="AM548" s="169"/>
      <c r="AN548" s="169"/>
      <c r="AO548" s="169"/>
      <c r="AP548" s="169"/>
      <c r="AQ548" s="169"/>
      <c r="AR548" s="169"/>
    </row>
    <row r="549" spans="1:44" ht="12.5">
      <c r="A549" s="169"/>
      <c r="B549" s="186"/>
      <c r="C549" s="186"/>
      <c r="D549" s="187"/>
      <c r="E549" s="6"/>
      <c r="F549" s="6"/>
      <c r="G549" s="6"/>
      <c r="H549" s="169"/>
      <c r="I549" s="169"/>
      <c r="J549" s="6"/>
      <c r="K549" s="188"/>
      <c r="L549" s="189"/>
      <c r="M549" s="189"/>
      <c r="N549" s="6"/>
      <c r="O549" s="6"/>
      <c r="P549" s="6"/>
      <c r="Q549" s="169"/>
      <c r="R549" s="6"/>
      <c r="S549" s="6"/>
      <c r="T549" s="169"/>
      <c r="U549" s="6"/>
      <c r="V549" s="169"/>
      <c r="W549" s="169"/>
      <c r="X549" s="169"/>
      <c r="Y549" s="169"/>
      <c r="Z549" s="169"/>
      <c r="AA549" s="169"/>
      <c r="AB549" s="169"/>
      <c r="AC549" s="169"/>
      <c r="AD549" s="169"/>
      <c r="AE549" s="169"/>
      <c r="AF549" s="169"/>
      <c r="AG549" s="169"/>
      <c r="AH549" s="169"/>
      <c r="AI549" s="169"/>
      <c r="AJ549" s="169"/>
      <c r="AK549" s="169"/>
      <c r="AL549" s="169"/>
      <c r="AM549" s="169"/>
      <c r="AN549" s="169"/>
      <c r="AO549" s="169"/>
      <c r="AP549" s="169"/>
      <c r="AQ549" s="169"/>
      <c r="AR549" s="169"/>
    </row>
    <row r="550" spans="1:44" ht="12.5">
      <c r="A550" s="169"/>
      <c r="B550" s="186"/>
      <c r="C550" s="186"/>
      <c r="D550" s="187"/>
      <c r="E550" s="6"/>
      <c r="F550" s="6"/>
      <c r="G550" s="6"/>
      <c r="H550" s="169"/>
      <c r="I550" s="169"/>
      <c r="J550" s="6"/>
      <c r="K550" s="188"/>
      <c r="L550" s="189"/>
      <c r="M550" s="189"/>
      <c r="N550" s="6"/>
      <c r="O550" s="6"/>
      <c r="P550" s="6"/>
      <c r="Q550" s="169"/>
      <c r="R550" s="6"/>
      <c r="S550" s="6"/>
      <c r="T550" s="169"/>
      <c r="U550" s="6"/>
      <c r="V550" s="169"/>
      <c r="W550" s="169"/>
      <c r="X550" s="169"/>
      <c r="Y550" s="169"/>
      <c r="Z550" s="169"/>
      <c r="AA550" s="169"/>
      <c r="AB550" s="169"/>
      <c r="AC550" s="169"/>
      <c r="AD550" s="169"/>
      <c r="AE550" s="169"/>
      <c r="AF550" s="169"/>
      <c r="AG550" s="169"/>
      <c r="AH550" s="169"/>
      <c r="AI550" s="169"/>
      <c r="AJ550" s="169"/>
      <c r="AK550" s="169"/>
      <c r="AL550" s="169"/>
      <c r="AM550" s="169"/>
      <c r="AN550" s="169"/>
      <c r="AO550" s="169"/>
      <c r="AP550" s="169"/>
      <c r="AQ550" s="169"/>
      <c r="AR550" s="169"/>
    </row>
    <row r="551" spans="1:44" ht="12.5">
      <c r="A551" s="169"/>
      <c r="B551" s="186"/>
      <c r="C551" s="186"/>
      <c r="D551" s="187"/>
      <c r="E551" s="6"/>
      <c r="F551" s="6"/>
      <c r="G551" s="6"/>
      <c r="H551" s="169"/>
      <c r="I551" s="169"/>
      <c r="J551" s="6"/>
      <c r="K551" s="188"/>
      <c r="L551" s="189"/>
      <c r="M551" s="189"/>
      <c r="N551" s="6"/>
      <c r="O551" s="6"/>
      <c r="P551" s="6"/>
      <c r="Q551" s="169"/>
      <c r="R551" s="6"/>
      <c r="S551" s="6"/>
      <c r="T551" s="169"/>
      <c r="U551" s="6"/>
      <c r="V551" s="169"/>
      <c r="W551" s="169"/>
      <c r="X551" s="169"/>
      <c r="Y551" s="169"/>
      <c r="Z551" s="169"/>
      <c r="AA551" s="169"/>
      <c r="AB551" s="169"/>
      <c r="AC551" s="169"/>
      <c r="AD551" s="169"/>
      <c r="AE551" s="169"/>
      <c r="AF551" s="169"/>
      <c r="AG551" s="169"/>
      <c r="AH551" s="169"/>
      <c r="AI551" s="169"/>
      <c r="AJ551" s="169"/>
      <c r="AK551" s="169"/>
      <c r="AL551" s="169"/>
      <c r="AM551" s="169"/>
      <c r="AN551" s="169"/>
      <c r="AO551" s="169"/>
      <c r="AP551" s="169"/>
      <c r="AQ551" s="169"/>
      <c r="AR551" s="169"/>
    </row>
    <row r="552" spans="1:44" ht="12.5">
      <c r="A552" s="169"/>
      <c r="B552" s="186"/>
      <c r="C552" s="186"/>
      <c r="D552" s="187"/>
      <c r="E552" s="6"/>
      <c r="F552" s="6"/>
      <c r="G552" s="6"/>
      <c r="H552" s="169"/>
      <c r="I552" s="169"/>
      <c r="J552" s="6"/>
      <c r="K552" s="188"/>
      <c r="L552" s="189"/>
      <c r="M552" s="189"/>
      <c r="N552" s="6"/>
      <c r="O552" s="6"/>
      <c r="P552" s="6"/>
      <c r="Q552" s="169"/>
      <c r="R552" s="6"/>
      <c r="S552" s="6"/>
      <c r="T552" s="169"/>
      <c r="U552" s="6"/>
      <c r="V552" s="169"/>
      <c r="W552" s="169"/>
      <c r="X552" s="169"/>
      <c r="Y552" s="169"/>
      <c r="Z552" s="169"/>
      <c r="AA552" s="169"/>
      <c r="AB552" s="169"/>
      <c r="AC552" s="169"/>
      <c r="AD552" s="169"/>
      <c r="AE552" s="169"/>
      <c r="AF552" s="169"/>
      <c r="AG552" s="169"/>
      <c r="AH552" s="169"/>
      <c r="AI552" s="169"/>
      <c r="AJ552" s="169"/>
      <c r="AK552" s="169"/>
      <c r="AL552" s="169"/>
      <c r="AM552" s="169"/>
      <c r="AN552" s="169"/>
      <c r="AO552" s="169"/>
      <c r="AP552" s="169"/>
      <c r="AQ552" s="169"/>
      <c r="AR552" s="169"/>
    </row>
    <row r="553" spans="1:44" ht="12.5">
      <c r="A553" s="169"/>
      <c r="B553" s="186"/>
      <c r="C553" s="186"/>
      <c r="D553" s="187"/>
      <c r="E553" s="6"/>
      <c r="F553" s="6"/>
      <c r="G553" s="6"/>
      <c r="H553" s="169"/>
      <c r="I553" s="169"/>
      <c r="J553" s="6"/>
      <c r="K553" s="188"/>
      <c r="L553" s="189"/>
      <c r="M553" s="189"/>
      <c r="N553" s="6"/>
      <c r="O553" s="6"/>
      <c r="P553" s="6"/>
      <c r="Q553" s="169"/>
      <c r="R553" s="6"/>
      <c r="S553" s="6"/>
      <c r="T553" s="169"/>
      <c r="U553" s="6"/>
      <c r="V553" s="169"/>
      <c r="W553" s="169"/>
      <c r="X553" s="169"/>
      <c r="Y553" s="169"/>
      <c r="Z553" s="169"/>
      <c r="AA553" s="169"/>
      <c r="AB553" s="169"/>
      <c r="AC553" s="169"/>
      <c r="AD553" s="169"/>
      <c r="AE553" s="169"/>
      <c r="AF553" s="169"/>
      <c r="AG553" s="169"/>
      <c r="AH553" s="169"/>
      <c r="AI553" s="169"/>
      <c r="AJ553" s="169"/>
      <c r="AK553" s="169"/>
      <c r="AL553" s="169"/>
      <c r="AM553" s="169"/>
      <c r="AN553" s="169"/>
      <c r="AO553" s="169"/>
      <c r="AP553" s="169"/>
      <c r="AQ553" s="169"/>
      <c r="AR553" s="169"/>
    </row>
    <row r="554" spans="1:44" ht="12.5">
      <c r="A554" s="169"/>
      <c r="B554" s="186"/>
      <c r="C554" s="186"/>
      <c r="D554" s="187"/>
      <c r="E554" s="6"/>
      <c r="F554" s="6"/>
      <c r="G554" s="6"/>
      <c r="H554" s="169"/>
      <c r="I554" s="169"/>
      <c r="J554" s="6"/>
      <c r="K554" s="188"/>
      <c r="L554" s="189"/>
      <c r="M554" s="189"/>
      <c r="N554" s="6"/>
      <c r="O554" s="6"/>
      <c r="P554" s="6"/>
      <c r="Q554" s="169"/>
      <c r="R554" s="6"/>
      <c r="S554" s="6"/>
      <c r="T554" s="169"/>
      <c r="U554" s="6"/>
      <c r="V554" s="169"/>
      <c r="W554" s="169"/>
      <c r="X554" s="169"/>
      <c r="Y554" s="169"/>
      <c r="Z554" s="169"/>
      <c r="AA554" s="169"/>
      <c r="AB554" s="169"/>
      <c r="AC554" s="169"/>
      <c r="AD554" s="169"/>
      <c r="AE554" s="169"/>
      <c r="AF554" s="169"/>
      <c r="AG554" s="169"/>
      <c r="AH554" s="169"/>
      <c r="AI554" s="169"/>
      <c r="AJ554" s="169"/>
      <c r="AK554" s="169"/>
      <c r="AL554" s="169"/>
      <c r="AM554" s="169"/>
      <c r="AN554" s="169"/>
      <c r="AO554" s="169"/>
      <c r="AP554" s="169"/>
      <c r="AQ554" s="169"/>
      <c r="AR554" s="169"/>
    </row>
    <row r="555" spans="1:44" ht="12.5">
      <c r="A555" s="169"/>
      <c r="B555" s="186"/>
      <c r="C555" s="186"/>
      <c r="D555" s="187"/>
      <c r="E555" s="6"/>
      <c r="F555" s="6"/>
      <c r="G555" s="6"/>
      <c r="H555" s="169"/>
      <c r="I555" s="169"/>
      <c r="J555" s="6"/>
      <c r="K555" s="188"/>
      <c r="L555" s="189"/>
      <c r="M555" s="189"/>
      <c r="N555" s="6"/>
      <c r="O555" s="6"/>
      <c r="P555" s="6"/>
      <c r="Q555" s="169"/>
      <c r="R555" s="6"/>
      <c r="S555" s="6"/>
      <c r="T555" s="169"/>
      <c r="U555" s="6"/>
      <c r="V555" s="169"/>
      <c r="W555" s="169"/>
      <c r="X555" s="169"/>
      <c r="Y555" s="169"/>
      <c r="Z555" s="169"/>
      <c r="AA555" s="169"/>
      <c r="AB555" s="169"/>
      <c r="AC555" s="169"/>
      <c r="AD555" s="169"/>
      <c r="AE555" s="169"/>
      <c r="AF555" s="169"/>
      <c r="AG555" s="169"/>
      <c r="AH555" s="169"/>
      <c r="AI555" s="169"/>
      <c r="AJ555" s="169"/>
      <c r="AK555" s="169"/>
      <c r="AL555" s="169"/>
      <c r="AM555" s="169"/>
      <c r="AN555" s="169"/>
      <c r="AO555" s="169"/>
      <c r="AP555" s="169"/>
      <c r="AQ555" s="169"/>
      <c r="AR555" s="169"/>
    </row>
    <row r="556" spans="1:44" ht="12.5">
      <c r="A556" s="169"/>
      <c r="B556" s="186"/>
      <c r="C556" s="186"/>
      <c r="D556" s="187"/>
      <c r="E556" s="6"/>
      <c r="F556" s="6"/>
      <c r="G556" s="6"/>
      <c r="H556" s="169"/>
      <c r="I556" s="169"/>
      <c r="J556" s="6"/>
      <c r="K556" s="188"/>
      <c r="L556" s="189"/>
      <c r="M556" s="189"/>
      <c r="N556" s="6"/>
      <c r="O556" s="6"/>
      <c r="P556" s="6"/>
      <c r="Q556" s="169"/>
      <c r="R556" s="6"/>
      <c r="S556" s="6"/>
      <c r="T556" s="169"/>
      <c r="U556" s="6"/>
      <c r="V556" s="169"/>
      <c r="W556" s="169"/>
      <c r="X556" s="169"/>
      <c r="Y556" s="169"/>
      <c r="Z556" s="169"/>
      <c r="AA556" s="169"/>
      <c r="AB556" s="169"/>
      <c r="AC556" s="169"/>
      <c r="AD556" s="169"/>
      <c r="AE556" s="169"/>
      <c r="AF556" s="169"/>
      <c r="AG556" s="169"/>
      <c r="AH556" s="169"/>
      <c r="AI556" s="169"/>
      <c r="AJ556" s="169"/>
      <c r="AK556" s="169"/>
      <c r="AL556" s="169"/>
      <c r="AM556" s="169"/>
      <c r="AN556" s="169"/>
      <c r="AO556" s="169"/>
      <c r="AP556" s="169"/>
      <c r="AQ556" s="169"/>
      <c r="AR556" s="169"/>
    </row>
    <row r="557" spans="1:44" ht="12.5">
      <c r="A557" s="169"/>
      <c r="B557" s="186"/>
      <c r="C557" s="186"/>
      <c r="D557" s="187"/>
      <c r="E557" s="6"/>
      <c r="F557" s="6"/>
      <c r="G557" s="6"/>
      <c r="H557" s="169"/>
      <c r="I557" s="169"/>
      <c r="J557" s="6"/>
      <c r="K557" s="188"/>
      <c r="L557" s="189"/>
      <c r="M557" s="189"/>
      <c r="N557" s="6"/>
      <c r="O557" s="6"/>
      <c r="P557" s="6"/>
      <c r="Q557" s="169"/>
      <c r="R557" s="6"/>
      <c r="S557" s="6"/>
      <c r="T557" s="169"/>
      <c r="U557" s="6"/>
      <c r="V557" s="169"/>
      <c r="W557" s="169"/>
      <c r="X557" s="169"/>
      <c r="Y557" s="169"/>
      <c r="Z557" s="169"/>
      <c r="AA557" s="169"/>
      <c r="AB557" s="169"/>
      <c r="AC557" s="169"/>
      <c r="AD557" s="169"/>
      <c r="AE557" s="169"/>
      <c r="AF557" s="169"/>
      <c r="AG557" s="169"/>
      <c r="AH557" s="169"/>
      <c r="AI557" s="169"/>
      <c r="AJ557" s="169"/>
      <c r="AK557" s="169"/>
      <c r="AL557" s="169"/>
      <c r="AM557" s="169"/>
      <c r="AN557" s="169"/>
      <c r="AO557" s="169"/>
      <c r="AP557" s="169"/>
      <c r="AQ557" s="169"/>
      <c r="AR557" s="169"/>
    </row>
    <row r="558" spans="1:44" ht="12.5">
      <c r="A558" s="169"/>
      <c r="B558" s="186"/>
      <c r="C558" s="186"/>
      <c r="D558" s="187"/>
      <c r="E558" s="6"/>
      <c r="F558" s="6"/>
      <c r="G558" s="6"/>
      <c r="H558" s="169"/>
      <c r="I558" s="169"/>
      <c r="J558" s="6"/>
      <c r="K558" s="188"/>
      <c r="L558" s="189"/>
      <c r="M558" s="189"/>
      <c r="N558" s="6"/>
      <c r="O558" s="6"/>
      <c r="P558" s="6"/>
      <c r="Q558" s="169"/>
      <c r="R558" s="6"/>
      <c r="S558" s="6"/>
      <c r="T558" s="169"/>
      <c r="U558" s="6"/>
      <c r="V558" s="169"/>
      <c r="W558" s="169"/>
      <c r="X558" s="169"/>
      <c r="Y558" s="169"/>
      <c r="Z558" s="169"/>
      <c r="AA558" s="169"/>
      <c r="AB558" s="169"/>
      <c r="AC558" s="169"/>
      <c r="AD558" s="169"/>
      <c r="AE558" s="169"/>
      <c r="AF558" s="169"/>
      <c r="AG558" s="169"/>
      <c r="AH558" s="169"/>
      <c r="AI558" s="169"/>
      <c r="AJ558" s="169"/>
      <c r="AK558" s="169"/>
      <c r="AL558" s="169"/>
      <c r="AM558" s="169"/>
      <c r="AN558" s="169"/>
      <c r="AO558" s="169"/>
      <c r="AP558" s="169"/>
      <c r="AQ558" s="169"/>
      <c r="AR558" s="169"/>
    </row>
    <row r="559" spans="1:44" ht="12.5">
      <c r="A559" s="169"/>
      <c r="B559" s="186"/>
      <c r="C559" s="186"/>
      <c r="D559" s="187"/>
      <c r="E559" s="6"/>
      <c r="F559" s="6"/>
      <c r="G559" s="6"/>
      <c r="H559" s="169"/>
      <c r="I559" s="169"/>
      <c r="J559" s="6"/>
      <c r="K559" s="188"/>
      <c r="L559" s="189"/>
      <c r="M559" s="189"/>
      <c r="N559" s="6"/>
      <c r="O559" s="6"/>
      <c r="P559" s="6"/>
      <c r="Q559" s="169"/>
      <c r="R559" s="6"/>
      <c r="S559" s="6"/>
      <c r="T559" s="169"/>
      <c r="U559" s="6"/>
      <c r="V559" s="169"/>
      <c r="W559" s="169"/>
      <c r="X559" s="169"/>
      <c r="Y559" s="169"/>
      <c r="Z559" s="169"/>
      <c r="AA559" s="169"/>
      <c r="AB559" s="169"/>
      <c r="AC559" s="169"/>
      <c r="AD559" s="169"/>
      <c r="AE559" s="169"/>
      <c r="AF559" s="169"/>
      <c r="AG559" s="169"/>
      <c r="AH559" s="169"/>
      <c r="AI559" s="169"/>
      <c r="AJ559" s="169"/>
      <c r="AK559" s="169"/>
      <c r="AL559" s="169"/>
      <c r="AM559" s="169"/>
      <c r="AN559" s="169"/>
      <c r="AO559" s="169"/>
      <c r="AP559" s="169"/>
      <c r="AQ559" s="169"/>
      <c r="AR559" s="169"/>
    </row>
    <row r="560" spans="1:44" ht="12.5">
      <c r="A560" s="169"/>
      <c r="B560" s="186"/>
      <c r="C560" s="186"/>
      <c r="D560" s="187"/>
      <c r="E560" s="6"/>
      <c r="F560" s="6"/>
      <c r="G560" s="6"/>
      <c r="H560" s="169"/>
      <c r="I560" s="169"/>
      <c r="J560" s="6"/>
      <c r="K560" s="188"/>
      <c r="L560" s="189"/>
      <c r="M560" s="189"/>
      <c r="N560" s="6"/>
      <c r="O560" s="6"/>
      <c r="P560" s="6"/>
      <c r="Q560" s="169"/>
      <c r="R560" s="6"/>
      <c r="S560" s="6"/>
      <c r="T560" s="169"/>
      <c r="U560" s="6"/>
      <c r="V560" s="169"/>
      <c r="W560" s="169"/>
      <c r="X560" s="169"/>
      <c r="Y560" s="169"/>
      <c r="Z560" s="169"/>
      <c r="AA560" s="169"/>
      <c r="AB560" s="169"/>
      <c r="AC560" s="169"/>
      <c r="AD560" s="169"/>
      <c r="AE560" s="169"/>
      <c r="AF560" s="169"/>
      <c r="AG560" s="169"/>
      <c r="AH560" s="169"/>
      <c r="AI560" s="169"/>
      <c r="AJ560" s="169"/>
      <c r="AK560" s="169"/>
      <c r="AL560" s="169"/>
      <c r="AM560" s="169"/>
      <c r="AN560" s="169"/>
      <c r="AO560" s="169"/>
      <c r="AP560" s="169"/>
      <c r="AQ560" s="169"/>
      <c r="AR560" s="169"/>
    </row>
    <row r="561" spans="1:44" ht="12.5">
      <c r="A561" s="169"/>
      <c r="B561" s="186"/>
      <c r="C561" s="186"/>
      <c r="D561" s="187"/>
      <c r="E561" s="6"/>
      <c r="F561" s="6"/>
      <c r="G561" s="6"/>
      <c r="H561" s="169"/>
      <c r="I561" s="169"/>
      <c r="J561" s="6"/>
      <c r="K561" s="188"/>
      <c r="L561" s="189"/>
      <c r="M561" s="189"/>
      <c r="N561" s="6"/>
      <c r="O561" s="6"/>
      <c r="P561" s="6"/>
      <c r="Q561" s="169"/>
      <c r="R561" s="6"/>
      <c r="S561" s="6"/>
      <c r="T561" s="169"/>
      <c r="U561" s="6"/>
      <c r="V561" s="169"/>
      <c r="W561" s="169"/>
      <c r="X561" s="169"/>
      <c r="Y561" s="169"/>
      <c r="Z561" s="169"/>
      <c r="AA561" s="169"/>
      <c r="AB561" s="169"/>
      <c r="AC561" s="169"/>
      <c r="AD561" s="169"/>
      <c r="AE561" s="169"/>
      <c r="AF561" s="169"/>
      <c r="AG561" s="169"/>
      <c r="AH561" s="169"/>
      <c r="AI561" s="169"/>
      <c r="AJ561" s="169"/>
      <c r="AK561" s="169"/>
      <c r="AL561" s="169"/>
      <c r="AM561" s="169"/>
      <c r="AN561" s="169"/>
      <c r="AO561" s="169"/>
      <c r="AP561" s="169"/>
      <c r="AQ561" s="169"/>
      <c r="AR561" s="169"/>
    </row>
    <row r="562" spans="1:44" ht="12.5">
      <c r="A562" s="169"/>
      <c r="B562" s="186"/>
      <c r="C562" s="186"/>
      <c r="D562" s="187"/>
      <c r="E562" s="6"/>
      <c r="F562" s="6"/>
      <c r="G562" s="6"/>
      <c r="H562" s="169"/>
      <c r="I562" s="169"/>
      <c r="J562" s="6"/>
      <c r="K562" s="188"/>
      <c r="L562" s="189"/>
      <c r="M562" s="189"/>
      <c r="N562" s="6"/>
      <c r="O562" s="6"/>
      <c r="P562" s="6"/>
      <c r="Q562" s="169"/>
      <c r="R562" s="6"/>
      <c r="S562" s="6"/>
      <c r="T562" s="169"/>
      <c r="U562" s="6"/>
      <c r="V562" s="169"/>
      <c r="W562" s="169"/>
      <c r="X562" s="169"/>
      <c r="Y562" s="169"/>
      <c r="Z562" s="169"/>
      <c r="AA562" s="169"/>
      <c r="AB562" s="169"/>
      <c r="AC562" s="169"/>
      <c r="AD562" s="169"/>
      <c r="AE562" s="169"/>
      <c r="AF562" s="169"/>
      <c r="AG562" s="169"/>
      <c r="AH562" s="169"/>
      <c r="AI562" s="169"/>
      <c r="AJ562" s="169"/>
      <c r="AK562" s="169"/>
      <c r="AL562" s="169"/>
      <c r="AM562" s="169"/>
      <c r="AN562" s="169"/>
      <c r="AO562" s="169"/>
      <c r="AP562" s="169"/>
      <c r="AQ562" s="169"/>
      <c r="AR562" s="169"/>
    </row>
    <row r="563" spans="1:44" ht="12.5">
      <c r="A563" s="169"/>
      <c r="B563" s="186"/>
      <c r="C563" s="186"/>
      <c r="D563" s="187"/>
      <c r="E563" s="6"/>
      <c r="F563" s="6"/>
      <c r="G563" s="6"/>
      <c r="H563" s="169"/>
      <c r="I563" s="169"/>
      <c r="J563" s="6"/>
      <c r="K563" s="188"/>
      <c r="L563" s="189"/>
      <c r="M563" s="189"/>
      <c r="N563" s="6"/>
      <c r="O563" s="6"/>
      <c r="P563" s="6"/>
      <c r="Q563" s="169"/>
      <c r="R563" s="6"/>
      <c r="S563" s="6"/>
      <c r="T563" s="169"/>
      <c r="U563" s="6"/>
      <c r="V563" s="169"/>
      <c r="W563" s="169"/>
      <c r="X563" s="169"/>
      <c r="Y563" s="169"/>
      <c r="Z563" s="169"/>
      <c r="AA563" s="169"/>
      <c r="AB563" s="169"/>
      <c r="AC563" s="169"/>
      <c r="AD563" s="169"/>
      <c r="AE563" s="169"/>
      <c r="AF563" s="169"/>
      <c r="AG563" s="169"/>
      <c r="AH563" s="169"/>
      <c r="AI563" s="169"/>
      <c r="AJ563" s="169"/>
      <c r="AK563" s="169"/>
      <c r="AL563" s="169"/>
      <c r="AM563" s="169"/>
      <c r="AN563" s="169"/>
      <c r="AO563" s="169"/>
      <c r="AP563" s="169"/>
      <c r="AQ563" s="169"/>
      <c r="AR563" s="169"/>
    </row>
    <row r="564" spans="1:44" ht="12.5">
      <c r="A564" s="169"/>
      <c r="B564" s="186"/>
      <c r="C564" s="186"/>
      <c r="D564" s="187"/>
      <c r="E564" s="6"/>
      <c r="F564" s="6"/>
      <c r="G564" s="6"/>
      <c r="H564" s="169"/>
      <c r="I564" s="169"/>
      <c r="J564" s="6"/>
      <c r="K564" s="188"/>
      <c r="L564" s="189"/>
      <c r="M564" s="189"/>
      <c r="N564" s="6"/>
      <c r="O564" s="6"/>
      <c r="P564" s="6"/>
      <c r="Q564" s="169"/>
      <c r="R564" s="6"/>
      <c r="S564" s="6"/>
      <c r="T564" s="169"/>
      <c r="U564" s="6"/>
      <c r="V564" s="169"/>
      <c r="W564" s="169"/>
      <c r="X564" s="169"/>
      <c r="Y564" s="169"/>
      <c r="Z564" s="169"/>
      <c r="AA564" s="169"/>
      <c r="AB564" s="169"/>
      <c r="AC564" s="169"/>
      <c r="AD564" s="169"/>
      <c r="AE564" s="169"/>
      <c r="AF564" s="169"/>
      <c r="AG564" s="169"/>
      <c r="AH564" s="169"/>
      <c r="AI564" s="169"/>
      <c r="AJ564" s="169"/>
      <c r="AK564" s="169"/>
      <c r="AL564" s="169"/>
      <c r="AM564" s="169"/>
      <c r="AN564" s="169"/>
      <c r="AO564" s="169"/>
      <c r="AP564" s="169"/>
      <c r="AQ564" s="169"/>
      <c r="AR564" s="169"/>
    </row>
    <row r="565" spans="1:44" ht="12.5">
      <c r="A565" s="169"/>
      <c r="B565" s="186"/>
      <c r="C565" s="186"/>
      <c r="D565" s="187"/>
      <c r="E565" s="6"/>
      <c r="F565" s="6"/>
      <c r="G565" s="6"/>
      <c r="H565" s="169"/>
      <c r="I565" s="169"/>
      <c r="J565" s="6"/>
      <c r="K565" s="188"/>
      <c r="L565" s="189"/>
      <c r="M565" s="189"/>
      <c r="N565" s="6"/>
      <c r="O565" s="6"/>
      <c r="P565" s="6"/>
      <c r="Q565" s="169"/>
      <c r="R565" s="6"/>
      <c r="S565" s="6"/>
      <c r="T565" s="169"/>
      <c r="U565" s="6"/>
      <c r="V565" s="169"/>
      <c r="W565" s="169"/>
      <c r="X565" s="169"/>
      <c r="Y565" s="169"/>
      <c r="Z565" s="169"/>
      <c r="AA565" s="169"/>
      <c r="AB565" s="169"/>
      <c r="AC565" s="169"/>
      <c r="AD565" s="169"/>
      <c r="AE565" s="169"/>
      <c r="AF565" s="169"/>
      <c r="AG565" s="169"/>
      <c r="AH565" s="169"/>
      <c r="AI565" s="169"/>
      <c r="AJ565" s="169"/>
      <c r="AK565" s="169"/>
      <c r="AL565" s="169"/>
      <c r="AM565" s="169"/>
      <c r="AN565" s="169"/>
      <c r="AO565" s="169"/>
      <c r="AP565" s="169"/>
      <c r="AQ565" s="169"/>
      <c r="AR565" s="169"/>
    </row>
    <row r="566" spans="1:44" ht="12.5">
      <c r="A566" s="169"/>
      <c r="B566" s="186"/>
      <c r="C566" s="186"/>
      <c r="D566" s="187"/>
      <c r="E566" s="6"/>
      <c r="F566" s="6"/>
      <c r="G566" s="6"/>
      <c r="H566" s="169"/>
      <c r="I566" s="169"/>
      <c r="J566" s="6"/>
      <c r="K566" s="188"/>
      <c r="L566" s="189"/>
      <c r="M566" s="189"/>
      <c r="N566" s="6"/>
      <c r="O566" s="6"/>
      <c r="P566" s="6"/>
      <c r="Q566" s="169"/>
      <c r="R566" s="6"/>
      <c r="S566" s="6"/>
      <c r="T566" s="169"/>
      <c r="U566" s="6"/>
      <c r="V566" s="169"/>
      <c r="W566" s="169"/>
      <c r="X566" s="169"/>
      <c r="Y566" s="169"/>
      <c r="Z566" s="169"/>
      <c r="AA566" s="169"/>
      <c r="AB566" s="169"/>
      <c r="AC566" s="169"/>
      <c r="AD566" s="169"/>
      <c r="AE566" s="169"/>
      <c r="AF566" s="169"/>
      <c r="AG566" s="169"/>
      <c r="AH566" s="169"/>
      <c r="AI566" s="169"/>
      <c r="AJ566" s="169"/>
      <c r="AK566" s="169"/>
      <c r="AL566" s="169"/>
      <c r="AM566" s="169"/>
      <c r="AN566" s="169"/>
      <c r="AO566" s="169"/>
      <c r="AP566" s="169"/>
      <c r="AQ566" s="169"/>
      <c r="AR566" s="169"/>
    </row>
    <row r="567" spans="1:44" ht="12.5">
      <c r="A567" s="169"/>
      <c r="B567" s="186"/>
      <c r="C567" s="186"/>
      <c r="D567" s="187"/>
      <c r="E567" s="6"/>
      <c r="F567" s="6"/>
      <c r="G567" s="6"/>
      <c r="H567" s="169"/>
      <c r="I567" s="169"/>
      <c r="J567" s="6"/>
      <c r="K567" s="188"/>
      <c r="L567" s="189"/>
      <c r="M567" s="189"/>
      <c r="N567" s="6"/>
      <c r="O567" s="6"/>
      <c r="P567" s="6"/>
      <c r="Q567" s="169"/>
      <c r="R567" s="6"/>
      <c r="S567" s="6"/>
      <c r="T567" s="169"/>
      <c r="U567" s="6"/>
      <c r="V567" s="169"/>
      <c r="W567" s="169"/>
      <c r="X567" s="169"/>
      <c r="Y567" s="169"/>
      <c r="Z567" s="169"/>
      <c r="AA567" s="169"/>
      <c r="AB567" s="169"/>
      <c r="AC567" s="169"/>
      <c r="AD567" s="169"/>
      <c r="AE567" s="169"/>
      <c r="AF567" s="169"/>
      <c r="AG567" s="169"/>
      <c r="AH567" s="169"/>
      <c r="AI567" s="169"/>
      <c r="AJ567" s="169"/>
      <c r="AK567" s="169"/>
      <c r="AL567" s="169"/>
      <c r="AM567" s="169"/>
      <c r="AN567" s="169"/>
      <c r="AO567" s="169"/>
      <c r="AP567" s="169"/>
      <c r="AQ567" s="169"/>
      <c r="AR567" s="169"/>
    </row>
    <row r="568" spans="1:44" ht="12.5">
      <c r="A568" s="169"/>
      <c r="B568" s="186"/>
      <c r="C568" s="186"/>
      <c r="D568" s="187"/>
      <c r="E568" s="6"/>
      <c r="F568" s="6"/>
      <c r="G568" s="6"/>
      <c r="H568" s="169"/>
      <c r="I568" s="169"/>
      <c r="J568" s="6"/>
      <c r="K568" s="188"/>
      <c r="L568" s="189"/>
      <c r="M568" s="189"/>
      <c r="N568" s="6"/>
      <c r="O568" s="6"/>
      <c r="P568" s="6"/>
      <c r="Q568" s="169"/>
      <c r="R568" s="6"/>
      <c r="S568" s="6"/>
      <c r="T568" s="169"/>
      <c r="U568" s="6"/>
      <c r="V568" s="169"/>
      <c r="W568" s="169"/>
      <c r="X568" s="169"/>
      <c r="Y568" s="169"/>
      <c r="Z568" s="169"/>
      <c r="AA568" s="169"/>
      <c r="AB568" s="169"/>
      <c r="AC568" s="169"/>
      <c r="AD568" s="169"/>
      <c r="AE568" s="169"/>
      <c r="AF568" s="169"/>
      <c r="AG568" s="169"/>
      <c r="AH568" s="169"/>
      <c r="AI568" s="169"/>
      <c r="AJ568" s="169"/>
      <c r="AK568" s="169"/>
      <c r="AL568" s="169"/>
      <c r="AM568" s="169"/>
      <c r="AN568" s="169"/>
      <c r="AO568" s="169"/>
      <c r="AP568" s="169"/>
      <c r="AQ568" s="169"/>
      <c r="AR568" s="169"/>
    </row>
    <row r="569" spans="1:44" ht="12.5">
      <c r="A569" s="169"/>
      <c r="B569" s="186"/>
      <c r="C569" s="186"/>
      <c r="D569" s="187"/>
      <c r="E569" s="6"/>
      <c r="F569" s="6"/>
      <c r="G569" s="6"/>
      <c r="H569" s="169"/>
      <c r="I569" s="169"/>
      <c r="J569" s="6"/>
      <c r="K569" s="188"/>
      <c r="L569" s="189"/>
      <c r="M569" s="189"/>
      <c r="N569" s="6"/>
      <c r="O569" s="6"/>
      <c r="P569" s="6"/>
      <c r="Q569" s="169"/>
      <c r="R569" s="6"/>
      <c r="S569" s="6"/>
      <c r="T569" s="169"/>
      <c r="U569" s="6"/>
      <c r="V569" s="169"/>
      <c r="W569" s="169"/>
      <c r="X569" s="169"/>
      <c r="Y569" s="169"/>
      <c r="Z569" s="169"/>
      <c r="AA569" s="169"/>
      <c r="AB569" s="169"/>
      <c r="AC569" s="169"/>
      <c r="AD569" s="169"/>
      <c r="AE569" s="169"/>
      <c r="AF569" s="169"/>
      <c r="AG569" s="169"/>
      <c r="AH569" s="169"/>
      <c r="AI569" s="169"/>
      <c r="AJ569" s="169"/>
      <c r="AK569" s="169"/>
      <c r="AL569" s="169"/>
      <c r="AM569" s="169"/>
      <c r="AN569" s="169"/>
      <c r="AO569" s="169"/>
      <c r="AP569" s="169"/>
      <c r="AQ569" s="169"/>
      <c r="AR569" s="169"/>
    </row>
    <row r="570" spans="1:44" ht="12.5">
      <c r="A570" s="169"/>
      <c r="B570" s="186"/>
      <c r="C570" s="186"/>
      <c r="D570" s="187"/>
      <c r="E570" s="6"/>
      <c r="F570" s="6"/>
      <c r="G570" s="6"/>
      <c r="H570" s="169"/>
      <c r="I570" s="169"/>
      <c r="J570" s="6"/>
      <c r="K570" s="188"/>
      <c r="L570" s="189"/>
      <c r="M570" s="189"/>
      <c r="N570" s="6"/>
      <c r="O570" s="6"/>
      <c r="P570" s="6"/>
      <c r="Q570" s="169"/>
      <c r="R570" s="6"/>
      <c r="S570" s="6"/>
      <c r="T570" s="169"/>
      <c r="U570" s="6"/>
      <c r="V570" s="169"/>
      <c r="W570" s="169"/>
      <c r="X570" s="169"/>
      <c r="Y570" s="169"/>
      <c r="Z570" s="169"/>
      <c r="AA570" s="169"/>
      <c r="AB570" s="169"/>
      <c r="AC570" s="169"/>
      <c r="AD570" s="169"/>
      <c r="AE570" s="169"/>
      <c r="AF570" s="169"/>
      <c r="AG570" s="169"/>
      <c r="AH570" s="169"/>
      <c r="AI570" s="169"/>
      <c r="AJ570" s="169"/>
      <c r="AK570" s="169"/>
      <c r="AL570" s="169"/>
      <c r="AM570" s="169"/>
      <c r="AN570" s="169"/>
      <c r="AO570" s="169"/>
      <c r="AP570" s="169"/>
      <c r="AQ570" s="169"/>
      <c r="AR570" s="169"/>
    </row>
    <row r="571" spans="1:44" ht="12.5">
      <c r="A571" s="169"/>
      <c r="B571" s="186"/>
      <c r="C571" s="186"/>
      <c r="D571" s="187"/>
      <c r="E571" s="6"/>
      <c r="F571" s="6"/>
      <c r="G571" s="6"/>
      <c r="H571" s="169"/>
      <c r="I571" s="169"/>
      <c r="J571" s="6"/>
      <c r="K571" s="188"/>
      <c r="L571" s="189"/>
      <c r="M571" s="189"/>
      <c r="N571" s="6"/>
      <c r="O571" s="6"/>
      <c r="P571" s="6"/>
      <c r="Q571" s="169"/>
      <c r="R571" s="6"/>
      <c r="S571" s="6"/>
      <c r="T571" s="169"/>
      <c r="U571" s="6"/>
      <c r="V571" s="169"/>
      <c r="W571" s="169"/>
      <c r="X571" s="169"/>
      <c r="Y571" s="169"/>
      <c r="Z571" s="169"/>
      <c r="AA571" s="169"/>
      <c r="AB571" s="169"/>
      <c r="AC571" s="169"/>
      <c r="AD571" s="169"/>
      <c r="AE571" s="169"/>
      <c r="AF571" s="169"/>
      <c r="AG571" s="169"/>
      <c r="AH571" s="169"/>
      <c r="AI571" s="169"/>
      <c r="AJ571" s="169"/>
      <c r="AK571" s="169"/>
      <c r="AL571" s="169"/>
      <c r="AM571" s="169"/>
      <c r="AN571" s="169"/>
      <c r="AO571" s="169"/>
      <c r="AP571" s="169"/>
      <c r="AQ571" s="169"/>
      <c r="AR571" s="169"/>
    </row>
    <row r="572" spans="1:44" ht="12.5">
      <c r="A572" s="169"/>
      <c r="B572" s="186"/>
      <c r="C572" s="186"/>
      <c r="D572" s="187"/>
      <c r="E572" s="6"/>
      <c r="F572" s="6"/>
      <c r="G572" s="6"/>
      <c r="H572" s="169"/>
      <c r="I572" s="169"/>
      <c r="J572" s="6"/>
      <c r="K572" s="188"/>
      <c r="L572" s="189"/>
      <c r="M572" s="189"/>
      <c r="N572" s="6"/>
      <c r="O572" s="6"/>
      <c r="P572" s="6"/>
      <c r="Q572" s="169"/>
      <c r="R572" s="6"/>
      <c r="S572" s="6"/>
      <c r="T572" s="169"/>
      <c r="U572" s="6"/>
      <c r="V572" s="169"/>
      <c r="W572" s="169"/>
      <c r="X572" s="169"/>
      <c r="Y572" s="169"/>
      <c r="Z572" s="169"/>
      <c r="AA572" s="169"/>
      <c r="AB572" s="169"/>
      <c r="AC572" s="169"/>
      <c r="AD572" s="169"/>
      <c r="AE572" s="169"/>
      <c r="AF572" s="169"/>
      <c r="AG572" s="169"/>
      <c r="AH572" s="169"/>
      <c r="AI572" s="169"/>
      <c r="AJ572" s="169"/>
      <c r="AK572" s="169"/>
      <c r="AL572" s="169"/>
      <c r="AM572" s="169"/>
      <c r="AN572" s="169"/>
      <c r="AO572" s="169"/>
      <c r="AP572" s="169"/>
      <c r="AQ572" s="169"/>
      <c r="AR572" s="169"/>
    </row>
    <row r="573" spans="1:44" ht="12.5">
      <c r="A573" s="169"/>
      <c r="B573" s="186"/>
      <c r="C573" s="186"/>
      <c r="D573" s="187"/>
      <c r="E573" s="6"/>
      <c r="F573" s="6"/>
      <c r="G573" s="6"/>
      <c r="H573" s="169"/>
      <c r="I573" s="169"/>
      <c r="J573" s="6"/>
      <c r="K573" s="188"/>
      <c r="L573" s="189"/>
      <c r="M573" s="189"/>
      <c r="N573" s="6"/>
      <c r="O573" s="6"/>
      <c r="P573" s="6"/>
      <c r="Q573" s="169"/>
      <c r="R573" s="6"/>
      <c r="S573" s="6"/>
      <c r="T573" s="169"/>
      <c r="U573" s="6"/>
      <c r="V573" s="169"/>
      <c r="W573" s="169"/>
      <c r="X573" s="169"/>
      <c r="Y573" s="169"/>
      <c r="Z573" s="169"/>
      <c r="AA573" s="169"/>
      <c r="AB573" s="169"/>
      <c r="AC573" s="169"/>
      <c r="AD573" s="169"/>
      <c r="AE573" s="169"/>
      <c r="AF573" s="169"/>
      <c r="AG573" s="169"/>
      <c r="AH573" s="169"/>
      <c r="AI573" s="169"/>
      <c r="AJ573" s="169"/>
      <c r="AK573" s="169"/>
      <c r="AL573" s="169"/>
      <c r="AM573" s="169"/>
      <c r="AN573" s="169"/>
      <c r="AO573" s="169"/>
      <c r="AP573" s="169"/>
      <c r="AQ573" s="169"/>
      <c r="AR573" s="169"/>
    </row>
    <row r="574" spans="1:44" ht="12.5">
      <c r="A574" s="169"/>
      <c r="B574" s="186"/>
      <c r="C574" s="186"/>
      <c r="D574" s="187"/>
      <c r="E574" s="6"/>
      <c r="F574" s="6"/>
      <c r="G574" s="6"/>
      <c r="H574" s="169"/>
      <c r="I574" s="169"/>
      <c r="J574" s="6"/>
      <c r="K574" s="188"/>
      <c r="L574" s="189"/>
      <c r="M574" s="189"/>
      <c r="N574" s="6"/>
      <c r="O574" s="6"/>
      <c r="P574" s="6"/>
      <c r="Q574" s="169"/>
      <c r="R574" s="6"/>
      <c r="S574" s="6"/>
      <c r="T574" s="169"/>
      <c r="U574" s="6"/>
      <c r="V574" s="169"/>
      <c r="W574" s="169"/>
      <c r="X574" s="169"/>
      <c r="Y574" s="169"/>
      <c r="Z574" s="169"/>
      <c r="AA574" s="169"/>
      <c r="AB574" s="169"/>
      <c r="AC574" s="169"/>
      <c r="AD574" s="169"/>
      <c r="AE574" s="169"/>
      <c r="AF574" s="169"/>
      <c r="AG574" s="169"/>
      <c r="AH574" s="169"/>
      <c r="AI574" s="169"/>
      <c r="AJ574" s="169"/>
      <c r="AK574" s="169"/>
      <c r="AL574" s="169"/>
      <c r="AM574" s="169"/>
      <c r="AN574" s="169"/>
      <c r="AO574" s="169"/>
      <c r="AP574" s="169"/>
      <c r="AQ574" s="169"/>
      <c r="AR574" s="169"/>
    </row>
    <row r="575" spans="1:44" ht="12.5">
      <c r="A575" s="169"/>
      <c r="B575" s="186"/>
      <c r="C575" s="186"/>
      <c r="D575" s="187"/>
      <c r="E575" s="6"/>
      <c r="F575" s="6"/>
      <c r="G575" s="6"/>
      <c r="H575" s="169"/>
      <c r="I575" s="169"/>
      <c r="J575" s="6"/>
      <c r="K575" s="188"/>
      <c r="L575" s="189"/>
      <c r="M575" s="189"/>
      <c r="N575" s="6"/>
      <c r="O575" s="6"/>
      <c r="P575" s="6"/>
      <c r="Q575" s="169"/>
      <c r="R575" s="6"/>
      <c r="S575" s="6"/>
      <c r="T575" s="169"/>
      <c r="U575" s="6"/>
      <c r="V575" s="169"/>
      <c r="W575" s="169"/>
      <c r="X575" s="169"/>
      <c r="Y575" s="169"/>
      <c r="Z575" s="169"/>
      <c r="AA575" s="169"/>
      <c r="AB575" s="169"/>
      <c r="AC575" s="169"/>
      <c r="AD575" s="169"/>
      <c r="AE575" s="169"/>
      <c r="AF575" s="169"/>
      <c r="AG575" s="169"/>
      <c r="AH575" s="169"/>
      <c r="AI575" s="169"/>
      <c r="AJ575" s="169"/>
      <c r="AK575" s="169"/>
      <c r="AL575" s="169"/>
      <c r="AM575" s="169"/>
      <c r="AN575" s="169"/>
      <c r="AO575" s="169"/>
      <c r="AP575" s="169"/>
      <c r="AQ575" s="169"/>
      <c r="AR575" s="169"/>
    </row>
    <row r="576" spans="1:44" ht="12.5">
      <c r="A576" s="169"/>
      <c r="B576" s="186"/>
      <c r="C576" s="186"/>
      <c r="D576" s="187"/>
      <c r="E576" s="6"/>
      <c r="F576" s="6"/>
      <c r="G576" s="6"/>
      <c r="H576" s="169"/>
      <c r="I576" s="169"/>
      <c r="J576" s="6"/>
      <c r="K576" s="188"/>
      <c r="L576" s="189"/>
      <c r="M576" s="189"/>
      <c r="N576" s="6"/>
      <c r="O576" s="6"/>
      <c r="P576" s="6"/>
      <c r="Q576" s="169"/>
      <c r="R576" s="6"/>
      <c r="S576" s="6"/>
      <c r="T576" s="169"/>
      <c r="U576" s="6"/>
      <c r="V576" s="169"/>
      <c r="W576" s="169"/>
      <c r="X576" s="169"/>
      <c r="Y576" s="169"/>
      <c r="Z576" s="169"/>
      <c r="AA576" s="169"/>
      <c r="AB576" s="169"/>
      <c r="AC576" s="169"/>
      <c r="AD576" s="169"/>
      <c r="AE576" s="169"/>
      <c r="AF576" s="169"/>
      <c r="AG576" s="169"/>
      <c r="AH576" s="169"/>
      <c r="AI576" s="169"/>
      <c r="AJ576" s="169"/>
      <c r="AK576" s="169"/>
      <c r="AL576" s="169"/>
      <c r="AM576" s="169"/>
      <c r="AN576" s="169"/>
      <c r="AO576" s="169"/>
      <c r="AP576" s="169"/>
      <c r="AQ576" s="169"/>
      <c r="AR576" s="169"/>
    </row>
    <row r="577" spans="1:44" ht="12.5">
      <c r="A577" s="169"/>
      <c r="B577" s="186"/>
      <c r="C577" s="186"/>
      <c r="D577" s="187"/>
      <c r="E577" s="6"/>
      <c r="F577" s="6"/>
      <c r="G577" s="6"/>
      <c r="H577" s="169"/>
      <c r="I577" s="169"/>
      <c r="J577" s="6"/>
      <c r="K577" s="188"/>
      <c r="L577" s="189"/>
      <c r="M577" s="189"/>
      <c r="N577" s="6"/>
      <c r="O577" s="6"/>
      <c r="P577" s="6"/>
      <c r="Q577" s="169"/>
      <c r="R577" s="6"/>
      <c r="S577" s="6"/>
      <c r="T577" s="169"/>
      <c r="U577" s="6"/>
      <c r="V577" s="169"/>
      <c r="W577" s="169"/>
      <c r="X577" s="169"/>
      <c r="Y577" s="169"/>
      <c r="Z577" s="169"/>
      <c r="AA577" s="169"/>
      <c r="AB577" s="169"/>
      <c r="AC577" s="169"/>
      <c r="AD577" s="169"/>
      <c r="AE577" s="169"/>
      <c r="AF577" s="169"/>
      <c r="AG577" s="169"/>
      <c r="AH577" s="169"/>
      <c r="AI577" s="169"/>
      <c r="AJ577" s="169"/>
      <c r="AK577" s="169"/>
      <c r="AL577" s="169"/>
      <c r="AM577" s="169"/>
      <c r="AN577" s="169"/>
      <c r="AO577" s="169"/>
      <c r="AP577" s="169"/>
      <c r="AQ577" s="169"/>
      <c r="AR577" s="169"/>
    </row>
    <row r="578" spans="1:44" ht="12.5">
      <c r="A578" s="169"/>
      <c r="B578" s="186"/>
      <c r="C578" s="186"/>
      <c r="D578" s="187"/>
      <c r="E578" s="6"/>
      <c r="F578" s="6"/>
      <c r="G578" s="6"/>
      <c r="H578" s="169"/>
      <c r="I578" s="169"/>
      <c r="J578" s="6"/>
      <c r="K578" s="188"/>
      <c r="L578" s="189"/>
      <c r="M578" s="189"/>
      <c r="N578" s="6"/>
      <c r="O578" s="6"/>
      <c r="P578" s="6"/>
      <c r="Q578" s="169"/>
      <c r="R578" s="6"/>
      <c r="S578" s="6"/>
      <c r="T578" s="169"/>
      <c r="U578" s="6"/>
      <c r="V578" s="169"/>
      <c r="W578" s="169"/>
      <c r="X578" s="169"/>
      <c r="Y578" s="169"/>
      <c r="Z578" s="169"/>
      <c r="AA578" s="169"/>
      <c r="AB578" s="169"/>
      <c r="AC578" s="169"/>
      <c r="AD578" s="169"/>
      <c r="AE578" s="169"/>
      <c r="AF578" s="169"/>
      <c r="AG578" s="169"/>
      <c r="AH578" s="169"/>
      <c r="AI578" s="169"/>
      <c r="AJ578" s="169"/>
      <c r="AK578" s="169"/>
      <c r="AL578" s="169"/>
      <c r="AM578" s="169"/>
      <c r="AN578" s="169"/>
      <c r="AO578" s="169"/>
      <c r="AP578" s="169"/>
      <c r="AQ578" s="169"/>
      <c r="AR578" s="169"/>
    </row>
    <row r="579" spans="1:44" ht="12.5">
      <c r="A579" s="169"/>
      <c r="B579" s="186"/>
      <c r="C579" s="186"/>
      <c r="D579" s="187"/>
      <c r="E579" s="6"/>
      <c r="F579" s="6"/>
      <c r="G579" s="6"/>
      <c r="H579" s="169"/>
      <c r="I579" s="169"/>
      <c r="J579" s="6"/>
      <c r="K579" s="188"/>
      <c r="L579" s="189"/>
      <c r="M579" s="189"/>
      <c r="N579" s="6"/>
      <c r="O579" s="6"/>
      <c r="P579" s="6"/>
      <c r="Q579" s="169"/>
      <c r="R579" s="6"/>
      <c r="S579" s="6"/>
      <c r="T579" s="169"/>
      <c r="U579" s="6"/>
      <c r="V579" s="169"/>
      <c r="W579" s="169"/>
      <c r="X579" s="169"/>
      <c r="Y579" s="169"/>
      <c r="Z579" s="169"/>
      <c r="AA579" s="169"/>
      <c r="AB579" s="169"/>
      <c r="AC579" s="169"/>
      <c r="AD579" s="169"/>
      <c r="AE579" s="169"/>
      <c r="AF579" s="169"/>
      <c r="AG579" s="169"/>
      <c r="AH579" s="169"/>
      <c r="AI579" s="169"/>
      <c r="AJ579" s="169"/>
      <c r="AK579" s="169"/>
      <c r="AL579" s="169"/>
      <c r="AM579" s="169"/>
      <c r="AN579" s="169"/>
      <c r="AO579" s="169"/>
      <c r="AP579" s="169"/>
      <c r="AQ579" s="169"/>
      <c r="AR579" s="169"/>
    </row>
    <row r="580" spans="1:44" ht="12.5">
      <c r="A580" s="169"/>
      <c r="B580" s="186"/>
      <c r="C580" s="186"/>
      <c r="D580" s="187"/>
      <c r="E580" s="6"/>
      <c r="F580" s="6"/>
      <c r="G580" s="6"/>
      <c r="H580" s="169"/>
      <c r="I580" s="169"/>
      <c r="J580" s="6"/>
      <c r="K580" s="188"/>
      <c r="L580" s="189"/>
      <c r="M580" s="189"/>
      <c r="N580" s="6"/>
      <c r="O580" s="6"/>
      <c r="P580" s="6"/>
      <c r="Q580" s="169"/>
      <c r="R580" s="6"/>
      <c r="S580" s="6"/>
      <c r="T580" s="169"/>
      <c r="U580" s="6"/>
      <c r="V580" s="169"/>
      <c r="W580" s="169"/>
      <c r="X580" s="169"/>
      <c r="Y580" s="169"/>
      <c r="Z580" s="169"/>
      <c r="AA580" s="169"/>
      <c r="AB580" s="169"/>
      <c r="AC580" s="169"/>
      <c r="AD580" s="169"/>
      <c r="AE580" s="169"/>
      <c r="AF580" s="169"/>
      <c r="AG580" s="169"/>
      <c r="AH580" s="169"/>
      <c r="AI580" s="169"/>
      <c r="AJ580" s="169"/>
      <c r="AK580" s="169"/>
      <c r="AL580" s="169"/>
      <c r="AM580" s="169"/>
      <c r="AN580" s="169"/>
      <c r="AO580" s="169"/>
      <c r="AP580" s="169"/>
      <c r="AQ580" s="169"/>
      <c r="AR580" s="169"/>
    </row>
    <row r="581" spans="1:44" ht="12.5">
      <c r="A581" s="169"/>
      <c r="B581" s="186"/>
      <c r="C581" s="186"/>
      <c r="D581" s="187"/>
      <c r="E581" s="6"/>
      <c r="F581" s="6"/>
      <c r="G581" s="6"/>
      <c r="H581" s="169"/>
      <c r="I581" s="169"/>
      <c r="J581" s="6"/>
      <c r="K581" s="188"/>
      <c r="L581" s="189"/>
      <c r="M581" s="189"/>
      <c r="N581" s="6"/>
      <c r="O581" s="6"/>
      <c r="P581" s="6"/>
      <c r="Q581" s="169"/>
      <c r="R581" s="6"/>
      <c r="S581" s="6"/>
      <c r="T581" s="169"/>
      <c r="U581" s="6"/>
      <c r="V581" s="169"/>
      <c r="W581" s="169"/>
      <c r="X581" s="169"/>
      <c r="Y581" s="169"/>
      <c r="Z581" s="169"/>
      <c r="AA581" s="169"/>
      <c r="AB581" s="169"/>
      <c r="AC581" s="169"/>
      <c r="AD581" s="169"/>
      <c r="AE581" s="169"/>
      <c r="AF581" s="169"/>
      <c r="AG581" s="169"/>
      <c r="AH581" s="169"/>
      <c r="AI581" s="169"/>
      <c r="AJ581" s="169"/>
      <c r="AK581" s="169"/>
      <c r="AL581" s="169"/>
      <c r="AM581" s="169"/>
      <c r="AN581" s="169"/>
      <c r="AO581" s="169"/>
      <c r="AP581" s="169"/>
      <c r="AQ581" s="169"/>
      <c r="AR581" s="169"/>
    </row>
    <row r="582" spans="1:44" ht="12.5">
      <c r="A582" s="169"/>
      <c r="B582" s="186"/>
      <c r="C582" s="186"/>
      <c r="D582" s="187"/>
      <c r="E582" s="6"/>
      <c r="F582" s="6"/>
      <c r="G582" s="6"/>
      <c r="H582" s="169"/>
      <c r="I582" s="169"/>
      <c r="J582" s="6"/>
      <c r="K582" s="188"/>
      <c r="L582" s="189"/>
      <c r="M582" s="189"/>
      <c r="N582" s="6"/>
      <c r="O582" s="6"/>
      <c r="P582" s="6"/>
      <c r="Q582" s="169"/>
      <c r="R582" s="6"/>
      <c r="S582" s="6"/>
      <c r="T582" s="169"/>
      <c r="U582" s="6"/>
      <c r="V582" s="169"/>
      <c r="W582" s="169"/>
      <c r="X582" s="169"/>
      <c r="Y582" s="169"/>
      <c r="Z582" s="169"/>
      <c r="AA582" s="169"/>
      <c r="AB582" s="169"/>
      <c r="AC582" s="169"/>
      <c r="AD582" s="169"/>
      <c r="AE582" s="169"/>
      <c r="AF582" s="169"/>
      <c r="AG582" s="169"/>
      <c r="AH582" s="169"/>
      <c r="AI582" s="169"/>
      <c r="AJ582" s="169"/>
      <c r="AK582" s="169"/>
      <c r="AL582" s="169"/>
      <c r="AM582" s="169"/>
      <c r="AN582" s="169"/>
      <c r="AO582" s="169"/>
      <c r="AP582" s="169"/>
      <c r="AQ582" s="169"/>
      <c r="AR582" s="169"/>
    </row>
    <row r="583" spans="1:44" ht="12.5">
      <c r="A583" s="169"/>
      <c r="B583" s="186"/>
      <c r="C583" s="186"/>
      <c r="D583" s="187"/>
      <c r="E583" s="6"/>
      <c r="F583" s="6"/>
      <c r="G583" s="6"/>
      <c r="H583" s="169"/>
      <c r="I583" s="169"/>
      <c r="J583" s="6"/>
      <c r="K583" s="188"/>
      <c r="L583" s="189"/>
      <c r="M583" s="189"/>
      <c r="N583" s="6"/>
      <c r="O583" s="6"/>
      <c r="P583" s="6"/>
      <c r="Q583" s="169"/>
      <c r="R583" s="6"/>
      <c r="S583" s="6"/>
      <c r="T583" s="169"/>
      <c r="U583" s="6"/>
      <c r="V583" s="169"/>
      <c r="W583" s="169"/>
      <c r="X583" s="169"/>
      <c r="Y583" s="169"/>
      <c r="Z583" s="169"/>
      <c r="AA583" s="169"/>
      <c r="AB583" s="169"/>
      <c r="AC583" s="169"/>
      <c r="AD583" s="169"/>
      <c r="AE583" s="169"/>
      <c r="AF583" s="169"/>
      <c r="AG583" s="169"/>
      <c r="AH583" s="169"/>
      <c r="AI583" s="169"/>
      <c r="AJ583" s="169"/>
      <c r="AK583" s="169"/>
      <c r="AL583" s="169"/>
      <c r="AM583" s="169"/>
      <c r="AN583" s="169"/>
      <c r="AO583" s="169"/>
      <c r="AP583" s="169"/>
      <c r="AQ583" s="169"/>
      <c r="AR583" s="169"/>
    </row>
    <row r="584" spans="1:44" ht="12.5">
      <c r="A584" s="169"/>
      <c r="B584" s="186"/>
      <c r="C584" s="186"/>
      <c r="D584" s="187"/>
      <c r="E584" s="6"/>
      <c r="F584" s="6"/>
      <c r="G584" s="6"/>
      <c r="H584" s="169"/>
      <c r="I584" s="169"/>
      <c r="J584" s="6"/>
      <c r="K584" s="188"/>
      <c r="L584" s="189"/>
      <c r="M584" s="189"/>
      <c r="N584" s="6"/>
      <c r="O584" s="6"/>
      <c r="P584" s="6"/>
      <c r="Q584" s="169"/>
      <c r="R584" s="6"/>
      <c r="S584" s="6"/>
      <c r="T584" s="169"/>
      <c r="U584" s="6"/>
      <c r="V584" s="169"/>
      <c r="W584" s="169"/>
      <c r="X584" s="169"/>
      <c r="Y584" s="169"/>
      <c r="Z584" s="169"/>
      <c r="AA584" s="169"/>
      <c r="AB584" s="169"/>
      <c r="AC584" s="169"/>
      <c r="AD584" s="169"/>
      <c r="AE584" s="169"/>
      <c r="AF584" s="169"/>
      <c r="AG584" s="169"/>
      <c r="AH584" s="169"/>
      <c r="AI584" s="169"/>
      <c r="AJ584" s="169"/>
      <c r="AK584" s="169"/>
      <c r="AL584" s="169"/>
      <c r="AM584" s="169"/>
      <c r="AN584" s="169"/>
      <c r="AO584" s="169"/>
      <c r="AP584" s="169"/>
      <c r="AQ584" s="169"/>
      <c r="AR584" s="169"/>
    </row>
    <row r="585" spans="1:44" ht="12.5">
      <c r="A585" s="169"/>
      <c r="B585" s="186"/>
      <c r="C585" s="186"/>
      <c r="D585" s="187"/>
      <c r="E585" s="6"/>
      <c r="F585" s="6"/>
      <c r="G585" s="6"/>
      <c r="H585" s="169"/>
      <c r="I585" s="169"/>
      <c r="J585" s="6"/>
      <c r="K585" s="188"/>
      <c r="L585" s="189"/>
      <c r="M585" s="189"/>
      <c r="N585" s="6"/>
      <c r="O585" s="6"/>
      <c r="P585" s="6"/>
      <c r="Q585" s="169"/>
      <c r="R585" s="6"/>
      <c r="S585" s="6"/>
      <c r="T585" s="169"/>
      <c r="U585" s="6"/>
      <c r="V585" s="169"/>
      <c r="W585" s="169"/>
      <c r="X585" s="169"/>
      <c r="Y585" s="169"/>
      <c r="Z585" s="169"/>
      <c r="AA585" s="169"/>
      <c r="AB585" s="169"/>
      <c r="AC585" s="169"/>
      <c r="AD585" s="169"/>
      <c r="AE585" s="169"/>
      <c r="AF585" s="169"/>
      <c r="AG585" s="169"/>
      <c r="AH585" s="169"/>
      <c r="AI585" s="169"/>
      <c r="AJ585" s="169"/>
      <c r="AK585" s="169"/>
      <c r="AL585" s="169"/>
      <c r="AM585" s="169"/>
      <c r="AN585" s="169"/>
      <c r="AO585" s="169"/>
      <c r="AP585" s="169"/>
      <c r="AQ585" s="169"/>
      <c r="AR585" s="169"/>
    </row>
    <row r="586" spans="1:44" ht="12.5">
      <c r="A586" s="169"/>
      <c r="B586" s="186"/>
      <c r="C586" s="186"/>
      <c r="D586" s="187"/>
      <c r="E586" s="6"/>
      <c r="F586" s="6"/>
      <c r="G586" s="6"/>
      <c r="H586" s="169"/>
      <c r="I586" s="169"/>
      <c r="J586" s="6"/>
      <c r="K586" s="188"/>
      <c r="L586" s="189"/>
      <c r="M586" s="189"/>
      <c r="N586" s="6"/>
      <c r="O586" s="6"/>
      <c r="P586" s="6"/>
      <c r="Q586" s="169"/>
      <c r="R586" s="6"/>
      <c r="S586" s="6"/>
      <c r="T586" s="169"/>
      <c r="U586" s="6"/>
      <c r="V586" s="169"/>
      <c r="W586" s="169"/>
      <c r="X586" s="169"/>
      <c r="Y586" s="169"/>
      <c r="Z586" s="169"/>
      <c r="AA586" s="169"/>
      <c r="AB586" s="169"/>
      <c r="AC586" s="169"/>
      <c r="AD586" s="169"/>
      <c r="AE586" s="169"/>
      <c r="AF586" s="169"/>
      <c r="AG586" s="169"/>
      <c r="AH586" s="169"/>
      <c r="AI586" s="169"/>
      <c r="AJ586" s="169"/>
      <c r="AK586" s="169"/>
      <c r="AL586" s="169"/>
      <c r="AM586" s="169"/>
      <c r="AN586" s="169"/>
      <c r="AO586" s="169"/>
      <c r="AP586" s="169"/>
      <c r="AQ586" s="169"/>
      <c r="AR586" s="169"/>
    </row>
    <row r="587" spans="1:44" ht="12.5">
      <c r="A587" s="169"/>
      <c r="B587" s="186"/>
      <c r="C587" s="186"/>
      <c r="D587" s="187"/>
      <c r="E587" s="6"/>
      <c r="F587" s="6"/>
      <c r="G587" s="6"/>
      <c r="H587" s="169"/>
      <c r="I587" s="169"/>
      <c r="J587" s="6"/>
      <c r="K587" s="188"/>
      <c r="L587" s="189"/>
      <c r="M587" s="189"/>
      <c r="N587" s="6"/>
      <c r="O587" s="6"/>
      <c r="P587" s="6"/>
      <c r="Q587" s="169"/>
      <c r="R587" s="6"/>
      <c r="S587" s="6"/>
      <c r="T587" s="169"/>
      <c r="U587" s="6"/>
      <c r="V587" s="169"/>
      <c r="W587" s="169"/>
      <c r="X587" s="169"/>
      <c r="Y587" s="169"/>
      <c r="Z587" s="169"/>
      <c r="AA587" s="169"/>
      <c r="AB587" s="169"/>
      <c r="AC587" s="169"/>
      <c r="AD587" s="169"/>
      <c r="AE587" s="169"/>
      <c r="AF587" s="169"/>
      <c r="AG587" s="169"/>
      <c r="AH587" s="169"/>
      <c r="AI587" s="169"/>
      <c r="AJ587" s="169"/>
      <c r="AK587" s="169"/>
      <c r="AL587" s="169"/>
      <c r="AM587" s="169"/>
      <c r="AN587" s="169"/>
      <c r="AO587" s="169"/>
      <c r="AP587" s="169"/>
      <c r="AQ587" s="169"/>
      <c r="AR587" s="169"/>
    </row>
    <row r="588" spans="1:44" ht="12.5">
      <c r="A588" s="169"/>
      <c r="B588" s="186"/>
      <c r="C588" s="186"/>
      <c r="D588" s="187"/>
      <c r="E588" s="6"/>
      <c r="F588" s="6"/>
      <c r="G588" s="6"/>
      <c r="H588" s="169"/>
      <c r="I588" s="169"/>
      <c r="J588" s="6"/>
      <c r="K588" s="188"/>
      <c r="L588" s="189"/>
      <c r="M588" s="189"/>
      <c r="N588" s="6"/>
      <c r="O588" s="6"/>
      <c r="P588" s="6"/>
      <c r="Q588" s="169"/>
      <c r="R588" s="6"/>
      <c r="S588" s="6"/>
      <c r="T588" s="169"/>
      <c r="U588" s="6"/>
      <c r="V588" s="169"/>
      <c r="W588" s="169"/>
      <c r="X588" s="169"/>
      <c r="Y588" s="169"/>
      <c r="Z588" s="169"/>
      <c r="AA588" s="169"/>
      <c r="AB588" s="169"/>
      <c r="AC588" s="169"/>
      <c r="AD588" s="169"/>
      <c r="AE588" s="169"/>
      <c r="AF588" s="169"/>
      <c r="AG588" s="169"/>
      <c r="AH588" s="169"/>
      <c r="AI588" s="169"/>
      <c r="AJ588" s="169"/>
      <c r="AK588" s="169"/>
      <c r="AL588" s="169"/>
      <c r="AM588" s="169"/>
      <c r="AN588" s="169"/>
      <c r="AO588" s="169"/>
      <c r="AP588" s="169"/>
      <c r="AQ588" s="169"/>
      <c r="AR588" s="169"/>
    </row>
    <row r="589" spans="1:44" ht="12.5">
      <c r="A589" s="169"/>
      <c r="B589" s="186"/>
      <c r="C589" s="186"/>
      <c r="D589" s="187"/>
      <c r="E589" s="6"/>
      <c r="F589" s="6"/>
      <c r="G589" s="6"/>
      <c r="H589" s="169"/>
      <c r="I589" s="169"/>
      <c r="J589" s="6"/>
      <c r="K589" s="188"/>
      <c r="L589" s="189"/>
      <c r="M589" s="189"/>
      <c r="N589" s="6"/>
      <c r="O589" s="6"/>
      <c r="P589" s="6"/>
      <c r="Q589" s="169"/>
      <c r="R589" s="6"/>
      <c r="S589" s="6"/>
      <c r="T589" s="169"/>
      <c r="U589" s="6"/>
      <c r="V589" s="169"/>
      <c r="W589" s="169"/>
      <c r="X589" s="169"/>
      <c r="Y589" s="169"/>
      <c r="Z589" s="169"/>
      <c r="AA589" s="169"/>
      <c r="AB589" s="169"/>
      <c r="AC589" s="169"/>
      <c r="AD589" s="169"/>
      <c r="AE589" s="169"/>
      <c r="AF589" s="169"/>
      <c r="AG589" s="169"/>
      <c r="AH589" s="169"/>
      <c r="AI589" s="169"/>
      <c r="AJ589" s="169"/>
      <c r="AK589" s="169"/>
      <c r="AL589" s="169"/>
      <c r="AM589" s="169"/>
      <c r="AN589" s="169"/>
      <c r="AO589" s="169"/>
      <c r="AP589" s="169"/>
      <c r="AQ589" s="169"/>
      <c r="AR589" s="169"/>
    </row>
    <row r="590" spans="1:44" ht="12.5">
      <c r="A590" s="169"/>
      <c r="B590" s="186"/>
      <c r="C590" s="186"/>
      <c r="D590" s="187"/>
      <c r="E590" s="6"/>
      <c r="F590" s="6"/>
      <c r="G590" s="6"/>
      <c r="H590" s="169"/>
      <c r="I590" s="169"/>
      <c r="J590" s="6"/>
      <c r="K590" s="188"/>
      <c r="L590" s="189"/>
      <c r="M590" s="189"/>
      <c r="N590" s="6"/>
      <c r="O590" s="6"/>
      <c r="P590" s="6"/>
      <c r="Q590" s="169"/>
      <c r="R590" s="6"/>
      <c r="S590" s="6"/>
      <c r="T590" s="169"/>
      <c r="U590" s="6"/>
      <c r="V590" s="169"/>
      <c r="W590" s="169"/>
      <c r="X590" s="169"/>
      <c r="Y590" s="169"/>
      <c r="Z590" s="169"/>
      <c r="AA590" s="169"/>
      <c r="AB590" s="169"/>
      <c r="AC590" s="169"/>
      <c r="AD590" s="169"/>
      <c r="AE590" s="169"/>
      <c r="AF590" s="169"/>
      <c r="AG590" s="169"/>
      <c r="AH590" s="169"/>
      <c r="AI590" s="169"/>
      <c r="AJ590" s="169"/>
      <c r="AK590" s="169"/>
      <c r="AL590" s="169"/>
      <c r="AM590" s="169"/>
      <c r="AN590" s="169"/>
      <c r="AO590" s="169"/>
      <c r="AP590" s="169"/>
      <c r="AQ590" s="169"/>
      <c r="AR590" s="169"/>
    </row>
    <row r="591" spans="1:44" ht="12.5">
      <c r="A591" s="169"/>
      <c r="B591" s="186"/>
      <c r="C591" s="186"/>
      <c r="D591" s="187"/>
      <c r="E591" s="6"/>
      <c r="F591" s="6"/>
      <c r="G591" s="6"/>
      <c r="H591" s="169"/>
      <c r="I591" s="169"/>
      <c r="J591" s="6"/>
      <c r="K591" s="188"/>
      <c r="L591" s="189"/>
      <c r="M591" s="189"/>
      <c r="N591" s="6"/>
      <c r="O591" s="6"/>
      <c r="P591" s="6"/>
      <c r="Q591" s="169"/>
      <c r="R591" s="6"/>
      <c r="S591" s="6"/>
      <c r="T591" s="169"/>
      <c r="U591" s="6"/>
      <c r="V591" s="169"/>
      <c r="W591" s="169"/>
      <c r="X591" s="169"/>
      <c r="Y591" s="169"/>
      <c r="Z591" s="169"/>
      <c r="AA591" s="169"/>
      <c r="AB591" s="169"/>
      <c r="AC591" s="169"/>
      <c r="AD591" s="169"/>
      <c r="AE591" s="169"/>
      <c r="AF591" s="169"/>
      <c r="AG591" s="169"/>
      <c r="AH591" s="169"/>
      <c r="AI591" s="169"/>
      <c r="AJ591" s="169"/>
      <c r="AK591" s="169"/>
      <c r="AL591" s="169"/>
      <c r="AM591" s="169"/>
      <c r="AN591" s="169"/>
      <c r="AO591" s="169"/>
      <c r="AP591" s="169"/>
      <c r="AQ591" s="169"/>
      <c r="AR591" s="169"/>
    </row>
    <row r="592" spans="1:44" ht="12.5">
      <c r="A592" s="169"/>
      <c r="B592" s="186"/>
      <c r="C592" s="186"/>
      <c r="D592" s="187"/>
      <c r="E592" s="6"/>
      <c r="F592" s="6"/>
      <c r="G592" s="6"/>
      <c r="H592" s="169"/>
      <c r="I592" s="169"/>
      <c r="J592" s="6"/>
      <c r="K592" s="188"/>
      <c r="L592" s="189"/>
      <c r="M592" s="189"/>
      <c r="N592" s="6"/>
      <c r="O592" s="6"/>
      <c r="P592" s="6"/>
      <c r="Q592" s="169"/>
      <c r="R592" s="6"/>
      <c r="S592" s="6"/>
      <c r="T592" s="169"/>
      <c r="U592" s="6"/>
      <c r="V592" s="169"/>
      <c r="W592" s="169"/>
      <c r="X592" s="169"/>
      <c r="Y592" s="169"/>
      <c r="Z592" s="169"/>
      <c r="AA592" s="169"/>
      <c r="AB592" s="169"/>
      <c r="AC592" s="169"/>
      <c r="AD592" s="169"/>
      <c r="AE592" s="169"/>
      <c r="AF592" s="169"/>
      <c r="AG592" s="169"/>
      <c r="AH592" s="169"/>
      <c r="AI592" s="169"/>
      <c r="AJ592" s="169"/>
      <c r="AK592" s="169"/>
      <c r="AL592" s="169"/>
      <c r="AM592" s="169"/>
      <c r="AN592" s="169"/>
      <c r="AO592" s="169"/>
      <c r="AP592" s="169"/>
      <c r="AQ592" s="169"/>
      <c r="AR592" s="169"/>
    </row>
    <row r="593" spans="1:44" ht="12.5">
      <c r="A593" s="169"/>
      <c r="B593" s="186"/>
      <c r="C593" s="186"/>
      <c r="D593" s="187"/>
      <c r="E593" s="6"/>
      <c r="F593" s="6"/>
      <c r="G593" s="6"/>
      <c r="H593" s="169"/>
      <c r="I593" s="169"/>
      <c r="J593" s="6"/>
      <c r="K593" s="188"/>
      <c r="L593" s="189"/>
      <c r="M593" s="189"/>
      <c r="N593" s="6"/>
      <c r="O593" s="6"/>
      <c r="P593" s="6"/>
      <c r="Q593" s="169"/>
      <c r="R593" s="6"/>
      <c r="S593" s="6"/>
      <c r="T593" s="169"/>
      <c r="U593" s="6"/>
      <c r="V593" s="169"/>
      <c r="W593" s="169"/>
      <c r="X593" s="169"/>
      <c r="Y593" s="169"/>
      <c r="Z593" s="169"/>
      <c r="AA593" s="169"/>
      <c r="AB593" s="169"/>
      <c r="AC593" s="169"/>
      <c r="AD593" s="169"/>
      <c r="AE593" s="169"/>
      <c r="AF593" s="169"/>
      <c r="AG593" s="169"/>
      <c r="AH593" s="169"/>
      <c r="AI593" s="169"/>
      <c r="AJ593" s="169"/>
      <c r="AK593" s="169"/>
      <c r="AL593" s="169"/>
      <c r="AM593" s="169"/>
      <c r="AN593" s="169"/>
      <c r="AO593" s="169"/>
      <c r="AP593" s="169"/>
      <c r="AQ593" s="169"/>
      <c r="AR593" s="169"/>
    </row>
    <row r="594" spans="1:44" ht="12.5">
      <c r="A594" s="169"/>
      <c r="B594" s="186"/>
      <c r="C594" s="186"/>
      <c r="D594" s="187"/>
      <c r="E594" s="6"/>
      <c r="F594" s="6"/>
      <c r="G594" s="6"/>
      <c r="H594" s="169"/>
      <c r="I594" s="169"/>
      <c r="J594" s="6"/>
      <c r="K594" s="188"/>
      <c r="L594" s="189"/>
      <c r="M594" s="189"/>
      <c r="N594" s="6"/>
      <c r="O594" s="6"/>
      <c r="P594" s="6"/>
      <c r="Q594" s="169"/>
      <c r="R594" s="6"/>
      <c r="S594" s="6"/>
      <c r="T594" s="169"/>
      <c r="U594" s="6"/>
      <c r="V594" s="169"/>
      <c r="W594" s="169"/>
      <c r="X594" s="169"/>
      <c r="Y594" s="169"/>
      <c r="Z594" s="169"/>
      <c r="AA594" s="169"/>
      <c r="AB594" s="169"/>
      <c r="AC594" s="169"/>
      <c r="AD594" s="169"/>
      <c r="AE594" s="169"/>
      <c r="AF594" s="169"/>
      <c r="AG594" s="169"/>
      <c r="AH594" s="169"/>
      <c r="AI594" s="169"/>
      <c r="AJ594" s="169"/>
      <c r="AK594" s="169"/>
      <c r="AL594" s="169"/>
      <c r="AM594" s="169"/>
      <c r="AN594" s="169"/>
      <c r="AO594" s="169"/>
      <c r="AP594" s="169"/>
      <c r="AQ594" s="169"/>
      <c r="AR594" s="169"/>
    </row>
    <row r="595" spans="1:44" ht="12.5">
      <c r="A595" s="169"/>
      <c r="B595" s="186"/>
      <c r="C595" s="186"/>
      <c r="D595" s="187"/>
      <c r="E595" s="6"/>
      <c r="F595" s="6"/>
      <c r="G595" s="6"/>
      <c r="H595" s="169"/>
      <c r="I595" s="169"/>
      <c r="J595" s="6"/>
      <c r="K595" s="188"/>
      <c r="L595" s="189"/>
      <c r="M595" s="189"/>
      <c r="N595" s="6"/>
      <c r="O595" s="6"/>
      <c r="P595" s="6"/>
      <c r="Q595" s="169"/>
      <c r="R595" s="6"/>
      <c r="S595" s="6"/>
      <c r="T595" s="169"/>
      <c r="U595" s="6"/>
      <c r="V595" s="169"/>
      <c r="W595" s="169"/>
      <c r="X595" s="169"/>
      <c r="Y595" s="169"/>
      <c r="Z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AK595" s="169"/>
      <c r="AL595" s="169"/>
      <c r="AM595" s="169"/>
      <c r="AN595" s="169"/>
      <c r="AO595" s="169"/>
      <c r="AP595" s="169"/>
      <c r="AQ595" s="169"/>
      <c r="AR595" s="169"/>
    </row>
    <row r="596" spans="1:44" ht="12.5">
      <c r="A596" s="169"/>
      <c r="B596" s="186"/>
      <c r="C596" s="186"/>
      <c r="D596" s="187"/>
      <c r="E596" s="6"/>
      <c r="F596" s="6"/>
      <c r="G596" s="6"/>
      <c r="H596" s="169"/>
      <c r="I596" s="169"/>
      <c r="J596" s="6"/>
      <c r="K596" s="188"/>
      <c r="L596" s="189"/>
      <c r="M596" s="189"/>
      <c r="N596" s="6"/>
      <c r="O596" s="6"/>
      <c r="P596" s="6"/>
      <c r="Q596" s="169"/>
      <c r="R596" s="6"/>
      <c r="S596" s="6"/>
      <c r="T596" s="169"/>
      <c r="U596" s="6"/>
      <c r="V596" s="169"/>
      <c r="W596" s="169"/>
      <c r="X596" s="169"/>
      <c r="Y596" s="169"/>
      <c r="Z596" s="169"/>
      <c r="AA596" s="169"/>
      <c r="AB596" s="169"/>
      <c r="AC596" s="169"/>
      <c r="AD596" s="169"/>
      <c r="AE596" s="169"/>
      <c r="AF596" s="169"/>
      <c r="AG596" s="169"/>
      <c r="AH596" s="169"/>
      <c r="AI596" s="169"/>
      <c r="AJ596" s="169"/>
      <c r="AK596" s="169"/>
      <c r="AL596" s="169"/>
      <c r="AM596" s="169"/>
      <c r="AN596" s="169"/>
      <c r="AO596" s="169"/>
      <c r="AP596" s="169"/>
      <c r="AQ596" s="169"/>
      <c r="AR596" s="169"/>
    </row>
    <row r="597" spans="1:44" ht="12.5">
      <c r="A597" s="169"/>
      <c r="B597" s="186"/>
      <c r="C597" s="186"/>
      <c r="D597" s="187"/>
      <c r="E597" s="6"/>
      <c r="F597" s="6"/>
      <c r="G597" s="6"/>
      <c r="H597" s="169"/>
      <c r="I597" s="169"/>
      <c r="J597" s="6"/>
      <c r="K597" s="188"/>
      <c r="L597" s="189"/>
      <c r="M597" s="189"/>
      <c r="N597" s="6"/>
      <c r="O597" s="6"/>
      <c r="P597" s="6"/>
      <c r="Q597" s="169"/>
      <c r="R597" s="6"/>
      <c r="S597" s="6"/>
      <c r="T597" s="169"/>
      <c r="U597" s="6"/>
      <c r="V597" s="169"/>
      <c r="W597" s="169"/>
      <c r="X597" s="169"/>
      <c r="Y597" s="169"/>
      <c r="Z597" s="169"/>
      <c r="AA597" s="169"/>
      <c r="AB597" s="169"/>
      <c r="AC597" s="169"/>
      <c r="AD597" s="169"/>
      <c r="AE597" s="169"/>
      <c r="AF597" s="169"/>
      <c r="AG597" s="169"/>
      <c r="AH597" s="169"/>
      <c r="AI597" s="169"/>
      <c r="AJ597" s="169"/>
      <c r="AK597" s="169"/>
      <c r="AL597" s="169"/>
      <c r="AM597" s="169"/>
      <c r="AN597" s="169"/>
      <c r="AO597" s="169"/>
      <c r="AP597" s="169"/>
      <c r="AQ597" s="169"/>
      <c r="AR597" s="169"/>
    </row>
    <row r="598" spans="1:44" ht="12.5">
      <c r="A598" s="169"/>
      <c r="B598" s="186"/>
      <c r="C598" s="186"/>
      <c r="D598" s="187"/>
      <c r="E598" s="6"/>
      <c r="F598" s="6"/>
      <c r="G598" s="6"/>
      <c r="H598" s="169"/>
      <c r="I598" s="169"/>
      <c r="J598" s="6"/>
      <c r="K598" s="188"/>
      <c r="L598" s="189"/>
      <c r="M598" s="189"/>
      <c r="N598" s="6"/>
      <c r="O598" s="6"/>
      <c r="P598" s="6"/>
      <c r="Q598" s="169"/>
      <c r="R598" s="6"/>
      <c r="S598" s="6"/>
      <c r="T598" s="169"/>
      <c r="U598" s="6"/>
      <c r="V598" s="169"/>
      <c r="W598" s="169"/>
      <c r="X598" s="169"/>
      <c r="Y598" s="169"/>
      <c r="Z598" s="169"/>
      <c r="AA598" s="169"/>
      <c r="AB598" s="169"/>
      <c r="AC598" s="169"/>
      <c r="AD598" s="169"/>
      <c r="AE598" s="169"/>
      <c r="AF598" s="169"/>
      <c r="AG598" s="169"/>
      <c r="AH598" s="169"/>
      <c r="AI598" s="169"/>
      <c r="AJ598" s="169"/>
      <c r="AK598" s="169"/>
      <c r="AL598" s="169"/>
      <c r="AM598" s="169"/>
      <c r="AN598" s="169"/>
      <c r="AO598" s="169"/>
      <c r="AP598" s="169"/>
      <c r="AQ598" s="169"/>
      <c r="AR598" s="169"/>
    </row>
    <row r="599" spans="1:44" ht="12.5">
      <c r="A599" s="169"/>
      <c r="B599" s="186"/>
      <c r="C599" s="186"/>
      <c r="D599" s="187"/>
      <c r="E599" s="6"/>
      <c r="F599" s="6"/>
      <c r="G599" s="6"/>
      <c r="H599" s="169"/>
      <c r="I599" s="169"/>
      <c r="J599" s="6"/>
      <c r="K599" s="188"/>
      <c r="L599" s="189"/>
      <c r="M599" s="189"/>
      <c r="N599" s="6"/>
      <c r="O599" s="6"/>
      <c r="P599" s="6"/>
      <c r="Q599" s="169"/>
      <c r="R599" s="6"/>
      <c r="S599" s="6"/>
      <c r="T599" s="169"/>
      <c r="U599" s="6"/>
      <c r="V599" s="169"/>
      <c r="W599" s="169"/>
      <c r="X599" s="169"/>
      <c r="Y599" s="169"/>
      <c r="Z599" s="169"/>
      <c r="AA599" s="169"/>
      <c r="AB599" s="169"/>
      <c r="AC599" s="169"/>
      <c r="AD599" s="169"/>
      <c r="AE599" s="169"/>
      <c r="AF599" s="169"/>
      <c r="AG599" s="169"/>
      <c r="AH599" s="169"/>
      <c r="AI599" s="169"/>
      <c r="AJ599" s="169"/>
      <c r="AK599" s="169"/>
      <c r="AL599" s="169"/>
      <c r="AM599" s="169"/>
      <c r="AN599" s="169"/>
      <c r="AO599" s="169"/>
      <c r="AP599" s="169"/>
      <c r="AQ599" s="169"/>
      <c r="AR599" s="169"/>
    </row>
    <row r="600" spans="1:44" ht="12.5">
      <c r="A600" s="169"/>
      <c r="B600" s="186"/>
      <c r="C600" s="186"/>
      <c r="D600" s="187"/>
      <c r="E600" s="6"/>
      <c r="F600" s="6"/>
      <c r="G600" s="6"/>
      <c r="H600" s="169"/>
      <c r="I600" s="169"/>
      <c r="J600" s="6"/>
      <c r="K600" s="188"/>
      <c r="L600" s="189"/>
      <c r="M600" s="189"/>
      <c r="N600" s="6"/>
      <c r="O600" s="6"/>
      <c r="P600" s="6"/>
      <c r="Q600" s="169"/>
      <c r="R600" s="6"/>
      <c r="S600" s="6"/>
      <c r="T600" s="169"/>
      <c r="U600" s="6"/>
      <c r="V600" s="169"/>
      <c r="W600" s="169"/>
      <c r="X600" s="169"/>
      <c r="Y600" s="169"/>
      <c r="Z600" s="169"/>
      <c r="AA600" s="169"/>
      <c r="AB600" s="169"/>
      <c r="AC600" s="169"/>
      <c r="AD600" s="169"/>
      <c r="AE600" s="169"/>
      <c r="AF600" s="169"/>
      <c r="AG600" s="169"/>
      <c r="AH600" s="169"/>
      <c r="AI600" s="169"/>
      <c r="AJ600" s="169"/>
      <c r="AK600" s="169"/>
      <c r="AL600" s="169"/>
      <c r="AM600" s="169"/>
      <c r="AN600" s="169"/>
      <c r="AO600" s="169"/>
      <c r="AP600" s="169"/>
      <c r="AQ600" s="169"/>
      <c r="AR600" s="169"/>
    </row>
    <row r="601" spans="1:44" ht="12.5">
      <c r="A601" s="169"/>
      <c r="B601" s="186"/>
      <c r="C601" s="186"/>
      <c r="D601" s="187"/>
      <c r="E601" s="6"/>
      <c r="F601" s="6"/>
      <c r="G601" s="6"/>
      <c r="H601" s="169"/>
      <c r="I601" s="169"/>
      <c r="J601" s="6"/>
      <c r="K601" s="188"/>
      <c r="L601" s="189"/>
      <c r="M601" s="189"/>
      <c r="N601" s="6"/>
      <c r="O601" s="6"/>
      <c r="P601" s="6"/>
      <c r="Q601" s="169"/>
      <c r="R601" s="6"/>
      <c r="S601" s="6"/>
      <c r="T601" s="169"/>
      <c r="U601" s="6"/>
      <c r="V601" s="169"/>
      <c r="W601" s="169"/>
      <c r="X601" s="169"/>
      <c r="Y601" s="169"/>
      <c r="Z601" s="169"/>
      <c r="AA601" s="169"/>
      <c r="AB601" s="169"/>
      <c r="AC601" s="169"/>
      <c r="AD601" s="169"/>
      <c r="AE601" s="169"/>
      <c r="AF601" s="169"/>
      <c r="AG601" s="169"/>
      <c r="AH601" s="169"/>
      <c r="AI601" s="169"/>
      <c r="AJ601" s="169"/>
      <c r="AK601" s="169"/>
      <c r="AL601" s="169"/>
      <c r="AM601" s="169"/>
      <c r="AN601" s="169"/>
      <c r="AO601" s="169"/>
      <c r="AP601" s="169"/>
      <c r="AQ601" s="169"/>
      <c r="AR601" s="169"/>
    </row>
    <row r="602" spans="1:44" ht="12.5">
      <c r="A602" s="169"/>
      <c r="B602" s="186"/>
      <c r="C602" s="186"/>
      <c r="D602" s="187"/>
      <c r="E602" s="6"/>
      <c r="F602" s="6"/>
      <c r="G602" s="6"/>
      <c r="H602" s="169"/>
      <c r="I602" s="169"/>
      <c r="J602" s="6"/>
      <c r="K602" s="188"/>
      <c r="L602" s="189"/>
      <c r="M602" s="189"/>
      <c r="N602" s="6"/>
      <c r="O602" s="6"/>
      <c r="P602" s="6"/>
      <c r="Q602" s="169"/>
      <c r="R602" s="6"/>
      <c r="S602" s="6"/>
      <c r="T602" s="169"/>
      <c r="U602" s="6"/>
      <c r="V602" s="169"/>
      <c r="W602" s="169"/>
      <c r="X602" s="169"/>
      <c r="Y602" s="169"/>
      <c r="Z602" s="169"/>
      <c r="AA602" s="169"/>
      <c r="AB602" s="169"/>
      <c r="AC602" s="169"/>
      <c r="AD602" s="169"/>
      <c r="AE602" s="169"/>
      <c r="AF602" s="169"/>
      <c r="AG602" s="169"/>
      <c r="AH602" s="169"/>
      <c r="AI602" s="169"/>
      <c r="AJ602" s="169"/>
      <c r="AK602" s="169"/>
      <c r="AL602" s="169"/>
      <c r="AM602" s="169"/>
      <c r="AN602" s="169"/>
      <c r="AO602" s="169"/>
      <c r="AP602" s="169"/>
      <c r="AQ602" s="169"/>
      <c r="AR602" s="169"/>
    </row>
    <row r="603" spans="1:44" ht="12.5">
      <c r="A603" s="169"/>
      <c r="B603" s="186"/>
      <c r="C603" s="186"/>
      <c r="D603" s="187"/>
      <c r="E603" s="6"/>
      <c r="F603" s="6"/>
      <c r="G603" s="6"/>
      <c r="H603" s="169"/>
      <c r="I603" s="169"/>
      <c r="J603" s="6"/>
      <c r="K603" s="188"/>
      <c r="L603" s="189"/>
      <c r="M603" s="189"/>
      <c r="N603" s="6"/>
      <c r="O603" s="6"/>
      <c r="P603" s="6"/>
      <c r="Q603" s="169"/>
      <c r="R603" s="6"/>
      <c r="S603" s="6"/>
      <c r="T603" s="169"/>
      <c r="U603" s="6"/>
      <c r="V603" s="169"/>
      <c r="W603" s="169"/>
      <c r="X603" s="169"/>
      <c r="Y603" s="169"/>
      <c r="Z603" s="169"/>
      <c r="AA603" s="169"/>
      <c r="AB603" s="169"/>
      <c r="AC603" s="169"/>
      <c r="AD603" s="169"/>
      <c r="AE603" s="169"/>
      <c r="AF603" s="169"/>
      <c r="AG603" s="169"/>
      <c r="AH603" s="169"/>
      <c r="AI603" s="169"/>
      <c r="AJ603" s="169"/>
      <c r="AK603" s="169"/>
      <c r="AL603" s="169"/>
      <c r="AM603" s="169"/>
      <c r="AN603" s="169"/>
      <c r="AO603" s="169"/>
      <c r="AP603" s="169"/>
      <c r="AQ603" s="169"/>
      <c r="AR603" s="169"/>
    </row>
    <row r="604" spans="1:44" ht="12.5">
      <c r="A604" s="169"/>
      <c r="B604" s="186"/>
      <c r="C604" s="186"/>
      <c r="D604" s="187"/>
      <c r="E604" s="6"/>
      <c r="F604" s="6"/>
      <c r="G604" s="6"/>
      <c r="H604" s="169"/>
      <c r="I604" s="169"/>
      <c r="J604" s="6"/>
      <c r="K604" s="188"/>
      <c r="L604" s="189"/>
      <c r="M604" s="189"/>
      <c r="N604" s="6"/>
      <c r="O604" s="6"/>
      <c r="P604" s="6"/>
      <c r="Q604" s="169"/>
      <c r="R604" s="6"/>
      <c r="S604" s="6"/>
      <c r="T604" s="169"/>
      <c r="U604" s="6"/>
      <c r="V604" s="169"/>
      <c r="W604" s="169"/>
      <c r="X604" s="169"/>
      <c r="Y604" s="169"/>
      <c r="Z604" s="169"/>
      <c r="AA604" s="169"/>
      <c r="AB604" s="169"/>
      <c r="AC604" s="169"/>
      <c r="AD604" s="169"/>
      <c r="AE604" s="169"/>
      <c r="AF604" s="169"/>
      <c r="AG604" s="169"/>
      <c r="AH604" s="169"/>
      <c r="AI604" s="169"/>
      <c r="AJ604" s="169"/>
      <c r="AK604" s="169"/>
      <c r="AL604" s="169"/>
      <c r="AM604" s="169"/>
      <c r="AN604" s="169"/>
      <c r="AO604" s="169"/>
      <c r="AP604" s="169"/>
      <c r="AQ604" s="169"/>
      <c r="AR604" s="169"/>
    </row>
    <row r="605" spans="1:44" ht="12.5">
      <c r="A605" s="169"/>
      <c r="B605" s="186"/>
      <c r="C605" s="186"/>
      <c r="D605" s="187"/>
      <c r="E605" s="6"/>
      <c r="F605" s="6"/>
      <c r="G605" s="6"/>
      <c r="H605" s="169"/>
      <c r="I605" s="169"/>
      <c r="J605" s="6"/>
      <c r="K605" s="188"/>
      <c r="L605" s="189"/>
      <c r="M605" s="189"/>
      <c r="N605" s="6"/>
      <c r="O605" s="6"/>
      <c r="P605" s="6"/>
      <c r="Q605" s="169"/>
      <c r="R605" s="6"/>
      <c r="S605" s="6"/>
      <c r="T605" s="169"/>
      <c r="U605" s="6"/>
      <c r="V605" s="169"/>
      <c r="W605" s="169"/>
      <c r="X605" s="169"/>
      <c r="Y605" s="169"/>
      <c r="Z605" s="169"/>
      <c r="AA605" s="169"/>
      <c r="AB605" s="169"/>
      <c r="AC605" s="169"/>
      <c r="AD605" s="169"/>
      <c r="AE605" s="169"/>
      <c r="AF605" s="169"/>
      <c r="AG605" s="169"/>
      <c r="AH605" s="169"/>
      <c r="AI605" s="169"/>
      <c r="AJ605" s="169"/>
      <c r="AK605" s="169"/>
      <c r="AL605" s="169"/>
      <c r="AM605" s="169"/>
      <c r="AN605" s="169"/>
      <c r="AO605" s="169"/>
      <c r="AP605" s="169"/>
      <c r="AQ605" s="169"/>
      <c r="AR605" s="169"/>
    </row>
    <row r="606" spans="1:44" ht="12.5">
      <c r="A606" s="169"/>
      <c r="B606" s="186"/>
      <c r="C606" s="186"/>
      <c r="D606" s="187"/>
      <c r="E606" s="6"/>
      <c r="F606" s="6"/>
      <c r="G606" s="6"/>
      <c r="H606" s="169"/>
      <c r="I606" s="169"/>
      <c r="J606" s="6"/>
      <c r="K606" s="188"/>
      <c r="L606" s="189"/>
      <c r="M606" s="189"/>
      <c r="N606" s="6"/>
      <c r="O606" s="6"/>
      <c r="P606" s="6"/>
      <c r="Q606" s="169"/>
      <c r="R606" s="6"/>
      <c r="S606" s="6"/>
      <c r="T606" s="169"/>
      <c r="U606" s="6"/>
      <c r="V606" s="169"/>
      <c r="W606" s="169"/>
      <c r="X606" s="169"/>
      <c r="Y606" s="169"/>
      <c r="Z606" s="169"/>
      <c r="AA606" s="169"/>
      <c r="AB606" s="169"/>
      <c r="AC606" s="169"/>
      <c r="AD606" s="169"/>
      <c r="AE606" s="169"/>
      <c r="AF606" s="169"/>
      <c r="AG606" s="169"/>
      <c r="AH606" s="169"/>
      <c r="AI606" s="169"/>
      <c r="AJ606" s="169"/>
      <c r="AK606" s="169"/>
      <c r="AL606" s="169"/>
      <c r="AM606" s="169"/>
      <c r="AN606" s="169"/>
      <c r="AO606" s="169"/>
      <c r="AP606" s="169"/>
      <c r="AQ606" s="169"/>
      <c r="AR606" s="169"/>
    </row>
    <row r="607" spans="1:44" ht="12.5">
      <c r="A607" s="169"/>
      <c r="B607" s="186"/>
      <c r="C607" s="186"/>
      <c r="D607" s="187"/>
      <c r="E607" s="6"/>
      <c r="F607" s="6"/>
      <c r="G607" s="6"/>
      <c r="H607" s="169"/>
      <c r="I607" s="169"/>
      <c r="J607" s="6"/>
      <c r="K607" s="188"/>
      <c r="L607" s="189"/>
      <c r="M607" s="189"/>
      <c r="N607" s="6"/>
      <c r="O607" s="6"/>
      <c r="P607" s="6"/>
      <c r="Q607" s="169"/>
      <c r="R607" s="6"/>
      <c r="S607" s="6"/>
      <c r="T607" s="169"/>
      <c r="U607" s="6"/>
      <c r="V607" s="169"/>
      <c r="W607" s="169"/>
      <c r="X607" s="169"/>
      <c r="Y607" s="169"/>
      <c r="Z607" s="169"/>
      <c r="AA607" s="169"/>
      <c r="AB607" s="169"/>
      <c r="AC607" s="169"/>
      <c r="AD607" s="169"/>
      <c r="AE607" s="169"/>
      <c r="AF607" s="169"/>
      <c r="AG607" s="169"/>
      <c r="AH607" s="169"/>
      <c r="AI607" s="169"/>
      <c r="AJ607" s="169"/>
      <c r="AK607" s="169"/>
      <c r="AL607" s="169"/>
      <c r="AM607" s="169"/>
      <c r="AN607" s="169"/>
      <c r="AO607" s="169"/>
      <c r="AP607" s="169"/>
      <c r="AQ607" s="169"/>
      <c r="AR607" s="169"/>
    </row>
    <row r="608" spans="1:44" ht="12.5">
      <c r="A608" s="169"/>
      <c r="B608" s="186"/>
      <c r="C608" s="186"/>
      <c r="D608" s="187"/>
      <c r="E608" s="6"/>
      <c r="F608" s="6"/>
      <c r="G608" s="6"/>
      <c r="H608" s="169"/>
      <c r="I608" s="169"/>
      <c r="J608" s="6"/>
      <c r="K608" s="188"/>
      <c r="L608" s="189"/>
      <c r="M608" s="189"/>
      <c r="N608" s="6"/>
      <c r="O608" s="6"/>
      <c r="P608" s="6"/>
      <c r="Q608" s="169"/>
      <c r="R608" s="6"/>
      <c r="S608" s="6"/>
      <c r="T608" s="169"/>
      <c r="U608" s="6"/>
      <c r="V608" s="169"/>
      <c r="W608" s="169"/>
      <c r="X608" s="169"/>
      <c r="Y608" s="169"/>
      <c r="Z608" s="169"/>
      <c r="AA608" s="169"/>
      <c r="AB608" s="169"/>
      <c r="AC608" s="169"/>
      <c r="AD608" s="169"/>
      <c r="AE608" s="169"/>
      <c r="AF608" s="169"/>
      <c r="AG608" s="169"/>
      <c r="AH608" s="169"/>
      <c r="AI608" s="169"/>
      <c r="AJ608" s="169"/>
      <c r="AK608" s="169"/>
      <c r="AL608" s="169"/>
      <c r="AM608" s="169"/>
      <c r="AN608" s="169"/>
      <c r="AO608" s="169"/>
      <c r="AP608" s="169"/>
      <c r="AQ608" s="169"/>
      <c r="AR608" s="169"/>
    </row>
    <row r="609" spans="1:44" ht="12.5">
      <c r="A609" s="169"/>
      <c r="B609" s="186"/>
      <c r="C609" s="186"/>
      <c r="D609" s="187"/>
      <c r="E609" s="6"/>
      <c r="F609" s="6"/>
      <c r="G609" s="6"/>
      <c r="H609" s="169"/>
      <c r="I609" s="169"/>
      <c r="J609" s="6"/>
      <c r="K609" s="188"/>
      <c r="L609" s="189"/>
      <c r="M609" s="189"/>
      <c r="N609" s="6"/>
      <c r="O609" s="6"/>
      <c r="P609" s="6"/>
      <c r="Q609" s="169"/>
      <c r="R609" s="6"/>
      <c r="S609" s="6"/>
      <c r="T609" s="169"/>
      <c r="U609" s="6"/>
      <c r="V609" s="169"/>
      <c r="W609" s="169"/>
      <c r="X609" s="169"/>
      <c r="Y609" s="169"/>
      <c r="Z609" s="169"/>
      <c r="AA609" s="169"/>
      <c r="AB609" s="169"/>
      <c r="AC609" s="169"/>
      <c r="AD609" s="169"/>
      <c r="AE609" s="169"/>
      <c r="AF609" s="169"/>
      <c r="AG609" s="169"/>
      <c r="AH609" s="169"/>
      <c r="AI609" s="169"/>
      <c r="AJ609" s="169"/>
      <c r="AK609" s="169"/>
      <c r="AL609" s="169"/>
      <c r="AM609" s="169"/>
      <c r="AN609" s="169"/>
      <c r="AO609" s="169"/>
      <c r="AP609" s="169"/>
      <c r="AQ609" s="169"/>
      <c r="AR609" s="169"/>
    </row>
    <row r="610" spans="1:44" ht="12.5">
      <c r="A610" s="169"/>
      <c r="B610" s="186"/>
      <c r="C610" s="186"/>
      <c r="D610" s="187"/>
      <c r="E610" s="6"/>
      <c r="F610" s="6"/>
      <c r="G610" s="6"/>
      <c r="H610" s="169"/>
      <c r="I610" s="169"/>
      <c r="J610" s="6"/>
      <c r="K610" s="188"/>
      <c r="L610" s="189"/>
      <c r="M610" s="189"/>
      <c r="N610" s="6"/>
      <c r="O610" s="6"/>
      <c r="P610" s="6"/>
      <c r="Q610" s="169"/>
      <c r="R610" s="6"/>
      <c r="S610" s="6"/>
      <c r="T610" s="169"/>
      <c r="U610" s="6"/>
      <c r="V610" s="169"/>
      <c r="W610" s="169"/>
      <c r="X610" s="169"/>
      <c r="Y610" s="169"/>
      <c r="Z610" s="169"/>
      <c r="AA610" s="169"/>
      <c r="AB610" s="169"/>
      <c r="AC610" s="169"/>
      <c r="AD610" s="169"/>
      <c r="AE610" s="169"/>
      <c r="AF610" s="169"/>
      <c r="AG610" s="169"/>
      <c r="AH610" s="169"/>
      <c r="AI610" s="169"/>
      <c r="AJ610" s="169"/>
      <c r="AK610" s="169"/>
      <c r="AL610" s="169"/>
      <c r="AM610" s="169"/>
      <c r="AN610" s="169"/>
      <c r="AO610" s="169"/>
      <c r="AP610" s="169"/>
      <c r="AQ610" s="169"/>
      <c r="AR610" s="169"/>
    </row>
    <row r="611" spans="1:44" ht="12.5">
      <c r="A611" s="169"/>
      <c r="B611" s="186"/>
      <c r="C611" s="186"/>
      <c r="D611" s="187"/>
      <c r="E611" s="6"/>
      <c r="F611" s="6"/>
      <c r="G611" s="6"/>
      <c r="H611" s="169"/>
      <c r="I611" s="169"/>
      <c r="J611" s="6"/>
      <c r="K611" s="188"/>
      <c r="L611" s="189"/>
      <c r="M611" s="189"/>
      <c r="N611" s="6"/>
      <c r="O611" s="6"/>
      <c r="P611" s="6"/>
      <c r="Q611" s="169"/>
      <c r="R611" s="6"/>
      <c r="S611" s="6"/>
      <c r="T611" s="169"/>
      <c r="U611" s="6"/>
      <c r="V611" s="169"/>
      <c r="W611" s="169"/>
      <c r="X611" s="169"/>
      <c r="Y611" s="169"/>
      <c r="Z611" s="169"/>
      <c r="AA611" s="169"/>
      <c r="AB611" s="169"/>
      <c r="AC611" s="169"/>
      <c r="AD611" s="169"/>
      <c r="AE611" s="169"/>
      <c r="AF611" s="169"/>
      <c r="AG611" s="169"/>
      <c r="AH611" s="169"/>
      <c r="AI611" s="169"/>
      <c r="AJ611" s="169"/>
      <c r="AK611" s="169"/>
      <c r="AL611" s="169"/>
      <c r="AM611" s="169"/>
      <c r="AN611" s="169"/>
      <c r="AO611" s="169"/>
      <c r="AP611" s="169"/>
      <c r="AQ611" s="169"/>
      <c r="AR611" s="169"/>
    </row>
    <row r="612" spans="1:44" ht="12.5">
      <c r="A612" s="169"/>
      <c r="B612" s="186"/>
      <c r="C612" s="186"/>
      <c r="D612" s="187"/>
      <c r="E612" s="6"/>
      <c r="F612" s="6"/>
      <c r="G612" s="6"/>
      <c r="H612" s="169"/>
      <c r="I612" s="169"/>
      <c r="J612" s="6"/>
      <c r="K612" s="188"/>
      <c r="L612" s="189"/>
      <c r="M612" s="189"/>
      <c r="N612" s="6"/>
      <c r="O612" s="6"/>
      <c r="P612" s="6"/>
      <c r="Q612" s="169"/>
      <c r="R612" s="6"/>
      <c r="S612" s="6"/>
      <c r="T612" s="169"/>
      <c r="U612" s="6"/>
      <c r="V612" s="169"/>
      <c r="W612" s="169"/>
      <c r="X612" s="169"/>
      <c r="Y612" s="169"/>
      <c r="Z612" s="169"/>
      <c r="AA612" s="169"/>
      <c r="AB612" s="169"/>
      <c r="AC612" s="169"/>
      <c r="AD612" s="169"/>
      <c r="AE612" s="169"/>
      <c r="AF612" s="169"/>
      <c r="AG612" s="169"/>
      <c r="AH612" s="169"/>
      <c r="AI612" s="169"/>
      <c r="AJ612" s="169"/>
      <c r="AK612" s="169"/>
      <c r="AL612" s="169"/>
      <c r="AM612" s="169"/>
      <c r="AN612" s="169"/>
      <c r="AO612" s="169"/>
      <c r="AP612" s="169"/>
      <c r="AQ612" s="169"/>
      <c r="AR612" s="169"/>
    </row>
    <row r="613" spans="1:44" ht="12.5">
      <c r="A613" s="169"/>
      <c r="B613" s="186"/>
      <c r="C613" s="186"/>
      <c r="D613" s="187"/>
      <c r="E613" s="6"/>
      <c r="F613" s="6"/>
      <c r="G613" s="6"/>
      <c r="H613" s="169"/>
      <c r="I613" s="169"/>
      <c r="J613" s="6"/>
      <c r="K613" s="188"/>
      <c r="L613" s="189"/>
      <c r="M613" s="189"/>
      <c r="N613" s="6"/>
      <c r="O613" s="6"/>
      <c r="P613" s="6"/>
      <c r="Q613" s="169"/>
      <c r="R613" s="6"/>
      <c r="S613" s="6"/>
      <c r="T613" s="169"/>
      <c r="U613" s="6"/>
      <c r="V613" s="169"/>
      <c r="W613" s="169"/>
      <c r="X613" s="169"/>
      <c r="Y613" s="169"/>
      <c r="Z613" s="169"/>
      <c r="AA613" s="169"/>
      <c r="AB613" s="169"/>
      <c r="AC613" s="169"/>
      <c r="AD613" s="169"/>
      <c r="AE613" s="169"/>
      <c r="AF613" s="169"/>
      <c r="AG613" s="169"/>
      <c r="AH613" s="169"/>
      <c r="AI613" s="169"/>
      <c r="AJ613" s="169"/>
      <c r="AK613" s="169"/>
      <c r="AL613" s="169"/>
      <c r="AM613" s="169"/>
      <c r="AN613" s="169"/>
      <c r="AO613" s="169"/>
      <c r="AP613" s="169"/>
      <c r="AQ613" s="169"/>
      <c r="AR613" s="169"/>
    </row>
    <row r="614" spans="1:44" ht="12.5">
      <c r="A614" s="169"/>
      <c r="B614" s="186"/>
      <c r="C614" s="186"/>
      <c r="D614" s="187"/>
      <c r="E614" s="6"/>
      <c r="F614" s="6"/>
      <c r="G614" s="6"/>
      <c r="H614" s="169"/>
      <c r="I614" s="169"/>
      <c r="J614" s="6"/>
      <c r="K614" s="188"/>
      <c r="L614" s="189"/>
      <c r="M614" s="189"/>
      <c r="N614" s="6"/>
      <c r="O614" s="6"/>
      <c r="P614" s="6"/>
      <c r="Q614" s="169"/>
      <c r="R614" s="6"/>
      <c r="S614" s="6"/>
      <c r="T614" s="169"/>
      <c r="U614" s="6"/>
      <c r="V614" s="169"/>
      <c r="W614" s="169"/>
      <c r="X614" s="169"/>
      <c r="Y614" s="169"/>
      <c r="Z614" s="169"/>
      <c r="AA614" s="169"/>
      <c r="AB614" s="169"/>
      <c r="AC614" s="169"/>
      <c r="AD614" s="169"/>
      <c r="AE614" s="169"/>
      <c r="AF614" s="169"/>
      <c r="AG614" s="169"/>
      <c r="AH614" s="169"/>
      <c r="AI614" s="169"/>
      <c r="AJ614" s="169"/>
      <c r="AK614" s="169"/>
      <c r="AL614" s="169"/>
      <c r="AM614" s="169"/>
      <c r="AN614" s="169"/>
      <c r="AO614" s="169"/>
      <c r="AP614" s="169"/>
      <c r="AQ614" s="169"/>
      <c r="AR614" s="169"/>
    </row>
    <row r="615" spans="1:44" ht="12.5">
      <c r="A615" s="169"/>
      <c r="B615" s="186"/>
      <c r="C615" s="186"/>
      <c r="D615" s="187"/>
      <c r="E615" s="6"/>
      <c r="F615" s="6"/>
      <c r="G615" s="6"/>
      <c r="H615" s="169"/>
      <c r="I615" s="169"/>
      <c r="J615" s="6"/>
      <c r="K615" s="188"/>
      <c r="L615" s="189"/>
      <c r="M615" s="189"/>
      <c r="N615" s="6"/>
      <c r="O615" s="6"/>
      <c r="P615" s="6"/>
      <c r="Q615" s="169"/>
      <c r="R615" s="6"/>
      <c r="S615" s="6"/>
      <c r="T615" s="169"/>
      <c r="U615" s="6"/>
      <c r="V615" s="169"/>
      <c r="W615" s="169"/>
      <c r="X615" s="169"/>
      <c r="Y615" s="169"/>
      <c r="Z615" s="169"/>
      <c r="AA615" s="169"/>
      <c r="AB615" s="169"/>
      <c r="AC615" s="169"/>
      <c r="AD615" s="169"/>
      <c r="AE615" s="169"/>
      <c r="AF615" s="169"/>
      <c r="AG615" s="169"/>
      <c r="AH615" s="169"/>
      <c r="AI615" s="169"/>
      <c r="AJ615" s="169"/>
      <c r="AK615" s="169"/>
      <c r="AL615" s="169"/>
      <c r="AM615" s="169"/>
      <c r="AN615" s="169"/>
      <c r="AO615" s="169"/>
      <c r="AP615" s="169"/>
      <c r="AQ615" s="169"/>
      <c r="AR615" s="169"/>
    </row>
    <row r="616" spans="1:44" ht="12.5">
      <c r="A616" s="169"/>
      <c r="B616" s="186"/>
      <c r="C616" s="186"/>
      <c r="D616" s="187"/>
      <c r="E616" s="6"/>
      <c r="F616" s="6"/>
      <c r="G616" s="6"/>
      <c r="H616" s="169"/>
      <c r="I616" s="169"/>
      <c r="J616" s="6"/>
      <c r="K616" s="188"/>
      <c r="L616" s="189"/>
      <c r="M616" s="189"/>
      <c r="N616" s="6"/>
      <c r="O616" s="6"/>
      <c r="P616" s="6"/>
      <c r="Q616" s="169"/>
      <c r="R616" s="6"/>
      <c r="S616" s="6"/>
      <c r="T616" s="169"/>
      <c r="U616" s="6"/>
      <c r="V616" s="169"/>
      <c r="W616" s="169"/>
      <c r="X616" s="169"/>
      <c r="Y616" s="169"/>
      <c r="Z616" s="169"/>
      <c r="AA616" s="169"/>
      <c r="AB616" s="169"/>
      <c r="AC616" s="169"/>
      <c r="AD616" s="169"/>
      <c r="AE616" s="169"/>
      <c r="AF616" s="169"/>
      <c r="AG616" s="169"/>
      <c r="AH616" s="169"/>
      <c r="AI616" s="169"/>
      <c r="AJ616" s="169"/>
      <c r="AK616" s="169"/>
      <c r="AL616" s="169"/>
      <c r="AM616" s="169"/>
      <c r="AN616" s="169"/>
      <c r="AO616" s="169"/>
      <c r="AP616" s="169"/>
      <c r="AQ616" s="169"/>
      <c r="AR616" s="169"/>
    </row>
    <row r="617" spans="1:44" ht="12.5">
      <c r="A617" s="169"/>
      <c r="B617" s="186"/>
      <c r="C617" s="186"/>
      <c r="D617" s="187"/>
      <c r="E617" s="6"/>
      <c r="F617" s="6"/>
      <c r="G617" s="6"/>
      <c r="H617" s="169"/>
      <c r="I617" s="169"/>
      <c r="J617" s="6"/>
      <c r="K617" s="188"/>
      <c r="L617" s="189"/>
      <c r="M617" s="189"/>
      <c r="N617" s="6"/>
      <c r="O617" s="6"/>
      <c r="P617" s="6"/>
      <c r="Q617" s="169"/>
      <c r="R617" s="6"/>
      <c r="S617" s="6"/>
      <c r="T617" s="169"/>
      <c r="U617" s="6"/>
      <c r="V617" s="169"/>
      <c r="W617" s="169"/>
      <c r="X617" s="169"/>
      <c r="Y617" s="169"/>
      <c r="Z617" s="169"/>
      <c r="AA617" s="169"/>
      <c r="AB617" s="169"/>
      <c r="AC617" s="169"/>
      <c r="AD617" s="169"/>
      <c r="AE617" s="169"/>
      <c r="AF617" s="169"/>
      <c r="AG617" s="169"/>
      <c r="AH617" s="169"/>
      <c r="AI617" s="169"/>
      <c r="AJ617" s="169"/>
      <c r="AK617" s="169"/>
      <c r="AL617" s="169"/>
      <c r="AM617" s="169"/>
      <c r="AN617" s="169"/>
      <c r="AO617" s="169"/>
      <c r="AP617" s="169"/>
      <c r="AQ617" s="169"/>
      <c r="AR617" s="169"/>
    </row>
    <row r="618" spans="1:44" ht="12.5">
      <c r="A618" s="169"/>
      <c r="B618" s="186"/>
      <c r="C618" s="186"/>
      <c r="D618" s="187"/>
      <c r="E618" s="6"/>
      <c r="F618" s="6"/>
      <c r="G618" s="6"/>
      <c r="H618" s="169"/>
      <c r="I618" s="169"/>
      <c r="J618" s="6"/>
      <c r="K618" s="188"/>
      <c r="L618" s="189"/>
      <c r="M618" s="189"/>
      <c r="N618" s="6"/>
      <c r="O618" s="6"/>
      <c r="P618" s="6"/>
      <c r="Q618" s="169"/>
      <c r="R618" s="6"/>
      <c r="S618" s="6"/>
      <c r="T618" s="169"/>
      <c r="U618" s="6"/>
      <c r="V618" s="169"/>
      <c r="W618" s="169"/>
      <c r="X618" s="169"/>
      <c r="Y618" s="169"/>
      <c r="Z618" s="169"/>
      <c r="AA618" s="169"/>
      <c r="AB618" s="169"/>
      <c r="AC618" s="169"/>
      <c r="AD618" s="169"/>
      <c r="AE618" s="169"/>
      <c r="AF618" s="169"/>
      <c r="AG618" s="169"/>
      <c r="AH618" s="169"/>
      <c r="AI618" s="169"/>
      <c r="AJ618" s="169"/>
      <c r="AK618" s="169"/>
      <c r="AL618" s="169"/>
      <c r="AM618" s="169"/>
      <c r="AN618" s="169"/>
      <c r="AO618" s="169"/>
      <c r="AP618" s="169"/>
      <c r="AQ618" s="169"/>
      <c r="AR618" s="169"/>
    </row>
    <row r="619" spans="1:44" ht="12.5">
      <c r="A619" s="169"/>
      <c r="B619" s="186"/>
      <c r="C619" s="186"/>
      <c r="D619" s="187"/>
      <c r="E619" s="6"/>
      <c r="F619" s="6"/>
      <c r="G619" s="6"/>
      <c r="H619" s="169"/>
      <c r="I619" s="169"/>
      <c r="J619" s="6"/>
      <c r="K619" s="188"/>
      <c r="L619" s="189"/>
      <c r="M619" s="189"/>
      <c r="N619" s="6"/>
      <c r="O619" s="6"/>
      <c r="P619" s="6"/>
      <c r="Q619" s="169"/>
      <c r="R619" s="6"/>
      <c r="S619" s="6"/>
      <c r="T619" s="169"/>
      <c r="U619" s="6"/>
      <c r="V619" s="169"/>
      <c r="W619" s="169"/>
      <c r="X619" s="169"/>
      <c r="Y619" s="169"/>
      <c r="Z619" s="169"/>
      <c r="AA619" s="169"/>
      <c r="AB619" s="169"/>
      <c r="AC619" s="169"/>
      <c r="AD619" s="169"/>
      <c r="AE619" s="169"/>
      <c r="AF619" s="169"/>
      <c r="AG619" s="169"/>
      <c r="AH619" s="169"/>
      <c r="AI619" s="169"/>
      <c r="AJ619" s="169"/>
      <c r="AK619" s="169"/>
      <c r="AL619" s="169"/>
      <c r="AM619" s="169"/>
      <c r="AN619" s="169"/>
      <c r="AO619" s="169"/>
      <c r="AP619" s="169"/>
      <c r="AQ619" s="169"/>
      <c r="AR619" s="169"/>
    </row>
    <row r="620" spans="1:44" ht="12.5">
      <c r="A620" s="169"/>
      <c r="B620" s="186"/>
      <c r="C620" s="186"/>
      <c r="D620" s="187"/>
      <c r="E620" s="6"/>
      <c r="F620" s="6"/>
      <c r="G620" s="6"/>
      <c r="H620" s="169"/>
      <c r="I620" s="169"/>
      <c r="J620" s="6"/>
      <c r="K620" s="188"/>
      <c r="L620" s="189"/>
      <c r="M620" s="189"/>
      <c r="N620" s="6"/>
      <c r="O620" s="6"/>
      <c r="P620" s="6"/>
      <c r="Q620" s="169"/>
      <c r="R620" s="6"/>
      <c r="S620" s="6"/>
      <c r="T620" s="169"/>
      <c r="U620" s="6"/>
      <c r="V620" s="169"/>
      <c r="W620" s="169"/>
      <c r="X620" s="169"/>
      <c r="Y620" s="169"/>
      <c r="Z620" s="169"/>
      <c r="AA620" s="169"/>
      <c r="AB620" s="169"/>
      <c r="AC620" s="169"/>
      <c r="AD620" s="169"/>
      <c r="AE620" s="169"/>
      <c r="AF620" s="169"/>
      <c r="AG620" s="169"/>
      <c r="AH620" s="169"/>
      <c r="AI620" s="169"/>
      <c r="AJ620" s="169"/>
      <c r="AK620" s="169"/>
      <c r="AL620" s="169"/>
      <c r="AM620" s="169"/>
      <c r="AN620" s="169"/>
      <c r="AO620" s="169"/>
      <c r="AP620" s="169"/>
      <c r="AQ620" s="169"/>
      <c r="AR620" s="169"/>
    </row>
    <row r="621" spans="1:44" ht="12.5">
      <c r="A621" s="169"/>
      <c r="B621" s="186"/>
      <c r="C621" s="186"/>
      <c r="D621" s="187"/>
      <c r="E621" s="6"/>
      <c r="F621" s="6"/>
      <c r="G621" s="6"/>
      <c r="H621" s="169"/>
      <c r="I621" s="169"/>
      <c r="J621" s="6"/>
      <c r="K621" s="188"/>
      <c r="L621" s="189"/>
      <c r="M621" s="189"/>
      <c r="N621" s="6"/>
      <c r="O621" s="6"/>
      <c r="P621" s="6"/>
      <c r="Q621" s="169"/>
      <c r="R621" s="6"/>
      <c r="S621" s="6"/>
      <c r="T621" s="169"/>
      <c r="U621" s="6"/>
      <c r="V621" s="169"/>
      <c r="W621" s="169"/>
      <c r="X621" s="169"/>
      <c r="Y621" s="169"/>
      <c r="Z621" s="169"/>
      <c r="AA621" s="169"/>
      <c r="AB621" s="169"/>
      <c r="AC621" s="169"/>
      <c r="AD621" s="169"/>
      <c r="AE621" s="169"/>
      <c r="AF621" s="169"/>
      <c r="AG621" s="169"/>
      <c r="AH621" s="169"/>
      <c r="AI621" s="169"/>
      <c r="AJ621" s="169"/>
      <c r="AK621" s="169"/>
      <c r="AL621" s="169"/>
      <c r="AM621" s="169"/>
      <c r="AN621" s="169"/>
      <c r="AO621" s="169"/>
      <c r="AP621" s="169"/>
      <c r="AQ621" s="169"/>
      <c r="AR621" s="169"/>
    </row>
    <row r="622" spans="1:44" ht="12.5">
      <c r="A622" s="169"/>
      <c r="B622" s="186"/>
      <c r="C622" s="186"/>
      <c r="D622" s="187"/>
      <c r="E622" s="6"/>
      <c r="F622" s="6"/>
      <c r="G622" s="6"/>
      <c r="H622" s="169"/>
      <c r="I622" s="169"/>
      <c r="J622" s="6"/>
      <c r="K622" s="188"/>
      <c r="L622" s="189"/>
      <c r="M622" s="189"/>
      <c r="N622" s="6"/>
      <c r="O622" s="6"/>
      <c r="P622" s="6"/>
      <c r="Q622" s="169"/>
      <c r="R622" s="6"/>
      <c r="S622" s="6"/>
      <c r="T622" s="169"/>
      <c r="U622" s="6"/>
      <c r="V622" s="169"/>
      <c r="W622" s="169"/>
      <c r="X622" s="169"/>
      <c r="Y622" s="169"/>
      <c r="Z622" s="169"/>
      <c r="AA622" s="169"/>
      <c r="AB622" s="169"/>
      <c r="AC622" s="169"/>
      <c r="AD622" s="169"/>
      <c r="AE622" s="169"/>
      <c r="AF622" s="169"/>
      <c r="AG622" s="169"/>
      <c r="AH622" s="169"/>
      <c r="AI622" s="169"/>
      <c r="AJ622" s="169"/>
      <c r="AK622" s="169"/>
      <c r="AL622" s="169"/>
      <c r="AM622" s="169"/>
      <c r="AN622" s="169"/>
      <c r="AO622" s="169"/>
      <c r="AP622" s="169"/>
      <c r="AQ622" s="169"/>
      <c r="AR622" s="169"/>
    </row>
    <row r="623" spans="1:44" ht="12.5">
      <c r="A623" s="169"/>
      <c r="B623" s="186"/>
      <c r="C623" s="186"/>
      <c r="D623" s="187"/>
      <c r="E623" s="6"/>
      <c r="F623" s="6"/>
      <c r="G623" s="6"/>
      <c r="H623" s="169"/>
      <c r="I623" s="169"/>
      <c r="J623" s="6"/>
      <c r="K623" s="188"/>
      <c r="L623" s="189"/>
      <c r="M623" s="189"/>
      <c r="N623" s="6"/>
      <c r="O623" s="6"/>
      <c r="P623" s="6"/>
      <c r="Q623" s="169"/>
      <c r="R623" s="6"/>
      <c r="S623" s="6"/>
      <c r="T623" s="169"/>
      <c r="U623" s="6"/>
      <c r="V623" s="169"/>
      <c r="W623" s="169"/>
      <c r="X623" s="169"/>
      <c r="Y623" s="169"/>
      <c r="Z623" s="169"/>
      <c r="AA623" s="169"/>
      <c r="AB623" s="169"/>
      <c r="AC623" s="169"/>
      <c r="AD623" s="169"/>
      <c r="AE623" s="169"/>
      <c r="AF623" s="169"/>
      <c r="AG623" s="169"/>
      <c r="AH623" s="169"/>
      <c r="AI623" s="169"/>
      <c r="AJ623" s="169"/>
      <c r="AK623" s="169"/>
      <c r="AL623" s="169"/>
      <c r="AM623" s="169"/>
      <c r="AN623" s="169"/>
      <c r="AO623" s="169"/>
      <c r="AP623" s="169"/>
      <c r="AQ623" s="169"/>
      <c r="AR623" s="169"/>
    </row>
    <row r="624" spans="1:44" ht="12.5">
      <c r="A624" s="169"/>
      <c r="B624" s="186"/>
      <c r="C624" s="186"/>
      <c r="D624" s="187"/>
      <c r="E624" s="6"/>
      <c r="F624" s="6"/>
      <c r="G624" s="6"/>
      <c r="H624" s="169"/>
      <c r="I624" s="169"/>
      <c r="J624" s="6"/>
      <c r="K624" s="188"/>
      <c r="L624" s="189"/>
      <c r="M624" s="189"/>
      <c r="N624" s="6"/>
      <c r="O624" s="6"/>
      <c r="P624" s="6"/>
      <c r="Q624" s="169"/>
      <c r="R624" s="6"/>
      <c r="S624" s="6"/>
      <c r="T624" s="169"/>
      <c r="U624" s="6"/>
      <c r="V624" s="169"/>
      <c r="W624" s="169"/>
      <c r="X624" s="169"/>
      <c r="Y624" s="169"/>
      <c r="Z624" s="169"/>
      <c r="AA624" s="169"/>
      <c r="AB624" s="169"/>
      <c r="AC624" s="169"/>
      <c r="AD624" s="169"/>
      <c r="AE624" s="169"/>
      <c r="AF624" s="169"/>
      <c r="AG624" s="169"/>
      <c r="AH624" s="169"/>
      <c r="AI624" s="169"/>
      <c r="AJ624" s="169"/>
      <c r="AK624" s="169"/>
      <c r="AL624" s="169"/>
      <c r="AM624" s="169"/>
      <c r="AN624" s="169"/>
      <c r="AO624" s="169"/>
      <c r="AP624" s="169"/>
      <c r="AQ624" s="169"/>
      <c r="AR624" s="169"/>
    </row>
    <row r="625" spans="1:44" ht="12.5">
      <c r="A625" s="169"/>
      <c r="B625" s="186"/>
      <c r="C625" s="186"/>
      <c r="D625" s="187"/>
      <c r="E625" s="6"/>
      <c r="F625" s="6"/>
      <c r="G625" s="6"/>
      <c r="H625" s="169"/>
      <c r="I625" s="169"/>
      <c r="J625" s="6"/>
      <c r="K625" s="188"/>
      <c r="L625" s="189"/>
      <c r="M625" s="189"/>
      <c r="N625" s="6"/>
      <c r="O625" s="6"/>
      <c r="P625" s="6"/>
      <c r="Q625" s="169"/>
      <c r="R625" s="6"/>
      <c r="S625" s="6"/>
      <c r="T625" s="169"/>
      <c r="U625" s="6"/>
      <c r="V625" s="169"/>
      <c r="W625" s="169"/>
      <c r="X625" s="169"/>
      <c r="Y625" s="169"/>
      <c r="Z625" s="169"/>
      <c r="AA625" s="169"/>
      <c r="AB625" s="169"/>
      <c r="AC625" s="169"/>
      <c r="AD625" s="169"/>
      <c r="AE625" s="169"/>
      <c r="AF625" s="169"/>
      <c r="AG625" s="169"/>
      <c r="AH625" s="169"/>
      <c r="AI625" s="169"/>
      <c r="AJ625" s="169"/>
      <c r="AK625" s="169"/>
      <c r="AL625" s="169"/>
      <c r="AM625" s="169"/>
      <c r="AN625" s="169"/>
      <c r="AO625" s="169"/>
      <c r="AP625" s="169"/>
      <c r="AQ625" s="169"/>
      <c r="AR625" s="169"/>
    </row>
    <row r="626" spans="1:44" ht="12.5">
      <c r="A626" s="169"/>
      <c r="B626" s="186"/>
      <c r="C626" s="186"/>
      <c r="D626" s="187"/>
      <c r="E626" s="6"/>
      <c r="F626" s="6"/>
      <c r="G626" s="6"/>
      <c r="H626" s="169"/>
      <c r="I626" s="169"/>
      <c r="J626" s="6"/>
      <c r="K626" s="188"/>
      <c r="L626" s="189"/>
      <c r="M626" s="189"/>
      <c r="N626" s="6"/>
      <c r="O626" s="6"/>
      <c r="P626" s="6"/>
      <c r="Q626" s="169"/>
      <c r="R626" s="6"/>
      <c r="S626" s="6"/>
      <c r="T626" s="169"/>
      <c r="U626" s="6"/>
      <c r="V626" s="169"/>
      <c r="W626" s="169"/>
      <c r="X626" s="169"/>
      <c r="Y626" s="169"/>
      <c r="Z626" s="169"/>
      <c r="AA626" s="169"/>
      <c r="AB626" s="169"/>
      <c r="AC626" s="169"/>
      <c r="AD626" s="169"/>
      <c r="AE626" s="169"/>
      <c r="AF626" s="169"/>
      <c r="AG626" s="169"/>
      <c r="AH626" s="169"/>
      <c r="AI626" s="169"/>
      <c r="AJ626" s="169"/>
      <c r="AK626" s="169"/>
      <c r="AL626" s="169"/>
      <c r="AM626" s="169"/>
      <c r="AN626" s="169"/>
      <c r="AO626" s="169"/>
      <c r="AP626" s="169"/>
      <c r="AQ626" s="169"/>
      <c r="AR626" s="169"/>
    </row>
    <row r="627" spans="1:44" ht="12.5">
      <c r="A627" s="169"/>
      <c r="B627" s="186"/>
      <c r="C627" s="186"/>
      <c r="D627" s="187"/>
      <c r="E627" s="6"/>
      <c r="F627" s="6"/>
      <c r="G627" s="6"/>
      <c r="H627" s="169"/>
      <c r="I627" s="169"/>
      <c r="J627" s="6"/>
      <c r="K627" s="188"/>
      <c r="L627" s="189"/>
      <c r="M627" s="189"/>
      <c r="N627" s="6"/>
      <c r="O627" s="6"/>
      <c r="P627" s="6"/>
      <c r="Q627" s="169"/>
      <c r="R627" s="6"/>
      <c r="S627" s="6"/>
      <c r="T627" s="169"/>
      <c r="U627" s="6"/>
      <c r="V627" s="169"/>
      <c r="W627" s="169"/>
      <c r="X627" s="169"/>
      <c r="Y627" s="169"/>
      <c r="Z627" s="169"/>
      <c r="AA627" s="169"/>
      <c r="AB627" s="169"/>
      <c r="AC627" s="169"/>
      <c r="AD627" s="169"/>
      <c r="AE627" s="169"/>
      <c r="AF627" s="169"/>
      <c r="AG627" s="169"/>
      <c r="AH627" s="169"/>
      <c r="AI627" s="169"/>
      <c r="AJ627" s="169"/>
      <c r="AK627" s="169"/>
      <c r="AL627" s="169"/>
      <c r="AM627" s="169"/>
      <c r="AN627" s="169"/>
      <c r="AO627" s="169"/>
      <c r="AP627" s="169"/>
      <c r="AQ627" s="169"/>
      <c r="AR627" s="169"/>
    </row>
    <row r="628" spans="1:44" ht="12.5">
      <c r="A628" s="169"/>
      <c r="B628" s="186"/>
      <c r="C628" s="186"/>
      <c r="D628" s="187"/>
      <c r="E628" s="6"/>
      <c r="F628" s="6"/>
      <c r="G628" s="6"/>
      <c r="H628" s="169"/>
      <c r="I628" s="169"/>
      <c r="J628" s="6"/>
      <c r="K628" s="188"/>
      <c r="L628" s="189"/>
      <c r="M628" s="189"/>
      <c r="N628" s="6"/>
      <c r="O628" s="6"/>
      <c r="P628" s="6"/>
      <c r="Q628" s="169"/>
      <c r="R628" s="6"/>
      <c r="S628" s="6"/>
      <c r="T628" s="169"/>
      <c r="U628" s="6"/>
      <c r="V628" s="169"/>
      <c r="W628" s="169"/>
      <c r="X628" s="169"/>
      <c r="Y628" s="169"/>
      <c r="Z628" s="169"/>
      <c r="AA628" s="169"/>
      <c r="AB628" s="169"/>
      <c r="AC628" s="169"/>
      <c r="AD628" s="169"/>
      <c r="AE628" s="169"/>
      <c r="AF628" s="169"/>
      <c r="AG628" s="169"/>
      <c r="AH628" s="169"/>
      <c r="AI628" s="169"/>
      <c r="AJ628" s="169"/>
      <c r="AK628" s="169"/>
      <c r="AL628" s="169"/>
      <c r="AM628" s="169"/>
      <c r="AN628" s="169"/>
      <c r="AO628" s="169"/>
      <c r="AP628" s="169"/>
      <c r="AQ628" s="169"/>
      <c r="AR628" s="169"/>
    </row>
    <row r="629" spans="1:44" ht="12.5">
      <c r="A629" s="169"/>
      <c r="B629" s="186"/>
      <c r="C629" s="186"/>
      <c r="D629" s="187"/>
      <c r="E629" s="6"/>
      <c r="F629" s="6"/>
      <c r="G629" s="6"/>
      <c r="H629" s="169"/>
      <c r="I629" s="169"/>
      <c r="J629" s="6"/>
      <c r="K629" s="188"/>
      <c r="L629" s="189"/>
      <c r="M629" s="189"/>
      <c r="N629" s="6"/>
      <c r="O629" s="6"/>
      <c r="P629" s="6"/>
      <c r="Q629" s="169"/>
      <c r="R629" s="6"/>
      <c r="S629" s="6"/>
      <c r="T629" s="169"/>
      <c r="U629" s="6"/>
      <c r="V629" s="169"/>
      <c r="W629" s="169"/>
      <c r="X629" s="169"/>
      <c r="Y629" s="169"/>
      <c r="Z629" s="169"/>
      <c r="AA629" s="169"/>
      <c r="AB629" s="169"/>
      <c r="AC629" s="169"/>
      <c r="AD629" s="169"/>
      <c r="AE629" s="169"/>
      <c r="AF629" s="169"/>
      <c r="AG629" s="169"/>
      <c r="AH629" s="169"/>
      <c r="AI629" s="169"/>
      <c r="AJ629" s="169"/>
      <c r="AK629" s="169"/>
      <c r="AL629" s="169"/>
      <c r="AM629" s="169"/>
      <c r="AN629" s="169"/>
      <c r="AO629" s="169"/>
      <c r="AP629" s="169"/>
      <c r="AQ629" s="169"/>
      <c r="AR629" s="169"/>
    </row>
    <row r="630" spans="1:44" ht="12.5">
      <c r="A630" s="169"/>
      <c r="B630" s="186"/>
      <c r="C630" s="186"/>
      <c r="D630" s="187"/>
      <c r="E630" s="6"/>
      <c r="F630" s="6"/>
      <c r="G630" s="6"/>
      <c r="H630" s="169"/>
      <c r="I630" s="169"/>
      <c r="J630" s="6"/>
      <c r="K630" s="188"/>
      <c r="L630" s="189"/>
      <c r="M630" s="189"/>
      <c r="N630" s="6"/>
      <c r="O630" s="6"/>
      <c r="P630" s="6"/>
      <c r="Q630" s="169"/>
      <c r="R630" s="6"/>
      <c r="S630" s="6"/>
      <c r="T630" s="169"/>
      <c r="U630" s="6"/>
      <c r="V630" s="169"/>
      <c r="W630" s="169"/>
      <c r="X630" s="169"/>
      <c r="Y630" s="169"/>
      <c r="Z630" s="169"/>
      <c r="AA630" s="169"/>
      <c r="AB630" s="169"/>
      <c r="AC630" s="169"/>
      <c r="AD630" s="169"/>
      <c r="AE630" s="169"/>
      <c r="AF630" s="169"/>
      <c r="AG630" s="169"/>
      <c r="AH630" s="169"/>
      <c r="AI630" s="169"/>
      <c r="AJ630" s="169"/>
      <c r="AK630" s="169"/>
      <c r="AL630" s="169"/>
      <c r="AM630" s="169"/>
      <c r="AN630" s="169"/>
      <c r="AO630" s="169"/>
      <c r="AP630" s="169"/>
      <c r="AQ630" s="169"/>
      <c r="AR630" s="169"/>
    </row>
    <row r="631" spans="1:44" ht="12.5">
      <c r="A631" s="169"/>
      <c r="B631" s="186"/>
      <c r="C631" s="186"/>
      <c r="D631" s="187"/>
      <c r="E631" s="6"/>
      <c r="F631" s="6"/>
      <c r="G631" s="6"/>
      <c r="H631" s="169"/>
      <c r="I631" s="169"/>
      <c r="J631" s="6"/>
      <c r="K631" s="188"/>
      <c r="L631" s="189"/>
      <c r="M631" s="189"/>
      <c r="N631" s="6"/>
      <c r="O631" s="6"/>
      <c r="P631" s="6"/>
      <c r="Q631" s="169"/>
      <c r="R631" s="6"/>
      <c r="S631" s="6"/>
      <c r="T631" s="169"/>
      <c r="U631" s="6"/>
      <c r="V631" s="169"/>
      <c r="W631" s="169"/>
      <c r="X631" s="169"/>
      <c r="Y631" s="169"/>
      <c r="Z631" s="169"/>
      <c r="AA631" s="169"/>
      <c r="AB631" s="169"/>
      <c r="AC631" s="169"/>
      <c r="AD631" s="169"/>
      <c r="AE631" s="169"/>
      <c r="AF631" s="169"/>
      <c r="AG631" s="169"/>
      <c r="AH631" s="169"/>
      <c r="AI631" s="169"/>
      <c r="AJ631" s="169"/>
      <c r="AK631" s="169"/>
      <c r="AL631" s="169"/>
      <c r="AM631" s="169"/>
      <c r="AN631" s="169"/>
      <c r="AO631" s="169"/>
      <c r="AP631" s="169"/>
      <c r="AQ631" s="169"/>
      <c r="AR631" s="169"/>
    </row>
    <row r="632" spans="1:44" ht="12.5">
      <c r="A632" s="169"/>
      <c r="B632" s="186"/>
      <c r="C632" s="186"/>
      <c r="D632" s="187"/>
      <c r="E632" s="6"/>
      <c r="F632" s="6"/>
      <c r="G632" s="6"/>
      <c r="H632" s="169"/>
      <c r="I632" s="169"/>
      <c r="J632" s="6"/>
      <c r="K632" s="188"/>
      <c r="L632" s="189"/>
      <c r="M632" s="189"/>
      <c r="N632" s="6"/>
      <c r="O632" s="6"/>
      <c r="P632" s="6"/>
      <c r="Q632" s="169"/>
      <c r="R632" s="6"/>
      <c r="S632" s="6"/>
      <c r="T632" s="169"/>
      <c r="U632" s="6"/>
      <c r="V632" s="169"/>
      <c r="W632" s="169"/>
      <c r="X632" s="169"/>
      <c r="Y632" s="169"/>
      <c r="Z632" s="169"/>
      <c r="AA632" s="169"/>
      <c r="AB632" s="169"/>
      <c r="AC632" s="169"/>
      <c r="AD632" s="169"/>
      <c r="AE632" s="169"/>
      <c r="AF632" s="169"/>
      <c r="AG632" s="169"/>
      <c r="AH632" s="169"/>
      <c r="AI632" s="169"/>
      <c r="AJ632" s="169"/>
      <c r="AK632" s="169"/>
      <c r="AL632" s="169"/>
      <c r="AM632" s="169"/>
      <c r="AN632" s="169"/>
      <c r="AO632" s="169"/>
      <c r="AP632" s="169"/>
      <c r="AQ632" s="169"/>
      <c r="AR632" s="169"/>
    </row>
    <row r="633" spans="1:44" ht="12.5">
      <c r="A633" s="169"/>
      <c r="B633" s="186"/>
      <c r="C633" s="186"/>
      <c r="D633" s="187"/>
      <c r="E633" s="6"/>
      <c r="F633" s="6"/>
      <c r="G633" s="6"/>
      <c r="H633" s="169"/>
      <c r="I633" s="169"/>
      <c r="J633" s="6"/>
      <c r="K633" s="188"/>
      <c r="L633" s="189"/>
      <c r="M633" s="189"/>
      <c r="N633" s="6"/>
      <c r="O633" s="6"/>
      <c r="P633" s="6"/>
      <c r="Q633" s="169"/>
      <c r="R633" s="6"/>
      <c r="S633" s="6"/>
      <c r="T633" s="169"/>
      <c r="U633" s="6"/>
      <c r="V633" s="169"/>
      <c r="W633" s="169"/>
      <c r="X633" s="169"/>
      <c r="Y633" s="169"/>
      <c r="Z633" s="169"/>
      <c r="AA633" s="169"/>
      <c r="AB633" s="169"/>
      <c r="AC633" s="169"/>
      <c r="AD633" s="169"/>
      <c r="AE633" s="169"/>
      <c r="AF633" s="169"/>
      <c r="AG633" s="169"/>
      <c r="AH633" s="169"/>
      <c r="AI633" s="169"/>
      <c r="AJ633" s="169"/>
      <c r="AK633" s="169"/>
      <c r="AL633" s="169"/>
      <c r="AM633" s="169"/>
      <c r="AN633" s="169"/>
      <c r="AO633" s="169"/>
      <c r="AP633" s="169"/>
      <c r="AQ633" s="169"/>
      <c r="AR633" s="169"/>
    </row>
    <row r="634" spans="1:44" ht="12.5">
      <c r="A634" s="169"/>
      <c r="B634" s="186"/>
      <c r="C634" s="186"/>
      <c r="D634" s="187"/>
      <c r="E634" s="6"/>
      <c r="F634" s="6"/>
      <c r="G634" s="6"/>
      <c r="H634" s="169"/>
      <c r="I634" s="169"/>
      <c r="J634" s="6"/>
      <c r="K634" s="188"/>
      <c r="L634" s="189"/>
      <c r="M634" s="189"/>
      <c r="N634" s="6"/>
      <c r="O634" s="6"/>
      <c r="P634" s="6"/>
      <c r="Q634" s="169"/>
      <c r="R634" s="6"/>
      <c r="S634" s="6"/>
      <c r="T634" s="169"/>
      <c r="U634" s="6"/>
      <c r="V634" s="169"/>
      <c r="W634" s="169"/>
      <c r="X634" s="169"/>
      <c r="Y634" s="169"/>
      <c r="Z634" s="169"/>
      <c r="AA634" s="169"/>
      <c r="AB634" s="169"/>
      <c r="AC634" s="169"/>
      <c r="AD634" s="169"/>
      <c r="AE634" s="169"/>
      <c r="AF634" s="169"/>
      <c r="AG634" s="169"/>
      <c r="AH634" s="169"/>
      <c r="AI634" s="169"/>
      <c r="AJ634" s="169"/>
      <c r="AK634" s="169"/>
      <c r="AL634" s="169"/>
      <c r="AM634" s="169"/>
      <c r="AN634" s="169"/>
      <c r="AO634" s="169"/>
      <c r="AP634" s="169"/>
      <c r="AQ634" s="169"/>
      <c r="AR634" s="169"/>
    </row>
    <row r="635" spans="1:44" ht="12.5">
      <c r="A635" s="169"/>
      <c r="B635" s="186"/>
      <c r="C635" s="186"/>
      <c r="D635" s="187"/>
      <c r="E635" s="6"/>
      <c r="F635" s="6"/>
      <c r="G635" s="6"/>
      <c r="H635" s="169"/>
      <c r="I635" s="169"/>
      <c r="J635" s="6"/>
      <c r="K635" s="188"/>
      <c r="L635" s="189"/>
      <c r="M635" s="189"/>
      <c r="N635" s="6"/>
      <c r="O635" s="6"/>
      <c r="P635" s="6"/>
      <c r="Q635" s="169"/>
      <c r="R635" s="6"/>
      <c r="S635" s="6"/>
      <c r="T635" s="169"/>
      <c r="U635" s="6"/>
      <c r="V635" s="169"/>
      <c r="W635" s="169"/>
      <c r="X635" s="169"/>
      <c r="Y635" s="169"/>
      <c r="Z635" s="169"/>
      <c r="AA635" s="169"/>
      <c r="AB635" s="169"/>
      <c r="AC635" s="169"/>
      <c r="AD635" s="169"/>
      <c r="AE635" s="169"/>
      <c r="AF635" s="169"/>
      <c r="AG635" s="169"/>
      <c r="AH635" s="169"/>
      <c r="AI635" s="169"/>
      <c r="AJ635" s="169"/>
      <c r="AK635" s="169"/>
      <c r="AL635" s="169"/>
      <c r="AM635" s="169"/>
      <c r="AN635" s="169"/>
      <c r="AO635" s="169"/>
      <c r="AP635" s="169"/>
      <c r="AQ635" s="169"/>
      <c r="AR635" s="169"/>
    </row>
    <row r="636" spans="1:44" ht="12.5">
      <c r="A636" s="169"/>
      <c r="B636" s="186"/>
      <c r="C636" s="186"/>
      <c r="D636" s="187"/>
      <c r="E636" s="6"/>
      <c r="F636" s="6"/>
      <c r="G636" s="6"/>
      <c r="H636" s="169"/>
      <c r="I636" s="169"/>
      <c r="J636" s="6"/>
      <c r="K636" s="188"/>
      <c r="L636" s="189"/>
      <c r="M636" s="189"/>
      <c r="N636" s="6"/>
      <c r="O636" s="6"/>
      <c r="P636" s="6"/>
      <c r="Q636" s="169"/>
      <c r="R636" s="6"/>
      <c r="S636" s="6"/>
      <c r="T636" s="169"/>
      <c r="U636" s="6"/>
      <c r="V636" s="169"/>
      <c r="W636" s="169"/>
      <c r="X636" s="169"/>
      <c r="Y636" s="169"/>
      <c r="Z636" s="169"/>
      <c r="AA636" s="169"/>
      <c r="AB636" s="169"/>
      <c r="AC636" s="169"/>
      <c r="AD636" s="169"/>
      <c r="AE636" s="169"/>
      <c r="AF636" s="169"/>
      <c r="AG636" s="169"/>
      <c r="AH636" s="169"/>
      <c r="AI636" s="169"/>
      <c r="AJ636" s="169"/>
      <c r="AK636" s="169"/>
      <c r="AL636" s="169"/>
      <c r="AM636" s="169"/>
      <c r="AN636" s="169"/>
      <c r="AO636" s="169"/>
      <c r="AP636" s="169"/>
      <c r="AQ636" s="169"/>
      <c r="AR636" s="169"/>
    </row>
    <row r="637" spans="1:44" ht="12.5">
      <c r="A637" s="169"/>
      <c r="B637" s="186"/>
      <c r="C637" s="186"/>
      <c r="D637" s="187"/>
      <c r="E637" s="6"/>
      <c r="F637" s="6"/>
      <c r="G637" s="6"/>
      <c r="H637" s="169"/>
      <c r="I637" s="169"/>
      <c r="J637" s="6"/>
      <c r="K637" s="188"/>
      <c r="L637" s="189"/>
      <c r="M637" s="189"/>
      <c r="N637" s="6"/>
      <c r="O637" s="6"/>
      <c r="P637" s="6"/>
      <c r="Q637" s="169"/>
      <c r="R637" s="6"/>
      <c r="S637" s="6"/>
      <c r="T637" s="169"/>
      <c r="U637" s="6"/>
      <c r="V637" s="169"/>
      <c r="W637" s="169"/>
      <c r="X637" s="169"/>
      <c r="Y637" s="169"/>
      <c r="Z637" s="169"/>
      <c r="AA637" s="169"/>
      <c r="AB637" s="169"/>
      <c r="AC637" s="169"/>
      <c r="AD637" s="169"/>
      <c r="AE637" s="169"/>
      <c r="AF637" s="169"/>
      <c r="AG637" s="169"/>
      <c r="AH637" s="169"/>
      <c r="AI637" s="169"/>
      <c r="AJ637" s="169"/>
      <c r="AK637" s="169"/>
      <c r="AL637" s="169"/>
      <c r="AM637" s="169"/>
      <c r="AN637" s="169"/>
      <c r="AO637" s="169"/>
      <c r="AP637" s="169"/>
      <c r="AQ637" s="169"/>
      <c r="AR637" s="169"/>
    </row>
    <row r="638" spans="1:44" ht="12.5">
      <c r="A638" s="169"/>
      <c r="B638" s="186"/>
      <c r="C638" s="186"/>
      <c r="D638" s="187"/>
      <c r="E638" s="6"/>
      <c r="F638" s="6"/>
      <c r="G638" s="6"/>
      <c r="H638" s="169"/>
      <c r="I638" s="169"/>
      <c r="J638" s="6"/>
      <c r="K638" s="188"/>
      <c r="L638" s="189"/>
      <c r="M638" s="189"/>
      <c r="N638" s="6"/>
      <c r="O638" s="6"/>
      <c r="P638" s="6"/>
      <c r="Q638" s="169"/>
      <c r="R638" s="6"/>
      <c r="S638" s="6"/>
      <c r="T638" s="169"/>
      <c r="U638" s="6"/>
      <c r="V638" s="169"/>
      <c r="W638" s="169"/>
      <c r="X638" s="169"/>
      <c r="Y638" s="169"/>
      <c r="Z638" s="169"/>
      <c r="AA638" s="169"/>
      <c r="AB638" s="169"/>
      <c r="AC638" s="169"/>
      <c r="AD638" s="169"/>
      <c r="AE638" s="169"/>
      <c r="AF638" s="169"/>
      <c r="AG638" s="169"/>
      <c r="AH638" s="169"/>
      <c r="AI638" s="169"/>
      <c r="AJ638" s="169"/>
      <c r="AK638" s="169"/>
      <c r="AL638" s="169"/>
      <c r="AM638" s="169"/>
      <c r="AN638" s="169"/>
      <c r="AO638" s="169"/>
      <c r="AP638" s="169"/>
      <c r="AQ638" s="169"/>
      <c r="AR638" s="169"/>
    </row>
    <row r="639" spans="1:44" ht="12.5">
      <c r="A639" s="169"/>
      <c r="B639" s="186"/>
      <c r="C639" s="186"/>
      <c r="D639" s="187"/>
      <c r="E639" s="6"/>
      <c r="F639" s="6"/>
      <c r="G639" s="6"/>
      <c r="H639" s="169"/>
      <c r="I639" s="169"/>
      <c r="J639" s="6"/>
      <c r="K639" s="188"/>
      <c r="L639" s="189"/>
      <c r="M639" s="189"/>
      <c r="N639" s="6"/>
      <c r="O639" s="6"/>
      <c r="P639" s="6"/>
      <c r="Q639" s="169"/>
      <c r="R639" s="6"/>
      <c r="S639" s="6"/>
      <c r="T639" s="169"/>
      <c r="U639" s="6"/>
      <c r="V639" s="169"/>
      <c r="W639" s="169"/>
      <c r="X639" s="169"/>
      <c r="Y639" s="169"/>
      <c r="Z639" s="169"/>
      <c r="AA639" s="169"/>
      <c r="AB639" s="169"/>
      <c r="AC639" s="169"/>
      <c r="AD639" s="169"/>
      <c r="AE639" s="169"/>
      <c r="AF639" s="169"/>
      <c r="AG639" s="169"/>
      <c r="AH639" s="169"/>
      <c r="AI639" s="169"/>
      <c r="AJ639" s="169"/>
      <c r="AK639" s="169"/>
      <c r="AL639" s="169"/>
      <c r="AM639" s="169"/>
      <c r="AN639" s="169"/>
      <c r="AO639" s="169"/>
      <c r="AP639" s="169"/>
      <c r="AQ639" s="169"/>
      <c r="AR639" s="169"/>
    </row>
    <row r="640" spans="1:44" ht="12.5">
      <c r="A640" s="169"/>
      <c r="B640" s="186"/>
      <c r="C640" s="186"/>
      <c r="D640" s="187"/>
      <c r="E640" s="6"/>
      <c r="F640" s="6"/>
      <c r="G640" s="6"/>
      <c r="H640" s="169"/>
      <c r="I640" s="169"/>
      <c r="J640" s="6"/>
      <c r="K640" s="188"/>
      <c r="L640" s="189"/>
      <c r="M640" s="189"/>
      <c r="N640" s="6"/>
      <c r="O640" s="6"/>
      <c r="P640" s="6"/>
      <c r="Q640" s="169"/>
      <c r="R640" s="6"/>
      <c r="S640" s="6"/>
      <c r="T640" s="169"/>
      <c r="U640" s="6"/>
      <c r="V640" s="169"/>
      <c r="W640" s="169"/>
      <c r="X640" s="169"/>
      <c r="Y640" s="169"/>
      <c r="Z640" s="169"/>
      <c r="AA640" s="169"/>
      <c r="AB640" s="169"/>
      <c r="AC640" s="169"/>
      <c r="AD640" s="169"/>
      <c r="AE640" s="169"/>
      <c r="AF640" s="169"/>
      <c r="AG640" s="169"/>
      <c r="AH640" s="169"/>
      <c r="AI640" s="169"/>
      <c r="AJ640" s="169"/>
      <c r="AK640" s="169"/>
      <c r="AL640" s="169"/>
      <c r="AM640" s="169"/>
      <c r="AN640" s="169"/>
      <c r="AO640" s="169"/>
      <c r="AP640" s="169"/>
      <c r="AQ640" s="169"/>
      <c r="AR640" s="169"/>
    </row>
    <row r="641" spans="1:44" ht="12.5">
      <c r="A641" s="169"/>
      <c r="B641" s="186"/>
      <c r="C641" s="186"/>
      <c r="D641" s="187"/>
      <c r="E641" s="6"/>
      <c r="F641" s="6"/>
      <c r="G641" s="6"/>
      <c r="H641" s="169"/>
      <c r="I641" s="169"/>
      <c r="J641" s="6"/>
      <c r="K641" s="188"/>
      <c r="L641" s="189"/>
      <c r="M641" s="189"/>
      <c r="N641" s="6"/>
      <c r="O641" s="6"/>
      <c r="P641" s="6"/>
      <c r="Q641" s="169"/>
      <c r="R641" s="6"/>
      <c r="S641" s="6"/>
      <c r="T641" s="169"/>
      <c r="U641" s="6"/>
      <c r="V641" s="169"/>
      <c r="W641" s="169"/>
      <c r="X641" s="169"/>
      <c r="Y641" s="169"/>
      <c r="Z641" s="169"/>
      <c r="AA641" s="169"/>
      <c r="AB641" s="169"/>
      <c r="AC641" s="169"/>
      <c r="AD641" s="169"/>
      <c r="AE641" s="169"/>
      <c r="AF641" s="169"/>
      <c r="AG641" s="169"/>
      <c r="AH641" s="169"/>
      <c r="AI641" s="169"/>
      <c r="AJ641" s="169"/>
      <c r="AK641" s="169"/>
      <c r="AL641" s="169"/>
      <c r="AM641" s="169"/>
      <c r="AN641" s="169"/>
      <c r="AO641" s="169"/>
      <c r="AP641" s="169"/>
      <c r="AQ641" s="169"/>
      <c r="AR641" s="169"/>
    </row>
    <row r="642" spans="1:44" ht="12.5">
      <c r="A642" s="169"/>
      <c r="B642" s="186"/>
      <c r="C642" s="186"/>
      <c r="D642" s="187"/>
      <c r="E642" s="6"/>
      <c r="F642" s="6"/>
      <c r="G642" s="6"/>
      <c r="H642" s="169"/>
      <c r="I642" s="169"/>
      <c r="J642" s="6"/>
      <c r="K642" s="188"/>
      <c r="L642" s="189"/>
      <c r="M642" s="189"/>
      <c r="N642" s="6"/>
      <c r="O642" s="6"/>
      <c r="P642" s="6"/>
      <c r="Q642" s="169"/>
      <c r="R642" s="6"/>
      <c r="S642" s="6"/>
      <c r="T642" s="169"/>
      <c r="U642" s="6"/>
      <c r="V642" s="169"/>
      <c r="W642" s="169"/>
      <c r="X642" s="169"/>
      <c r="Y642" s="169"/>
      <c r="Z642" s="169"/>
      <c r="AA642" s="169"/>
      <c r="AB642" s="169"/>
      <c r="AC642" s="169"/>
      <c r="AD642" s="169"/>
      <c r="AE642" s="169"/>
      <c r="AF642" s="169"/>
      <c r="AG642" s="169"/>
      <c r="AH642" s="169"/>
      <c r="AI642" s="169"/>
      <c r="AJ642" s="169"/>
      <c r="AK642" s="169"/>
      <c r="AL642" s="169"/>
      <c r="AM642" s="169"/>
      <c r="AN642" s="169"/>
      <c r="AO642" s="169"/>
      <c r="AP642" s="169"/>
      <c r="AQ642" s="169"/>
      <c r="AR642" s="169"/>
    </row>
    <row r="643" spans="1:44" ht="12.5">
      <c r="A643" s="169"/>
      <c r="B643" s="186"/>
      <c r="C643" s="186"/>
      <c r="D643" s="187"/>
      <c r="E643" s="6"/>
      <c r="F643" s="6"/>
      <c r="G643" s="6"/>
      <c r="H643" s="169"/>
      <c r="I643" s="169"/>
      <c r="J643" s="6"/>
      <c r="K643" s="188"/>
      <c r="L643" s="189"/>
      <c r="M643" s="189"/>
      <c r="N643" s="6"/>
      <c r="O643" s="6"/>
      <c r="P643" s="6"/>
      <c r="Q643" s="169"/>
      <c r="R643" s="6"/>
      <c r="S643" s="6"/>
      <c r="T643" s="169"/>
      <c r="U643" s="6"/>
      <c r="V643" s="169"/>
      <c r="W643" s="169"/>
      <c r="X643" s="169"/>
      <c r="Y643" s="169"/>
      <c r="Z643" s="169"/>
      <c r="AA643" s="169"/>
      <c r="AB643" s="169"/>
      <c r="AC643" s="169"/>
      <c r="AD643" s="169"/>
      <c r="AE643" s="169"/>
      <c r="AF643" s="169"/>
      <c r="AG643" s="169"/>
      <c r="AH643" s="169"/>
      <c r="AI643" s="169"/>
      <c r="AJ643" s="169"/>
      <c r="AK643" s="169"/>
      <c r="AL643" s="169"/>
      <c r="AM643" s="169"/>
      <c r="AN643" s="169"/>
      <c r="AO643" s="169"/>
      <c r="AP643" s="169"/>
      <c r="AQ643" s="169"/>
      <c r="AR643" s="169"/>
    </row>
    <row r="644" spans="1:44" ht="12.5">
      <c r="A644" s="169"/>
      <c r="B644" s="186"/>
      <c r="C644" s="186"/>
      <c r="D644" s="187"/>
      <c r="E644" s="6"/>
      <c r="F644" s="6"/>
      <c r="G644" s="6"/>
      <c r="H644" s="169"/>
      <c r="I644" s="169"/>
      <c r="J644" s="6"/>
      <c r="K644" s="188"/>
      <c r="L644" s="189"/>
      <c r="M644" s="189"/>
      <c r="N644" s="6"/>
      <c r="O644" s="6"/>
      <c r="P644" s="6"/>
      <c r="Q644" s="169"/>
      <c r="R644" s="6"/>
      <c r="S644" s="6"/>
      <c r="T644" s="169"/>
      <c r="U644" s="6"/>
      <c r="V644" s="169"/>
      <c r="W644" s="169"/>
      <c r="X644" s="169"/>
      <c r="Y644" s="169"/>
      <c r="Z644" s="169"/>
      <c r="AA644" s="169"/>
      <c r="AB644" s="169"/>
      <c r="AC644" s="169"/>
      <c r="AD644" s="169"/>
      <c r="AE644" s="169"/>
      <c r="AF644" s="169"/>
      <c r="AG644" s="169"/>
      <c r="AH644" s="169"/>
      <c r="AI644" s="169"/>
      <c r="AJ644" s="169"/>
      <c r="AK644" s="169"/>
      <c r="AL644" s="169"/>
      <c r="AM644" s="169"/>
      <c r="AN644" s="169"/>
      <c r="AO644" s="169"/>
      <c r="AP644" s="169"/>
      <c r="AQ644" s="169"/>
      <c r="AR644" s="169"/>
    </row>
    <row r="645" spans="1:44" ht="12.5">
      <c r="A645" s="169"/>
      <c r="B645" s="186"/>
      <c r="C645" s="186"/>
      <c r="D645" s="187"/>
      <c r="E645" s="6"/>
      <c r="F645" s="6"/>
      <c r="G645" s="6"/>
      <c r="H645" s="169"/>
      <c r="I645" s="169"/>
      <c r="J645" s="6"/>
      <c r="K645" s="188"/>
      <c r="L645" s="189"/>
      <c r="M645" s="189"/>
      <c r="N645" s="6"/>
      <c r="O645" s="6"/>
      <c r="P645" s="6"/>
      <c r="Q645" s="169"/>
      <c r="R645" s="6"/>
      <c r="S645" s="6"/>
      <c r="T645" s="169"/>
      <c r="U645" s="6"/>
      <c r="V645" s="169"/>
      <c r="W645" s="169"/>
      <c r="X645" s="169"/>
      <c r="Y645" s="169"/>
      <c r="Z645" s="169"/>
      <c r="AA645" s="169"/>
      <c r="AB645" s="169"/>
      <c r="AC645" s="169"/>
      <c r="AD645" s="169"/>
      <c r="AE645" s="169"/>
      <c r="AF645" s="169"/>
      <c r="AG645" s="169"/>
      <c r="AH645" s="169"/>
      <c r="AI645" s="169"/>
      <c r="AJ645" s="169"/>
      <c r="AK645" s="169"/>
      <c r="AL645" s="169"/>
      <c r="AM645" s="169"/>
      <c r="AN645" s="169"/>
      <c r="AO645" s="169"/>
      <c r="AP645" s="169"/>
      <c r="AQ645" s="169"/>
      <c r="AR645" s="169"/>
    </row>
    <row r="646" spans="1:44" ht="12.5">
      <c r="A646" s="169"/>
      <c r="B646" s="186"/>
      <c r="C646" s="186"/>
      <c r="D646" s="187"/>
      <c r="E646" s="6"/>
      <c r="F646" s="6"/>
      <c r="G646" s="6"/>
      <c r="H646" s="169"/>
      <c r="I646" s="169"/>
      <c r="J646" s="6"/>
      <c r="K646" s="188"/>
      <c r="L646" s="189"/>
      <c r="M646" s="189"/>
      <c r="N646" s="6"/>
      <c r="O646" s="6"/>
      <c r="P646" s="6"/>
      <c r="Q646" s="169"/>
      <c r="R646" s="6"/>
      <c r="S646" s="6"/>
      <c r="T646" s="169"/>
      <c r="U646" s="6"/>
      <c r="V646" s="169"/>
      <c r="W646" s="169"/>
      <c r="X646" s="169"/>
      <c r="Y646" s="169"/>
      <c r="Z646" s="169"/>
      <c r="AA646" s="169"/>
      <c r="AB646" s="169"/>
      <c r="AC646" s="169"/>
      <c r="AD646" s="169"/>
      <c r="AE646" s="169"/>
      <c r="AF646" s="169"/>
      <c r="AG646" s="169"/>
      <c r="AH646" s="169"/>
      <c r="AI646" s="169"/>
      <c r="AJ646" s="169"/>
      <c r="AK646" s="169"/>
      <c r="AL646" s="169"/>
      <c r="AM646" s="169"/>
      <c r="AN646" s="169"/>
      <c r="AO646" s="169"/>
      <c r="AP646" s="169"/>
      <c r="AQ646" s="169"/>
      <c r="AR646" s="169"/>
    </row>
    <row r="647" spans="1:44" ht="12.5">
      <c r="A647" s="169"/>
      <c r="B647" s="186"/>
      <c r="C647" s="186"/>
      <c r="D647" s="187"/>
      <c r="E647" s="6"/>
      <c r="F647" s="6"/>
      <c r="G647" s="6"/>
      <c r="H647" s="169"/>
      <c r="I647" s="169"/>
      <c r="J647" s="6"/>
      <c r="K647" s="188"/>
      <c r="L647" s="189"/>
      <c r="M647" s="189"/>
      <c r="N647" s="6"/>
      <c r="O647" s="6"/>
      <c r="P647" s="6"/>
      <c r="Q647" s="169"/>
      <c r="R647" s="6"/>
      <c r="S647" s="6"/>
      <c r="T647" s="169"/>
      <c r="U647" s="6"/>
      <c r="V647" s="169"/>
      <c r="W647" s="169"/>
      <c r="X647" s="169"/>
      <c r="Y647" s="169"/>
      <c r="Z647" s="169"/>
      <c r="AA647" s="169"/>
      <c r="AB647" s="169"/>
      <c r="AC647" s="169"/>
      <c r="AD647" s="169"/>
      <c r="AE647" s="169"/>
      <c r="AF647" s="169"/>
      <c r="AG647" s="169"/>
      <c r="AH647" s="169"/>
      <c r="AI647" s="169"/>
      <c r="AJ647" s="169"/>
      <c r="AK647" s="169"/>
      <c r="AL647" s="169"/>
      <c r="AM647" s="169"/>
      <c r="AN647" s="169"/>
      <c r="AO647" s="169"/>
      <c r="AP647" s="169"/>
      <c r="AQ647" s="169"/>
      <c r="AR647" s="169"/>
    </row>
    <row r="648" spans="1:44" ht="12.5">
      <c r="A648" s="169"/>
      <c r="B648" s="186"/>
      <c r="C648" s="186"/>
      <c r="D648" s="187"/>
      <c r="E648" s="6"/>
      <c r="F648" s="6"/>
      <c r="G648" s="6"/>
      <c r="H648" s="169"/>
      <c r="I648" s="169"/>
      <c r="J648" s="6"/>
      <c r="K648" s="188"/>
      <c r="L648" s="189"/>
      <c r="M648" s="189"/>
      <c r="N648" s="6"/>
      <c r="O648" s="6"/>
      <c r="P648" s="6"/>
      <c r="Q648" s="169"/>
      <c r="R648" s="6"/>
      <c r="S648" s="6"/>
      <c r="T648" s="169"/>
      <c r="U648" s="6"/>
      <c r="V648" s="169"/>
      <c r="W648" s="169"/>
      <c r="X648" s="169"/>
      <c r="Y648" s="169"/>
      <c r="Z648" s="169"/>
      <c r="AA648" s="169"/>
      <c r="AB648" s="169"/>
      <c r="AC648" s="169"/>
      <c r="AD648" s="169"/>
      <c r="AE648" s="169"/>
      <c r="AF648" s="169"/>
      <c r="AG648" s="169"/>
      <c r="AH648" s="169"/>
      <c r="AI648" s="169"/>
      <c r="AJ648" s="169"/>
      <c r="AK648" s="169"/>
      <c r="AL648" s="169"/>
      <c r="AM648" s="169"/>
      <c r="AN648" s="169"/>
      <c r="AO648" s="169"/>
      <c r="AP648" s="169"/>
      <c r="AQ648" s="169"/>
      <c r="AR648" s="169"/>
    </row>
    <row r="649" spans="1:44" ht="12.5">
      <c r="A649" s="169"/>
      <c r="B649" s="186"/>
      <c r="C649" s="186"/>
      <c r="D649" s="187"/>
      <c r="E649" s="6"/>
      <c r="F649" s="6"/>
      <c r="G649" s="6"/>
      <c r="H649" s="169"/>
      <c r="I649" s="169"/>
      <c r="J649" s="6"/>
      <c r="K649" s="188"/>
      <c r="L649" s="189"/>
      <c r="M649" s="189"/>
      <c r="N649" s="6"/>
      <c r="O649" s="6"/>
      <c r="P649" s="6"/>
      <c r="Q649" s="169"/>
      <c r="R649" s="6"/>
      <c r="S649" s="6"/>
      <c r="T649" s="169"/>
      <c r="U649" s="6"/>
      <c r="V649" s="169"/>
      <c r="W649" s="169"/>
      <c r="X649" s="169"/>
      <c r="Y649" s="169"/>
      <c r="Z649" s="169"/>
      <c r="AA649" s="169"/>
      <c r="AB649" s="169"/>
      <c r="AC649" s="169"/>
      <c r="AD649" s="169"/>
      <c r="AE649" s="169"/>
      <c r="AF649" s="169"/>
      <c r="AG649" s="169"/>
      <c r="AH649" s="169"/>
      <c r="AI649" s="169"/>
      <c r="AJ649" s="169"/>
      <c r="AK649" s="169"/>
      <c r="AL649" s="169"/>
      <c r="AM649" s="169"/>
      <c r="AN649" s="169"/>
      <c r="AO649" s="169"/>
      <c r="AP649" s="169"/>
      <c r="AQ649" s="169"/>
      <c r="AR649" s="169"/>
    </row>
    <row r="650" spans="1:44" ht="12.5">
      <c r="A650" s="169"/>
      <c r="B650" s="186"/>
      <c r="C650" s="186"/>
      <c r="D650" s="187"/>
      <c r="E650" s="6"/>
      <c r="F650" s="6"/>
      <c r="G650" s="6"/>
      <c r="H650" s="169"/>
      <c r="I650" s="169"/>
      <c r="J650" s="6"/>
      <c r="K650" s="188"/>
      <c r="L650" s="189"/>
      <c r="M650" s="189"/>
      <c r="N650" s="6"/>
      <c r="O650" s="6"/>
      <c r="P650" s="6"/>
      <c r="Q650" s="169"/>
      <c r="R650" s="6"/>
      <c r="S650" s="6"/>
      <c r="T650" s="169"/>
      <c r="U650" s="6"/>
      <c r="V650" s="169"/>
      <c r="W650" s="169"/>
      <c r="X650" s="169"/>
      <c r="Y650" s="169"/>
      <c r="Z650" s="169"/>
      <c r="AA650" s="169"/>
      <c r="AB650" s="169"/>
      <c r="AC650" s="169"/>
      <c r="AD650" s="169"/>
      <c r="AE650" s="169"/>
      <c r="AF650" s="169"/>
      <c r="AG650" s="169"/>
      <c r="AH650" s="169"/>
      <c r="AI650" s="169"/>
      <c r="AJ650" s="169"/>
      <c r="AK650" s="169"/>
      <c r="AL650" s="169"/>
      <c r="AM650" s="169"/>
      <c r="AN650" s="169"/>
      <c r="AO650" s="169"/>
      <c r="AP650" s="169"/>
      <c r="AQ650" s="169"/>
      <c r="AR650" s="169"/>
    </row>
    <row r="651" spans="1:44" ht="12.5">
      <c r="A651" s="169"/>
      <c r="B651" s="186"/>
      <c r="C651" s="186"/>
      <c r="D651" s="187"/>
      <c r="E651" s="6"/>
      <c r="F651" s="6"/>
      <c r="G651" s="6"/>
      <c r="H651" s="169"/>
      <c r="I651" s="169"/>
      <c r="J651" s="6"/>
      <c r="K651" s="188"/>
      <c r="L651" s="189"/>
      <c r="M651" s="189"/>
      <c r="N651" s="6"/>
      <c r="O651" s="6"/>
      <c r="P651" s="6"/>
      <c r="Q651" s="169"/>
      <c r="R651" s="6"/>
      <c r="S651" s="6"/>
      <c r="T651" s="169"/>
      <c r="U651" s="6"/>
      <c r="V651" s="169"/>
      <c r="W651" s="169"/>
      <c r="X651" s="169"/>
      <c r="Y651" s="169"/>
      <c r="Z651" s="169"/>
      <c r="AA651" s="169"/>
      <c r="AB651" s="169"/>
      <c r="AC651" s="169"/>
      <c r="AD651" s="169"/>
      <c r="AE651" s="169"/>
      <c r="AF651" s="169"/>
      <c r="AG651" s="169"/>
      <c r="AH651" s="169"/>
      <c r="AI651" s="169"/>
      <c r="AJ651" s="169"/>
      <c r="AK651" s="169"/>
      <c r="AL651" s="169"/>
      <c r="AM651" s="169"/>
      <c r="AN651" s="169"/>
      <c r="AO651" s="169"/>
      <c r="AP651" s="169"/>
      <c r="AQ651" s="169"/>
      <c r="AR651" s="169"/>
    </row>
    <row r="652" spans="1:44" ht="12.5">
      <c r="A652" s="169"/>
      <c r="B652" s="186"/>
      <c r="C652" s="186"/>
      <c r="D652" s="187"/>
      <c r="E652" s="6"/>
      <c r="F652" s="6"/>
      <c r="G652" s="6"/>
      <c r="H652" s="169"/>
      <c r="I652" s="169"/>
      <c r="J652" s="6"/>
      <c r="K652" s="188"/>
      <c r="L652" s="189"/>
      <c r="M652" s="189"/>
      <c r="N652" s="6"/>
      <c r="O652" s="6"/>
      <c r="P652" s="6"/>
      <c r="Q652" s="169"/>
      <c r="R652" s="6"/>
      <c r="S652" s="6"/>
      <c r="T652" s="169"/>
      <c r="U652" s="6"/>
      <c r="V652" s="169"/>
      <c r="W652" s="169"/>
      <c r="X652" s="169"/>
      <c r="Y652" s="169"/>
      <c r="Z652" s="169"/>
      <c r="AA652" s="169"/>
      <c r="AB652" s="169"/>
      <c r="AC652" s="169"/>
      <c r="AD652" s="169"/>
      <c r="AE652" s="169"/>
      <c r="AF652" s="169"/>
      <c r="AG652" s="169"/>
      <c r="AH652" s="169"/>
      <c r="AI652" s="169"/>
      <c r="AJ652" s="169"/>
      <c r="AK652" s="169"/>
      <c r="AL652" s="169"/>
      <c r="AM652" s="169"/>
      <c r="AN652" s="169"/>
      <c r="AO652" s="169"/>
      <c r="AP652" s="169"/>
      <c r="AQ652" s="169"/>
      <c r="AR652" s="169"/>
    </row>
    <row r="653" spans="1:44" ht="12.5">
      <c r="A653" s="169"/>
      <c r="B653" s="186"/>
      <c r="C653" s="186"/>
      <c r="D653" s="187"/>
      <c r="E653" s="6"/>
      <c r="F653" s="6"/>
      <c r="G653" s="6"/>
      <c r="H653" s="169"/>
      <c r="I653" s="169"/>
      <c r="J653" s="6"/>
      <c r="K653" s="188"/>
      <c r="L653" s="189"/>
      <c r="M653" s="189"/>
      <c r="N653" s="6"/>
      <c r="O653" s="6"/>
      <c r="P653" s="6"/>
      <c r="Q653" s="169"/>
      <c r="R653" s="6"/>
      <c r="S653" s="6"/>
      <c r="T653" s="169"/>
      <c r="U653" s="6"/>
      <c r="V653" s="169"/>
      <c r="W653" s="169"/>
      <c r="X653" s="169"/>
      <c r="Y653" s="169"/>
      <c r="Z653" s="169"/>
      <c r="AA653" s="169"/>
      <c r="AB653" s="169"/>
      <c r="AC653" s="169"/>
      <c r="AD653" s="169"/>
      <c r="AE653" s="169"/>
      <c r="AF653" s="169"/>
      <c r="AG653" s="169"/>
      <c r="AH653" s="169"/>
      <c r="AI653" s="169"/>
      <c r="AJ653" s="169"/>
      <c r="AK653" s="169"/>
      <c r="AL653" s="169"/>
      <c r="AM653" s="169"/>
      <c r="AN653" s="169"/>
      <c r="AO653" s="169"/>
      <c r="AP653" s="169"/>
      <c r="AQ653" s="169"/>
      <c r="AR653" s="169"/>
    </row>
    <row r="654" spans="1:44" ht="12.5">
      <c r="A654" s="169"/>
      <c r="B654" s="186"/>
      <c r="C654" s="186"/>
      <c r="D654" s="187"/>
      <c r="E654" s="6"/>
      <c r="F654" s="6"/>
      <c r="G654" s="6"/>
      <c r="H654" s="169"/>
      <c r="I654" s="169"/>
      <c r="J654" s="6"/>
      <c r="K654" s="188"/>
      <c r="L654" s="189"/>
      <c r="M654" s="189"/>
      <c r="N654" s="6"/>
      <c r="O654" s="6"/>
      <c r="P654" s="6"/>
      <c r="Q654" s="169"/>
      <c r="R654" s="6"/>
      <c r="S654" s="6"/>
      <c r="T654" s="169"/>
      <c r="U654" s="6"/>
      <c r="V654" s="169"/>
      <c r="W654" s="169"/>
      <c r="X654" s="169"/>
      <c r="Y654" s="169"/>
      <c r="Z654" s="169"/>
      <c r="AA654" s="169"/>
      <c r="AB654" s="169"/>
      <c r="AC654" s="169"/>
      <c r="AD654" s="169"/>
      <c r="AE654" s="169"/>
      <c r="AF654" s="169"/>
      <c r="AG654" s="169"/>
      <c r="AH654" s="169"/>
      <c r="AI654" s="169"/>
      <c r="AJ654" s="169"/>
      <c r="AK654" s="169"/>
      <c r="AL654" s="169"/>
      <c r="AM654" s="169"/>
      <c r="AN654" s="169"/>
      <c r="AO654" s="169"/>
      <c r="AP654" s="169"/>
      <c r="AQ654" s="169"/>
      <c r="AR654" s="169"/>
    </row>
    <row r="655" spans="1:44" ht="12.5">
      <c r="A655" s="169"/>
      <c r="B655" s="186"/>
      <c r="C655" s="186"/>
      <c r="D655" s="187"/>
      <c r="E655" s="6"/>
      <c r="F655" s="6"/>
      <c r="G655" s="6"/>
      <c r="H655" s="169"/>
      <c r="I655" s="169"/>
      <c r="J655" s="6"/>
      <c r="K655" s="188"/>
      <c r="L655" s="189"/>
      <c r="M655" s="189"/>
      <c r="N655" s="6"/>
      <c r="O655" s="6"/>
      <c r="P655" s="6"/>
      <c r="Q655" s="169"/>
      <c r="R655" s="6"/>
      <c r="S655" s="6"/>
      <c r="T655" s="169"/>
      <c r="U655" s="6"/>
      <c r="V655" s="169"/>
      <c r="W655" s="169"/>
      <c r="X655" s="169"/>
      <c r="Y655" s="169"/>
      <c r="Z655" s="169"/>
      <c r="AA655" s="169"/>
      <c r="AB655" s="169"/>
      <c r="AC655" s="169"/>
      <c r="AD655" s="169"/>
      <c r="AE655" s="169"/>
      <c r="AF655" s="169"/>
      <c r="AG655" s="169"/>
      <c r="AH655" s="169"/>
      <c r="AI655" s="169"/>
      <c r="AJ655" s="169"/>
      <c r="AK655" s="169"/>
      <c r="AL655" s="169"/>
      <c r="AM655" s="169"/>
      <c r="AN655" s="169"/>
      <c r="AO655" s="169"/>
      <c r="AP655" s="169"/>
      <c r="AQ655" s="169"/>
      <c r="AR655" s="169"/>
    </row>
    <row r="656" spans="1:44" ht="12.5">
      <c r="A656" s="169"/>
      <c r="B656" s="186"/>
      <c r="C656" s="186"/>
      <c r="D656" s="187"/>
      <c r="E656" s="6"/>
      <c r="F656" s="6"/>
      <c r="G656" s="6"/>
      <c r="H656" s="169"/>
      <c r="I656" s="169"/>
      <c r="J656" s="6"/>
      <c r="K656" s="188"/>
      <c r="L656" s="189"/>
      <c r="M656" s="189"/>
      <c r="N656" s="6"/>
      <c r="O656" s="6"/>
      <c r="P656" s="6"/>
      <c r="Q656" s="169"/>
      <c r="R656" s="6"/>
      <c r="S656" s="6"/>
      <c r="T656" s="169"/>
      <c r="U656" s="6"/>
      <c r="V656" s="169"/>
      <c r="W656" s="169"/>
      <c r="X656" s="169"/>
      <c r="Y656" s="169"/>
      <c r="Z656" s="169"/>
      <c r="AA656" s="169"/>
      <c r="AB656" s="169"/>
      <c r="AC656" s="169"/>
      <c r="AD656" s="169"/>
      <c r="AE656" s="169"/>
      <c r="AF656" s="169"/>
      <c r="AG656" s="169"/>
      <c r="AH656" s="169"/>
      <c r="AI656" s="169"/>
      <c r="AJ656" s="169"/>
      <c r="AK656" s="169"/>
      <c r="AL656" s="169"/>
      <c r="AM656" s="169"/>
      <c r="AN656" s="169"/>
      <c r="AO656" s="169"/>
      <c r="AP656" s="169"/>
      <c r="AQ656" s="169"/>
      <c r="AR656" s="169"/>
    </row>
    <row r="657" spans="1:44" ht="12.5">
      <c r="A657" s="169"/>
      <c r="B657" s="186"/>
      <c r="C657" s="186"/>
      <c r="D657" s="187"/>
      <c r="E657" s="6"/>
      <c r="F657" s="6"/>
      <c r="G657" s="6"/>
      <c r="H657" s="169"/>
      <c r="I657" s="169"/>
      <c r="J657" s="6"/>
      <c r="K657" s="188"/>
      <c r="L657" s="189"/>
      <c r="M657" s="189"/>
      <c r="N657" s="6"/>
      <c r="O657" s="6"/>
      <c r="P657" s="6"/>
      <c r="Q657" s="169"/>
      <c r="R657" s="6"/>
      <c r="S657" s="6"/>
      <c r="T657" s="169"/>
      <c r="U657" s="6"/>
      <c r="V657" s="169"/>
      <c r="W657" s="169"/>
      <c r="X657" s="169"/>
      <c r="Y657" s="169"/>
      <c r="Z657" s="169"/>
      <c r="AA657" s="169"/>
      <c r="AB657" s="169"/>
      <c r="AC657" s="169"/>
      <c r="AD657" s="169"/>
      <c r="AE657" s="169"/>
      <c r="AF657" s="169"/>
      <c r="AG657" s="169"/>
      <c r="AH657" s="169"/>
      <c r="AI657" s="169"/>
      <c r="AJ657" s="169"/>
      <c r="AK657" s="169"/>
      <c r="AL657" s="169"/>
      <c r="AM657" s="169"/>
      <c r="AN657" s="169"/>
      <c r="AO657" s="169"/>
      <c r="AP657" s="169"/>
      <c r="AQ657" s="169"/>
      <c r="AR657" s="169"/>
    </row>
    <row r="658" spans="1:44" ht="12.5">
      <c r="A658" s="169"/>
      <c r="B658" s="186"/>
      <c r="C658" s="186"/>
      <c r="D658" s="187"/>
      <c r="E658" s="6"/>
      <c r="F658" s="6"/>
      <c r="G658" s="6"/>
      <c r="H658" s="169"/>
      <c r="I658" s="169"/>
      <c r="J658" s="6"/>
      <c r="K658" s="188"/>
      <c r="L658" s="189"/>
      <c r="M658" s="189"/>
      <c r="N658" s="6"/>
      <c r="O658" s="6"/>
      <c r="P658" s="6"/>
      <c r="Q658" s="169"/>
      <c r="R658" s="6"/>
      <c r="S658" s="6"/>
      <c r="T658" s="169"/>
      <c r="U658" s="6"/>
      <c r="V658" s="169"/>
      <c r="W658" s="169"/>
      <c r="X658" s="169"/>
      <c r="Y658" s="169"/>
      <c r="Z658" s="169"/>
      <c r="AA658" s="169"/>
      <c r="AB658" s="169"/>
      <c r="AC658" s="169"/>
      <c r="AD658" s="169"/>
      <c r="AE658" s="169"/>
      <c r="AF658" s="169"/>
      <c r="AG658" s="169"/>
      <c r="AH658" s="169"/>
      <c r="AI658" s="169"/>
      <c r="AJ658" s="169"/>
      <c r="AK658" s="169"/>
      <c r="AL658" s="169"/>
      <c r="AM658" s="169"/>
      <c r="AN658" s="169"/>
      <c r="AO658" s="169"/>
      <c r="AP658" s="169"/>
      <c r="AQ658" s="169"/>
      <c r="AR658" s="169"/>
    </row>
    <row r="659" spans="1:44" ht="12.5">
      <c r="A659" s="169"/>
      <c r="B659" s="186"/>
      <c r="C659" s="186"/>
      <c r="D659" s="187"/>
      <c r="E659" s="6"/>
      <c r="F659" s="6"/>
      <c r="G659" s="6"/>
      <c r="H659" s="169"/>
      <c r="I659" s="169"/>
      <c r="J659" s="6"/>
      <c r="K659" s="188"/>
      <c r="L659" s="189"/>
      <c r="M659" s="189"/>
      <c r="N659" s="6"/>
      <c r="O659" s="6"/>
      <c r="P659" s="6"/>
      <c r="Q659" s="169"/>
      <c r="R659" s="6"/>
      <c r="S659" s="6"/>
      <c r="T659" s="169"/>
      <c r="U659" s="6"/>
      <c r="V659" s="169"/>
      <c r="W659" s="169"/>
      <c r="X659" s="169"/>
      <c r="Y659" s="169"/>
      <c r="Z659" s="169"/>
      <c r="AA659" s="169"/>
      <c r="AB659" s="169"/>
      <c r="AC659" s="169"/>
      <c r="AD659" s="169"/>
      <c r="AE659" s="169"/>
      <c r="AF659" s="169"/>
      <c r="AG659" s="169"/>
      <c r="AH659" s="169"/>
      <c r="AI659" s="169"/>
      <c r="AJ659" s="169"/>
      <c r="AK659" s="169"/>
      <c r="AL659" s="169"/>
      <c r="AM659" s="169"/>
      <c r="AN659" s="169"/>
      <c r="AO659" s="169"/>
      <c r="AP659" s="169"/>
      <c r="AQ659" s="169"/>
      <c r="AR659" s="169"/>
    </row>
    <row r="660" spans="1:44" ht="12.5">
      <c r="A660" s="169"/>
      <c r="B660" s="186"/>
      <c r="C660" s="186"/>
      <c r="D660" s="187"/>
      <c r="E660" s="6"/>
      <c r="F660" s="6"/>
      <c r="G660" s="6"/>
      <c r="H660" s="169"/>
      <c r="I660" s="169"/>
      <c r="J660" s="6"/>
      <c r="K660" s="188"/>
      <c r="L660" s="189"/>
      <c r="M660" s="189"/>
      <c r="N660" s="6"/>
      <c r="O660" s="6"/>
      <c r="P660" s="6"/>
      <c r="Q660" s="169"/>
      <c r="R660" s="6"/>
      <c r="S660" s="6"/>
      <c r="T660" s="169"/>
      <c r="U660" s="6"/>
      <c r="V660" s="169"/>
      <c r="W660" s="169"/>
      <c r="X660" s="169"/>
      <c r="Y660" s="169"/>
      <c r="Z660" s="169"/>
      <c r="AA660" s="169"/>
      <c r="AB660" s="169"/>
      <c r="AC660" s="169"/>
      <c r="AD660" s="169"/>
      <c r="AE660" s="169"/>
      <c r="AF660" s="169"/>
      <c r="AG660" s="169"/>
      <c r="AH660" s="169"/>
      <c r="AI660" s="169"/>
      <c r="AJ660" s="169"/>
      <c r="AK660" s="169"/>
      <c r="AL660" s="169"/>
      <c r="AM660" s="169"/>
      <c r="AN660" s="169"/>
      <c r="AO660" s="169"/>
      <c r="AP660" s="169"/>
      <c r="AQ660" s="169"/>
      <c r="AR660" s="169"/>
    </row>
    <row r="661" spans="1:44" ht="12.5">
      <c r="A661" s="169"/>
      <c r="B661" s="186"/>
      <c r="C661" s="186"/>
      <c r="D661" s="187"/>
      <c r="E661" s="6"/>
      <c r="F661" s="6"/>
      <c r="G661" s="6"/>
      <c r="H661" s="169"/>
      <c r="I661" s="169"/>
      <c r="J661" s="6"/>
      <c r="K661" s="188"/>
      <c r="L661" s="189"/>
      <c r="M661" s="189"/>
      <c r="N661" s="6"/>
      <c r="O661" s="6"/>
      <c r="P661" s="6"/>
      <c r="Q661" s="169"/>
      <c r="R661" s="6"/>
      <c r="S661" s="6"/>
      <c r="T661" s="169"/>
      <c r="U661" s="6"/>
      <c r="V661" s="169"/>
      <c r="W661" s="169"/>
      <c r="X661" s="169"/>
      <c r="Y661" s="169"/>
      <c r="Z661" s="169"/>
      <c r="AA661" s="169"/>
      <c r="AB661" s="169"/>
      <c r="AC661" s="169"/>
      <c r="AD661" s="169"/>
      <c r="AE661" s="169"/>
      <c r="AF661" s="169"/>
      <c r="AG661" s="169"/>
      <c r="AH661" s="169"/>
      <c r="AI661" s="169"/>
      <c r="AJ661" s="169"/>
      <c r="AK661" s="169"/>
      <c r="AL661" s="169"/>
      <c r="AM661" s="169"/>
      <c r="AN661" s="169"/>
      <c r="AO661" s="169"/>
      <c r="AP661" s="169"/>
      <c r="AQ661" s="169"/>
      <c r="AR661" s="169"/>
    </row>
    <row r="662" spans="1:44" ht="12.5">
      <c r="A662" s="169"/>
      <c r="B662" s="186"/>
      <c r="C662" s="186"/>
      <c r="D662" s="187"/>
      <c r="E662" s="6"/>
      <c r="F662" s="6"/>
      <c r="G662" s="6"/>
      <c r="H662" s="169"/>
      <c r="I662" s="169"/>
      <c r="J662" s="6"/>
      <c r="K662" s="188"/>
      <c r="L662" s="189"/>
      <c r="M662" s="189"/>
      <c r="N662" s="6"/>
      <c r="O662" s="6"/>
      <c r="P662" s="6"/>
      <c r="Q662" s="169"/>
      <c r="R662" s="6"/>
      <c r="S662" s="6"/>
      <c r="T662" s="169"/>
      <c r="U662" s="6"/>
      <c r="V662" s="169"/>
      <c r="W662" s="169"/>
      <c r="X662" s="169"/>
      <c r="Y662" s="169"/>
      <c r="Z662" s="169"/>
      <c r="AA662" s="169"/>
      <c r="AB662" s="169"/>
      <c r="AC662" s="169"/>
      <c r="AD662" s="169"/>
      <c r="AE662" s="169"/>
      <c r="AF662" s="169"/>
      <c r="AG662" s="169"/>
      <c r="AH662" s="169"/>
      <c r="AI662" s="169"/>
      <c r="AJ662" s="169"/>
      <c r="AK662" s="169"/>
      <c r="AL662" s="169"/>
      <c r="AM662" s="169"/>
      <c r="AN662" s="169"/>
      <c r="AO662" s="169"/>
      <c r="AP662" s="169"/>
      <c r="AQ662" s="169"/>
      <c r="AR662" s="169"/>
    </row>
    <row r="663" spans="1:44" ht="12.5">
      <c r="A663" s="169"/>
      <c r="B663" s="186"/>
      <c r="C663" s="186"/>
      <c r="D663" s="187"/>
      <c r="E663" s="6"/>
      <c r="F663" s="6"/>
      <c r="G663" s="6"/>
      <c r="H663" s="169"/>
      <c r="I663" s="169"/>
      <c r="J663" s="6"/>
      <c r="K663" s="188"/>
      <c r="L663" s="189"/>
      <c r="M663" s="189"/>
      <c r="N663" s="6"/>
      <c r="O663" s="6"/>
      <c r="P663" s="6"/>
      <c r="Q663" s="169"/>
      <c r="R663" s="6"/>
      <c r="S663" s="6"/>
      <c r="T663" s="169"/>
      <c r="U663" s="6"/>
      <c r="V663" s="169"/>
      <c r="W663" s="169"/>
      <c r="X663" s="169"/>
      <c r="Y663" s="169"/>
      <c r="Z663" s="169"/>
      <c r="AA663" s="169"/>
      <c r="AB663" s="169"/>
      <c r="AC663" s="169"/>
      <c r="AD663" s="169"/>
      <c r="AE663" s="169"/>
      <c r="AF663" s="169"/>
      <c r="AG663" s="169"/>
      <c r="AH663" s="169"/>
      <c r="AI663" s="169"/>
      <c r="AJ663" s="169"/>
      <c r="AK663" s="169"/>
      <c r="AL663" s="169"/>
      <c r="AM663" s="169"/>
      <c r="AN663" s="169"/>
      <c r="AO663" s="169"/>
      <c r="AP663" s="169"/>
      <c r="AQ663" s="169"/>
      <c r="AR663" s="169"/>
    </row>
    <row r="664" spans="1:44" ht="12.5">
      <c r="A664" s="169"/>
      <c r="B664" s="186"/>
      <c r="C664" s="186"/>
      <c r="D664" s="187"/>
      <c r="E664" s="6"/>
      <c r="F664" s="6"/>
      <c r="G664" s="6"/>
      <c r="H664" s="169"/>
      <c r="I664" s="169"/>
      <c r="J664" s="6"/>
      <c r="K664" s="188"/>
      <c r="L664" s="189"/>
      <c r="M664" s="189"/>
      <c r="N664" s="6"/>
      <c r="O664" s="6"/>
      <c r="P664" s="6"/>
      <c r="Q664" s="169"/>
      <c r="R664" s="6"/>
      <c r="S664" s="6"/>
      <c r="T664" s="169"/>
      <c r="U664" s="6"/>
      <c r="V664" s="169"/>
      <c r="W664" s="169"/>
      <c r="X664" s="169"/>
      <c r="Y664" s="169"/>
      <c r="Z664" s="169"/>
      <c r="AA664" s="169"/>
      <c r="AB664" s="169"/>
      <c r="AC664" s="169"/>
      <c r="AD664" s="169"/>
      <c r="AE664" s="169"/>
      <c r="AF664" s="169"/>
      <c r="AG664" s="169"/>
      <c r="AH664" s="169"/>
      <c r="AI664" s="169"/>
      <c r="AJ664" s="169"/>
      <c r="AK664" s="169"/>
      <c r="AL664" s="169"/>
      <c r="AM664" s="169"/>
      <c r="AN664" s="169"/>
      <c r="AO664" s="169"/>
      <c r="AP664" s="169"/>
      <c r="AQ664" s="169"/>
      <c r="AR664" s="169"/>
    </row>
    <row r="665" spans="1:44" ht="12.5">
      <c r="A665" s="169"/>
      <c r="B665" s="186"/>
      <c r="C665" s="186"/>
      <c r="D665" s="187"/>
      <c r="E665" s="6"/>
      <c r="F665" s="6"/>
      <c r="G665" s="6"/>
      <c r="H665" s="169"/>
      <c r="I665" s="169"/>
      <c r="J665" s="6"/>
      <c r="K665" s="188"/>
      <c r="L665" s="189"/>
      <c r="M665" s="189"/>
      <c r="N665" s="6"/>
      <c r="O665" s="6"/>
      <c r="P665" s="6"/>
      <c r="Q665" s="169"/>
      <c r="R665" s="6"/>
      <c r="S665" s="6"/>
      <c r="T665" s="169"/>
      <c r="U665" s="6"/>
      <c r="V665" s="169"/>
      <c r="W665" s="169"/>
      <c r="X665" s="169"/>
      <c r="Y665" s="169"/>
      <c r="Z665" s="169"/>
      <c r="AA665" s="169"/>
      <c r="AB665" s="169"/>
      <c r="AC665" s="169"/>
      <c r="AD665" s="169"/>
      <c r="AE665" s="169"/>
      <c r="AF665" s="169"/>
      <c r="AG665" s="169"/>
      <c r="AH665" s="169"/>
      <c r="AI665" s="169"/>
      <c r="AJ665" s="169"/>
      <c r="AK665" s="169"/>
      <c r="AL665" s="169"/>
      <c r="AM665" s="169"/>
      <c r="AN665" s="169"/>
      <c r="AO665" s="169"/>
      <c r="AP665" s="169"/>
      <c r="AQ665" s="169"/>
      <c r="AR665" s="169"/>
    </row>
    <row r="666" spans="1:44" ht="12.5">
      <c r="A666" s="169"/>
      <c r="B666" s="186"/>
      <c r="C666" s="186"/>
      <c r="D666" s="187"/>
      <c r="E666" s="6"/>
      <c r="F666" s="6"/>
      <c r="G666" s="6"/>
      <c r="H666" s="169"/>
      <c r="I666" s="169"/>
      <c r="J666" s="6"/>
      <c r="K666" s="188"/>
      <c r="L666" s="189"/>
      <c r="M666" s="189"/>
      <c r="N666" s="6"/>
      <c r="O666" s="6"/>
      <c r="P666" s="6"/>
      <c r="Q666" s="169"/>
      <c r="R666" s="6"/>
      <c r="S666" s="6"/>
      <c r="T666" s="169"/>
      <c r="U666" s="6"/>
      <c r="V666" s="169"/>
      <c r="W666" s="169"/>
      <c r="X666" s="169"/>
      <c r="Y666" s="169"/>
      <c r="Z666" s="169"/>
      <c r="AA666" s="169"/>
      <c r="AB666" s="169"/>
      <c r="AC666" s="169"/>
      <c r="AD666" s="169"/>
      <c r="AE666" s="169"/>
      <c r="AF666" s="169"/>
      <c r="AG666" s="169"/>
      <c r="AH666" s="169"/>
      <c r="AI666" s="169"/>
      <c r="AJ666" s="169"/>
      <c r="AK666" s="169"/>
      <c r="AL666" s="169"/>
      <c r="AM666" s="169"/>
      <c r="AN666" s="169"/>
      <c r="AO666" s="169"/>
      <c r="AP666" s="169"/>
      <c r="AQ666" s="169"/>
      <c r="AR666" s="169"/>
    </row>
    <row r="667" spans="1:44" ht="12.5">
      <c r="A667" s="169"/>
      <c r="B667" s="186"/>
      <c r="C667" s="186"/>
      <c r="D667" s="187"/>
      <c r="E667" s="6"/>
      <c r="F667" s="6"/>
      <c r="G667" s="6"/>
      <c r="H667" s="169"/>
      <c r="I667" s="169"/>
      <c r="J667" s="6"/>
      <c r="K667" s="188"/>
      <c r="L667" s="189"/>
      <c r="M667" s="189"/>
      <c r="N667" s="6"/>
      <c r="O667" s="6"/>
      <c r="P667" s="6"/>
      <c r="Q667" s="169"/>
      <c r="R667" s="6"/>
      <c r="S667" s="6"/>
      <c r="T667" s="169"/>
      <c r="U667" s="6"/>
      <c r="V667" s="169"/>
      <c r="W667" s="169"/>
      <c r="X667" s="169"/>
      <c r="Y667" s="169"/>
      <c r="Z667" s="169"/>
      <c r="AA667" s="169"/>
      <c r="AB667" s="169"/>
      <c r="AC667" s="169"/>
      <c r="AD667" s="169"/>
      <c r="AE667" s="169"/>
      <c r="AF667" s="169"/>
      <c r="AG667" s="169"/>
      <c r="AH667" s="169"/>
      <c r="AI667" s="169"/>
      <c r="AJ667" s="169"/>
      <c r="AK667" s="169"/>
      <c r="AL667" s="169"/>
      <c r="AM667" s="169"/>
      <c r="AN667" s="169"/>
      <c r="AO667" s="169"/>
      <c r="AP667" s="169"/>
      <c r="AQ667" s="169"/>
      <c r="AR667" s="169"/>
    </row>
    <row r="668" spans="1:44" ht="12.5">
      <c r="A668" s="169"/>
      <c r="B668" s="186"/>
      <c r="C668" s="186"/>
      <c r="D668" s="187"/>
      <c r="E668" s="6"/>
      <c r="F668" s="6"/>
      <c r="G668" s="6"/>
      <c r="H668" s="169"/>
      <c r="I668" s="169"/>
      <c r="J668" s="6"/>
      <c r="K668" s="188"/>
      <c r="L668" s="189"/>
      <c r="M668" s="189"/>
      <c r="N668" s="6"/>
      <c r="O668" s="6"/>
      <c r="P668" s="6"/>
      <c r="Q668" s="169"/>
      <c r="R668" s="6"/>
      <c r="S668" s="6"/>
      <c r="T668" s="169"/>
      <c r="U668" s="6"/>
      <c r="V668" s="169"/>
      <c r="W668" s="169"/>
      <c r="X668" s="169"/>
      <c r="Y668" s="169"/>
      <c r="Z668" s="169"/>
      <c r="AA668" s="169"/>
      <c r="AB668" s="169"/>
      <c r="AC668" s="169"/>
      <c r="AD668" s="169"/>
      <c r="AE668" s="169"/>
      <c r="AF668" s="169"/>
      <c r="AG668" s="169"/>
      <c r="AH668" s="169"/>
      <c r="AI668" s="169"/>
      <c r="AJ668" s="169"/>
      <c r="AK668" s="169"/>
      <c r="AL668" s="169"/>
      <c r="AM668" s="169"/>
      <c r="AN668" s="169"/>
      <c r="AO668" s="169"/>
      <c r="AP668" s="169"/>
      <c r="AQ668" s="169"/>
      <c r="AR668" s="169"/>
    </row>
    <row r="669" spans="1:44" ht="12.5">
      <c r="A669" s="169"/>
      <c r="B669" s="186"/>
      <c r="C669" s="186"/>
      <c r="D669" s="187"/>
      <c r="E669" s="6"/>
      <c r="F669" s="6"/>
      <c r="G669" s="6"/>
      <c r="H669" s="169"/>
      <c r="I669" s="169"/>
      <c r="J669" s="6"/>
      <c r="K669" s="188"/>
      <c r="L669" s="189"/>
      <c r="M669" s="189"/>
      <c r="N669" s="6"/>
      <c r="O669" s="6"/>
      <c r="P669" s="6"/>
      <c r="Q669" s="169"/>
      <c r="R669" s="6"/>
      <c r="S669" s="6"/>
      <c r="T669" s="169"/>
      <c r="U669" s="6"/>
      <c r="V669" s="169"/>
      <c r="W669" s="169"/>
      <c r="X669" s="169"/>
      <c r="Y669" s="169"/>
      <c r="Z669" s="169"/>
      <c r="AA669" s="169"/>
      <c r="AB669" s="169"/>
      <c r="AC669" s="169"/>
      <c r="AD669" s="169"/>
      <c r="AE669" s="169"/>
      <c r="AF669" s="169"/>
      <c r="AG669" s="169"/>
      <c r="AH669" s="169"/>
      <c r="AI669" s="169"/>
      <c r="AJ669" s="169"/>
      <c r="AK669" s="169"/>
      <c r="AL669" s="169"/>
      <c r="AM669" s="169"/>
      <c r="AN669" s="169"/>
      <c r="AO669" s="169"/>
      <c r="AP669" s="169"/>
      <c r="AQ669" s="169"/>
      <c r="AR669" s="169"/>
    </row>
    <row r="670" spans="1:44" ht="12.5">
      <c r="A670" s="169"/>
      <c r="B670" s="186"/>
      <c r="C670" s="186"/>
      <c r="D670" s="187"/>
      <c r="E670" s="6"/>
      <c r="F670" s="6"/>
      <c r="G670" s="6"/>
      <c r="H670" s="169"/>
      <c r="I670" s="169"/>
      <c r="J670" s="6"/>
      <c r="K670" s="188"/>
      <c r="L670" s="189"/>
      <c r="M670" s="189"/>
      <c r="N670" s="6"/>
      <c r="O670" s="6"/>
      <c r="P670" s="6"/>
      <c r="Q670" s="169"/>
      <c r="R670" s="6"/>
      <c r="S670" s="6"/>
      <c r="T670" s="169"/>
      <c r="U670" s="6"/>
      <c r="V670" s="169"/>
      <c r="W670" s="169"/>
      <c r="X670" s="169"/>
      <c r="Y670" s="169"/>
      <c r="Z670" s="169"/>
      <c r="AA670" s="169"/>
      <c r="AB670" s="169"/>
      <c r="AC670" s="169"/>
      <c r="AD670" s="169"/>
      <c r="AE670" s="169"/>
      <c r="AF670" s="169"/>
      <c r="AG670" s="169"/>
      <c r="AH670" s="169"/>
      <c r="AI670" s="169"/>
      <c r="AJ670" s="169"/>
      <c r="AK670" s="169"/>
      <c r="AL670" s="169"/>
      <c r="AM670" s="169"/>
      <c r="AN670" s="169"/>
      <c r="AO670" s="169"/>
      <c r="AP670" s="169"/>
      <c r="AQ670" s="169"/>
      <c r="AR670" s="169"/>
    </row>
    <row r="671" spans="1:44" ht="12.5">
      <c r="A671" s="169"/>
      <c r="B671" s="186"/>
      <c r="C671" s="186"/>
      <c r="D671" s="187"/>
      <c r="E671" s="6"/>
      <c r="F671" s="6"/>
      <c r="G671" s="6"/>
      <c r="H671" s="169"/>
      <c r="I671" s="169"/>
      <c r="J671" s="6"/>
      <c r="K671" s="188"/>
      <c r="L671" s="189"/>
      <c r="M671" s="189"/>
      <c r="N671" s="6"/>
      <c r="O671" s="6"/>
      <c r="P671" s="6"/>
      <c r="Q671" s="169"/>
      <c r="R671" s="6"/>
      <c r="S671" s="6"/>
      <c r="T671" s="169"/>
      <c r="U671" s="6"/>
      <c r="V671" s="169"/>
      <c r="W671" s="169"/>
      <c r="X671" s="169"/>
      <c r="Y671" s="169"/>
      <c r="Z671" s="169"/>
      <c r="AA671" s="169"/>
      <c r="AB671" s="169"/>
      <c r="AC671" s="169"/>
      <c r="AD671" s="169"/>
      <c r="AE671" s="169"/>
      <c r="AF671" s="169"/>
      <c r="AG671" s="169"/>
      <c r="AH671" s="169"/>
      <c r="AI671" s="169"/>
      <c r="AJ671" s="169"/>
      <c r="AK671" s="169"/>
      <c r="AL671" s="169"/>
      <c r="AM671" s="169"/>
      <c r="AN671" s="169"/>
      <c r="AO671" s="169"/>
      <c r="AP671" s="169"/>
      <c r="AQ671" s="169"/>
      <c r="AR671" s="169"/>
    </row>
    <row r="672" spans="1:44" ht="12.5">
      <c r="A672" s="169"/>
      <c r="B672" s="186"/>
      <c r="C672" s="186"/>
      <c r="D672" s="187"/>
      <c r="E672" s="6"/>
      <c r="F672" s="6"/>
      <c r="G672" s="6"/>
      <c r="H672" s="169"/>
      <c r="I672" s="169"/>
      <c r="J672" s="6"/>
      <c r="K672" s="188"/>
      <c r="L672" s="189"/>
      <c r="M672" s="189"/>
      <c r="N672" s="6"/>
      <c r="O672" s="6"/>
      <c r="P672" s="6"/>
      <c r="Q672" s="169"/>
      <c r="R672" s="6"/>
      <c r="S672" s="6"/>
      <c r="T672" s="169"/>
      <c r="U672" s="6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  <c r="AI672" s="169"/>
      <c r="AJ672" s="169"/>
      <c r="AK672" s="169"/>
      <c r="AL672" s="169"/>
      <c r="AM672" s="169"/>
      <c r="AN672" s="169"/>
      <c r="AO672" s="169"/>
      <c r="AP672" s="169"/>
      <c r="AQ672" s="169"/>
      <c r="AR672" s="169"/>
    </row>
    <row r="673" spans="1:44" ht="12.5">
      <c r="A673" s="169"/>
      <c r="B673" s="186"/>
      <c r="C673" s="186"/>
      <c r="D673" s="187"/>
      <c r="E673" s="6"/>
      <c r="F673" s="6"/>
      <c r="G673" s="6"/>
      <c r="H673" s="169"/>
      <c r="I673" s="169"/>
      <c r="J673" s="6"/>
      <c r="K673" s="188"/>
      <c r="L673" s="189"/>
      <c r="M673" s="189"/>
      <c r="N673" s="6"/>
      <c r="O673" s="6"/>
      <c r="P673" s="6"/>
      <c r="Q673" s="169"/>
      <c r="R673" s="6"/>
      <c r="S673" s="6"/>
      <c r="T673" s="169"/>
      <c r="U673" s="6"/>
      <c r="V673" s="169"/>
      <c r="W673" s="169"/>
      <c r="X673" s="169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  <c r="AI673" s="169"/>
      <c r="AJ673" s="169"/>
      <c r="AK673" s="169"/>
      <c r="AL673" s="169"/>
      <c r="AM673" s="169"/>
      <c r="AN673" s="169"/>
      <c r="AO673" s="169"/>
      <c r="AP673" s="169"/>
      <c r="AQ673" s="169"/>
      <c r="AR673" s="169"/>
    </row>
    <row r="674" spans="1:44" ht="12.5">
      <c r="A674" s="169"/>
      <c r="B674" s="186"/>
      <c r="C674" s="186"/>
      <c r="D674" s="187"/>
      <c r="E674" s="6"/>
      <c r="F674" s="6"/>
      <c r="G674" s="6"/>
      <c r="H674" s="169"/>
      <c r="I674" s="169"/>
      <c r="J674" s="6"/>
      <c r="K674" s="188"/>
      <c r="L674" s="189"/>
      <c r="M674" s="189"/>
      <c r="N674" s="6"/>
      <c r="O674" s="6"/>
      <c r="P674" s="6"/>
      <c r="Q674" s="169"/>
      <c r="R674" s="6"/>
      <c r="S674" s="6"/>
      <c r="T674" s="169"/>
      <c r="U674" s="6"/>
      <c r="V674" s="169"/>
      <c r="W674" s="169"/>
      <c r="X674" s="169"/>
      <c r="Y674" s="169"/>
      <c r="Z674" s="169"/>
      <c r="AA674" s="169"/>
      <c r="AB674" s="169"/>
      <c r="AC674" s="169"/>
      <c r="AD674" s="169"/>
      <c r="AE674" s="169"/>
      <c r="AF674" s="169"/>
      <c r="AG674" s="169"/>
      <c r="AH674" s="169"/>
      <c r="AI674" s="169"/>
      <c r="AJ674" s="169"/>
      <c r="AK674" s="169"/>
      <c r="AL674" s="169"/>
      <c r="AM674" s="169"/>
      <c r="AN674" s="169"/>
      <c r="AO674" s="169"/>
      <c r="AP674" s="169"/>
      <c r="AQ674" s="169"/>
      <c r="AR674" s="169"/>
    </row>
    <row r="675" spans="1:44" ht="12.5">
      <c r="A675" s="169"/>
      <c r="B675" s="186"/>
      <c r="C675" s="186"/>
      <c r="D675" s="187"/>
      <c r="E675" s="6"/>
      <c r="F675" s="6"/>
      <c r="G675" s="6"/>
      <c r="H675" s="169"/>
      <c r="I675" s="169"/>
      <c r="J675" s="6"/>
      <c r="K675" s="188"/>
      <c r="L675" s="189"/>
      <c r="M675" s="189"/>
      <c r="N675" s="6"/>
      <c r="O675" s="6"/>
      <c r="P675" s="6"/>
      <c r="Q675" s="169"/>
      <c r="R675" s="6"/>
      <c r="S675" s="6"/>
      <c r="T675" s="169"/>
      <c r="U675" s="6"/>
      <c r="V675" s="169"/>
      <c r="W675" s="169"/>
      <c r="X675" s="169"/>
      <c r="Y675" s="169"/>
      <c r="Z675" s="169"/>
      <c r="AA675" s="169"/>
      <c r="AB675" s="169"/>
      <c r="AC675" s="169"/>
      <c r="AD675" s="169"/>
      <c r="AE675" s="169"/>
      <c r="AF675" s="169"/>
      <c r="AG675" s="169"/>
      <c r="AH675" s="169"/>
      <c r="AI675" s="169"/>
      <c r="AJ675" s="169"/>
      <c r="AK675" s="169"/>
      <c r="AL675" s="169"/>
      <c r="AM675" s="169"/>
      <c r="AN675" s="169"/>
      <c r="AO675" s="169"/>
      <c r="AP675" s="169"/>
      <c r="AQ675" s="169"/>
      <c r="AR675" s="169"/>
    </row>
    <row r="676" spans="1:44" ht="12.5">
      <c r="A676" s="169"/>
      <c r="B676" s="186"/>
      <c r="C676" s="186"/>
      <c r="D676" s="187"/>
      <c r="E676" s="6"/>
      <c r="F676" s="6"/>
      <c r="G676" s="6"/>
      <c r="H676" s="169"/>
      <c r="I676" s="169"/>
      <c r="J676" s="6"/>
      <c r="K676" s="188"/>
      <c r="L676" s="189"/>
      <c r="M676" s="189"/>
      <c r="N676" s="6"/>
      <c r="O676" s="6"/>
      <c r="P676" s="6"/>
      <c r="Q676" s="169"/>
      <c r="R676" s="6"/>
      <c r="S676" s="6"/>
      <c r="T676" s="169"/>
      <c r="U676" s="6"/>
      <c r="V676" s="169"/>
      <c r="W676" s="169"/>
      <c r="X676" s="169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  <c r="AI676" s="169"/>
      <c r="AJ676" s="169"/>
      <c r="AK676" s="169"/>
      <c r="AL676" s="169"/>
      <c r="AM676" s="169"/>
      <c r="AN676" s="169"/>
      <c r="AO676" s="169"/>
      <c r="AP676" s="169"/>
      <c r="AQ676" s="169"/>
      <c r="AR676" s="169"/>
    </row>
    <row r="677" spans="1:44" ht="12.5">
      <c r="A677" s="169"/>
      <c r="B677" s="186"/>
      <c r="C677" s="186"/>
      <c r="D677" s="187"/>
      <c r="E677" s="6"/>
      <c r="F677" s="6"/>
      <c r="G677" s="6"/>
      <c r="H677" s="169"/>
      <c r="I677" s="169"/>
      <c r="J677" s="6"/>
      <c r="K677" s="188"/>
      <c r="L677" s="189"/>
      <c r="M677" s="189"/>
      <c r="N677" s="6"/>
      <c r="O677" s="6"/>
      <c r="P677" s="6"/>
      <c r="Q677" s="169"/>
      <c r="R677" s="6"/>
      <c r="S677" s="6"/>
      <c r="T677" s="169"/>
      <c r="U677" s="6"/>
      <c r="V677" s="169"/>
      <c r="W677" s="169"/>
      <c r="X677" s="169"/>
      <c r="Y677" s="169"/>
      <c r="Z677" s="169"/>
      <c r="AA677" s="169"/>
      <c r="AB677" s="169"/>
      <c r="AC677" s="169"/>
      <c r="AD677" s="169"/>
      <c r="AE677" s="169"/>
      <c r="AF677" s="169"/>
      <c r="AG677" s="169"/>
      <c r="AH677" s="169"/>
      <c r="AI677" s="169"/>
      <c r="AJ677" s="169"/>
      <c r="AK677" s="169"/>
      <c r="AL677" s="169"/>
      <c r="AM677" s="169"/>
      <c r="AN677" s="169"/>
      <c r="AO677" s="169"/>
      <c r="AP677" s="169"/>
      <c r="AQ677" s="169"/>
      <c r="AR677" s="169"/>
    </row>
    <row r="678" spans="1:44" ht="12.5">
      <c r="A678" s="169"/>
      <c r="B678" s="186"/>
      <c r="C678" s="186"/>
      <c r="D678" s="187"/>
      <c r="E678" s="6"/>
      <c r="F678" s="6"/>
      <c r="G678" s="6"/>
      <c r="H678" s="169"/>
      <c r="I678" s="169"/>
      <c r="J678" s="6"/>
      <c r="K678" s="188"/>
      <c r="L678" s="189"/>
      <c r="M678" s="189"/>
      <c r="N678" s="6"/>
      <c r="O678" s="6"/>
      <c r="P678" s="6"/>
      <c r="Q678" s="169"/>
      <c r="R678" s="6"/>
      <c r="S678" s="6"/>
      <c r="T678" s="169"/>
      <c r="U678" s="6"/>
      <c r="V678" s="169"/>
      <c r="W678" s="169"/>
      <c r="X678" s="169"/>
      <c r="Y678" s="169"/>
      <c r="Z678" s="169"/>
      <c r="AA678" s="169"/>
      <c r="AB678" s="169"/>
      <c r="AC678" s="169"/>
      <c r="AD678" s="169"/>
      <c r="AE678" s="169"/>
      <c r="AF678" s="169"/>
      <c r="AG678" s="169"/>
      <c r="AH678" s="169"/>
      <c r="AI678" s="169"/>
      <c r="AJ678" s="169"/>
      <c r="AK678" s="169"/>
      <c r="AL678" s="169"/>
      <c r="AM678" s="169"/>
      <c r="AN678" s="169"/>
      <c r="AO678" s="169"/>
      <c r="AP678" s="169"/>
      <c r="AQ678" s="169"/>
      <c r="AR678" s="169"/>
    </row>
    <row r="679" spans="1:44" ht="12.5">
      <c r="A679" s="169"/>
      <c r="B679" s="186"/>
      <c r="C679" s="186"/>
      <c r="D679" s="187"/>
      <c r="E679" s="6"/>
      <c r="F679" s="6"/>
      <c r="G679" s="6"/>
      <c r="H679" s="169"/>
      <c r="I679" s="169"/>
      <c r="J679" s="6"/>
      <c r="K679" s="188"/>
      <c r="L679" s="189"/>
      <c r="M679" s="189"/>
      <c r="N679" s="6"/>
      <c r="O679" s="6"/>
      <c r="P679" s="6"/>
      <c r="Q679" s="169"/>
      <c r="R679" s="6"/>
      <c r="S679" s="6"/>
      <c r="T679" s="169"/>
      <c r="U679" s="6"/>
      <c r="V679" s="169"/>
      <c r="W679" s="169"/>
      <c r="X679" s="169"/>
      <c r="Y679" s="169"/>
      <c r="Z679" s="169"/>
      <c r="AA679" s="169"/>
      <c r="AB679" s="169"/>
      <c r="AC679" s="169"/>
      <c r="AD679" s="169"/>
      <c r="AE679" s="169"/>
      <c r="AF679" s="169"/>
      <c r="AG679" s="169"/>
      <c r="AH679" s="169"/>
      <c r="AI679" s="169"/>
      <c r="AJ679" s="169"/>
      <c r="AK679" s="169"/>
      <c r="AL679" s="169"/>
      <c r="AM679" s="169"/>
      <c r="AN679" s="169"/>
      <c r="AO679" s="169"/>
      <c r="AP679" s="169"/>
      <c r="AQ679" s="169"/>
      <c r="AR679" s="169"/>
    </row>
    <row r="680" spans="1:44" ht="12.5">
      <c r="A680" s="169"/>
      <c r="B680" s="186"/>
      <c r="C680" s="186"/>
      <c r="D680" s="187"/>
      <c r="E680" s="6"/>
      <c r="F680" s="6"/>
      <c r="G680" s="6"/>
      <c r="H680" s="169"/>
      <c r="I680" s="169"/>
      <c r="J680" s="6"/>
      <c r="K680" s="188"/>
      <c r="L680" s="189"/>
      <c r="M680" s="189"/>
      <c r="N680" s="6"/>
      <c r="O680" s="6"/>
      <c r="P680" s="6"/>
      <c r="Q680" s="169"/>
      <c r="R680" s="6"/>
      <c r="S680" s="6"/>
      <c r="T680" s="169"/>
      <c r="U680" s="6"/>
      <c r="V680" s="169"/>
      <c r="W680" s="169"/>
      <c r="X680" s="169"/>
      <c r="Y680" s="169"/>
      <c r="Z680" s="169"/>
      <c r="AA680" s="169"/>
      <c r="AB680" s="169"/>
      <c r="AC680" s="169"/>
      <c r="AD680" s="169"/>
      <c r="AE680" s="169"/>
      <c r="AF680" s="169"/>
      <c r="AG680" s="169"/>
      <c r="AH680" s="169"/>
      <c r="AI680" s="169"/>
      <c r="AJ680" s="169"/>
      <c r="AK680" s="169"/>
      <c r="AL680" s="169"/>
      <c r="AM680" s="169"/>
      <c r="AN680" s="169"/>
      <c r="AO680" s="169"/>
      <c r="AP680" s="169"/>
      <c r="AQ680" s="169"/>
      <c r="AR680" s="169"/>
    </row>
    <row r="681" spans="1:44" ht="12.5">
      <c r="A681" s="169"/>
      <c r="B681" s="186"/>
      <c r="C681" s="186"/>
      <c r="D681" s="187"/>
      <c r="E681" s="6"/>
      <c r="F681" s="6"/>
      <c r="G681" s="6"/>
      <c r="H681" s="169"/>
      <c r="I681" s="169"/>
      <c r="J681" s="6"/>
      <c r="K681" s="188"/>
      <c r="L681" s="189"/>
      <c r="M681" s="189"/>
      <c r="N681" s="6"/>
      <c r="O681" s="6"/>
      <c r="P681" s="6"/>
      <c r="Q681" s="169"/>
      <c r="R681" s="6"/>
      <c r="S681" s="6"/>
      <c r="T681" s="169"/>
      <c r="U681" s="6"/>
      <c r="V681" s="169"/>
      <c r="W681" s="169"/>
      <c r="X681" s="169"/>
      <c r="Y681" s="169"/>
      <c r="Z681" s="169"/>
      <c r="AA681" s="169"/>
      <c r="AB681" s="169"/>
      <c r="AC681" s="169"/>
      <c r="AD681" s="169"/>
      <c r="AE681" s="169"/>
      <c r="AF681" s="169"/>
      <c r="AG681" s="169"/>
      <c r="AH681" s="169"/>
      <c r="AI681" s="169"/>
      <c r="AJ681" s="169"/>
      <c r="AK681" s="169"/>
      <c r="AL681" s="169"/>
      <c r="AM681" s="169"/>
      <c r="AN681" s="169"/>
      <c r="AO681" s="169"/>
      <c r="AP681" s="169"/>
      <c r="AQ681" s="169"/>
      <c r="AR681" s="169"/>
    </row>
    <row r="682" spans="1:44" ht="12.5">
      <c r="A682" s="169"/>
      <c r="B682" s="186"/>
      <c r="C682" s="186"/>
      <c r="D682" s="187"/>
      <c r="E682" s="6"/>
      <c r="F682" s="6"/>
      <c r="G682" s="6"/>
      <c r="H682" s="169"/>
      <c r="I682" s="169"/>
      <c r="J682" s="6"/>
      <c r="K682" s="188"/>
      <c r="L682" s="189"/>
      <c r="M682" s="189"/>
      <c r="N682" s="6"/>
      <c r="O682" s="6"/>
      <c r="P682" s="6"/>
      <c r="Q682" s="169"/>
      <c r="R682" s="6"/>
      <c r="S682" s="6"/>
      <c r="T682" s="169"/>
      <c r="U682" s="6"/>
      <c r="V682" s="169"/>
      <c r="W682" s="169"/>
      <c r="X682" s="169"/>
      <c r="Y682" s="169"/>
      <c r="Z682" s="169"/>
      <c r="AA682" s="169"/>
      <c r="AB682" s="169"/>
      <c r="AC682" s="169"/>
      <c r="AD682" s="169"/>
      <c r="AE682" s="169"/>
      <c r="AF682" s="169"/>
      <c r="AG682" s="169"/>
      <c r="AH682" s="169"/>
      <c r="AI682" s="169"/>
      <c r="AJ682" s="169"/>
      <c r="AK682" s="169"/>
      <c r="AL682" s="169"/>
      <c r="AM682" s="169"/>
      <c r="AN682" s="169"/>
      <c r="AO682" s="169"/>
      <c r="AP682" s="169"/>
      <c r="AQ682" s="169"/>
      <c r="AR682" s="169"/>
    </row>
    <row r="683" spans="1:44" ht="12.5">
      <c r="A683" s="169"/>
      <c r="B683" s="186"/>
      <c r="C683" s="186"/>
      <c r="D683" s="187"/>
      <c r="E683" s="6"/>
      <c r="F683" s="6"/>
      <c r="G683" s="6"/>
      <c r="H683" s="169"/>
      <c r="I683" s="169"/>
      <c r="J683" s="6"/>
      <c r="K683" s="188"/>
      <c r="L683" s="189"/>
      <c r="M683" s="189"/>
      <c r="N683" s="6"/>
      <c r="O683" s="6"/>
      <c r="P683" s="6"/>
      <c r="Q683" s="169"/>
      <c r="R683" s="6"/>
      <c r="S683" s="6"/>
      <c r="T683" s="169"/>
      <c r="U683" s="6"/>
      <c r="V683" s="169"/>
      <c r="W683" s="169"/>
      <c r="X683" s="169"/>
      <c r="Y683" s="169"/>
      <c r="Z683" s="169"/>
      <c r="AA683" s="169"/>
      <c r="AB683" s="169"/>
      <c r="AC683" s="169"/>
      <c r="AD683" s="169"/>
      <c r="AE683" s="169"/>
      <c r="AF683" s="169"/>
      <c r="AG683" s="169"/>
      <c r="AH683" s="169"/>
      <c r="AI683" s="169"/>
      <c r="AJ683" s="169"/>
      <c r="AK683" s="169"/>
      <c r="AL683" s="169"/>
      <c r="AM683" s="169"/>
      <c r="AN683" s="169"/>
      <c r="AO683" s="169"/>
      <c r="AP683" s="169"/>
      <c r="AQ683" s="169"/>
      <c r="AR683" s="169"/>
    </row>
    <row r="684" spans="1:44" ht="12.5">
      <c r="A684" s="169"/>
      <c r="B684" s="186"/>
      <c r="C684" s="186"/>
      <c r="D684" s="187"/>
      <c r="E684" s="6"/>
      <c r="F684" s="6"/>
      <c r="G684" s="6"/>
      <c r="H684" s="169"/>
      <c r="I684" s="169"/>
      <c r="J684" s="6"/>
      <c r="K684" s="188"/>
      <c r="L684" s="189"/>
      <c r="M684" s="189"/>
      <c r="N684" s="6"/>
      <c r="O684" s="6"/>
      <c r="P684" s="6"/>
      <c r="Q684" s="169"/>
      <c r="R684" s="6"/>
      <c r="S684" s="6"/>
      <c r="T684" s="169"/>
      <c r="U684" s="6"/>
      <c r="V684" s="169"/>
      <c r="W684" s="169"/>
      <c r="X684" s="169"/>
      <c r="Y684" s="169"/>
      <c r="Z684" s="169"/>
      <c r="AA684" s="169"/>
      <c r="AB684" s="169"/>
      <c r="AC684" s="169"/>
      <c r="AD684" s="169"/>
      <c r="AE684" s="169"/>
      <c r="AF684" s="169"/>
      <c r="AG684" s="169"/>
      <c r="AH684" s="169"/>
      <c r="AI684" s="169"/>
      <c r="AJ684" s="169"/>
      <c r="AK684" s="169"/>
      <c r="AL684" s="169"/>
      <c r="AM684" s="169"/>
      <c r="AN684" s="169"/>
      <c r="AO684" s="169"/>
      <c r="AP684" s="169"/>
      <c r="AQ684" s="169"/>
      <c r="AR684" s="169"/>
    </row>
    <row r="685" spans="1:44" ht="12.5">
      <c r="A685" s="169"/>
      <c r="B685" s="186"/>
      <c r="C685" s="186"/>
      <c r="D685" s="187"/>
      <c r="E685" s="6"/>
      <c r="F685" s="6"/>
      <c r="G685" s="6"/>
      <c r="H685" s="169"/>
      <c r="I685" s="169"/>
      <c r="J685" s="6"/>
      <c r="K685" s="188"/>
      <c r="L685" s="189"/>
      <c r="M685" s="189"/>
      <c r="N685" s="6"/>
      <c r="O685" s="6"/>
      <c r="P685" s="6"/>
      <c r="Q685" s="169"/>
      <c r="R685" s="6"/>
      <c r="S685" s="6"/>
      <c r="T685" s="169"/>
      <c r="U685" s="6"/>
      <c r="V685" s="169"/>
      <c r="W685" s="169"/>
      <c r="X685" s="169"/>
      <c r="Y685" s="169"/>
      <c r="Z685" s="169"/>
      <c r="AA685" s="169"/>
      <c r="AB685" s="169"/>
      <c r="AC685" s="169"/>
      <c r="AD685" s="169"/>
      <c r="AE685" s="169"/>
      <c r="AF685" s="169"/>
      <c r="AG685" s="169"/>
      <c r="AH685" s="169"/>
      <c r="AI685" s="169"/>
      <c r="AJ685" s="169"/>
      <c r="AK685" s="169"/>
      <c r="AL685" s="169"/>
      <c r="AM685" s="169"/>
      <c r="AN685" s="169"/>
      <c r="AO685" s="169"/>
      <c r="AP685" s="169"/>
      <c r="AQ685" s="169"/>
      <c r="AR685" s="169"/>
    </row>
    <row r="686" spans="1:44" ht="12.5">
      <c r="A686" s="169"/>
      <c r="B686" s="186"/>
      <c r="C686" s="186"/>
      <c r="D686" s="187"/>
      <c r="E686" s="6"/>
      <c r="F686" s="6"/>
      <c r="G686" s="6"/>
      <c r="H686" s="169"/>
      <c r="I686" s="169"/>
      <c r="J686" s="6"/>
      <c r="K686" s="188"/>
      <c r="L686" s="189"/>
      <c r="M686" s="189"/>
      <c r="N686" s="6"/>
      <c r="O686" s="6"/>
      <c r="P686" s="6"/>
      <c r="Q686" s="169"/>
      <c r="R686" s="6"/>
      <c r="S686" s="6"/>
      <c r="T686" s="169"/>
      <c r="U686" s="6"/>
      <c r="V686" s="169"/>
      <c r="W686" s="169"/>
      <c r="X686" s="169"/>
      <c r="Y686" s="169"/>
      <c r="Z686" s="169"/>
      <c r="AA686" s="169"/>
      <c r="AB686" s="169"/>
      <c r="AC686" s="169"/>
      <c r="AD686" s="169"/>
      <c r="AE686" s="169"/>
      <c r="AF686" s="169"/>
      <c r="AG686" s="169"/>
      <c r="AH686" s="169"/>
      <c r="AI686" s="169"/>
      <c r="AJ686" s="169"/>
      <c r="AK686" s="169"/>
      <c r="AL686" s="169"/>
      <c r="AM686" s="169"/>
      <c r="AN686" s="169"/>
      <c r="AO686" s="169"/>
      <c r="AP686" s="169"/>
      <c r="AQ686" s="169"/>
      <c r="AR686" s="169"/>
    </row>
    <row r="687" spans="1:44" ht="12.5">
      <c r="A687" s="169"/>
      <c r="B687" s="186"/>
      <c r="C687" s="186"/>
      <c r="D687" s="187"/>
      <c r="E687" s="6"/>
      <c r="F687" s="6"/>
      <c r="G687" s="6"/>
      <c r="H687" s="169"/>
      <c r="I687" s="169"/>
      <c r="J687" s="6"/>
      <c r="K687" s="188"/>
      <c r="L687" s="189"/>
      <c r="M687" s="189"/>
      <c r="N687" s="6"/>
      <c r="O687" s="6"/>
      <c r="P687" s="6"/>
      <c r="Q687" s="169"/>
      <c r="R687" s="6"/>
      <c r="S687" s="6"/>
      <c r="T687" s="169"/>
      <c r="U687" s="6"/>
      <c r="V687" s="169"/>
      <c r="W687" s="169"/>
      <c r="X687" s="169"/>
      <c r="Y687" s="169"/>
      <c r="Z687" s="169"/>
      <c r="AA687" s="169"/>
      <c r="AB687" s="169"/>
      <c r="AC687" s="169"/>
      <c r="AD687" s="169"/>
      <c r="AE687" s="169"/>
      <c r="AF687" s="169"/>
      <c r="AG687" s="169"/>
      <c r="AH687" s="169"/>
      <c r="AI687" s="169"/>
      <c r="AJ687" s="169"/>
      <c r="AK687" s="169"/>
      <c r="AL687" s="169"/>
      <c r="AM687" s="169"/>
      <c r="AN687" s="169"/>
      <c r="AO687" s="169"/>
      <c r="AP687" s="169"/>
      <c r="AQ687" s="169"/>
      <c r="AR687" s="169"/>
    </row>
    <row r="688" spans="1:44" ht="12.5">
      <c r="A688" s="169"/>
      <c r="B688" s="186"/>
      <c r="C688" s="186"/>
      <c r="D688" s="187"/>
      <c r="E688" s="6"/>
      <c r="F688" s="6"/>
      <c r="G688" s="6"/>
      <c r="H688" s="169"/>
      <c r="I688" s="169"/>
      <c r="J688" s="6"/>
      <c r="K688" s="188"/>
      <c r="L688" s="189"/>
      <c r="M688" s="189"/>
      <c r="N688" s="6"/>
      <c r="O688" s="6"/>
      <c r="P688" s="6"/>
      <c r="Q688" s="169"/>
      <c r="R688" s="6"/>
      <c r="S688" s="6"/>
      <c r="T688" s="169"/>
      <c r="U688" s="6"/>
      <c r="V688" s="169"/>
      <c r="W688" s="169"/>
      <c r="X688" s="169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AK688" s="169"/>
      <c r="AL688" s="169"/>
      <c r="AM688" s="169"/>
      <c r="AN688" s="169"/>
      <c r="AO688" s="169"/>
      <c r="AP688" s="169"/>
      <c r="AQ688" s="169"/>
      <c r="AR688" s="169"/>
    </row>
    <row r="689" spans="1:44" ht="12.5">
      <c r="A689" s="169"/>
      <c r="B689" s="186"/>
      <c r="C689" s="186"/>
      <c r="D689" s="187"/>
      <c r="E689" s="6"/>
      <c r="F689" s="6"/>
      <c r="G689" s="6"/>
      <c r="H689" s="169"/>
      <c r="I689" s="169"/>
      <c r="J689" s="6"/>
      <c r="K689" s="188"/>
      <c r="L689" s="189"/>
      <c r="M689" s="189"/>
      <c r="N689" s="6"/>
      <c r="O689" s="6"/>
      <c r="P689" s="6"/>
      <c r="Q689" s="169"/>
      <c r="R689" s="6"/>
      <c r="S689" s="6"/>
      <c r="T689" s="169"/>
      <c r="U689" s="6"/>
      <c r="V689" s="169"/>
      <c r="W689" s="169"/>
      <c r="X689" s="169"/>
      <c r="Y689" s="169"/>
      <c r="Z689" s="169"/>
      <c r="AA689" s="169"/>
      <c r="AB689" s="169"/>
      <c r="AC689" s="169"/>
      <c r="AD689" s="169"/>
      <c r="AE689" s="169"/>
      <c r="AF689" s="169"/>
      <c r="AG689" s="169"/>
      <c r="AH689" s="169"/>
      <c r="AI689" s="169"/>
      <c r="AJ689" s="169"/>
      <c r="AK689" s="169"/>
      <c r="AL689" s="169"/>
      <c r="AM689" s="169"/>
      <c r="AN689" s="169"/>
      <c r="AO689" s="169"/>
      <c r="AP689" s="169"/>
      <c r="AQ689" s="169"/>
      <c r="AR689" s="169"/>
    </row>
    <row r="690" spans="1:44" ht="12.5">
      <c r="A690" s="169"/>
      <c r="B690" s="186"/>
      <c r="C690" s="186"/>
      <c r="D690" s="187"/>
      <c r="E690" s="6"/>
      <c r="F690" s="6"/>
      <c r="G690" s="6"/>
      <c r="H690" s="169"/>
      <c r="I690" s="169"/>
      <c r="J690" s="6"/>
      <c r="K690" s="188"/>
      <c r="L690" s="189"/>
      <c r="M690" s="189"/>
      <c r="N690" s="6"/>
      <c r="O690" s="6"/>
      <c r="P690" s="6"/>
      <c r="Q690" s="169"/>
      <c r="R690" s="6"/>
      <c r="S690" s="6"/>
      <c r="T690" s="169"/>
      <c r="U690" s="6"/>
      <c r="V690" s="169"/>
      <c r="W690" s="169"/>
      <c r="X690" s="169"/>
      <c r="Y690" s="169"/>
      <c r="Z690" s="169"/>
      <c r="AA690" s="169"/>
      <c r="AB690" s="169"/>
      <c r="AC690" s="169"/>
      <c r="AD690" s="169"/>
      <c r="AE690" s="169"/>
      <c r="AF690" s="169"/>
      <c r="AG690" s="169"/>
      <c r="AH690" s="169"/>
      <c r="AI690" s="169"/>
      <c r="AJ690" s="169"/>
      <c r="AK690" s="169"/>
      <c r="AL690" s="169"/>
      <c r="AM690" s="169"/>
      <c r="AN690" s="169"/>
      <c r="AO690" s="169"/>
      <c r="AP690" s="169"/>
      <c r="AQ690" s="169"/>
      <c r="AR690" s="169"/>
    </row>
    <row r="691" spans="1:44" ht="12.5">
      <c r="A691" s="169"/>
      <c r="B691" s="186"/>
      <c r="C691" s="186"/>
      <c r="D691" s="187"/>
      <c r="E691" s="6"/>
      <c r="F691" s="6"/>
      <c r="G691" s="6"/>
      <c r="H691" s="169"/>
      <c r="I691" s="169"/>
      <c r="J691" s="6"/>
      <c r="K691" s="188"/>
      <c r="L691" s="189"/>
      <c r="M691" s="189"/>
      <c r="N691" s="6"/>
      <c r="O691" s="6"/>
      <c r="P691" s="6"/>
      <c r="Q691" s="169"/>
      <c r="R691" s="6"/>
      <c r="S691" s="6"/>
      <c r="T691" s="169"/>
      <c r="U691" s="6"/>
      <c r="V691" s="169"/>
      <c r="W691" s="169"/>
      <c r="X691" s="169"/>
      <c r="Y691" s="169"/>
      <c r="Z691" s="169"/>
      <c r="AA691" s="169"/>
      <c r="AB691" s="169"/>
      <c r="AC691" s="169"/>
      <c r="AD691" s="169"/>
      <c r="AE691" s="169"/>
      <c r="AF691" s="169"/>
      <c r="AG691" s="169"/>
      <c r="AH691" s="169"/>
      <c r="AI691" s="169"/>
      <c r="AJ691" s="169"/>
      <c r="AK691" s="169"/>
      <c r="AL691" s="169"/>
      <c r="AM691" s="169"/>
      <c r="AN691" s="169"/>
      <c r="AO691" s="169"/>
      <c r="AP691" s="169"/>
      <c r="AQ691" s="169"/>
      <c r="AR691" s="169"/>
    </row>
    <row r="692" spans="1:44" ht="12.5">
      <c r="A692" s="169"/>
      <c r="B692" s="186"/>
      <c r="C692" s="186"/>
      <c r="D692" s="187"/>
      <c r="E692" s="6"/>
      <c r="F692" s="6"/>
      <c r="G692" s="6"/>
      <c r="H692" s="169"/>
      <c r="I692" s="169"/>
      <c r="J692" s="6"/>
      <c r="K692" s="188"/>
      <c r="L692" s="189"/>
      <c r="M692" s="189"/>
      <c r="N692" s="6"/>
      <c r="O692" s="6"/>
      <c r="P692" s="6"/>
      <c r="Q692" s="169"/>
      <c r="R692" s="6"/>
      <c r="S692" s="6"/>
      <c r="T692" s="169"/>
      <c r="U692" s="6"/>
      <c r="V692" s="169"/>
      <c r="W692" s="169"/>
      <c r="X692" s="169"/>
      <c r="Y692" s="169"/>
      <c r="Z692" s="169"/>
      <c r="AA692" s="169"/>
      <c r="AB692" s="169"/>
      <c r="AC692" s="169"/>
      <c r="AD692" s="169"/>
      <c r="AE692" s="169"/>
      <c r="AF692" s="169"/>
      <c r="AG692" s="169"/>
      <c r="AH692" s="169"/>
      <c r="AI692" s="169"/>
      <c r="AJ692" s="169"/>
      <c r="AK692" s="169"/>
      <c r="AL692" s="169"/>
      <c r="AM692" s="169"/>
      <c r="AN692" s="169"/>
      <c r="AO692" s="169"/>
      <c r="AP692" s="169"/>
      <c r="AQ692" s="169"/>
      <c r="AR692" s="169"/>
    </row>
    <row r="693" spans="1:44" ht="12.5">
      <c r="A693" s="169"/>
      <c r="B693" s="186"/>
      <c r="C693" s="186"/>
      <c r="D693" s="187"/>
      <c r="E693" s="6"/>
      <c r="F693" s="6"/>
      <c r="G693" s="6"/>
      <c r="H693" s="169"/>
      <c r="I693" s="169"/>
      <c r="J693" s="6"/>
      <c r="K693" s="188"/>
      <c r="L693" s="189"/>
      <c r="M693" s="189"/>
      <c r="N693" s="6"/>
      <c r="O693" s="6"/>
      <c r="P693" s="6"/>
      <c r="Q693" s="169"/>
      <c r="R693" s="6"/>
      <c r="S693" s="6"/>
      <c r="T693" s="169"/>
      <c r="U693" s="6"/>
      <c r="V693" s="169"/>
      <c r="W693" s="169"/>
      <c r="X693" s="169"/>
      <c r="Y693" s="169"/>
      <c r="Z693" s="169"/>
      <c r="AA693" s="169"/>
      <c r="AB693" s="169"/>
      <c r="AC693" s="169"/>
      <c r="AD693" s="169"/>
      <c r="AE693" s="169"/>
      <c r="AF693" s="169"/>
      <c r="AG693" s="169"/>
      <c r="AH693" s="169"/>
      <c r="AI693" s="169"/>
      <c r="AJ693" s="169"/>
      <c r="AK693" s="169"/>
      <c r="AL693" s="169"/>
      <c r="AM693" s="169"/>
      <c r="AN693" s="169"/>
      <c r="AO693" s="169"/>
      <c r="AP693" s="169"/>
      <c r="AQ693" s="169"/>
      <c r="AR693" s="169"/>
    </row>
    <row r="694" spans="1:44" ht="12.5">
      <c r="A694" s="169"/>
      <c r="B694" s="186"/>
      <c r="C694" s="186"/>
      <c r="D694" s="187"/>
      <c r="E694" s="6"/>
      <c r="F694" s="6"/>
      <c r="G694" s="6"/>
      <c r="H694" s="169"/>
      <c r="I694" s="169"/>
      <c r="J694" s="6"/>
      <c r="K694" s="188"/>
      <c r="L694" s="189"/>
      <c r="M694" s="189"/>
      <c r="N694" s="6"/>
      <c r="O694" s="6"/>
      <c r="P694" s="6"/>
      <c r="Q694" s="169"/>
      <c r="R694" s="6"/>
      <c r="S694" s="6"/>
      <c r="T694" s="169"/>
      <c r="U694" s="6"/>
      <c r="V694" s="169"/>
      <c r="W694" s="169"/>
      <c r="X694" s="169"/>
      <c r="Y694" s="169"/>
      <c r="Z694" s="169"/>
      <c r="AA694" s="169"/>
      <c r="AB694" s="169"/>
      <c r="AC694" s="169"/>
      <c r="AD694" s="169"/>
      <c r="AE694" s="169"/>
      <c r="AF694" s="169"/>
      <c r="AG694" s="169"/>
      <c r="AH694" s="169"/>
      <c r="AI694" s="169"/>
      <c r="AJ694" s="169"/>
      <c r="AK694" s="169"/>
      <c r="AL694" s="169"/>
      <c r="AM694" s="169"/>
      <c r="AN694" s="169"/>
      <c r="AO694" s="169"/>
      <c r="AP694" s="169"/>
      <c r="AQ694" s="169"/>
      <c r="AR694" s="169"/>
    </row>
    <row r="695" spans="1:44" ht="12.5">
      <c r="A695" s="169"/>
      <c r="B695" s="186"/>
      <c r="C695" s="186"/>
      <c r="D695" s="187"/>
      <c r="E695" s="6"/>
      <c r="F695" s="6"/>
      <c r="G695" s="6"/>
      <c r="H695" s="169"/>
      <c r="I695" s="169"/>
      <c r="J695" s="6"/>
      <c r="K695" s="188"/>
      <c r="L695" s="189"/>
      <c r="M695" s="189"/>
      <c r="N695" s="6"/>
      <c r="O695" s="6"/>
      <c r="P695" s="6"/>
      <c r="Q695" s="169"/>
      <c r="R695" s="6"/>
      <c r="S695" s="6"/>
      <c r="T695" s="169"/>
      <c r="U695" s="6"/>
      <c r="V695" s="169"/>
      <c r="W695" s="169"/>
      <c r="X695" s="169"/>
      <c r="Y695" s="169"/>
      <c r="Z695" s="169"/>
      <c r="AA695" s="169"/>
      <c r="AB695" s="169"/>
      <c r="AC695" s="169"/>
      <c r="AD695" s="169"/>
      <c r="AE695" s="169"/>
      <c r="AF695" s="169"/>
      <c r="AG695" s="169"/>
      <c r="AH695" s="169"/>
      <c r="AI695" s="169"/>
      <c r="AJ695" s="169"/>
      <c r="AK695" s="169"/>
      <c r="AL695" s="169"/>
      <c r="AM695" s="169"/>
      <c r="AN695" s="169"/>
      <c r="AO695" s="169"/>
      <c r="AP695" s="169"/>
      <c r="AQ695" s="169"/>
      <c r="AR695" s="169"/>
    </row>
    <row r="696" spans="1:44" ht="12.5">
      <c r="A696" s="169"/>
      <c r="B696" s="186"/>
      <c r="C696" s="186"/>
      <c r="D696" s="187"/>
      <c r="E696" s="6"/>
      <c r="F696" s="6"/>
      <c r="G696" s="6"/>
      <c r="H696" s="169"/>
      <c r="I696" s="169"/>
      <c r="J696" s="6"/>
      <c r="K696" s="188"/>
      <c r="L696" s="189"/>
      <c r="M696" s="189"/>
      <c r="N696" s="6"/>
      <c r="O696" s="6"/>
      <c r="P696" s="6"/>
      <c r="Q696" s="169"/>
      <c r="R696" s="6"/>
      <c r="S696" s="6"/>
      <c r="T696" s="169"/>
      <c r="U696" s="6"/>
      <c r="V696" s="169"/>
      <c r="W696" s="169"/>
      <c r="X696" s="169"/>
      <c r="Y696" s="169"/>
      <c r="Z696" s="169"/>
      <c r="AA696" s="169"/>
      <c r="AB696" s="169"/>
      <c r="AC696" s="169"/>
      <c r="AD696" s="169"/>
      <c r="AE696" s="169"/>
      <c r="AF696" s="169"/>
      <c r="AG696" s="169"/>
      <c r="AH696" s="169"/>
      <c r="AI696" s="169"/>
      <c r="AJ696" s="169"/>
      <c r="AK696" s="169"/>
      <c r="AL696" s="169"/>
      <c r="AM696" s="169"/>
      <c r="AN696" s="169"/>
      <c r="AO696" s="169"/>
      <c r="AP696" s="169"/>
      <c r="AQ696" s="169"/>
      <c r="AR696" s="169"/>
    </row>
    <row r="697" spans="1:44" ht="12.5">
      <c r="A697" s="169"/>
      <c r="B697" s="186"/>
      <c r="C697" s="186"/>
      <c r="D697" s="187"/>
      <c r="E697" s="6"/>
      <c r="F697" s="6"/>
      <c r="G697" s="6"/>
      <c r="H697" s="169"/>
      <c r="I697" s="169"/>
      <c r="J697" s="6"/>
      <c r="K697" s="188"/>
      <c r="L697" s="189"/>
      <c r="M697" s="189"/>
      <c r="N697" s="6"/>
      <c r="O697" s="6"/>
      <c r="P697" s="6"/>
      <c r="Q697" s="169"/>
      <c r="R697" s="6"/>
      <c r="S697" s="6"/>
      <c r="T697" s="169"/>
      <c r="U697" s="6"/>
      <c r="V697" s="169"/>
      <c r="W697" s="169"/>
      <c r="X697" s="169"/>
      <c r="Y697" s="169"/>
      <c r="Z697" s="169"/>
      <c r="AA697" s="169"/>
      <c r="AB697" s="169"/>
      <c r="AC697" s="169"/>
      <c r="AD697" s="169"/>
      <c r="AE697" s="169"/>
      <c r="AF697" s="169"/>
      <c r="AG697" s="169"/>
      <c r="AH697" s="169"/>
      <c r="AI697" s="169"/>
      <c r="AJ697" s="169"/>
      <c r="AK697" s="169"/>
      <c r="AL697" s="169"/>
      <c r="AM697" s="169"/>
      <c r="AN697" s="169"/>
      <c r="AO697" s="169"/>
      <c r="AP697" s="169"/>
      <c r="AQ697" s="169"/>
      <c r="AR697" s="169"/>
    </row>
    <row r="698" spans="1:44" ht="12.5">
      <c r="A698" s="169"/>
      <c r="B698" s="186"/>
      <c r="C698" s="186"/>
      <c r="D698" s="187"/>
      <c r="E698" s="6"/>
      <c r="F698" s="6"/>
      <c r="G698" s="6"/>
      <c r="H698" s="169"/>
      <c r="I698" s="169"/>
      <c r="J698" s="6"/>
      <c r="K698" s="188"/>
      <c r="L698" s="189"/>
      <c r="M698" s="189"/>
      <c r="N698" s="6"/>
      <c r="O698" s="6"/>
      <c r="P698" s="6"/>
      <c r="Q698" s="169"/>
      <c r="R698" s="6"/>
      <c r="S698" s="6"/>
      <c r="T698" s="169"/>
      <c r="U698" s="6"/>
      <c r="V698" s="169"/>
      <c r="W698" s="169"/>
      <c r="X698" s="169"/>
      <c r="Y698" s="169"/>
      <c r="Z698" s="169"/>
      <c r="AA698" s="169"/>
      <c r="AB698" s="169"/>
      <c r="AC698" s="169"/>
      <c r="AD698" s="169"/>
      <c r="AE698" s="169"/>
      <c r="AF698" s="169"/>
      <c r="AG698" s="169"/>
      <c r="AH698" s="169"/>
      <c r="AI698" s="169"/>
      <c r="AJ698" s="169"/>
      <c r="AK698" s="169"/>
      <c r="AL698" s="169"/>
      <c r="AM698" s="169"/>
      <c r="AN698" s="169"/>
      <c r="AO698" s="169"/>
      <c r="AP698" s="169"/>
      <c r="AQ698" s="169"/>
      <c r="AR698" s="169"/>
    </row>
    <row r="699" spans="1:44" ht="12.5">
      <c r="A699" s="169"/>
      <c r="B699" s="186"/>
      <c r="C699" s="186"/>
      <c r="D699" s="187"/>
      <c r="E699" s="6"/>
      <c r="F699" s="6"/>
      <c r="G699" s="6"/>
      <c r="H699" s="169"/>
      <c r="I699" s="169"/>
      <c r="J699" s="6"/>
      <c r="K699" s="188"/>
      <c r="L699" s="189"/>
      <c r="M699" s="189"/>
      <c r="N699" s="6"/>
      <c r="O699" s="6"/>
      <c r="P699" s="6"/>
      <c r="Q699" s="169"/>
      <c r="R699" s="6"/>
      <c r="S699" s="6"/>
      <c r="T699" s="169"/>
      <c r="U699" s="6"/>
      <c r="V699" s="169"/>
      <c r="W699" s="169"/>
      <c r="X699" s="169"/>
      <c r="Y699" s="169"/>
      <c r="Z699" s="169"/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AK699" s="169"/>
      <c r="AL699" s="169"/>
      <c r="AM699" s="169"/>
      <c r="AN699" s="169"/>
      <c r="AO699" s="169"/>
      <c r="AP699" s="169"/>
      <c r="AQ699" s="169"/>
      <c r="AR699" s="169"/>
    </row>
    <row r="700" spans="1:44" ht="12.5">
      <c r="A700" s="169"/>
      <c r="B700" s="186"/>
      <c r="C700" s="186"/>
      <c r="D700" s="187"/>
      <c r="E700" s="6"/>
      <c r="F700" s="6"/>
      <c r="G700" s="6"/>
      <c r="H700" s="169"/>
      <c r="I700" s="169"/>
      <c r="J700" s="6"/>
      <c r="K700" s="188"/>
      <c r="L700" s="189"/>
      <c r="M700" s="189"/>
      <c r="N700" s="6"/>
      <c r="O700" s="6"/>
      <c r="P700" s="6"/>
      <c r="Q700" s="169"/>
      <c r="R700" s="6"/>
      <c r="S700" s="6"/>
      <c r="T700" s="169"/>
      <c r="U700" s="6"/>
      <c r="V700" s="169"/>
      <c r="W700" s="169"/>
      <c r="X700" s="169"/>
      <c r="Y700" s="169"/>
      <c r="Z700" s="169"/>
      <c r="AA700" s="169"/>
      <c r="AB700" s="169"/>
      <c r="AC700" s="169"/>
      <c r="AD700" s="169"/>
      <c r="AE700" s="169"/>
      <c r="AF700" s="169"/>
      <c r="AG700" s="169"/>
      <c r="AH700" s="169"/>
      <c r="AI700" s="169"/>
      <c r="AJ700" s="169"/>
      <c r="AK700" s="169"/>
      <c r="AL700" s="169"/>
      <c r="AM700" s="169"/>
      <c r="AN700" s="169"/>
      <c r="AO700" s="169"/>
      <c r="AP700" s="169"/>
      <c r="AQ700" s="169"/>
      <c r="AR700" s="169"/>
    </row>
    <row r="701" spans="1:44" ht="12.5">
      <c r="A701" s="169"/>
      <c r="B701" s="186"/>
      <c r="C701" s="186"/>
      <c r="D701" s="187"/>
      <c r="E701" s="6"/>
      <c r="F701" s="6"/>
      <c r="G701" s="6"/>
      <c r="H701" s="169"/>
      <c r="I701" s="169"/>
      <c r="J701" s="6"/>
      <c r="K701" s="188"/>
      <c r="L701" s="189"/>
      <c r="M701" s="189"/>
      <c r="N701" s="6"/>
      <c r="O701" s="6"/>
      <c r="P701" s="6"/>
      <c r="Q701" s="169"/>
      <c r="R701" s="6"/>
      <c r="S701" s="6"/>
      <c r="T701" s="169"/>
      <c r="U701" s="6"/>
      <c r="V701" s="169"/>
      <c r="W701" s="169"/>
      <c r="X701" s="169"/>
      <c r="Y701" s="169"/>
      <c r="Z701" s="169"/>
      <c r="AA701" s="169"/>
      <c r="AB701" s="169"/>
      <c r="AC701" s="169"/>
      <c r="AD701" s="169"/>
      <c r="AE701" s="169"/>
      <c r="AF701" s="169"/>
      <c r="AG701" s="169"/>
      <c r="AH701" s="169"/>
      <c r="AI701" s="169"/>
      <c r="AJ701" s="169"/>
      <c r="AK701" s="169"/>
      <c r="AL701" s="169"/>
      <c r="AM701" s="169"/>
      <c r="AN701" s="169"/>
      <c r="AO701" s="169"/>
      <c r="AP701" s="169"/>
      <c r="AQ701" s="169"/>
      <c r="AR701" s="169"/>
    </row>
    <row r="702" spans="1:44" ht="12.5">
      <c r="A702" s="169"/>
      <c r="B702" s="186"/>
      <c r="C702" s="186"/>
      <c r="D702" s="187"/>
      <c r="E702" s="6"/>
      <c r="F702" s="6"/>
      <c r="G702" s="6"/>
      <c r="H702" s="169"/>
      <c r="I702" s="169"/>
      <c r="J702" s="6"/>
      <c r="K702" s="188"/>
      <c r="L702" s="189"/>
      <c r="M702" s="189"/>
      <c r="N702" s="6"/>
      <c r="O702" s="6"/>
      <c r="P702" s="6"/>
      <c r="Q702" s="169"/>
      <c r="R702" s="6"/>
      <c r="S702" s="6"/>
      <c r="T702" s="169"/>
      <c r="U702" s="6"/>
      <c r="V702" s="169"/>
      <c r="W702" s="169"/>
      <c r="X702" s="169"/>
      <c r="Y702" s="169"/>
      <c r="Z702" s="169"/>
      <c r="AA702" s="169"/>
      <c r="AB702" s="169"/>
      <c r="AC702" s="169"/>
      <c r="AD702" s="169"/>
      <c r="AE702" s="169"/>
      <c r="AF702" s="169"/>
      <c r="AG702" s="169"/>
      <c r="AH702" s="169"/>
      <c r="AI702" s="169"/>
      <c r="AJ702" s="169"/>
      <c r="AK702" s="169"/>
      <c r="AL702" s="169"/>
      <c r="AM702" s="169"/>
      <c r="AN702" s="169"/>
      <c r="AO702" s="169"/>
      <c r="AP702" s="169"/>
      <c r="AQ702" s="169"/>
      <c r="AR702" s="169"/>
    </row>
    <row r="703" spans="1:44" ht="12.5">
      <c r="A703" s="169"/>
      <c r="B703" s="186"/>
      <c r="C703" s="186"/>
      <c r="D703" s="187"/>
      <c r="E703" s="6"/>
      <c r="F703" s="6"/>
      <c r="G703" s="6"/>
      <c r="H703" s="169"/>
      <c r="I703" s="169"/>
      <c r="J703" s="6"/>
      <c r="K703" s="188"/>
      <c r="L703" s="189"/>
      <c r="M703" s="189"/>
      <c r="N703" s="6"/>
      <c r="O703" s="6"/>
      <c r="P703" s="6"/>
      <c r="Q703" s="169"/>
      <c r="R703" s="6"/>
      <c r="S703" s="6"/>
      <c r="T703" s="169"/>
      <c r="U703" s="6"/>
      <c r="V703" s="169"/>
      <c r="W703" s="169"/>
      <c r="X703" s="169"/>
      <c r="Y703" s="169"/>
      <c r="Z703" s="169"/>
      <c r="AA703" s="169"/>
      <c r="AB703" s="169"/>
      <c r="AC703" s="169"/>
      <c r="AD703" s="169"/>
      <c r="AE703" s="169"/>
      <c r="AF703" s="169"/>
      <c r="AG703" s="169"/>
      <c r="AH703" s="169"/>
      <c r="AI703" s="169"/>
      <c r="AJ703" s="169"/>
      <c r="AK703" s="169"/>
      <c r="AL703" s="169"/>
      <c r="AM703" s="169"/>
      <c r="AN703" s="169"/>
      <c r="AO703" s="169"/>
      <c r="AP703" s="169"/>
      <c r="AQ703" s="169"/>
      <c r="AR703" s="169"/>
    </row>
    <row r="704" spans="1:44" ht="12.5">
      <c r="A704" s="169"/>
      <c r="B704" s="186"/>
      <c r="C704" s="186"/>
      <c r="D704" s="187"/>
      <c r="E704" s="6"/>
      <c r="F704" s="6"/>
      <c r="G704" s="6"/>
      <c r="H704" s="169"/>
      <c r="I704" s="169"/>
      <c r="J704" s="6"/>
      <c r="K704" s="188"/>
      <c r="L704" s="189"/>
      <c r="M704" s="189"/>
      <c r="N704" s="6"/>
      <c r="O704" s="6"/>
      <c r="P704" s="6"/>
      <c r="Q704" s="169"/>
      <c r="R704" s="6"/>
      <c r="S704" s="6"/>
      <c r="T704" s="169"/>
      <c r="U704" s="6"/>
      <c r="V704" s="169"/>
      <c r="W704" s="169"/>
      <c r="X704" s="169"/>
      <c r="Y704" s="169"/>
      <c r="Z704" s="169"/>
      <c r="AA704" s="169"/>
      <c r="AB704" s="169"/>
      <c r="AC704" s="169"/>
      <c r="AD704" s="169"/>
      <c r="AE704" s="169"/>
      <c r="AF704" s="169"/>
      <c r="AG704" s="169"/>
      <c r="AH704" s="169"/>
      <c r="AI704" s="169"/>
      <c r="AJ704" s="169"/>
      <c r="AK704" s="169"/>
      <c r="AL704" s="169"/>
      <c r="AM704" s="169"/>
      <c r="AN704" s="169"/>
      <c r="AO704" s="169"/>
      <c r="AP704" s="169"/>
      <c r="AQ704" s="169"/>
      <c r="AR704" s="169"/>
    </row>
    <row r="705" spans="1:44" ht="12.5">
      <c r="A705" s="169"/>
      <c r="B705" s="186"/>
      <c r="C705" s="186"/>
      <c r="D705" s="187"/>
      <c r="E705" s="6"/>
      <c r="F705" s="6"/>
      <c r="G705" s="6"/>
      <c r="H705" s="169"/>
      <c r="I705" s="169"/>
      <c r="J705" s="6"/>
      <c r="K705" s="188"/>
      <c r="L705" s="189"/>
      <c r="M705" s="189"/>
      <c r="N705" s="6"/>
      <c r="O705" s="6"/>
      <c r="P705" s="6"/>
      <c r="Q705" s="169"/>
      <c r="R705" s="6"/>
      <c r="S705" s="6"/>
      <c r="T705" s="169"/>
      <c r="U705" s="6"/>
      <c r="V705" s="169"/>
      <c r="W705" s="169"/>
      <c r="X705" s="169"/>
      <c r="Y705" s="169"/>
      <c r="Z705" s="169"/>
      <c r="AA705" s="169"/>
      <c r="AB705" s="169"/>
      <c r="AC705" s="169"/>
      <c r="AD705" s="169"/>
      <c r="AE705" s="169"/>
      <c r="AF705" s="169"/>
      <c r="AG705" s="169"/>
      <c r="AH705" s="169"/>
      <c r="AI705" s="169"/>
      <c r="AJ705" s="169"/>
      <c r="AK705" s="169"/>
      <c r="AL705" s="169"/>
      <c r="AM705" s="169"/>
      <c r="AN705" s="169"/>
      <c r="AO705" s="169"/>
      <c r="AP705" s="169"/>
      <c r="AQ705" s="169"/>
      <c r="AR705" s="169"/>
    </row>
    <row r="706" spans="1:44" ht="12.5">
      <c r="A706" s="169"/>
      <c r="B706" s="186"/>
      <c r="C706" s="186"/>
      <c r="D706" s="187"/>
      <c r="E706" s="6"/>
      <c r="F706" s="6"/>
      <c r="G706" s="6"/>
      <c r="H706" s="169"/>
      <c r="I706" s="169"/>
      <c r="J706" s="6"/>
      <c r="K706" s="188"/>
      <c r="L706" s="189"/>
      <c r="M706" s="189"/>
      <c r="N706" s="6"/>
      <c r="O706" s="6"/>
      <c r="P706" s="6"/>
      <c r="Q706" s="169"/>
      <c r="R706" s="6"/>
      <c r="S706" s="6"/>
      <c r="T706" s="169"/>
      <c r="U706" s="6"/>
      <c r="V706" s="169"/>
      <c r="W706" s="169"/>
      <c r="X706" s="169"/>
      <c r="Y706" s="169"/>
      <c r="Z706" s="169"/>
      <c r="AA706" s="169"/>
      <c r="AB706" s="169"/>
      <c r="AC706" s="169"/>
      <c r="AD706" s="169"/>
      <c r="AE706" s="169"/>
      <c r="AF706" s="169"/>
      <c r="AG706" s="169"/>
      <c r="AH706" s="169"/>
      <c r="AI706" s="169"/>
      <c r="AJ706" s="169"/>
      <c r="AK706" s="169"/>
      <c r="AL706" s="169"/>
      <c r="AM706" s="169"/>
      <c r="AN706" s="169"/>
      <c r="AO706" s="169"/>
      <c r="AP706" s="169"/>
      <c r="AQ706" s="169"/>
      <c r="AR706" s="169"/>
    </row>
    <row r="707" spans="1:44" ht="12.5">
      <c r="A707" s="169"/>
      <c r="B707" s="186"/>
      <c r="C707" s="186"/>
      <c r="D707" s="187"/>
      <c r="E707" s="6"/>
      <c r="F707" s="6"/>
      <c r="G707" s="6"/>
      <c r="H707" s="169"/>
      <c r="I707" s="169"/>
      <c r="J707" s="6"/>
      <c r="K707" s="188"/>
      <c r="L707" s="189"/>
      <c r="M707" s="189"/>
      <c r="N707" s="6"/>
      <c r="O707" s="6"/>
      <c r="P707" s="6"/>
      <c r="Q707" s="169"/>
      <c r="R707" s="6"/>
      <c r="S707" s="6"/>
      <c r="T707" s="169"/>
      <c r="U707" s="6"/>
      <c r="V707" s="169"/>
      <c r="W707" s="169"/>
      <c r="X707" s="169"/>
      <c r="Y707" s="169"/>
      <c r="Z707" s="169"/>
      <c r="AA707" s="169"/>
      <c r="AB707" s="169"/>
      <c r="AC707" s="169"/>
      <c r="AD707" s="169"/>
      <c r="AE707" s="169"/>
      <c r="AF707" s="169"/>
      <c r="AG707" s="169"/>
      <c r="AH707" s="169"/>
      <c r="AI707" s="169"/>
      <c r="AJ707" s="169"/>
      <c r="AK707" s="169"/>
      <c r="AL707" s="169"/>
      <c r="AM707" s="169"/>
      <c r="AN707" s="169"/>
      <c r="AO707" s="169"/>
      <c r="AP707" s="169"/>
      <c r="AQ707" s="169"/>
      <c r="AR707" s="169"/>
    </row>
    <row r="708" spans="1:44" ht="12.5">
      <c r="A708" s="169"/>
      <c r="B708" s="186"/>
      <c r="C708" s="186"/>
      <c r="D708" s="187"/>
      <c r="E708" s="6"/>
      <c r="F708" s="6"/>
      <c r="G708" s="6"/>
      <c r="H708" s="169"/>
      <c r="I708" s="169"/>
      <c r="J708" s="6"/>
      <c r="K708" s="188"/>
      <c r="L708" s="189"/>
      <c r="M708" s="189"/>
      <c r="N708" s="6"/>
      <c r="O708" s="6"/>
      <c r="P708" s="6"/>
      <c r="Q708" s="169"/>
      <c r="R708" s="6"/>
      <c r="S708" s="6"/>
      <c r="T708" s="169"/>
      <c r="U708" s="6"/>
      <c r="V708" s="169"/>
      <c r="W708" s="169"/>
      <c r="X708" s="169"/>
      <c r="Y708" s="169"/>
      <c r="Z708" s="169"/>
      <c r="AA708" s="169"/>
      <c r="AB708" s="169"/>
      <c r="AC708" s="169"/>
      <c r="AD708" s="169"/>
      <c r="AE708" s="169"/>
      <c r="AF708" s="169"/>
      <c r="AG708" s="169"/>
      <c r="AH708" s="169"/>
      <c r="AI708" s="169"/>
      <c r="AJ708" s="169"/>
      <c r="AK708" s="169"/>
      <c r="AL708" s="169"/>
      <c r="AM708" s="169"/>
      <c r="AN708" s="169"/>
      <c r="AO708" s="169"/>
      <c r="AP708" s="169"/>
      <c r="AQ708" s="169"/>
      <c r="AR708" s="169"/>
    </row>
    <row r="709" spans="1:44" ht="12.5">
      <c r="A709" s="169"/>
      <c r="B709" s="186"/>
      <c r="C709" s="186"/>
      <c r="D709" s="187"/>
      <c r="E709" s="6"/>
      <c r="F709" s="6"/>
      <c r="G709" s="6"/>
      <c r="H709" s="169"/>
      <c r="I709" s="169"/>
      <c r="J709" s="6"/>
      <c r="K709" s="188"/>
      <c r="L709" s="189"/>
      <c r="M709" s="189"/>
      <c r="N709" s="6"/>
      <c r="O709" s="6"/>
      <c r="P709" s="6"/>
      <c r="Q709" s="169"/>
      <c r="R709" s="6"/>
      <c r="S709" s="6"/>
      <c r="T709" s="169"/>
      <c r="U709" s="6"/>
      <c r="V709" s="169"/>
      <c r="W709" s="169"/>
      <c r="X709" s="169"/>
      <c r="Y709" s="169"/>
      <c r="Z709" s="169"/>
      <c r="AA709" s="169"/>
      <c r="AB709" s="169"/>
      <c r="AC709" s="169"/>
      <c r="AD709" s="169"/>
      <c r="AE709" s="169"/>
      <c r="AF709" s="169"/>
      <c r="AG709" s="169"/>
      <c r="AH709" s="169"/>
      <c r="AI709" s="169"/>
      <c r="AJ709" s="169"/>
      <c r="AK709" s="169"/>
      <c r="AL709" s="169"/>
      <c r="AM709" s="169"/>
      <c r="AN709" s="169"/>
      <c r="AO709" s="169"/>
      <c r="AP709" s="169"/>
      <c r="AQ709" s="169"/>
      <c r="AR709" s="169"/>
    </row>
    <row r="710" spans="1:44" ht="12.5">
      <c r="A710" s="169"/>
      <c r="B710" s="186"/>
      <c r="C710" s="186"/>
      <c r="D710" s="187"/>
      <c r="E710" s="6"/>
      <c r="F710" s="6"/>
      <c r="G710" s="6"/>
      <c r="H710" s="169"/>
      <c r="I710" s="169"/>
      <c r="J710" s="6"/>
      <c r="K710" s="188"/>
      <c r="L710" s="189"/>
      <c r="M710" s="189"/>
      <c r="N710" s="6"/>
      <c r="O710" s="6"/>
      <c r="P710" s="6"/>
      <c r="Q710" s="169"/>
      <c r="R710" s="6"/>
      <c r="S710" s="6"/>
      <c r="T710" s="169"/>
      <c r="U710" s="6"/>
      <c r="V710" s="169"/>
      <c r="W710" s="169"/>
      <c r="X710" s="169"/>
      <c r="Y710" s="169"/>
      <c r="Z710" s="169"/>
      <c r="AA710" s="169"/>
      <c r="AB710" s="169"/>
      <c r="AC710" s="169"/>
      <c r="AD710" s="169"/>
      <c r="AE710" s="169"/>
      <c r="AF710" s="169"/>
      <c r="AG710" s="169"/>
      <c r="AH710" s="169"/>
      <c r="AI710" s="169"/>
      <c r="AJ710" s="169"/>
      <c r="AK710" s="169"/>
      <c r="AL710" s="169"/>
      <c r="AM710" s="169"/>
      <c r="AN710" s="169"/>
      <c r="AO710" s="169"/>
      <c r="AP710" s="169"/>
      <c r="AQ710" s="169"/>
      <c r="AR710" s="169"/>
    </row>
    <row r="711" spans="1:44" ht="12.5">
      <c r="A711" s="169"/>
      <c r="B711" s="186"/>
      <c r="C711" s="186"/>
      <c r="D711" s="187"/>
      <c r="E711" s="6"/>
      <c r="F711" s="6"/>
      <c r="G711" s="6"/>
      <c r="H711" s="169"/>
      <c r="I711" s="169"/>
      <c r="J711" s="6"/>
      <c r="K711" s="188"/>
      <c r="L711" s="189"/>
      <c r="M711" s="189"/>
      <c r="N711" s="6"/>
      <c r="O711" s="6"/>
      <c r="P711" s="6"/>
      <c r="Q711" s="169"/>
      <c r="R711" s="6"/>
      <c r="S711" s="6"/>
      <c r="T711" s="169"/>
      <c r="U711" s="6"/>
      <c r="V711" s="169"/>
      <c r="W711" s="169"/>
      <c r="X711" s="169"/>
      <c r="Y711" s="169"/>
      <c r="Z711" s="169"/>
      <c r="AA711" s="169"/>
      <c r="AB711" s="169"/>
      <c r="AC711" s="169"/>
      <c r="AD711" s="169"/>
      <c r="AE711" s="169"/>
      <c r="AF711" s="169"/>
      <c r="AG711" s="169"/>
      <c r="AH711" s="169"/>
      <c r="AI711" s="169"/>
      <c r="AJ711" s="169"/>
      <c r="AK711" s="169"/>
      <c r="AL711" s="169"/>
      <c r="AM711" s="169"/>
      <c r="AN711" s="169"/>
      <c r="AO711" s="169"/>
      <c r="AP711" s="169"/>
      <c r="AQ711" s="169"/>
      <c r="AR711" s="169"/>
    </row>
    <row r="712" spans="1:44" ht="12.5">
      <c r="A712" s="169"/>
      <c r="B712" s="186"/>
      <c r="C712" s="186"/>
      <c r="D712" s="187"/>
      <c r="E712" s="6"/>
      <c r="F712" s="6"/>
      <c r="G712" s="6"/>
      <c r="H712" s="169"/>
      <c r="I712" s="169"/>
      <c r="J712" s="6"/>
      <c r="K712" s="188"/>
      <c r="L712" s="189"/>
      <c r="M712" s="189"/>
      <c r="N712" s="6"/>
      <c r="O712" s="6"/>
      <c r="P712" s="6"/>
      <c r="Q712" s="169"/>
      <c r="R712" s="6"/>
      <c r="S712" s="6"/>
      <c r="T712" s="169"/>
      <c r="U712" s="6"/>
      <c r="V712" s="169"/>
      <c r="W712" s="169"/>
      <c r="X712" s="169"/>
      <c r="Y712" s="169"/>
      <c r="Z712" s="169"/>
      <c r="AA712" s="169"/>
      <c r="AB712" s="169"/>
      <c r="AC712" s="169"/>
      <c r="AD712" s="169"/>
      <c r="AE712" s="169"/>
      <c r="AF712" s="169"/>
      <c r="AG712" s="169"/>
      <c r="AH712" s="169"/>
      <c r="AI712" s="169"/>
      <c r="AJ712" s="169"/>
      <c r="AK712" s="169"/>
      <c r="AL712" s="169"/>
      <c r="AM712" s="169"/>
      <c r="AN712" s="169"/>
      <c r="AO712" s="169"/>
      <c r="AP712" s="169"/>
      <c r="AQ712" s="169"/>
      <c r="AR712" s="169"/>
    </row>
    <row r="713" spans="1:44" ht="12.5">
      <c r="A713" s="169"/>
      <c r="B713" s="186"/>
      <c r="C713" s="186"/>
      <c r="D713" s="187"/>
      <c r="E713" s="6"/>
      <c r="F713" s="6"/>
      <c r="G713" s="6"/>
      <c r="H713" s="169"/>
      <c r="I713" s="169"/>
      <c r="J713" s="6"/>
      <c r="K713" s="188"/>
      <c r="L713" s="189"/>
      <c r="M713" s="189"/>
      <c r="N713" s="6"/>
      <c r="O713" s="6"/>
      <c r="P713" s="6"/>
      <c r="Q713" s="169"/>
      <c r="R713" s="6"/>
      <c r="S713" s="6"/>
      <c r="T713" s="169"/>
      <c r="U713" s="6"/>
      <c r="V713" s="169"/>
      <c r="W713" s="169"/>
      <c r="X713" s="169"/>
      <c r="Y713" s="169"/>
      <c r="Z713" s="169"/>
      <c r="AA713" s="169"/>
      <c r="AB713" s="169"/>
      <c r="AC713" s="169"/>
      <c r="AD713" s="169"/>
      <c r="AE713" s="169"/>
      <c r="AF713" s="169"/>
      <c r="AG713" s="169"/>
      <c r="AH713" s="169"/>
      <c r="AI713" s="169"/>
      <c r="AJ713" s="169"/>
      <c r="AK713" s="169"/>
      <c r="AL713" s="169"/>
      <c r="AM713" s="169"/>
      <c r="AN713" s="169"/>
      <c r="AO713" s="169"/>
      <c r="AP713" s="169"/>
      <c r="AQ713" s="169"/>
      <c r="AR713" s="169"/>
    </row>
    <row r="714" spans="1:44" ht="12.5">
      <c r="A714" s="169"/>
      <c r="B714" s="186"/>
      <c r="C714" s="186"/>
      <c r="D714" s="187"/>
      <c r="E714" s="6"/>
      <c r="F714" s="6"/>
      <c r="G714" s="6"/>
      <c r="H714" s="169"/>
      <c r="I714" s="169"/>
      <c r="J714" s="6"/>
      <c r="K714" s="188"/>
      <c r="L714" s="189"/>
      <c r="M714" s="189"/>
      <c r="N714" s="6"/>
      <c r="O714" s="6"/>
      <c r="P714" s="6"/>
      <c r="Q714" s="169"/>
      <c r="R714" s="6"/>
      <c r="S714" s="6"/>
      <c r="T714" s="169"/>
      <c r="U714" s="6"/>
      <c r="V714" s="169"/>
      <c r="W714" s="169"/>
      <c r="X714" s="169"/>
      <c r="Y714" s="169"/>
      <c r="Z714" s="169"/>
      <c r="AA714" s="169"/>
      <c r="AB714" s="169"/>
      <c r="AC714" s="169"/>
      <c r="AD714" s="169"/>
      <c r="AE714" s="169"/>
      <c r="AF714" s="169"/>
      <c r="AG714" s="169"/>
      <c r="AH714" s="169"/>
      <c r="AI714" s="169"/>
      <c r="AJ714" s="169"/>
      <c r="AK714" s="169"/>
      <c r="AL714" s="169"/>
      <c r="AM714" s="169"/>
      <c r="AN714" s="169"/>
      <c r="AO714" s="169"/>
      <c r="AP714" s="169"/>
      <c r="AQ714" s="169"/>
      <c r="AR714" s="169"/>
    </row>
    <row r="715" spans="1:44" ht="12.5">
      <c r="A715" s="169"/>
      <c r="B715" s="186"/>
      <c r="C715" s="186"/>
      <c r="D715" s="187"/>
      <c r="E715" s="6"/>
      <c r="F715" s="6"/>
      <c r="G715" s="6"/>
      <c r="H715" s="169"/>
      <c r="I715" s="169"/>
      <c r="J715" s="6"/>
      <c r="K715" s="188"/>
      <c r="L715" s="189"/>
      <c r="M715" s="189"/>
      <c r="N715" s="6"/>
      <c r="O715" s="6"/>
      <c r="P715" s="6"/>
      <c r="Q715" s="169"/>
      <c r="R715" s="6"/>
      <c r="S715" s="6"/>
      <c r="T715" s="169"/>
      <c r="U715" s="6"/>
      <c r="V715" s="169"/>
      <c r="W715" s="169"/>
      <c r="X715" s="169"/>
      <c r="Y715" s="169"/>
      <c r="Z715" s="169"/>
      <c r="AA715" s="169"/>
      <c r="AB715" s="169"/>
      <c r="AC715" s="169"/>
      <c r="AD715" s="169"/>
      <c r="AE715" s="169"/>
      <c r="AF715" s="169"/>
      <c r="AG715" s="169"/>
      <c r="AH715" s="169"/>
      <c r="AI715" s="169"/>
      <c r="AJ715" s="169"/>
      <c r="AK715" s="169"/>
      <c r="AL715" s="169"/>
      <c r="AM715" s="169"/>
      <c r="AN715" s="169"/>
      <c r="AO715" s="169"/>
      <c r="AP715" s="169"/>
      <c r="AQ715" s="169"/>
      <c r="AR715" s="169"/>
    </row>
    <row r="716" spans="1:44" ht="12.5">
      <c r="A716" s="169"/>
      <c r="B716" s="186"/>
      <c r="C716" s="186"/>
      <c r="D716" s="187"/>
      <c r="E716" s="6"/>
      <c r="F716" s="6"/>
      <c r="G716" s="6"/>
      <c r="H716" s="169"/>
      <c r="I716" s="169"/>
      <c r="J716" s="6"/>
      <c r="K716" s="188"/>
      <c r="L716" s="189"/>
      <c r="M716" s="189"/>
      <c r="N716" s="6"/>
      <c r="O716" s="6"/>
      <c r="P716" s="6"/>
      <c r="Q716" s="169"/>
      <c r="R716" s="6"/>
      <c r="S716" s="6"/>
      <c r="T716" s="169"/>
      <c r="U716" s="6"/>
      <c r="V716" s="169"/>
      <c r="W716" s="169"/>
      <c r="X716" s="169"/>
      <c r="Y716" s="169"/>
      <c r="Z716" s="169"/>
      <c r="AA716" s="169"/>
      <c r="AB716" s="169"/>
      <c r="AC716" s="169"/>
      <c r="AD716" s="169"/>
      <c r="AE716" s="169"/>
      <c r="AF716" s="169"/>
      <c r="AG716" s="169"/>
      <c r="AH716" s="169"/>
      <c r="AI716" s="169"/>
      <c r="AJ716" s="169"/>
      <c r="AK716" s="169"/>
      <c r="AL716" s="169"/>
      <c r="AM716" s="169"/>
      <c r="AN716" s="169"/>
      <c r="AO716" s="169"/>
      <c r="AP716" s="169"/>
      <c r="AQ716" s="169"/>
      <c r="AR716" s="169"/>
    </row>
    <row r="717" spans="1:44" ht="12.5">
      <c r="A717" s="169"/>
      <c r="B717" s="186"/>
      <c r="C717" s="186"/>
      <c r="D717" s="187"/>
      <c r="E717" s="6"/>
      <c r="F717" s="6"/>
      <c r="G717" s="6"/>
      <c r="H717" s="169"/>
      <c r="I717" s="169"/>
      <c r="J717" s="6"/>
      <c r="K717" s="188"/>
      <c r="L717" s="189"/>
      <c r="M717" s="189"/>
      <c r="N717" s="6"/>
      <c r="O717" s="6"/>
      <c r="P717" s="6"/>
      <c r="Q717" s="169"/>
      <c r="R717" s="6"/>
      <c r="S717" s="6"/>
      <c r="T717" s="169"/>
      <c r="U717" s="6"/>
      <c r="V717" s="169"/>
      <c r="W717" s="169"/>
      <c r="X717" s="169"/>
      <c r="Y717" s="169"/>
      <c r="Z717" s="169"/>
      <c r="AA717" s="169"/>
      <c r="AB717" s="169"/>
      <c r="AC717" s="169"/>
      <c r="AD717" s="169"/>
      <c r="AE717" s="169"/>
      <c r="AF717" s="169"/>
      <c r="AG717" s="169"/>
      <c r="AH717" s="169"/>
      <c r="AI717" s="169"/>
      <c r="AJ717" s="169"/>
      <c r="AK717" s="169"/>
      <c r="AL717" s="169"/>
      <c r="AM717" s="169"/>
      <c r="AN717" s="169"/>
      <c r="AO717" s="169"/>
      <c r="AP717" s="169"/>
      <c r="AQ717" s="169"/>
      <c r="AR717" s="169"/>
    </row>
    <row r="718" spans="1:44" ht="12.5">
      <c r="A718" s="169"/>
      <c r="B718" s="186"/>
      <c r="C718" s="186"/>
      <c r="D718" s="187"/>
      <c r="E718" s="6"/>
      <c r="F718" s="6"/>
      <c r="G718" s="6"/>
      <c r="H718" s="169"/>
      <c r="I718" s="169"/>
      <c r="J718" s="6"/>
      <c r="K718" s="188"/>
      <c r="L718" s="189"/>
      <c r="M718" s="189"/>
      <c r="N718" s="6"/>
      <c r="O718" s="6"/>
      <c r="P718" s="6"/>
      <c r="Q718" s="169"/>
      <c r="R718" s="6"/>
      <c r="S718" s="6"/>
      <c r="T718" s="169"/>
      <c r="U718" s="6"/>
      <c r="V718" s="169"/>
      <c r="W718" s="169"/>
      <c r="X718" s="169"/>
      <c r="Y718" s="169"/>
      <c r="Z718" s="169"/>
      <c r="AA718" s="169"/>
      <c r="AB718" s="169"/>
      <c r="AC718" s="169"/>
      <c r="AD718" s="169"/>
      <c r="AE718" s="169"/>
      <c r="AF718" s="169"/>
      <c r="AG718" s="169"/>
      <c r="AH718" s="169"/>
      <c r="AI718" s="169"/>
      <c r="AJ718" s="169"/>
      <c r="AK718" s="169"/>
      <c r="AL718" s="169"/>
      <c r="AM718" s="169"/>
      <c r="AN718" s="169"/>
      <c r="AO718" s="169"/>
      <c r="AP718" s="169"/>
      <c r="AQ718" s="169"/>
      <c r="AR718" s="169"/>
    </row>
    <row r="719" spans="1:44" ht="12.5">
      <c r="A719" s="169"/>
      <c r="B719" s="186"/>
      <c r="C719" s="186"/>
      <c r="D719" s="187"/>
      <c r="E719" s="6"/>
      <c r="F719" s="6"/>
      <c r="G719" s="6"/>
      <c r="H719" s="169"/>
      <c r="I719" s="169"/>
      <c r="J719" s="6"/>
      <c r="K719" s="188"/>
      <c r="L719" s="189"/>
      <c r="M719" s="189"/>
      <c r="N719" s="6"/>
      <c r="O719" s="6"/>
      <c r="P719" s="6"/>
      <c r="Q719" s="169"/>
      <c r="R719" s="6"/>
      <c r="S719" s="6"/>
      <c r="T719" s="169"/>
      <c r="U719" s="6"/>
      <c r="V719" s="169"/>
      <c r="W719" s="169"/>
      <c r="X719" s="169"/>
      <c r="Y719" s="169"/>
      <c r="Z719" s="169"/>
      <c r="AA719" s="169"/>
      <c r="AB719" s="169"/>
      <c r="AC719" s="169"/>
      <c r="AD719" s="169"/>
      <c r="AE719" s="169"/>
      <c r="AF719" s="169"/>
      <c r="AG719" s="169"/>
      <c r="AH719" s="169"/>
      <c r="AI719" s="169"/>
      <c r="AJ719" s="169"/>
      <c r="AK719" s="169"/>
      <c r="AL719" s="169"/>
      <c r="AM719" s="169"/>
      <c r="AN719" s="169"/>
      <c r="AO719" s="169"/>
      <c r="AP719" s="169"/>
      <c r="AQ719" s="169"/>
      <c r="AR719" s="169"/>
    </row>
    <row r="720" spans="1:44" ht="12.5">
      <c r="A720" s="169"/>
      <c r="B720" s="186"/>
      <c r="C720" s="186"/>
      <c r="D720" s="187"/>
      <c r="E720" s="6"/>
      <c r="F720" s="6"/>
      <c r="G720" s="6"/>
      <c r="H720" s="169"/>
      <c r="I720" s="169"/>
      <c r="J720" s="6"/>
      <c r="K720" s="188"/>
      <c r="L720" s="189"/>
      <c r="M720" s="189"/>
      <c r="N720" s="6"/>
      <c r="O720" s="6"/>
      <c r="P720" s="6"/>
      <c r="Q720" s="169"/>
      <c r="R720" s="6"/>
      <c r="S720" s="6"/>
      <c r="T720" s="169"/>
      <c r="U720" s="6"/>
      <c r="V720" s="169"/>
      <c r="W720" s="169"/>
      <c r="X720" s="169"/>
      <c r="Y720" s="169"/>
      <c r="Z720" s="169"/>
      <c r="AA720" s="169"/>
      <c r="AB720" s="169"/>
      <c r="AC720" s="169"/>
      <c r="AD720" s="169"/>
      <c r="AE720" s="169"/>
      <c r="AF720" s="169"/>
      <c r="AG720" s="169"/>
      <c r="AH720" s="169"/>
      <c r="AI720" s="169"/>
      <c r="AJ720" s="169"/>
      <c r="AK720" s="169"/>
      <c r="AL720" s="169"/>
      <c r="AM720" s="169"/>
      <c r="AN720" s="169"/>
      <c r="AO720" s="169"/>
      <c r="AP720" s="169"/>
      <c r="AQ720" s="169"/>
      <c r="AR720" s="169"/>
    </row>
    <row r="721" spans="1:44" ht="12.5">
      <c r="A721" s="169"/>
      <c r="B721" s="186"/>
      <c r="C721" s="186"/>
      <c r="D721" s="187"/>
      <c r="E721" s="6"/>
      <c r="F721" s="6"/>
      <c r="G721" s="6"/>
      <c r="H721" s="169"/>
      <c r="I721" s="169"/>
      <c r="J721" s="6"/>
      <c r="K721" s="188"/>
      <c r="L721" s="189"/>
      <c r="M721" s="189"/>
      <c r="N721" s="6"/>
      <c r="O721" s="6"/>
      <c r="P721" s="6"/>
      <c r="Q721" s="169"/>
      <c r="R721" s="6"/>
      <c r="S721" s="6"/>
      <c r="T721" s="169"/>
      <c r="U721" s="6"/>
      <c r="V721" s="169"/>
      <c r="W721" s="169"/>
      <c r="X721" s="169"/>
      <c r="Y721" s="169"/>
      <c r="Z721" s="169"/>
      <c r="AA721" s="169"/>
      <c r="AB721" s="169"/>
      <c r="AC721" s="169"/>
      <c r="AD721" s="169"/>
      <c r="AE721" s="169"/>
      <c r="AF721" s="169"/>
      <c r="AG721" s="169"/>
      <c r="AH721" s="169"/>
      <c r="AI721" s="169"/>
      <c r="AJ721" s="169"/>
      <c r="AK721" s="169"/>
      <c r="AL721" s="169"/>
      <c r="AM721" s="169"/>
      <c r="AN721" s="169"/>
      <c r="AO721" s="169"/>
      <c r="AP721" s="169"/>
      <c r="AQ721" s="169"/>
      <c r="AR721" s="169"/>
    </row>
    <row r="722" spans="1:44" ht="12.5">
      <c r="A722" s="169"/>
      <c r="B722" s="186"/>
      <c r="C722" s="186"/>
      <c r="D722" s="187"/>
      <c r="E722" s="6"/>
      <c r="F722" s="6"/>
      <c r="G722" s="6"/>
      <c r="H722" s="169"/>
      <c r="I722" s="169"/>
      <c r="J722" s="6"/>
      <c r="K722" s="188"/>
      <c r="L722" s="189"/>
      <c r="M722" s="189"/>
      <c r="N722" s="6"/>
      <c r="O722" s="6"/>
      <c r="P722" s="6"/>
      <c r="Q722" s="169"/>
      <c r="R722" s="6"/>
      <c r="S722" s="6"/>
      <c r="T722" s="169"/>
      <c r="U722" s="6"/>
      <c r="V722" s="169"/>
      <c r="W722" s="169"/>
      <c r="X722" s="169"/>
      <c r="Y722" s="169"/>
      <c r="Z722" s="169"/>
      <c r="AA722" s="169"/>
      <c r="AB722" s="169"/>
      <c r="AC722" s="169"/>
      <c r="AD722" s="169"/>
      <c r="AE722" s="169"/>
      <c r="AF722" s="169"/>
      <c r="AG722" s="169"/>
      <c r="AH722" s="169"/>
      <c r="AI722" s="169"/>
      <c r="AJ722" s="169"/>
      <c r="AK722" s="169"/>
      <c r="AL722" s="169"/>
      <c r="AM722" s="169"/>
      <c r="AN722" s="169"/>
      <c r="AO722" s="169"/>
      <c r="AP722" s="169"/>
      <c r="AQ722" s="169"/>
      <c r="AR722" s="169"/>
    </row>
    <row r="723" spans="1:44" ht="12.5">
      <c r="A723" s="169"/>
      <c r="B723" s="186"/>
      <c r="C723" s="186"/>
      <c r="D723" s="187"/>
      <c r="E723" s="6"/>
      <c r="F723" s="6"/>
      <c r="G723" s="6"/>
      <c r="H723" s="169"/>
      <c r="I723" s="169"/>
      <c r="J723" s="6"/>
      <c r="K723" s="188"/>
      <c r="L723" s="189"/>
      <c r="M723" s="189"/>
      <c r="N723" s="6"/>
      <c r="O723" s="6"/>
      <c r="P723" s="6"/>
      <c r="Q723" s="169"/>
      <c r="R723" s="6"/>
      <c r="S723" s="6"/>
      <c r="T723" s="169"/>
      <c r="U723" s="6"/>
      <c r="V723" s="169"/>
      <c r="W723" s="169"/>
      <c r="X723" s="169"/>
      <c r="Y723" s="169"/>
      <c r="Z723" s="169"/>
      <c r="AA723" s="169"/>
      <c r="AB723" s="169"/>
      <c r="AC723" s="169"/>
      <c r="AD723" s="169"/>
      <c r="AE723" s="169"/>
      <c r="AF723" s="169"/>
      <c r="AG723" s="169"/>
      <c r="AH723" s="169"/>
      <c r="AI723" s="169"/>
      <c r="AJ723" s="169"/>
      <c r="AK723" s="169"/>
      <c r="AL723" s="169"/>
      <c r="AM723" s="169"/>
      <c r="AN723" s="169"/>
      <c r="AO723" s="169"/>
      <c r="AP723" s="169"/>
      <c r="AQ723" s="169"/>
      <c r="AR723" s="169"/>
    </row>
    <row r="724" spans="1:44" ht="12.5">
      <c r="A724" s="169"/>
      <c r="B724" s="186"/>
      <c r="C724" s="186"/>
      <c r="D724" s="187"/>
      <c r="E724" s="6"/>
      <c r="F724" s="6"/>
      <c r="G724" s="6"/>
      <c r="H724" s="169"/>
      <c r="I724" s="169"/>
      <c r="J724" s="6"/>
      <c r="K724" s="188"/>
      <c r="L724" s="189"/>
      <c r="M724" s="189"/>
      <c r="N724" s="6"/>
      <c r="O724" s="6"/>
      <c r="P724" s="6"/>
      <c r="Q724" s="169"/>
      <c r="R724" s="6"/>
      <c r="S724" s="6"/>
      <c r="T724" s="169"/>
      <c r="U724" s="6"/>
      <c r="V724" s="169"/>
      <c r="W724" s="169"/>
      <c r="X724" s="169"/>
      <c r="Y724" s="169"/>
      <c r="Z724" s="169"/>
      <c r="AA724" s="169"/>
      <c r="AB724" s="169"/>
      <c r="AC724" s="169"/>
      <c r="AD724" s="169"/>
      <c r="AE724" s="169"/>
      <c r="AF724" s="169"/>
      <c r="AG724" s="169"/>
      <c r="AH724" s="169"/>
      <c r="AI724" s="169"/>
      <c r="AJ724" s="169"/>
      <c r="AK724" s="169"/>
      <c r="AL724" s="169"/>
      <c r="AM724" s="169"/>
      <c r="AN724" s="169"/>
      <c r="AO724" s="169"/>
      <c r="AP724" s="169"/>
      <c r="AQ724" s="169"/>
      <c r="AR724" s="169"/>
    </row>
    <row r="725" spans="1:44" ht="12.5">
      <c r="A725" s="169"/>
      <c r="B725" s="186"/>
      <c r="C725" s="186"/>
      <c r="D725" s="187"/>
      <c r="E725" s="6"/>
      <c r="F725" s="6"/>
      <c r="G725" s="6"/>
      <c r="H725" s="169"/>
      <c r="I725" s="169"/>
      <c r="J725" s="6"/>
      <c r="K725" s="188"/>
      <c r="L725" s="189"/>
      <c r="M725" s="189"/>
      <c r="N725" s="6"/>
      <c r="O725" s="6"/>
      <c r="P725" s="6"/>
      <c r="Q725" s="169"/>
      <c r="R725" s="6"/>
      <c r="S725" s="6"/>
      <c r="T725" s="169"/>
      <c r="U725" s="6"/>
      <c r="V725" s="169"/>
      <c r="W725" s="169"/>
      <c r="X725" s="169"/>
      <c r="Y725" s="169"/>
      <c r="Z725" s="169"/>
      <c r="AA725" s="169"/>
      <c r="AB725" s="169"/>
      <c r="AC725" s="169"/>
      <c r="AD725" s="169"/>
      <c r="AE725" s="169"/>
      <c r="AF725" s="169"/>
      <c r="AG725" s="169"/>
      <c r="AH725" s="169"/>
      <c r="AI725" s="169"/>
      <c r="AJ725" s="169"/>
      <c r="AK725" s="169"/>
      <c r="AL725" s="169"/>
      <c r="AM725" s="169"/>
      <c r="AN725" s="169"/>
      <c r="AO725" s="169"/>
      <c r="AP725" s="169"/>
      <c r="AQ725" s="169"/>
      <c r="AR725" s="169"/>
    </row>
    <row r="726" spans="1:44" ht="12.5">
      <c r="A726" s="169"/>
      <c r="B726" s="186"/>
      <c r="C726" s="186"/>
      <c r="D726" s="187"/>
      <c r="E726" s="6"/>
      <c r="F726" s="6"/>
      <c r="G726" s="6"/>
      <c r="H726" s="169"/>
      <c r="I726" s="169"/>
      <c r="J726" s="6"/>
      <c r="K726" s="188"/>
      <c r="L726" s="189"/>
      <c r="M726" s="189"/>
      <c r="N726" s="6"/>
      <c r="O726" s="6"/>
      <c r="P726" s="6"/>
      <c r="Q726" s="169"/>
      <c r="R726" s="6"/>
      <c r="S726" s="6"/>
      <c r="T726" s="169"/>
      <c r="U726" s="6"/>
      <c r="V726" s="169"/>
      <c r="W726" s="169"/>
      <c r="X726" s="169"/>
      <c r="Y726" s="169"/>
      <c r="Z726" s="169"/>
      <c r="AA726" s="169"/>
      <c r="AB726" s="169"/>
      <c r="AC726" s="169"/>
      <c r="AD726" s="169"/>
      <c r="AE726" s="169"/>
      <c r="AF726" s="169"/>
      <c r="AG726" s="169"/>
      <c r="AH726" s="169"/>
      <c r="AI726" s="169"/>
      <c r="AJ726" s="169"/>
      <c r="AK726" s="169"/>
      <c r="AL726" s="169"/>
      <c r="AM726" s="169"/>
      <c r="AN726" s="169"/>
      <c r="AO726" s="169"/>
      <c r="AP726" s="169"/>
      <c r="AQ726" s="169"/>
      <c r="AR726" s="169"/>
    </row>
    <row r="727" spans="1:44" ht="12.5">
      <c r="A727" s="169"/>
      <c r="B727" s="186"/>
      <c r="C727" s="186"/>
      <c r="D727" s="187"/>
      <c r="E727" s="6"/>
      <c r="F727" s="6"/>
      <c r="G727" s="6"/>
      <c r="H727" s="169"/>
      <c r="I727" s="169"/>
      <c r="J727" s="6"/>
      <c r="K727" s="188"/>
      <c r="L727" s="189"/>
      <c r="M727" s="189"/>
      <c r="N727" s="6"/>
      <c r="O727" s="6"/>
      <c r="P727" s="6"/>
      <c r="Q727" s="169"/>
      <c r="R727" s="6"/>
      <c r="S727" s="6"/>
      <c r="T727" s="169"/>
      <c r="U727" s="6"/>
      <c r="V727" s="169"/>
      <c r="W727" s="169"/>
      <c r="X727" s="169"/>
      <c r="Y727" s="169"/>
      <c r="Z727" s="169"/>
      <c r="AA727" s="169"/>
      <c r="AB727" s="169"/>
      <c r="AC727" s="169"/>
      <c r="AD727" s="169"/>
      <c r="AE727" s="169"/>
      <c r="AF727" s="169"/>
      <c r="AG727" s="169"/>
      <c r="AH727" s="169"/>
      <c r="AI727" s="169"/>
      <c r="AJ727" s="169"/>
      <c r="AK727" s="169"/>
      <c r="AL727" s="169"/>
      <c r="AM727" s="169"/>
      <c r="AN727" s="169"/>
      <c r="AO727" s="169"/>
      <c r="AP727" s="169"/>
      <c r="AQ727" s="169"/>
      <c r="AR727" s="169"/>
    </row>
    <row r="728" spans="1:44" ht="12.5">
      <c r="A728" s="169"/>
      <c r="B728" s="186"/>
      <c r="C728" s="186"/>
      <c r="D728" s="187"/>
      <c r="E728" s="6"/>
      <c r="F728" s="6"/>
      <c r="G728" s="6"/>
      <c r="H728" s="169"/>
      <c r="I728" s="169"/>
      <c r="J728" s="6"/>
      <c r="K728" s="188"/>
      <c r="L728" s="189"/>
      <c r="M728" s="189"/>
      <c r="N728" s="6"/>
      <c r="O728" s="6"/>
      <c r="P728" s="6"/>
      <c r="Q728" s="169"/>
      <c r="R728" s="6"/>
      <c r="S728" s="6"/>
      <c r="T728" s="169"/>
      <c r="U728" s="6"/>
      <c r="V728" s="169"/>
      <c r="W728" s="169"/>
      <c r="X728" s="169"/>
      <c r="Y728" s="169"/>
      <c r="Z728" s="169"/>
      <c r="AA728" s="169"/>
      <c r="AB728" s="169"/>
      <c r="AC728" s="169"/>
      <c r="AD728" s="169"/>
      <c r="AE728" s="169"/>
      <c r="AF728" s="169"/>
      <c r="AG728" s="169"/>
      <c r="AH728" s="169"/>
      <c r="AI728" s="169"/>
      <c r="AJ728" s="169"/>
      <c r="AK728" s="169"/>
      <c r="AL728" s="169"/>
      <c r="AM728" s="169"/>
      <c r="AN728" s="169"/>
      <c r="AO728" s="169"/>
      <c r="AP728" s="169"/>
      <c r="AQ728" s="169"/>
      <c r="AR728" s="169"/>
    </row>
    <row r="729" spans="1:44" ht="12.5">
      <c r="A729" s="169"/>
      <c r="B729" s="186"/>
      <c r="C729" s="186"/>
      <c r="D729" s="187"/>
      <c r="E729" s="6"/>
      <c r="F729" s="6"/>
      <c r="G729" s="6"/>
      <c r="H729" s="169"/>
      <c r="I729" s="169"/>
      <c r="J729" s="6"/>
      <c r="K729" s="188"/>
      <c r="L729" s="189"/>
      <c r="M729" s="189"/>
      <c r="N729" s="6"/>
      <c r="O729" s="6"/>
      <c r="P729" s="6"/>
      <c r="Q729" s="169"/>
      <c r="R729" s="6"/>
      <c r="S729" s="6"/>
      <c r="T729" s="169"/>
      <c r="U729" s="6"/>
      <c r="V729" s="169"/>
      <c r="W729" s="169"/>
      <c r="X729" s="169"/>
      <c r="Y729" s="169"/>
      <c r="Z729" s="169"/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AK729" s="169"/>
      <c r="AL729" s="169"/>
      <c r="AM729" s="169"/>
      <c r="AN729" s="169"/>
      <c r="AO729" s="169"/>
      <c r="AP729" s="169"/>
      <c r="AQ729" s="169"/>
      <c r="AR729" s="169"/>
    </row>
    <row r="730" spans="1:44" ht="12.5">
      <c r="A730" s="169"/>
      <c r="B730" s="186"/>
      <c r="C730" s="186"/>
      <c r="D730" s="187"/>
      <c r="E730" s="6"/>
      <c r="F730" s="6"/>
      <c r="G730" s="6"/>
      <c r="H730" s="169"/>
      <c r="I730" s="169"/>
      <c r="J730" s="6"/>
      <c r="K730" s="188"/>
      <c r="L730" s="189"/>
      <c r="M730" s="189"/>
      <c r="N730" s="6"/>
      <c r="O730" s="6"/>
      <c r="P730" s="6"/>
      <c r="Q730" s="169"/>
      <c r="R730" s="6"/>
      <c r="S730" s="6"/>
      <c r="T730" s="169"/>
      <c r="U730" s="6"/>
      <c r="V730" s="169"/>
      <c r="W730" s="169"/>
      <c r="X730" s="169"/>
      <c r="Y730" s="169"/>
      <c r="Z730" s="169"/>
      <c r="AA730" s="169"/>
      <c r="AB730" s="169"/>
      <c r="AC730" s="169"/>
      <c r="AD730" s="169"/>
      <c r="AE730" s="169"/>
      <c r="AF730" s="169"/>
      <c r="AG730" s="169"/>
      <c r="AH730" s="169"/>
      <c r="AI730" s="169"/>
      <c r="AJ730" s="169"/>
      <c r="AK730" s="169"/>
      <c r="AL730" s="169"/>
      <c r="AM730" s="169"/>
      <c r="AN730" s="169"/>
      <c r="AO730" s="169"/>
      <c r="AP730" s="169"/>
      <c r="AQ730" s="169"/>
      <c r="AR730" s="169"/>
    </row>
    <row r="731" spans="1:44" ht="12.5">
      <c r="A731" s="169"/>
      <c r="B731" s="186"/>
      <c r="C731" s="186"/>
      <c r="D731" s="187"/>
      <c r="E731" s="6"/>
      <c r="F731" s="6"/>
      <c r="G731" s="6"/>
      <c r="H731" s="169"/>
      <c r="I731" s="169"/>
      <c r="J731" s="6"/>
      <c r="K731" s="188"/>
      <c r="L731" s="189"/>
      <c r="M731" s="189"/>
      <c r="N731" s="6"/>
      <c r="O731" s="6"/>
      <c r="P731" s="6"/>
      <c r="Q731" s="169"/>
      <c r="R731" s="6"/>
      <c r="S731" s="6"/>
      <c r="T731" s="169"/>
      <c r="U731" s="6"/>
      <c r="V731" s="169"/>
      <c r="W731" s="169"/>
      <c r="X731" s="169"/>
      <c r="Y731" s="169"/>
      <c r="Z731" s="169"/>
      <c r="AA731" s="169"/>
      <c r="AB731" s="169"/>
      <c r="AC731" s="169"/>
      <c r="AD731" s="169"/>
      <c r="AE731" s="169"/>
      <c r="AF731" s="169"/>
      <c r="AG731" s="169"/>
      <c r="AH731" s="169"/>
      <c r="AI731" s="169"/>
      <c r="AJ731" s="169"/>
      <c r="AK731" s="169"/>
      <c r="AL731" s="169"/>
      <c r="AM731" s="169"/>
      <c r="AN731" s="169"/>
      <c r="AO731" s="169"/>
      <c r="AP731" s="169"/>
      <c r="AQ731" s="169"/>
      <c r="AR731" s="169"/>
    </row>
    <row r="732" spans="1:44" ht="12.5">
      <c r="A732" s="169"/>
      <c r="B732" s="186"/>
      <c r="C732" s="186"/>
      <c r="D732" s="187"/>
      <c r="E732" s="6"/>
      <c r="F732" s="6"/>
      <c r="G732" s="6"/>
      <c r="H732" s="169"/>
      <c r="I732" s="169"/>
      <c r="J732" s="6"/>
      <c r="K732" s="188"/>
      <c r="L732" s="189"/>
      <c r="M732" s="189"/>
      <c r="N732" s="6"/>
      <c r="O732" s="6"/>
      <c r="P732" s="6"/>
      <c r="Q732" s="169"/>
      <c r="R732" s="6"/>
      <c r="S732" s="6"/>
      <c r="T732" s="169"/>
      <c r="U732" s="6"/>
      <c r="V732" s="169"/>
      <c r="W732" s="169"/>
      <c r="X732" s="169"/>
      <c r="Y732" s="169"/>
      <c r="Z732" s="169"/>
      <c r="AA732" s="169"/>
      <c r="AB732" s="169"/>
      <c r="AC732" s="169"/>
      <c r="AD732" s="169"/>
      <c r="AE732" s="169"/>
      <c r="AF732" s="169"/>
      <c r="AG732" s="169"/>
      <c r="AH732" s="169"/>
      <c r="AI732" s="169"/>
      <c r="AJ732" s="169"/>
      <c r="AK732" s="169"/>
      <c r="AL732" s="169"/>
      <c r="AM732" s="169"/>
      <c r="AN732" s="169"/>
      <c r="AO732" s="169"/>
      <c r="AP732" s="169"/>
      <c r="AQ732" s="169"/>
      <c r="AR732" s="169"/>
    </row>
    <row r="733" spans="1:44" ht="12.5">
      <c r="A733" s="169"/>
      <c r="B733" s="186"/>
      <c r="C733" s="186"/>
      <c r="D733" s="187"/>
      <c r="E733" s="6"/>
      <c r="F733" s="6"/>
      <c r="G733" s="6"/>
      <c r="H733" s="169"/>
      <c r="I733" s="169"/>
      <c r="J733" s="6"/>
      <c r="K733" s="188"/>
      <c r="L733" s="189"/>
      <c r="M733" s="189"/>
      <c r="N733" s="6"/>
      <c r="O733" s="6"/>
      <c r="P733" s="6"/>
      <c r="Q733" s="169"/>
      <c r="R733" s="6"/>
      <c r="S733" s="6"/>
      <c r="T733" s="169"/>
      <c r="U733" s="6"/>
      <c r="V733" s="169"/>
      <c r="W733" s="169"/>
      <c r="X733" s="169"/>
      <c r="Y733" s="169"/>
      <c r="Z733" s="169"/>
      <c r="AA733" s="169"/>
      <c r="AB733" s="169"/>
      <c r="AC733" s="169"/>
      <c r="AD733" s="169"/>
      <c r="AE733" s="169"/>
      <c r="AF733" s="169"/>
      <c r="AG733" s="169"/>
      <c r="AH733" s="169"/>
      <c r="AI733" s="169"/>
      <c r="AJ733" s="169"/>
      <c r="AK733" s="169"/>
      <c r="AL733" s="169"/>
      <c r="AM733" s="169"/>
      <c r="AN733" s="169"/>
      <c r="AO733" s="169"/>
      <c r="AP733" s="169"/>
      <c r="AQ733" s="169"/>
      <c r="AR733" s="169"/>
    </row>
    <row r="734" spans="1:44" ht="12.5">
      <c r="A734" s="169"/>
      <c r="B734" s="186"/>
      <c r="C734" s="186"/>
      <c r="D734" s="187"/>
      <c r="E734" s="6"/>
      <c r="F734" s="6"/>
      <c r="G734" s="6"/>
      <c r="H734" s="169"/>
      <c r="I734" s="169"/>
      <c r="J734" s="6"/>
      <c r="K734" s="188"/>
      <c r="L734" s="189"/>
      <c r="M734" s="189"/>
      <c r="N734" s="6"/>
      <c r="O734" s="6"/>
      <c r="P734" s="6"/>
      <c r="Q734" s="169"/>
      <c r="R734" s="6"/>
      <c r="S734" s="6"/>
      <c r="T734" s="169"/>
      <c r="U734" s="6"/>
      <c r="V734" s="169"/>
      <c r="W734" s="169"/>
      <c r="X734" s="169"/>
      <c r="Y734" s="169"/>
      <c r="Z734" s="169"/>
      <c r="AA734" s="169"/>
      <c r="AB734" s="169"/>
      <c r="AC734" s="169"/>
      <c r="AD734" s="169"/>
      <c r="AE734" s="169"/>
      <c r="AF734" s="169"/>
      <c r="AG734" s="169"/>
      <c r="AH734" s="169"/>
      <c r="AI734" s="169"/>
      <c r="AJ734" s="169"/>
      <c r="AK734" s="169"/>
      <c r="AL734" s="169"/>
      <c r="AM734" s="169"/>
      <c r="AN734" s="169"/>
      <c r="AO734" s="169"/>
      <c r="AP734" s="169"/>
      <c r="AQ734" s="169"/>
      <c r="AR734" s="169"/>
    </row>
    <row r="735" spans="1:44" ht="12.5">
      <c r="A735" s="169"/>
      <c r="B735" s="186"/>
      <c r="C735" s="186"/>
      <c r="D735" s="187"/>
      <c r="E735" s="6"/>
      <c r="F735" s="6"/>
      <c r="G735" s="6"/>
      <c r="H735" s="169"/>
      <c r="I735" s="169"/>
      <c r="J735" s="6"/>
      <c r="K735" s="188"/>
      <c r="L735" s="189"/>
      <c r="M735" s="189"/>
      <c r="N735" s="6"/>
      <c r="O735" s="6"/>
      <c r="P735" s="6"/>
      <c r="Q735" s="169"/>
      <c r="R735" s="6"/>
      <c r="S735" s="6"/>
      <c r="T735" s="169"/>
      <c r="U735" s="6"/>
      <c r="V735" s="169"/>
      <c r="W735" s="169"/>
      <c r="X735" s="169"/>
      <c r="Y735" s="169"/>
      <c r="Z735" s="169"/>
      <c r="AA735" s="169"/>
      <c r="AB735" s="169"/>
      <c r="AC735" s="169"/>
      <c r="AD735" s="169"/>
      <c r="AE735" s="169"/>
      <c r="AF735" s="169"/>
      <c r="AG735" s="169"/>
      <c r="AH735" s="169"/>
      <c r="AI735" s="169"/>
      <c r="AJ735" s="169"/>
      <c r="AK735" s="169"/>
      <c r="AL735" s="169"/>
      <c r="AM735" s="169"/>
      <c r="AN735" s="169"/>
      <c r="AO735" s="169"/>
      <c r="AP735" s="169"/>
      <c r="AQ735" s="169"/>
      <c r="AR735" s="169"/>
    </row>
    <row r="736" spans="1:44" ht="12.5">
      <c r="A736" s="169"/>
      <c r="B736" s="186"/>
      <c r="C736" s="186"/>
      <c r="D736" s="187"/>
      <c r="E736" s="6"/>
      <c r="F736" s="6"/>
      <c r="G736" s="6"/>
      <c r="H736" s="169"/>
      <c r="I736" s="169"/>
      <c r="J736" s="6"/>
      <c r="K736" s="188"/>
      <c r="L736" s="189"/>
      <c r="M736" s="189"/>
      <c r="N736" s="6"/>
      <c r="O736" s="6"/>
      <c r="P736" s="6"/>
      <c r="Q736" s="169"/>
      <c r="R736" s="6"/>
      <c r="S736" s="6"/>
      <c r="T736" s="169"/>
      <c r="U736" s="6"/>
      <c r="V736" s="169"/>
      <c r="W736" s="169"/>
      <c r="X736" s="169"/>
      <c r="Y736" s="169"/>
      <c r="Z736" s="169"/>
      <c r="AA736" s="169"/>
      <c r="AB736" s="169"/>
      <c r="AC736" s="169"/>
      <c r="AD736" s="169"/>
      <c r="AE736" s="169"/>
      <c r="AF736" s="169"/>
      <c r="AG736" s="169"/>
      <c r="AH736" s="169"/>
      <c r="AI736" s="169"/>
      <c r="AJ736" s="169"/>
      <c r="AK736" s="169"/>
      <c r="AL736" s="169"/>
      <c r="AM736" s="169"/>
      <c r="AN736" s="169"/>
      <c r="AO736" s="169"/>
      <c r="AP736" s="169"/>
      <c r="AQ736" s="169"/>
      <c r="AR736" s="169"/>
    </row>
    <row r="737" spans="1:44" ht="12.5">
      <c r="A737" s="169"/>
      <c r="B737" s="186"/>
      <c r="C737" s="186"/>
      <c r="D737" s="187"/>
      <c r="E737" s="6"/>
      <c r="F737" s="6"/>
      <c r="G737" s="6"/>
      <c r="H737" s="169"/>
      <c r="I737" s="169"/>
      <c r="J737" s="6"/>
      <c r="K737" s="188"/>
      <c r="L737" s="189"/>
      <c r="M737" s="189"/>
      <c r="N737" s="6"/>
      <c r="O737" s="6"/>
      <c r="P737" s="6"/>
      <c r="Q737" s="169"/>
      <c r="R737" s="6"/>
      <c r="S737" s="6"/>
      <c r="T737" s="169"/>
      <c r="U737" s="6"/>
      <c r="V737" s="169"/>
      <c r="W737" s="169"/>
      <c r="X737" s="169"/>
      <c r="Y737" s="169"/>
      <c r="Z737" s="169"/>
      <c r="AA737" s="169"/>
      <c r="AB737" s="169"/>
      <c r="AC737" s="169"/>
      <c r="AD737" s="169"/>
      <c r="AE737" s="169"/>
      <c r="AF737" s="169"/>
      <c r="AG737" s="169"/>
      <c r="AH737" s="169"/>
      <c r="AI737" s="169"/>
      <c r="AJ737" s="169"/>
      <c r="AK737" s="169"/>
      <c r="AL737" s="169"/>
      <c r="AM737" s="169"/>
      <c r="AN737" s="169"/>
      <c r="AO737" s="169"/>
      <c r="AP737" s="169"/>
      <c r="AQ737" s="169"/>
      <c r="AR737" s="169"/>
    </row>
    <row r="738" spans="1:44" ht="12.5">
      <c r="A738" s="169"/>
      <c r="B738" s="186"/>
      <c r="C738" s="186"/>
      <c r="D738" s="187"/>
      <c r="E738" s="6"/>
      <c r="F738" s="6"/>
      <c r="G738" s="6"/>
      <c r="H738" s="169"/>
      <c r="I738" s="169"/>
      <c r="J738" s="6"/>
      <c r="K738" s="188"/>
      <c r="L738" s="189"/>
      <c r="M738" s="189"/>
      <c r="N738" s="6"/>
      <c r="O738" s="6"/>
      <c r="P738" s="6"/>
      <c r="Q738" s="169"/>
      <c r="R738" s="6"/>
      <c r="S738" s="6"/>
      <c r="T738" s="169"/>
      <c r="U738" s="6"/>
      <c r="V738" s="169"/>
      <c r="W738" s="169"/>
      <c r="X738" s="169"/>
      <c r="Y738" s="169"/>
      <c r="Z738" s="169"/>
      <c r="AA738" s="169"/>
      <c r="AB738" s="169"/>
      <c r="AC738" s="169"/>
      <c r="AD738" s="169"/>
      <c r="AE738" s="169"/>
      <c r="AF738" s="169"/>
      <c r="AG738" s="169"/>
      <c r="AH738" s="169"/>
      <c r="AI738" s="169"/>
      <c r="AJ738" s="169"/>
      <c r="AK738" s="169"/>
      <c r="AL738" s="169"/>
      <c r="AM738" s="169"/>
      <c r="AN738" s="169"/>
      <c r="AO738" s="169"/>
      <c r="AP738" s="169"/>
      <c r="AQ738" s="169"/>
      <c r="AR738" s="169"/>
    </row>
    <row r="739" spans="1:44" ht="12.5">
      <c r="A739" s="169"/>
      <c r="B739" s="186"/>
      <c r="C739" s="186"/>
      <c r="D739" s="187"/>
      <c r="E739" s="6"/>
      <c r="F739" s="6"/>
      <c r="G739" s="6"/>
      <c r="H739" s="169"/>
      <c r="I739" s="169"/>
      <c r="J739" s="6"/>
      <c r="K739" s="188"/>
      <c r="L739" s="189"/>
      <c r="M739" s="189"/>
      <c r="N739" s="6"/>
      <c r="O739" s="6"/>
      <c r="P739" s="6"/>
      <c r="Q739" s="169"/>
      <c r="R739" s="6"/>
      <c r="S739" s="6"/>
      <c r="T739" s="169"/>
      <c r="U739" s="6"/>
      <c r="V739" s="169"/>
      <c r="W739" s="169"/>
      <c r="X739" s="169"/>
      <c r="Y739" s="169"/>
      <c r="Z739" s="169"/>
      <c r="AA739" s="169"/>
      <c r="AB739" s="169"/>
      <c r="AC739" s="169"/>
      <c r="AD739" s="169"/>
      <c r="AE739" s="169"/>
      <c r="AF739" s="169"/>
      <c r="AG739" s="169"/>
      <c r="AH739" s="169"/>
      <c r="AI739" s="169"/>
      <c r="AJ739" s="169"/>
      <c r="AK739" s="169"/>
      <c r="AL739" s="169"/>
      <c r="AM739" s="169"/>
      <c r="AN739" s="169"/>
      <c r="AO739" s="169"/>
      <c r="AP739" s="169"/>
      <c r="AQ739" s="169"/>
      <c r="AR739" s="169"/>
    </row>
    <row r="740" spans="1:44" ht="12.5">
      <c r="A740" s="169"/>
      <c r="B740" s="186"/>
      <c r="C740" s="186"/>
      <c r="D740" s="187"/>
      <c r="E740" s="6"/>
      <c r="F740" s="6"/>
      <c r="G740" s="6"/>
      <c r="H740" s="169"/>
      <c r="I740" s="169"/>
      <c r="J740" s="6"/>
      <c r="K740" s="188"/>
      <c r="L740" s="189"/>
      <c r="M740" s="189"/>
      <c r="N740" s="6"/>
      <c r="O740" s="6"/>
      <c r="P740" s="6"/>
      <c r="Q740" s="169"/>
      <c r="R740" s="6"/>
      <c r="S740" s="6"/>
      <c r="T740" s="169"/>
      <c r="U740" s="6"/>
      <c r="V740" s="169"/>
      <c r="W740" s="169"/>
      <c r="X740" s="169"/>
      <c r="Y740" s="169"/>
      <c r="Z740" s="169"/>
      <c r="AA740" s="169"/>
      <c r="AB740" s="169"/>
      <c r="AC740" s="169"/>
      <c r="AD740" s="169"/>
      <c r="AE740" s="169"/>
      <c r="AF740" s="169"/>
      <c r="AG740" s="169"/>
      <c r="AH740" s="169"/>
      <c r="AI740" s="169"/>
      <c r="AJ740" s="169"/>
      <c r="AK740" s="169"/>
      <c r="AL740" s="169"/>
      <c r="AM740" s="169"/>
      <c r="AN740" s="169"/>
      <c r="AO740" s="169"/>
      <c r="AP740" s="169"/>
      <c r="AQ740" s="169"/>
      <c r="AR740" s="169"/>
    </row>
    <row r="741" spans="1:44" ht="12.5">
      <c r="A741" s="169"/>
      <c r="B741" s="186"/>
      <c r="C741" s="186"/>
      <c r="D741" s="187"/>
      <c r="E741" s="6"/>
      <c r="F741" s="6"/>
      <c r="G741" s="6"/>
      <c r="H741" s="169"/>
      <c r="I741" s="169"/>
      <c r="J741" s="6"/>
      <c r="K741" s="188"/>
      <c r="L741" s="189"/>
      <c r="M741" s="189"/>
      <c r="N741" s="6"/>
      <c r="O741" s="6"/>
      <c r="P741" s="6"/>
      <c r="Q741" s="169"/>
      <c r="R741" s="6"/>
      <c r="S741" s="6"/>
      <c r="T741" s="169"/>
      <c r="U741" s="6"/>
      <c r="V741" s="169"/>
      <c r="W741" s="169"/>
      <c r="X741" s="169"/>
      <c r="Y741" s="169"/>
      <c r="Z741" s="169"/>
      <c r="AA741" s="169"/>
      <c r="AB741" s="169"/>
      <c r="AC741" s="169"/>
      <c r="AD741" s="169"/>
      <c r="AE741" s="169"/>
      <c r="AF741" s="169"/>
      <c r="AG741" s="169"/>
      <c r="AH741" s="169"/>
      <c r="AI741" s="169"/>
      <c r="AJ741" s="169"/>
      <c r="AK741" s="169"/>
      <c r="AL741" s="169"/>
      <c r="AM741" s="169"/>
      <c r="AN741" s="169"/>
      <c r="AO741" s="169"/>
      <c r="AP741" s="169"/>
      <c r="AQ741" s="169"/>
      <c r="AR741" s="169"/>
    </row>
    <row r="742" spans="1:44" ht="12.5">
      <c r="A742" s="169"/>
      <c r="B742" s="186"/>
      <c r="C742" s="186"/>
      <c r="D742" s="187"/>
      <c r="E742" s="6"/>
      <c r="F742" s="6"/>
      <c r="G742" s="6"/>
      <c r="H742" s="169"/>
      <c r="I742" s="169"/>
      <c r="J742" s="6"/>
      <c r="K742" s="188"/>
      <c r="L742" s="189"/>
      <c r="M742" s="189"/>
      <c r="N742" s="6"/>
      <c r="O742" s="6"/>
      <c r="P742" s="6"/>
      <c r="Q742" s="169"/>
      <c r="R742" s="6"/>
      <c r="S742" s="6"/>
      <c r="T742" s="169"/>
      <c r="U742" s="6"/>
      <c r="V742" s="169"/>
      <c r="W742" s="169"/>
      <c r="X742" s="169"/>
      <c r="Y742" s="169"/>
      <c r="Z742" s="169"/>
      <c r="AA742" s="169"/>
      <c r="AB742" s="169"/>
      <c r="AC742" s="169"/>
      <c r="AD742" s="169"/>
      <c r="AE742" s="169"/>
      <c r="AF742" s="169"/>
      <c r="AG742" s="169"/>
      <c r="AH742" s="169"/>
      <c r="AI742" s="169"/>
      <c r="AJ742" s="169"/>
      <c r="AK742" s="169"/>
      <c r="AL742" s="169"/>
      <c r="AM742" s="169"/>
      <c r="AN742" s="169"/>
      <c r="AO742" s="169"/>
      <c r="AP742" s="169"/>
      <c r="AQ742" s="169"/>
      <c r="AR742" s="169"/>
    </row>
    <row r="743" spans="1:44" ht="12.5">
      <c r="A743" s="169"/>
      <c r="B743" s="186"/>
      <c r="C743" s="186"/>
      <c r="D743" s="187"/>
      <c r="E743" s="6"/>
      <c r="F743" s="6"/>
      <c r="G743" s="6"/>
      <c r="H743" s="169"/>
      <c r="I743" s="169"/>
      <c r="J743" s="6"/>
      <c r="K743" s="188"/>
      <c r="L743" s="189"/>
      <c r="M743" s="189"/>
      <c r="N743" s="6"/>
      <c r="O743" s="6"/>
      <c r="P743" s="6"/>
      <c r="Q743" s="169"/>
      <c r="R743" s="6"/>
      <c r="S743" s="6"/>
      <c r="T743" s="169"/>
      <c r="U743" s="6"/>
      <c r="V743" s="169"/>
      <c r="W743" s="169"/>
      <c r="X743" s="169"/>
      <c r="Y743" s="169"/>
      <c r="Z743" s="169"/>
      <c r="AA743" s="169"/>
      <c r="AB743" s="169"/>
      <c r="AC743" s="169"/>
      <c r="AD743" s="169"/>
      <c r="AE743" s="169"/>
      <c r="AF743" s="169"/>
      <c r="AG743" s="169"/>
      <c r="AH743" s="169"/>
      <c r="AI743" s="169"/>
      <c r="AJ743" s="169"/>
      <c r="AK743" s="169"/>
      <c r="AL743" s="169"/>
      <c r="AM743" s="169"/>
      <c r="AN743" s="169"/>
      <c r="AO743" s="169"/>
      <c r="AP743" s="169"/>
      <c r="AQ743" s="169"/>
      <c r="AR743" s="169"/>
    </row>
    <row r="744" spans="1:44" ht="12.5">
      <c r="A744" s="169"/>
      <c r="B744" s="186"/>
      <c r="C744" s="186"/>
      <c r="D744" s="187"/>
      <c r="E744" s="6"/>
      <c r="F744" s="6"/>
      <c r="G744" s="6"/>
      <c r="H744" s="169"/>
      <c r="I744" s="169"/>
      <c r="J744" s="6"/>
      <c r="K744" s="188"/>
      <c r="L744" s="189"/>
      <c r="M744" s="189"/>
      <c r="N744" s="6"/>
      <c r="O744" s="6"/>
      <c r="P744" s="6"/>
      <c r="Q744" s="169"/>
      <c r="R744" s="6"/>
      <c r="S744" s="6"/>
      <c r="T744" s="169"/>
      <c r="U744" s="6"/>
      <c r="V744" s="169"/>
      <c r="W744" s="169"/>
      <c r="X744" s="169"/>
      <c r="Y744" s="169"/>
      <c r="Z744" s="169"/>
      <c r="AA744" s="169"/>
      <c r="AB744" s="169"/>
      <c r="AC744" s="169"/>
      <c r="AD744" s="169"/>
      <c r="AE744" s="169"/>
      <c r="AF744" s="169"/>
      <c r="AG744" s="169"/>
      <c r="AH744" s="169"/>
      <c r="AI744" s="169"/>
      <c r="AJ744" s="169"/>
      <c r="AK744" s="169"/>
      <c r="AL744" s="169"/>
      <c r="AM744" s="169"/>
      <c r="AN744" s="169"/>
      <c r="AO744" s="169"/>
      <c r="AP744" s="169"/>
      <c r="AQ744" s="169"/>
      <c r="AR744" s="169"/>
    </row>
    <row r="745" spans="1:44" ht="12.5">
      <c r="A745" s="169"/>
      <c r="B745" s="186"/>
      <c r="C745" s="186"/>
      <c r="D745" s="187"/>
      <c r="E745" s="6"/>
      <c r="F745" s="6"/>
      <c r="G745" s="6"/>
      <c r="H745" s="169"/>
      <c r="I745" s="169"/>
      <c r="J745" s="6"/>
      <c r="K745" s="188"/>
      <c r="L745" s="189"/>
      <c r="M745" s="189"/>
      <c r="N745" s="6"/>
      <c r="O745" s="6"/>
      <c r="P745" s="6"/>
      <c r="Q745" s="169"/>
      <c r="R745" s="6"/>
      <c r="S745" s="6"/>
      <c r="T745" s="169"/>
      <c r="U745" s="6"/>
      <c r="V745" s="169"/>
      <c r="W745" s="169"/>
      <c r="X745" s="169"/>
      <c r="Y745" s="169"/>
      <c r="Z745" s="169"/>
      <c r="AA745" s="169"/>
      <c r="AB745" s="169"/>
      <c r="AC745" s="169"/>
      <c r="AD745" s="169"/>
      <c r="AE745" s="169"/>
      <c r="AF745" s="169"/>
      <c r="AG745" s="169"/>
      <c r="AH745" s="169"/>
      <c r="AI745" s="169"/>
      <c r="AJ745" s="169"/>
      <c r="AK745" s="169"/>
      <c r="AL745" s="169"/>
      <c r="AM745" s="169"/>
      <c r="AN745" s="169"/>
      <c r="AO745" s="169"/>
      <c r="AP745" s="169"/>
      <c r="AQ745" s="169"/>
      <c r="AR745" s="169"/>
    </row>
    <row r="746" spans="1:44" ht="12.5">
      <c r="A746" s="169"/>
      <c r="B746" s="186"/>
      <c r="C746" s="186"/>
      <c r="D746" s="187"/>
      <c r="E746" s="6"/>
      <c r="F746" s="6"/>
      <c r="G746" s="6"/>
      <c r="H746" s="169"/>
      <c r="I746" s="169"/>
      <c r="J746" s="6"/>
      <c r="K746" s="188"/>
      <c r="L746" s="189"/>
      <c r="M746" s="189"/>
      <c r="N746" s="6"/>
      <c r="O746" s="6"/>
      <c r="P746" s="6"/>
      <c r="Q746" s="169"/>
      <c r="R746" s="6"/>
      <c r="S746" s="6"/>
      <c r="T746" s="169"/>
      <c r="U746" s="6"/>
      <c r="V746" s="169"/>
      <c r="W746" s="169"/>
      <c r="X746" s="169"/>
      <c r="Y746" s="169"/>
      <c r="Z746" s="169"/>
      <c r="AA746" s="169"/>
      <c r="AB746" s="169"/>
      <c r="AC746" s="169"/>
      <c r="AD746" s="169"/>
      <c r="AE746" s="169"/>
      <c r="AF746" s="169"/>
      <c r="AG746" s="169"/>
      <c r="AH746" s="169"/>
      <c r="AI746" s="169"/>
      <c r="AJ746" s="169"/>
      <c r="AK746" s="169"/>
      <c r="AL746" s="169"/>
      <c r="AM746" s="169"/>
      <c r="AN746" s="169"/>
      <c r="AO746" s="169"/>
      <c r="AP746" s="169"/>
      <c r="AQ746" s="169"/>
      <c r="AR746" s="169"/>
    </row>
    <row r="747" spans="1:44" ht="12.5">
      <c r="A747" s="169"/>
      <c r="B747" s="186"/>
      <c r="C747" s="186"/>
      <c r="D747" s="187"/>
      <c r="E747" s="6"/>
      <c r="F747" s="6"/>
      <c r="G747" s="6"/>
      <c r="H747" s="169"/>
      <c r="I747" s="169"/>
      <c r="J747" s="6"/>
      <c r="K747" s="188"/>
      <c r="L747" s="189"/>
      <c r="M747" s="189"/>
      <c r="N747" s="6"/>
      <c r="O747" s="6"/>
      <c r="P747" s="6"/>
      <c r="Q747" s="169"/>
      <c r="R747" s="6"/>
      <c r="S747" s="6"/>
      <c r="T747" s="169"/>
      <c r="U747" s="6"/>
      <c r="V747" s="169"/>
      <c r="W747" s="169"/>
      <c r="X747" s="169"/>
      <c r="Y747" s="169"/>
      <c r="Z747" s="169"/>
      <c r="AA747" s="169"/>
      <c r="AB747" s="169"/>
      <c r="AC747" s="169"/>
      <c r="AD747" s="169"/>
      <c r="AE747" s="169"/>
      <c r="AF747" s="169"/>
      <c r="AG747" s="169"/>
      <c r="AH747" s="169"/>
      <c r="AI747" s="169"/>
      <c r="AJ747" s="169"/>
      <c r="AK747" s="169"/>
      <c r="AL747" s="169"/>
      <c r="AM747" s="169"/>
      <c r="AN747" s="169"/>
      <c r="AO747" s="169"/>
      <c r="AP747" s="169"/>
      <c r="AQ747" s="169"/>
      <c r="AR747" s="169"/>
    </row>
    <row r="748" spans="1:44" ht="12.5">
      <c r="A748" s="169"/>
      <c r="B748" s="186"/>
      <c r="C748" s="186"/>
      <c r="D748" s="187"/>
      <c r="E748" s="6"/>
      <c r="F748" s="6"/>
      <c r="G748" s="6"/>
      <c r="H748" s="169"/>
      <c r="I748" s="169"/>
      <c r="J748" s="6"/>
      <c r="K748" s="188"/>
      <c r="L748" s="189"/>
      <c r="M748" s="189"/>
      <c r="N748" s="6"/>
      <c r="O748" s="6"/>
      <c r="P748" s="6"/>
      <c r="Q748" s="169"/>
      <c r="R748" s="6"/>
      <c r="S748" s="6"/>
      <c r="T748" s="169"/>
      <c r="U748" s="6"/>
      <c r="V748" s="169"/>
      <c r="W748" s="169"/>
      <c r="X748" s="169"/>
      <c r="Y748" s="169"/>
      <c r="Z748" s="169"/>
      <c r="AA748" s="169"/>
      <c r="AB748" s="169"/>
      <c r="AC748" s="169"/>
      <c r="AD748" s="169"/>
      <c r="AE748" s="169"/>
      <c r="AF748" s="169"/>
      <c r="AG748" s="169"/>
      <c r="AH748" s="169"/>
      <c r="AI748" s="169"/>
      <c r="AJ748" s="169"/>
      <c r="AK748" s="169"/>
      <c r="AL748" s="169"/>
      <c r="AM748" s="169"/>
      <c r="AN748" s="169"/>
      <c r="AO748" s="169"/>
      <c r="AP748" s="169"/>
      <c r="AQ748" s="169"/>
      <c r="AR748" s="169"/>
    </row>
    <row r="749" spans="1:44" ht="12.5">
      <c r="A749" s="169"/>
      <c r="B749" s="186"/>
      <c r="C749" s="186"/>
      <c r="D749" s="187"/>
      <c r="E749" s="6"/>
      <c r="F749" s="6"/>
      <c r="G749" s="6"/>
      <c r="H749" s="169"/>
      <c r="I749" s="169"/>
      <c r="J749" s="6"/>
      <c r="K749" s="188"/>
      <c r="L749" s="189"/>
      <c r="M749" s="189"/>
      <c r="N749" s="6"/>
      <c r="O749" s="6"/>
      <c r="P749" s="6"/>
      <c r="Q749" s="169"/>
      <c r="R749" s="6"/>
      <c r="S749" s="6"/>
      <c r="T749" s="169"/>
      <c r="U749" s="6"/>
      <c r="V749" s="169"/>
      <c r="W749" s="169"/>
      <c r="X749" s="169"/>
      <c r="Y749" s="169"/>
      <c r="Z749" s="169"/>
      <c r="AA749" s="169"/>
      <c r="AB749" s="169"/>
      <c r="AC749" s="169"/>
      <c r="AD749" s="169"/>
      <c r="AE749" s="169"/>
      <c r="AF749" s="169"/>
      <c r="AG749" s="169"/>
      <c r="AH749" s="169"/>
      <c r="AI749" s="169"/>
      <c r="AJ749" s="169"/>
      <c r="AK749" s="169"/>
      <c r="AL749" s="169"/>
      <c r="AM749" s="169"/>
      <c r="AN749" s="169"/>
      <c r="AO749" s="169"/>
      <c r="AP749" s="169"/>
      <c r="AQ749" s="169"/>
      <c r="AR749" s="169"/>
    </row>
    <row r="750" spans="1:44" ht="12.5">
      <c r="A750" s="169"/>
      <c r="B750" s="186"/>
      <c r="C750" s="186"/>
      <c r="D750" s="187"/>
      <c r="E750" s="6"/>
      <c r="F750" s="6"/>
      <c r="G750" s="6"/>
      <c r="H750" s="169"/>
      <c r="I750" s="169"/>
      <c r="J750" s="6"/>
      <c r="K750" s="188"/>
      <c r="L750" s="189"/>
      <c r="M750" s="189"/>
      <c r="N750" s="6"/>
      <c r="O750" s="6"/>
      <c r="P750" s="6"/>
      <c r="Q750" s="169"/>
      <c r="R750" s="6"/>
      <c r="S750" s="6"/>
      <c r="T750" s="169"/>
      <c r="U750" s="6"/>
      <c r="V750" s="169"/>
      <c r="W750" s="169"/>
      <c r="X750" s="169"/>
      <c r="Y750" s="169"/>
      <c r="Z750" s="169"/>
      <c r="AA750" s="169"/>
      <c r="AB750" s="169"/>
      <c r="AC750" s="169"/>
      <c r="AD750" s="169"/>
      <c r="AE750" s="169"/>
      <c r="AF750" s="169"/>
      <c r="AG750" s="169"/>
      <c r="AH750" s="169"/>
      <c r="AI750" s="169"/>
      <c r="AJ750" s="169"/>
      <c r="AK750" s="169"/>
      <c r="AL750" s="169"/>
      <c r="AM750" s="169"/>
      <c r="AN750" s="169"/>
      <c r="AO750" s="169"/>
      <c r="AP750" s="169"/>
      <c r="AQ750" s="169"/>
      <c r="AR750" s="169"/>
    </row>
    <row r="751" spans="1:44" ht="12.5">
      <c r="A751" s="169"/>
      <c r="B751" s="186"/>
      <c r="C751" s="186"/>
      <c r="D751" s="187"/>
      <c r="E751" s="6"/>
      <c r="F751" s="6"/>
      <c r="G751" s="6"/>
      <c r="H751" s="169"/>
      <c r="I751" s="169"/>
      <c r="J751" s="6"/>
      <c r="K751" s="188"/>
      <c r="L751" s="189"/>
      <c r="M751" s="189"/>
      <c r="N751" s="6"/>
      <c r="O751" s="6"/>
      <c r="P751" s="6"/>
      <c r="Q751" s="169"/>
      <c r="R751" s="6"/>
      <c r="S751" s="6"/>
      <c r="T751" s="169"/>
      <c r="U751" s="6"/>
      <c r="V751" s="169"/>
      <c r="W751" s="169"/>
      <c r="X751" s="169"/>
      <c r="Y751" s="169"/>
      <c r="Z751" s="169"/>
      <c r="AA751" s="169"/>
      <c r="AB751" s="169"/>
      <c r="AC751" s="169"/>
      <c r="AD751" s="169"/>
      <c r="AE751" s="169"/>
      <c r="AF751" s="169"/>
      <c r="AG751" s="169"/>
      <c r="AH751" s="169"/>
      <c r="AI751" s="169"/>
      <c r="AJ751" s="169"/>
      <c r="AK751" s="169"/>
      <c r="AL751" s="169"/>
      <c r="AM751" s="169"/>
      <c r="AN751" s="169"/>
      <c r="AO751" s="169"/>
      <c r="AP751" s="169"/>
      <c r="AQ751" s="169"/>
      <c r="AR751" s="169"/>
    </row>
    <row r="752" spans="1:44" ht="12.5">
      <c r="A752" s="169"/>
      <c r="B752" s="186"/>
      <c r="C752" s="186"/>
      <c r="D752" s="187"/>
      <c r="E752" s="6"/>
      <c r="F752" s="6"/>
      <c r="G752" s="6"/>
      <c r="H752" s="169"/>
      <c r="I752" s="169"/>
      <c r="J752" s="6"/>
      <c r="K752" s="188"/>
      <c r="L752" s="189"/>
      <c r="M752" s="189"/>
      <c r="N752" s="6"/>
      <c r="O752" s="6"/>
      <c r="P752" s="6"/>
      <c r="Q752" s="169"/>
      <c r="R752" s="6"/>
      <c r="S752" s="6"/>
      <c r="T752" s="169"/>
      <c r="U752" s="6"/>
      <c r="V752" s="169"/>
      <c r="W752" s="169"/>
      <c r="X752" s="169"/>
      <c r="Y752" s="169"/>
      <c r="Z752" s="169"/>
      <c r="AA752" s="169"/>
      <c r="AB752" s="169"/>
      <c r="AC752" s="169"/>
      <c r="AD752" s="169"/>
      <c r="AE752" s="169"/>
      <c r="AF752" s="169"/>
      <c r="AG752" s="169"/>
      <c r="AH752" s="169"/>
      <c r="AI752" s="169"/>
      <c r="AJ752" s="169"/>
      <c r="AK752" s="169"/>
      <c r="AL752" s="169"/>
      <c r="AM752" s="169"/>
      <c r="AN752" s="169"/>
      <c r="AO752" s="169"/>
      <c r="AP752" s="169"/>
      <c r="AQ752" s="169"/>
      <c r="AR752" s="169"/>
    </row>
    <row r="753" spans="1:44" ht="12.5">
      <c r="A753" s="169"/>
      <c r="B753" s="186"/>
      <c r="C753" s="186"/>
      <c r="D753" s="187"/>
      <c r="E753" s="6"/>
      <c r="F753" s="6"/>
      <c r="G753" s="6"/>
      <c r="H753" s="169"/>
      <c r="I753" s="169"/>
      <c r="J753" s="6"/>
      <c r="K753" s="188"/>
      <c r="L753" s="189"/>
      <c r="M753" s="189"/>
      <c r="N753" s="6"/>
      <c r="O753" s="6"/>
      <c r="P753" s="6"/>
      <c r="Q753" s="169"/>
      <c r="R753" s="6"/>
      <c r="S753" s="6"/>
      <c r="T753" s="169"/>
      <c r="U753" s="6"/>
      <c r="V753" s="169"/>
      <c r="W753" s="169"/>
      <c r="X753" s="169"/>
      <c r="Y753" s="169"/>
      <c r="Z753" s="169"/>
      <c r="AA753" s="169"/>
      <c r="AB753" s="169"/>
      <c r="AC753" s="169"/>
      <c r="AD753" s="169"/>
      <c r="AE753" s="169"/>
      <c r="AF753" s="169"/>
      <c r="AG753" s="169"/>
      <c r="AH753" s="169"/>
      <c r="AI753" s="169"/>
      <c r="AJ753" s="169"/>
      <c r="AK753" s="169"/>
      <c r="AL753" s="169"/>
      <c r="AM753" s="169"/>
      <c r="AN753" s="169"/>
      <c r="AO753" s="169"/>
      <c r="AP753" s="169"/>
      <c r="AQ753" s="169"/>
      <c r="AR753" s="169"/>
    </row>
    <row r="754" spans="1:44" ht="12.5">
      <c r="A754" s="169"/>
      <c r="B754" s="186"/>
      <c r="C754" s="186"/>
      <c r="D754" s="187"/>
      <c r="E754" s="6"/>
      <c r="F754" s="6"/>
      <c r="G754" s="6"/>
      <c r="H754" s="169"/>
      <c r="I754" s="169"/>
      <c r="J754" s="6"/>
      <c r="K754" s="188"/>
      <c r="L754" s="189"/>
      <c r="M754" s="189"/>
      <c r="N754" s="6"/>
      <c r="O754" s="6"/>
      <c r="P754" s="6"/>
      <c r="Q754" s="169"/>
      <c r="R754" s="6"/>
      <c r="S754" s="6"/>
      <c r="T754" s="169"/>
      <c r="U754" s="6"/>
      <c r="V754" s="169"/>
      <c r="W754" s="169"/>
      <c r="X754" s="169"/>
      <c r="Y754" s="169"/>
      <c r="Z754" s="169"/>
      <c r="AA754" s="169"/>
      <c r="AB754" s="169"/>
      <c r="AC754" s="169"/>
      <c r="AD754" s="169"/>
      <c r="AE754" s="169"/>
      <c r="AF754" s="169"/>
      <c r="AG754" s="169"/>
      <c r="AH754" s="169"/>
      <c r="AI754" s="169"/>
      <c r="AJ754" s="169"/>
      <c r="AK754" s="169"/>
      <c r="AL754" s="169"/>
      <c r="AM754" s="169"/>
      <c r="AN754" s="169"/>
      <c r="AO754" s="169"/>
      <c r="AP754" s="169"/>
      <c r="AQ754" s="169"/>
      <c r="AR754" s="169"/>
    </row>
    <row r="755" spans="1:44" ht="12.5">
      <c r="A755" s="169"/>
      <c r="B755" s="186"/>
      <c r="C755" s="186"/>
      <c r="D755" s="187"/>
      <c r="E755" s="6"/>
      <c r="F755" s="6"/>
      <c r="G755" s="6"/>
      <c r="H755" s="169"/>
      <c r="I755" s="169"/>
      <c r="J755" s="6"/>
      <c r="K755" s="188"/>
      <c r="L755" s="189"/>
      <c r="M755" s="189"/>
      <c r="N755" s="6"/>
      <c r="O755" s="6"/>
      <c r="P755" s="6"/>
      <c r="Q755" s="169"/>
      <c r="R755" s="6"/>
      <c r="S755" s="6"/>
      <c r="T755" s="169"/>
      <c r="U755" s="6"/>
      <c r="V755" s="169"/>
      <c r="W755" s="169"/>
      <c r="X755" s="169"/>
      <c r="Y755" s="169"/>
      <c r="Z755" s="169"/>
      <c r="AA755" s="169"/>
      <c r="AB755" s="169"/>
      <c r="AC755" s="169"/>
      <c r="AD755" s="169"/>
      <c r="AE755" s="169"/>
      <c r="AF755" s="169"/>
      <c r="AG755" s="169"/>
      <c r="AH755" s="169"/>
      <c r="AI755" s="169"/>
      <c r="AJ755" s="169"/>
      <c r="AK755" s="169"/>
      <c r="AL755" s="169"/>
      <c r="AM755" s="169"/>
      <c r="AN755" s="169"/>
      <c r="AO755" s="169"/>
      <c r="AP755" s="169"/>
      <c r="AQ755" s="169"/>
      <c r="AR755" s="169"/>
    </row>
    <row r="756" spans="1:44" ht="12.5">
      <c r="A756" s="169"/>
      <c r="B756" s="186"/>
      <c r="C756" s="186"/>
      <c r="D756" s="187"/>
      <c r="E756" s="6"/>
      <c r="F756" s="6"/>
      <c r="G756" s="6"/>
      <c r="H756" s="169"/>
      <c r="I756" s="169"/>
      <c r="J756" s="6"/>
      <c r="K756" s="188"/>
      <c r="L756" s="189"/>
      <c r="M756" s="189"/>
      <c r="N756" s="6"/>
      <c r="O756" s="6"/>
      <c r="P756" s="6"/>
      <c r="Q756" s="169"/>
      <c r="R756" s="6"/>
      <c r="S756" s="6"/>
      <c r="T756" s="169"/>
      <c r="U756" s="6"/>
      <c r="V756" s="169"/>
      <c r="W756" s="169"/>
      <c r="X756" s="169"/>
      <c r="Y756" s="169"/>
      <c r="Z756" s="169"/>
      <c r="AA756" s="169"/>
      <c r="AB756" s="169"/>
      <c r="AC756" s="169"/>
      <c r="AD756" s="169"/>
      <c r="AE756" s="169"/>
      <c r="AF756" s="169"/>
      <c r="AG756" s="169"/>
      <c r="AH756" s="169"/>
      <c r="AI756" s="169"/>
      <c r="AJ756" s="169"/>
      <c r="AK756" s="169"/>
      <c r="AL756" s="169"/>
      <c r="AM756" s="169"/>
      <c r="AN756" s="169"/>
      <c r="AO756" s="169"/>
      <c r="AP756" s="169"/>
      <c r="AQ756" s="169"/>
      <c r="AR756" s="169"/>
    </row>
    <row r="757" spans="1:44" ht="12.5">
      <c r="A757" s="169"/>
      <c r="B757" s="186"/>
      <c r="C757" s="186"/>
      <c r="D757" s="187"/>
      <c r="E757" s="6"/>
      <c r="F757" s="6"/>
      <c r="G757" s="6"/>
      <c r="H757" s="169"/>
      <c r="I757" s="169"/>
      <c r="J757" s="6"/>
      <c r="K757" s="188"/>
      <c r="L757" s="189"/>
      <c r="M757" s="189"/>
      <c r="N757" s="6"/>
      <c r="O757" s="6"/>
      <c r="P757" s="6"/>
      <c r="Q757" s="169"/>
      <c r="R757" s="6"/>
      <c r="S757" s="6"/>
      <c r="T757" s="169"/>
      <c r="U757" s="6"/>
      <c r="V757" s="169"/>
      <c r="W757" s="169"/>
      <c r="X757" s="169"/>
      <c r="Y757" s="169"/>
      <c r="Z757" s="169"/>
      <c r="AA757" s="169"/>
      <c r="AB757" s="169"/>
      <c r="AC757" s="169"/>
      <c r="AD757" s="169"/>
      <c r="AE757" s="169"/>
      <c r="AF757" s="169"/>
      <c r="AG757" s="169"/>
      <c r="AH757" s="169"/>
      <c r="AI757" s="169"/>
      <c r="AJ757" s="169"/>
      <c r="AK757" s="169"/>
      <c r="AL757" s="169"/>
      <c r="AM757" s="169"/>
      <c r="AN757" s="169"/>
      <c r="AO757" s="169"/>
      <c r="AP757" s="169"/>
      <c r="AQ757" s="169"/>
      <c r="AR757" s="169"/>
    </row>
    <row r="758" spans="1:44" ht="12.5">
      <c r="A758" s="169"/>
      <c r="B758" s="186"/>
      <c r="C758" s="186"/>
      <c r="D758" s="187"/>
      <c r="E758" s="6"/>
      <c r="F758" s="6"/>
      <c r="G758" s="6"/>
      <c r="H758" s="169"/>
      <c r="I758" s="169"/>
      <c r="J758" s="6"/>
      <c r="K758" s="188"/>
      <c r="L758" s="189"/>
      <c r="M758" s="189"/>
      <c r="N758" s="6"/>
      <c r="O758" s="6"/>
      <c r="P758" s="6"/>
      <c r="Q758" s="169"/>
      <c r="R758" s="6"/>
      <c r="S758" s="6"/>
      <c r="T758" s="169"/>
      <c r="U758" s="6"/>
      <c r="V758" s="169"/>
      <c r="W758" s="169"/>
      <c r="X758" s="169"/>
      <c r="Y758" s="169"/>
      <c r="Z758" s="169"/>
      <c r="AA758" s="169"/>
      <c r="AB758" s="169"/>
      <c r="AC758" s="169"/>
      <c r="AD758" s="169"/>
      <c r="AE758" s="169"/>
      <c r="AF758" s="169"/>
      <c r="AG758" s="169"/>
      <c r="AH758" s="169"/>
      <c r="AI758" s="169"/>
      <c r="AJ758" s="169"/>
      <c r="AK758" s="169"/>
      <c r="AL758" s="169"/>
      <c r="AM758" s="169"/>
      <c r="AN758" s="169"/>
      <c r="AO758" s="169"/>
      <c r="AP758" s="169"/>
      <c r="AQ758" s="169"/>
      <c r="AR758" s="169"/>
    </row>
    <row r="759" spans="1:44" ht="12.5">
      <c r="A759" s="169"/>
      <c r="B759" s="186"/>
      <c r="C759" s="186"/>
      <c r="D759" s="187"/>
      <c r="E759" s="6"/>
      <c r="F759" s="6"/>
      <c r="G759" s="6"/>
      <c r="H759" s="169"/>
      <c r="I759" s="169"/>
      <c r="J759" s="6"/>
      <c r="K759" s="188"/>
      <c r="L759" s="189"/>
      <c r="M759" s="189"/>
      <c r="N759" s="6"/>
      <c r="O759" s="6"/>
      <c r="P759" s="6"/>
      <c r="Q759" s="169"/>
      <c r="R759" s="6"/>
      <c r="S759" s="6"/>
      <c r="T759" s="169"/>
      <c r="U759" s="6"/>
      <c r="V759" s="169"/>
      <c r="W759" s="169"/>
      <c r="X759" s="169"/>
      <c r="Y759" s="169"/>
      <c r="Z759" s="169"/>
      <c r="AA759" s="169"/>
      <c r="AB759" s="169"/>
      <c r="AC759" s="169"/>
      <c r="AD759" s="169"/>
      <c r="AE759" s="169"/>
      <c r="AF759" s="169"/>
      <c r="AG759" s="169"/>
      <c r="AH759" s="169"/>
      <c r="AI759" s="169"/>
      <c r="AJ759" s="169"/>
      <c r="AK759" s="169"/>
      <c r="AL759" s="169"/>
      <c r="AM759" s="169"/>
      <c r="AN759" s="169"/>
      <c r="AO759" s="169"/>
      <c r="AP759" s="169"/>
      <c r="AQ759" s="169"/>
      <c r="AR759" s="169"/>
    </row>
    <row r="760" spans="1:44" ht="12.5">
      <c r="A760" s="169"/>
      <c r="B760" s="186"/>
      <c r="C760" s="186"/>
      <c r="D760" s="187"/>
      <c r="E760" s="6"/>
      <c r="F760" s="6"/>
      <c r="G760" s="6"/>
      <c r="H760" s="169"/>
      <c r="I760" s="169"/>
      <c r="J760" s="6"/>
      <c r="K760" s="188"/>
      <c r="L760" s="189"/>
      <c r="M760" s="189"/>
      <c r="N760" s="6"/>
      <c r="O760" s="6"/>
      <c r="P760" s="6"/>
      <c r="Q760" s="169"/>
      <c r="R760" s="6"/>
      <c r="S760" s="6"/>
      <c r="T760" s="169"/>
      <c r="U760" s="6"/>
      <c r="V760" s="169"/>
      <c r="W760" s="169"/>
      <c r="X760" s="169"/>
      <c r="Y760" s="169"/>
      <c r="Z760" s="169"/>
      <c r="AA760" s="169"/>
      <c r="AB760" s="169"/>
      <c r="AC760" s="169"/>
      <c r="AD760" s="169"/>
      <c r="AE760" s="169"/>
      <c r="AF760" s="169"/>
      <c r="AG760" s="169"/>
      <c r="AH760" s="169"/>
      <c r="AI760" s="169"/>
      <c r="AJ760" s="169"/>
      <c r="AK760" s="169"/>
      <c r="AL760" s="169"/>
      <c r="AM760" s="169"/>
      <c r="AN760" s="169"/>
      <c r="AO760" s="169"/>
      <c r="AP760" s="169"/>
      <c r="AQ760" s="169"/>
      <c r="AR760" s="169"/>
    </row>
    <row r="761" spans="1:44" ht="12.5">
      <c r="A761" s="169"/>
      <c r="B761" s="186"/>
      <c r="C761" s="186"/>
      <c r="D761" s="187"/>
      <c r="E761" s="6"/>
      <c r="F761" s="6"/>
      <c r="G761" s="6"/>
      <c r="H761" s="169"/>
      <c r="I761" s="169"/>
      <c r="J761" s="6"/>
      <c r="K761" s="188"/>
      <c r="L761" s="189"/>
      <c r="M761" s="189"/>
      <c r="N761" s="6"/>
      <c r="O761" s="6"/>
      <c r="P761" s="6"/>
      <c r="Q761" s="169"/>
      <c r="R761" s="6"/>
      <c r="S761" s="6"/>
      <c r="T761" s="169"/>
      <c r="U761" s="6"/>
      <c r="V761" s="169"/>
      <c r="W761" s="169"/>
      <c r="X761" s="169"/>
      <c r="Y761" s="169"/>
      <c r="Z761" s="169"/>
      <c r="AA761" s="169"/>
      <c r="AB761" s="169"/>
      <c r="AC761" s="169"/>
      <c r="AD761" s="169"/>
      <c r="AE761" s="169"/>
      <c r="AF761" s="169"/>
      <c r="AG761" s="169"/>
      <c r="AH761" s="169"/>
      <c r="AI761" s="169"/>
      <c r="AJ761" s="169"/>
      <c r="AK761" s="169"/>
      <c r="AL761" s="169"/>
      <c r="AM761" s="169"/>
      <c r="AN761" s="169"/>
      <c r="AO761" s="169"/>
      <c r="AP761" s="169"/>
      <c r="AQ761" s="169"/>
      <c r="AR761" s="169"/>
    </row>
    <row r="762" spans="1:44" ht="12.5">
      <c r="A762" s="169"/>
      <c r="B762" s="186"/>
      <c r="C762" s="186"/>
      <c r="D762" s="187"/>
      <c r="E762" s="6"/>
      <c r="F762" s="6"/>
      <c r="G762" s="6"/>
      <c r="H762" s="169"/>
      <c r="I762" s="169"/>
      <c r="J762" s="6"/>
      <c r="K762" s="188"/>
      <c r="L762" s="189"/>
      <c r="M762" s="189"/>
      <c r="N762" s="6"/>
      <c r="O762" s="6"/>
      <c r="P762" s="6"/>
      <c r="Q762" s="169"/>
      <c r="R762" s="6"/>
      <c r="S762" s="6"/>
      <c r="T762" s="169"/>
      <c r="U762" s="6"/>
      <c r="V762" s="169"/>
      <c r="W762" s="169"/>
      <c r="X762" s="169"/>
      <c r="Y762" s="169"/>
      <c r="Z762" s="169"/>
      <c r="AA762" s="169"/>
      <c r="AB762" s="169"/>
      <c r="AC762" s="169"/>
      <c r="AD762" s="169"/>
      <c r="AE762" s="169"/>
      <c r="AF762" s="169"/>
      <c r="AG762" s="169"/>
      <c r="AH762" s="169"/>
      <c r="AI762" s="169"/>
      <c r="AJ762" s="169"/>
      <c r="AK762" s="169"/>
      <c r="AL762" s="169"/>
      <c r="AM762" s="169"/>
      <c r="AN762" s="169"/>
      <c r="AO762" s="169"/>
      <c r="AP762" s="169"/>
      <c r="AQ762" s="169"/>
      <c r="AR762" s="169"/>
    </row>
    <row r="763" spans="1:44" ht="12.5">
      <c r="A763" s="169"/>
      <c r="B763" s="186"/>
      <c r="C763" s="186"/>
      <c r="D763" s="187"/>
      <c r="E763" s="6"/>
      <c r="F763" s="6"/>
      <c r="G763" s="6"/>
      <c r="H763" s="169"/>
      <c r="I763" s="169"/>
      <c r="J763" s="6"/>
      <c r="K763" s="188"/>
      <c r="L763" s="189"/>
      <c r="M763" s="189"/>
      <c r="N763" s="6"/>
      <c r="O763" s="6"/>
      <c r="P763" s="6"/>
      <c r="Q763" s="169"/>
      <c r="R763" s="6"/>
      <c r="S763" s="6"/>
      <c r="T763" s="169"/>
      <c r="U763" s="6"/>
      <c r="V763" s="169"/>
      <c r="W763" s="169"/>
      <c r="X763" s="169"/>
      <c r="Y763" s="169"/>
      <c r="Z763" s="169"/>
      <c r="AA763" s="169"/>
      <c r="AB763" s="169"/>
      <c r="AC763" s="169"/>
      <c r="AD763" s="169"/>
      <c r="AE763" s="169"/>
      <c r="AF763" s="169"/>
      <c r="AG763" s="169"/>
      <c r="AH763" s="169"/>
      <c r="AI763" s="169"/>
      <c r="AJ763" s="169"/>
      <c r="AK763" s="169"/>
      <c r="AL763" s="169"/>
      <c r="AM763" s="169"/>
      <c r="AN763" s="169"/>
      <c r="AO763" s="169"/>
      <c r="AP763" s="169"/>
      <c r="AQ763" s="169"/>
      <c r="AR763" s="169"/>
    </row>
    <row r="764" spans="1:44" ht="12.5">
      <c r="A764" s="169"/>
      <c r="B764" s="186"/>
      <c r="C764" s="186"/>
      <c r="D764" s="187"/>
      <c r="E764" s="6"/>
      <c r="F764" s="6"/>
      <c r="G764" s="6"/>
      <c r="H764" s="169"/>
      <c r="I764" s="169"/>
      <c r="J764" s="6"/>
      <c r="K764" s="188"/>
      <c r="L764" s="189"/>
      <c r="M764" s="189"/>
      <c r="N764" s="6"/>
      <c r="O764" s="6"/>
      <c r="P764" s="6"/>
      <c r="Q764" s="169"/>
      <c r="R764" s="6"/>
      <c r="S764" s="6"/>
      <c r="T764" s="169"/>
      <c r="U764" s="6"/>
      <c r="V764" s="169"/>
      <c r="W764" s="169"/>
      <c r="X764" s="169"/>
      <c r="Y764" s="169"/>
      <c r="Z764" s="169"/>
      <c r="AA764" s="169"/>
      <c r="AB764" s="169"/>
      <c r="AC764" s="169"/>
      <c r="AD764" s="169"/>
      <c r="AE764" s="169"/>
      <c r="AF764" s="169"/>
      <c r="AG764" s="169"/>
      <c r="AH764" s="169"/>
      <c r="AI764" s="169"/>
      <c r="AJ764" s="169"/>
      <c r="AK764" s="169"/>
      <c r="AL764" s="169"/>
      <c r="AM764" s="169"/>
      <c r="AN764" s="169"/>
      <c r="AO764" s="169"/>
      <c r="AP764" s="169"/>
      <c r="AQ764" s="169"/>
      <c r="AR764" s="169"/>
    </row>
    <row r="765" spans="1:44" ht="12.5">
      <c r="A765" s="169"/>
      <c r="B765" s="186"/>
      <c r="C765" s="186"/>
      <c r="D765" s="187"/>
      <c r="E765" s="6"/>
      <c r="F765" s="6"/>
      <c r="G765" s="6"/>
      <c r="H765" s="169"/>
      <c r="I765" s="169"/>
      <c r="J765" s="6"/>
      <c r="K765" s="188"/>
      <c r="L765" s="189"/>
      <c r="M765" s="189"/>
      <c r="N765" s="6"/>
      <c r="O765" s="6"/>
      <c r="P765" s="6"/>
      <c r="Q765" s="169"/>
      <c r="R765" s="6"/>
      <c r="S765" s="6"/>
      <c r="T765" s="169"/>
      <c r="U765" s="6"/>
      <c r="V765" s="169"/>
      <c r="W765" s="169"/>
      <c r="X765" s="169"/>
      <c r="Y765" s="169"/>
      <c r="Z765" s="169"/>
      <c r="AA765" s="169"/>
      <c r="AB765" s="169"/>
      <c r="AC765" s="169"/>
      <c r="AD765" s="169"/>
      <c r="AE765" s="169"/>
      <c r="AF765" s="169"/>
      <c r="AG765" s="169"/>
      <c r="AH765" s="169"/>
      <c r="AI765" s="169"/>
      <c r="AJ765" s="169"/>
      <c r="AK765" s="169"/>
      <c r="AL765" s="169"/>
      <c r="AM765" s="169"/>
      <c r="AN765" s="169"/>
      <c r="AO765" s="169"/>
      <c r="AP765" s="169"/>
      <c r="AQ765" s="169"/>
      <c r="AR765" s="169"/>
    </row>
    <row r="766" spans="1:44" ht="12.5">
      <c r="A766" s="169"/>
      <c r="B766" s="186"/>
      <c r="C766" s="186"/>
      <c r="D766" s="187"/>
      <c r="E766" s="6"/>
      <c r="F766" s="6"/>
      <c r="G766" s="6"/>
      <c r="H766" s="169"/>
      <c r="I766" s="169"/>
      <c r="J766" s="6"/>
      <c r="K766" s="188"/>
      <c r="L766" s="189"/>
      <c r="M766" s="189"/>
      <c r="N766" s="6"/>
      <c r="O766" s="6"/>
      <c r="P766" s="6"/>
      <c r="Q766" s="169"/>
      <c r="R766" s="6"/>
      <c r="S766" s="6"/>
      <c r="T766" s="169"/>
      <c r="U766" s="6"/>
      <c r="V766" s="169"/>
      <c r="W766" s="169"/>
      <c r="X766" s="169"/>
      <c r="Y766" s="169"/>
      <c r="Z766" s="169"/>
      <c r="AA766" s="169"/>
      <c r="AB766" s="169"/>
      <c r="AC766" s="169"/>
      <c r="AD766" s="169"/>
      <c r="AE766" s="169"/>
      <c r="AF766" s="169"/>
      <c r="AG766" s="169"/>
      <c r="AH766" s="169"/>
      <c r="AI766" s="169"/>
      <c r="AJ766" s="169"/>
      <c r="AK766" s="169"/>
      <c r="AL766" s="169"/>
      <c r="AM766" s="169"/>
      <c r="AN766" s="169"/>
      <c r="AO766" s="169"/>
      <c r="AP766" s="169"/>
      <c r="AQ766" s="169"/>
      <c r="AR766" s="169"/>
    </row>
    <row r="767" spans="1:44" ht="12.5">
      <c r="A767" s="169"/>
      <c r="B767" s="186"/>
      <c r="C767" s="186"/>
      <c r="D767" s="187"/>
      <c r="E767" s="6"/>
      <c r="F767" s="6"/>
      <c r="G767" s="6"/>
      <c r="H767" s="169"/>
      <c r="I767" s="169"/>
      <c r="J767" s="6"/>
      <c r="K767" s="188"/>
      <c r="L767" s="189"/>
      <c r="M767" s="189"/>
      <c r="N767" s="6"/>
      <c r="O767" s="6"/>
      <c r="P767" s="6"/>
      <c r="Q767" s="169"/>
      <c r="R767" s="6"/>
      <c r="S767" s="6"/>
      <c r="T767" s="169"/>
      <c r="U767" s="6"/>
      <c r="V767" s="169"/>
      <c r="W767" s="169"/>
      <c r="X767" s="169"/>
      <c r="Y767" s="169"/>
      <c r="Z767" s="169"/>
      <c r="AA767" s="169"/>
      <c r="AB767" s="169"/>
      <c r="AC767" s="169"/>
      <c r="AD767" s="169"/>
      <c r="AE767" s="169"/>
      <c r="AF767" s="169"/>
      <c r="AG767" s="169"/>
      <c r="AH767" s="169"/>
      <c r="AI767" s="169"/>
      <c r="AJ767" s="169"/>
      <c r="AK767" s="169"/>
      <c r="AL767" s="169"/>
      <c r="AM767" s="169"/>
      <c r="AN767" s="169"/>
      <c r="AO767" s="169"/>
      <c r="AP767" s="169"/>
      <c r="AQ767" s="169"/>
      <c r="AR767" s="169"/>
    </row>
    <row r="768" spans="1:44" ht="12.5">
      <c r="A768" s="169"/>
      <c r="B768" s="186"/>
      <c r="C768" s="186"/>
      <c r="D768" s="187"/>
      <c r="E768" s="6"/>
      <c r="F768" s="6"/>
      <c r="G768" s="6"/>
      <c r="H768" s="169"/>
      <c r="I768" s="169"/>
      <c r="J768" s="6"/>
      <c r="K768" s="188"/>
      <c r="L768" s="189"/>
      <c r="M768" s="189"/>
      <c r="N768" s="6"/>
      <c r="O768" s="6"/>
      <c r="P768" s="6"/>
      <c r="Q768" s="169"/>
      <c r="R768" s="6"/>
      <c r="S768" s="6"/>
      <c r="T768" s="169"/>
      <c r="U768" s="6"/>
      <c r="V768" s="169"/>
      <c r="W768" s="169"/>
      <c r="X768" s="169"/>
      <c r="Y768" s="169"/>
      <c r="Z768" s="169"/>
      <c r="AA768" s="169"/>
      <c r="AB768" s="169"/>
      <c r="AC768" s="169"/>
      <c r="AD768" s="169"/>
      <c r="AE768" s="169"/>
      <c r="AF768" s="169"/>
      <c r="AG768" s="169"/>
      <c r="AH768" s="169"/>
      <c r="AI768" s="169"/>
      <c r="AJ768" s="169"/>
      <c r="AK768" s="169"/>
      <c r="AL768" s="169"/>
      <c r="AM768" s="169"/>
      <c r="AN768" s="169"/>
      <c r="AO768" s="169"/>
      <c r="AP768" s="169"/>
      <c r="AQ768" s="169"/>
      <c r="AR768" s="169"/>
    </row>
    <row r="769" spans="1:44" ht="12.5">
      <c r="A769" s="169"/>
      <c r="B769" s="186"/>
      <c r="C769" s="186"/>
      <c r="D769" s="187"/>
      <c r="E769" s="6"/>
      <c r="F769" s="6"/>
      <c r="G769" s="6"/>
      <c r="H769" s="169"/>
      <c r="I769" s="169"/>
      <c r="J769" s="6"/>
      <c r="K769" s="188"/>
      <c r="L769" s="189"/>
      <c r="M769" s="189"/>
      <c r="N769" s="6"/>
      <c r="O769" s="6"/>
      <c r="P769" s="6"/>
      <c r="Q769" s="169"/>
      <c r="R769" s="6"/>
      <c r="S769" s="6"/>
      <c r="T769" s="169"/>
      <c r="U769" s="6"/>
      <c r="V769" s="169"/>
      <c r="W769" s="169"/>
      <c r="X769" s="169"/>
      <c r="Y769" s="169"/>
      <c r="Z769" s="169"/>
      <c r="AA769" s="169"/>
      <c r="AB769" s="169"/>
      <c r="AC769" s="169"/>
      <c r="AD769" s="169"/>
      <c r="AE769" s="169"/>
      <c r="AF769" s="169"/>
      <c r="AG769" s="169"/>
      <c r="AH769" s="169"/>
      <c r="AI769" s="169"/>
      <c r="AJ769" s="169"/>
      <c r="AK769" s="169"/>
      <c r="AL769" s="169"/>
      <c r="AM769" s="169"/>
      <c r="AN769" s="169"/>
      <c r="AO769" s="169"/>
      <c r="AP769" s="169"/>
      <c r="AQ769" s="169"/>
      <c r="AR769" s="169"/>
    </row>
    <row r="770" spans="1:44" ht="12.5">
      <c r="A770" s="169"/>
      <c r="B770" s="186"/>
      <c r="C770" s="186"/>
      <c r="D770" s="187"/>
      <c r="E770" s="6"/>
      <c r="F770" s="6"/>
      <c r="G770" s="6"/>
      <c r="H770" s="169"/>
      <c r="I770" s="169"/>
      <c r="J770" s="6"/>
      <c r="K770" s="188"/>
      <c r="L770" s="189"/>
      <c r="M770" s="189"/>
      <c r="N770" s="6"/>
      <c r="O770" s="6"/>
      <c r="P770" s="6"/>
      <c r="Q770" s="169"/>
      <c r="R770" s="6"/>
      <c r="S770" s="6"/>
      <c r="T770" s="169"/>
      <c r="U770" s="6"/>
      <c r="V770" s="169"/>
      <c r="W770" s="169"/>
      <c r="X770" s="169"/>
      <c r="Y770" s="169"/>
      <c r="Z770" s="169"/>
      <c r="AA770" s="169"/>
      <c r="AB770" s="169"/>
      <c r="AC770" s="169"/>
      <c r="AD770" s="169"/>
      <c r="AE770" s="169"/>
      <c r="AF770" s="169"/>
      <c r="AG770" s="169"/>
      <c r="AH770" s="169"/>
      <c r="AI770" s="169"/>
      <c r="AJ770" s="169"/>
      <c r="AK770" s="169"/>
      <c r="AL770" s="169"/>
      <c r="AM770" s="169"/>
      <c r="AN770" s="169"/>
      <c r="AO770" s="169"/>
      <c r="AP770" s="169"/>
      <c r="AQ770" s="169"/>
      <c r="AR770" s="169"/>
    </row>
    <row r="771" spans="1:44" ht="12.5">
      <c r="A771" s="169"/>
      <c r="B771" s="186"/>
      <c r="C771" s="186"/>
      <c r="D771" s="187"/>
      <c r="E771" s="6"/>
      <c r="F771" s="6"/>
      <c r="G771" s="6"/>
      <c r="H771" s="169"/>
      <c r="I771" s="169"/>
      <c r="J771" s="6"/>
      <c r="K771" s="188"/>
      <c r="L771" s="189"/>
      <c r="M771" s="189"/>
      <c r="N771" s="6"/>
      <c r="O771" s="6"/>
      <c r="P771" s="6"/>
      <c r="Q771" s="169"/>
      <c r="R771" s="6"/>
      <c r="S771" s="6"/>
      <c r="T771" s="169"/>
      <c r="U771" s="6"/>
      <c r="V771" s="169"/>
      <c r="W771" s="169"/>
      <c r="X771" s="169"/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69"/>
      <c r="AJ771" s="169"/>
      <c r="AK771" s="169"/>
      <c r="AL771" s="169"/>
      <c r="AM771" s="169"/>
      <c r="AN771" s="169"/>
      <c r="AO771" s="169"/>
      <c r="AP771" s="169"/>
      <c r="AQ771" s="169"/>
      <c r="AR771" s="169"/>
    </row>
    <row r="772" spans="1:44" ht="12.5">
      <c r="A772" s="169"/>
      <c r="B772" s="186"/>
      <c r="C772" s="186"/>
      <c r="D772" s="187"/>
      <c r="E772" s="6"/>
      <c r="F772" s="6"/>
      <c r="G772" s="6"/>
      <c r="H772" s="169"/>
      <c r="I772" s="169"/>
      <c r="J772" s="6"/>
      <c r="K772" s="188"/>
      <c r="L772" s="189"/>
      <c r="M772" s="189"/>
      <c r="N772" s="6"/>
      <c r="O772" s="6"/>
      <c r="P772" s="6"/>
      <c r="Q772" s="169"/>
      <c r="R772" s="6"/>
      <c r="S772" s="6"/>
      <c r="T772" s="169"/>
      <c r="U772" s="6"/>
      <c r="V772" s="169"/>
      <c r="W772" s="169"/>
      <c r="X772" s="169"/>
      <c r="Y772" s="169"/>
      <c r="Z772" s="169"/>
      <c r="AA772" s="169"/>
      <c r="AB772" s="169"/>
      <c r="AC772" s="169"/>
      <c r="AD772" s="169"/>
      <c r="AE772" s="169"/>
      <c r="AF772" s="169"/>
      <c r="AG772" s="169"/>
      <c r="AH772" s="169"/>
      <c r="AI772" s="169"/>
      <c r="AJ772" s="169"/>
      <c r="AK772" s="169"/>
      <c r="AL772" s="169"/>
      <c r="AM772" s="169"/>
      <c r="AN772" s="169"/>
      <c r="AO772" s="169"/>
      <c r="AP772" s="169"/>
      <c r="AQ772" s="169"/>
      <c r="AR772" s="169"/>
    </row>
    <row r="773" spans="1:44" ht="12.5">
      <c r="A773" s="169"/>
      <c r="B773" s="186"/>
      <c r="C773" s="186"/>
      <c r="D773" s="187"/>
      <c r="E773" s="6"/>
      <c r="F773" s="6"/>
      <c r="G773" s="6"/>
      <c r="H773" s="169"/>
      <c r="I773" s="169"/>
      <c r="J773" s="6"/>
      <c r="K773" s="188"/>
      <c r="L773" s="189"/>
      <c r="M773" s="189"/>
      <c r="N773" s="6"/>
      <c r="O773" s="6"/>
      <c r="P773" s="6"/>
      <c r="Q773" s="169"/>
      <c r="R773" s="6"/>
      <c r="S773" s="6"/>
      <c r="T773" s="169"/>
      <c r="U773" s="6"/>
      <c r="V773" s="169"/>
      <c r="W773" s="169"/>
      <c r="X773" s="169"/>
      <c r="Y773" s="169"/>
      <c r="Z773" s="169"/>
      <c r="AA773" s="169"/>
      <c r="AB773" s="169"/>
      <c r="AC773" s="169"/>
      <c r="AD773" s="169"/>
      <c r="AE773" s="169"/>
      <c r="AF773" s="169"/>
      <c r="AG773" s="169"/>
      <c r="AH773" s="169"/>
      <c r="AI773" s="169"/>
      <c r="AJ773" s="169"/>
      <c r="AK773" s="169"/>
      <c r="AL773" s="169"/>
      <c r="AM773" s="169"/>
      <c r="AN773" s="169"/>
      <c r="AO773" s="169"/>
      <c r="AP773" s="169"/>
      <c r="AQ773" s="169"/>
      <c r="AR773" s="169"/>
    </row>
    <row r="774" spans="1:44" ht="12.5">
      <c r="A774" s="169"/>
      <c r="B774" s="186"/>
      <c r="C774" s="186"/>
      <c r="D774" s="187"/>
      <c r="E774" s="6"/>
      <c r="F774" s="6"/>
      <c r="G774" s="6"/>
      <c r="H774" s="169"/>
      <c r="I774" s="169"/>
      <c r="J774" s="6"/>
      <c r="K774" s="188"/>
      <c r="L774" s="189"/>
      <c r="M774" s="189"/>
      <c r="N774" s="6"/>
      <c r="O774" s="6"/>
      <c r="P774" s="6"/>
      <c r="Q774" s="169"/>
      <c r="R774" s="6"/>
      <c r="S774" s="6"/>
      <c r="T774" s="169"/>
      <c r="U774" s="6"/>
      <c r="V774" s="169"/>
      <c r="W774" s="169"/>
      <c r="X774" s="169"/>
      <c r="Y774" s="169"/>
      <c r="Z774" s="169"/>
      <c r="AA774" s="169"/>
      <c r="AB774" s="169"/>
      <c r="AC774" s="169"/>
      <c r="AD774" s="169"/>
      <c r="AE774" s="169"/>
      <c r="AF774" s="169"/>
      <c r="AG774" s="169"/>
      <c r="AH774" s="169"/>
      <c r="AI774" s="169"/>
      <c r="AJ774" s="169"/>
      <c r="AK774" s="169"/>
      <c r="AL774" s="169"/>
      <c r="AM774" s="169"/>
      <c r="AN774" s="169"/>
      <c r="AO774" s="169"/>
      <c r="AP774" s="169"/>
      <c r="AQ774" s="169"/>
      <c r="AR774" s="169"/>
    </row>
    <row r="775" spans="1:44" ht="12.5">
      <c r="A775" s="169"/>
      <c r="B775" s="186"/>
      <c r="C775" s="186"/>
      <c r="D775" s="187"/>
      <c r="E775" s="6"/>
      <c r="F775" s="6"/>
      <c r="G775" s="6"/>
      <c r="H775" s="169"/>
      <c r="I775" s="169"/>
      <c r="J775" s="6"/>
      <c r="K775" s="188"/>
      <c r="L775" s="189"/>
      <c r="M775" s="189"/>
      <c r="N775" s="6"/>
      <c r="O775" s="6"/>
      <c r="P775" s="6"/>
      <c r="Q775" s="169"/>
      <c r="R775" s="6"/>
      <c r="S775" s="6"/>
      <c r="T775" s="169"/>
      <c r="U775" s="6"/>
      <c r="V775" s="169"/>
      <c r="W775" s="169"/>
      <c r="X775" s="169"/>
      <c r="Y775" s="169"/>
      <c r="Z775" s="169"/>
      <c r="AA775" s="169"/>
      <c r="AB775" s="169"/>
      <c r="AC775" s="169"/>
      <c r="AD775" s="169"/>
      <c r="AE775" s="169"/>
      <c r="AF775" s="169"/>
      <c r="AG775" s="169"/>
      <c r="AH775" s="169"/>
      <c r="AI775" s="169"/>
      <c r="AJ775" s="169"/>
      <c r="AK775" s="169"/>
      <c r="AL775" s="169"/>
      <c r="AM775" s="169"/>
      <c r="AN775" s="169"/>
      <c r="AO775" s="169"/>
      <c r="AP775" s="169"/>
      <c r="AQ775" s="169"/>
      <c r="AR775" s="169"/>
    </row>
    <row r="776" spans="1:44" ht="12.5">
      <c r="A776" s="169"/>
      <c r="B776" s="186"/>
      <c r="C776" s="186"/>
      <c r="D776" s="187"/>
      <c r="E776" s="6"/>
      <c r="F776" s="6"/>
      <c r="G776" s="6"/>
      <c r="H776" s="169"/>
      <c r="I776" s="169"/>
      <c r="J776" s="6"/>
      <c r="K776" s="188"/>
      <c r="L776" s="189"/>
      <c r="M776" s="189"/>
      <c r="N776" s="6"/>
      <c r="O776" s="6"/>
      <c r="P776" s="6"/>
      <c r="Q776" s="169"/>
      <c r="R776" s="6"/>
      <c r="S776" s="6"/>
      <c r="T776" s="169"/>
      <c r="U776" s="6"/>
      <c r="V776" s="169"/>
      <c r="W776" s="169"/>
      <c r="X776" s="169"/>
      <c r="Y776" s="169"/>
      <c r="Z776" s="169"/>
      <c r="AA776" s="169"/>
      <c r="AB776" s="169"/>
      <c r="AC776" s="169"/>
      <c r="AD776" s="169"/>
      <c r="AE776" s="169"/>
      <c r="AF776" s="169"/>
      <c r="AG776" s="169"/>
      <c r="AH776" s="169"/>
      <c r="AI776" s="169"/>
      <c r="AJ776" s="169"/>
      <c r="AK776" s="169"/>
      <c r="AL776" s="169"/>
      <c r="AM776" s="169"/>
      <c r="AN776" s="169"/>
      <c r="AO776" s="169"/>
      <c r="AP776" s="169"/>
      <c r="AQ776" s="169"/>
      <c r="AR776" s="169"/>
    </row>
    <row r="777" spans="1:44" ht="12.5">
      <c r="A777" s="169"/>
      <c r="B777" s="186"/>
      <c r="C777" s="186"/>
      <c r="D777" s="187"/>
      <c r="E777" s="6"/>
      <c r="F777" s="6"/>
      <c r="G777" s="6"/>
      <c r="H777" s="169"/>
      <c r="I777" s="169"/>
      <c r="J777" s="6"/>
      <c r="K777" s="188"/>
      <c r="L777" s="189"/>
      <c r="M777" s="189"/>
      <c r="N777" s="6"/>
      <c r="O777" s="6"/>
      <c r="P777" s="6"/>
      <c r="Q777" s="169"/>
      <c r="R777" s="6"/>
      <c r="S777" s="6"/>
      <c r="T777" s="169"/>
      <c r="U777" s="6"/>
      <c r="V777" s="169"/>
      <c r="W777" s="169"/>
      <c r="X777" s="169"/>
      <c r="Y777" s="169"/>
      <c r="Z777" s="169"/>
      <c r="AA777" s="169"/>
      <c r="AB777" s="169"/>
      <c r="AC777" s="169"/>
      <c r="AD777" s="169"/>
      <c r="AE777" s="169"/>
      <c r="AF777" s="169"/>
      <c r="AG777" s="169"/>
      <c r="AH777" s="169"/>
      <c r="AI777" s="169"/>
      <c r="AJ777" s="169"/>
      <c r="AK777" s="169"/>
      <c r="AL777" s="169"/>
      <c r="AM777" s="169"/>
      <c r="AN777" s="169"/>
      <c r="AO777" s="169"/>
      <c r="AP777" s="169"/>
      <c r="AQ777" s="169"/>
      <c r="AR777" s="169"/>
    </row>
    <row r="778" spans="1:44" ht="12.5">
      <c r="A778" s="169"/>
      <c r="B778" s="186"/>
      <c r="C778" s="186"/>
      <c r="D778" s="187"/>
      <c r="E778" s="6"/>
      <c r="F778" s="6"/>
      <c r="G778" s="6"/>
      <c r="H778" s="169"/>
      <c r="I778" s="169"/>
      <c r="J778" s="6"/>
      <c r="K778" s="188"/>
      <c r="L778" s="189"/>
      <c r="M778" s="189"/>
      <c r="N778" s="6"/>
      <c r="O778" s="6"/>
      <c r="P778" s="6"/>
      <c r="Q778" s="169"/>
      <c r="R778" s="6"/>
      <c r="S778" s="6"/>
      <c r="T778" s="169"/>
      <c r="U778" s="6"/>
      <c r="V778" s="169"/>
      <c r="W778" s="169"/>
      <c r="X778" s="169"/>
      <c r="Y778" s="169"/>
      <c r="Z778" s="169"/>
      <c r="AA778" s="169"/>
      <c r="AB778" s="169"/>
      <c r="AC778" s="169"/>
      <c r="AD778" s="169"/>
      <c r="AE778" s="169"/>
      <c r="AF778" s="169"/>
      <c r="AG778" s="169"/>
      <c r="AH778" s="169"/>
      <c r="AI778" s="169"/>
      <c r="AJ778" s="169"/>
      <c r="AK778" s="169"/>
      <c r="AL778" s="169"/>
      <c r="AM778" s="169"/>
      <c r="AN778" s="169"/>
      <c r="AO778" s="169"/>
      <c r="AP778" s="169"/>
      <c r="AQ778" s="169"/>
      <c r="AR778" s="169"/>
    </row>
    <row r="779" spans="1:44" ht="12.5">
      <c r="A779" s="169"/>
      <c r="B779" s="186"/>
      <c r="C779" s="186"/>
      <c r="D779" s="187"/>
      <c r="E779" s="6"/>
      <c r="F779" s="6"/>
      <c r="G779" s="6"/>
      <c r="H779" s="169"/>
      <c r="I779" s="169"/>
      <c r="J779" s="6"/>
      <c r="K779" s="188"/>
      <c r="L779" s="189"/>
      <c r="M779" s="189"/>
      <c r="N779" s="6"/>
      <c r="O779" s="6"/>
      <c r="P779" s="6"/>
      <c r="Q779" s="169"/>
      <c r="R779" s="6"/>
      <c r="S779" s="6"/>
      <c r="T779" s="169"/>
      <c r="U779" s="6"/>
      <c r="V779" s="169"/>
      <c r="W779" s="169"/>
      <c r="X779" s="169"/>
      <c r="Y779" s="169"/>
      <c r="Z779" s="169"/>
      <c r="AA779" s="169"/>
      <c r="AB779" s="169"/>
      <c r="AC779" s="169"/>
      <c r="AD779" s="169"/>
      <c r="AE779" s="169"/>
      <c r="AF779" s="169"/>
      <c r="AG779" s="169"/>
      <c r="AH779" s="169"/>
      <c r="AI779" s="169"/>
      <c r="AJ779" s="169"/>
      <c r="AK779" s="169"/>
      <c r="AL779" s="169"/>
      <c r="AM779" s="169"/>
      <c r="AN779" s="169"/>
      <c r="AO779" s="169"/>
      <c r="AP779" s="169"/>
      <c r="AQ779" s="169"/>
      <c r="AR779" s="169"/>
    </row>
    <row r="780" spans="1:44" ht="12.5">
      <c r="A780" s="169"/>
      <c r="B780" s="186"/>
      <c r="C780" s="186"/>
      <c r="D780" s="187"/>
      <c r="E780" s="6"/>
      <c r="F780" s="6"/>
      <c r="G780" s="6"/>
      <c r="H780" s="169"/>
      <c r="I780" s="169"/>
      <c r="J780" s="6"/>
      <c r="K780" s="188"/>
      <c r="L780" s="189"/>
      <c r="M780" s="189"/>
      <c r="N780" s="6"/>
      <c r="O780" s="6"/>
      <c r="P780" s="6"/>
      <c r="Q780" s="169"/>
      <c r="R780" s="6"/>
      <c r="S780" s="6"/>
      <c r="T780" s="169"/>
      <c r="U780" s="6"/>
      <c r="V780" s="169"/>
      <c r="W780" s="169"/>
      <c r="X780" s="169"/>
      <c r="Y780" s="169"/>
      <c r="Z780" s="169"/>
      <c r="AA780" s="169"/>
      <c r="AB780" s="169"/>
      <c r="AC780" s="169"/>
      <c r="AD780" s="169"/>
      <c r="AE780" s="169"/>
      <c r="AF780" s="169"/>
      <c r="AG780" s="169"/>
      <c r="AH780" s="169"/>
      <c r="AI780" s="169"/>
      <c r="AJ780" s="169"/>
      <c r="AK780" s="169"/>
      <c r="AL780" s="169"/>
      <c r="AM780" s="169"/>
      <c r="AN780" s="169"/>
      <c r="AO780" s="169"/>
      <c r="AP780" s="169"/>
      <c r="AQ780" s="169"/>
      <c r="AR780" s="169"/>
    </row>
    <row r="781" spans="1:44" ht="12.5">
      <c r="A781" s="169"/>
      <c r="B781" s="186"/>
      <c r="C781" s="186"/>
      <c r="D781" s="187"/>
      <c r="E781" s="6"/>
      <c r="F781" s="6"/>
      <c r="G781" s="6"/>
      <c r="H781" s="169"/>
      <c r="I781" s="169"/>
      <c r="J781" s="6"/>
      <c r="K781" s="188"/>
      <c r="L781" s="189"/>
      <c r="M781" s="189"/>
      <c r="N781" s="6"/>
      <c r="O781" s="6"/>
      <c r="P781" s="6"/>
      <c r="Q781" s="169"/>
      <c r="R781" s="6"/>
      <c r="S781" s="6"/>
      <c r="T781" s="169"/>
      <c r="U781" s="6"/>
      <c r="V781" s="169"/>
      <c r="W781" s="169"/>
      <c r="X781" s="169"/>
      <c r="Y781" s="169"/>
      <c r="Z781" s="169"/>
      <c r="AA781" s="169"/>
      <c r="AB781" s="169"/>
      <c r="AC781" s="169"/>
      <c r="AD781" s="169"/>
      <c r="AE781" s="169"/>
      <c r="AF781" s="169"/>
      <c r="AG781" s="169"/>
      <c r="AH781" s="169"/>
      <c r="AI781" s="169"/>
      <c r="AJ781" s="169"/>
      <c r="AK781" s="169"/>
      <c r="AL781" s="169"/>
      <c r="AM781" s="169"/>
      <c r="AN781" s="169"/>
      <c r="AO781" s="169"/>
      <c r="AP781" s="169"/>
      <c r="AQ781" s="169"/>
      <c r="AR781" s="169"/>
    </row>
    <row r="782" spans="1:44" ht="12.5">
      <c r="A782" s="169"/>
      <c r="B782" s="186"/>
      <c r="C782" s="186"/>
      <c r="D782" s="187"/>
      <c r="E782" s="6"/>
      <c r="F782" s="6"/>
      <c r="G782" s="6"/>
      <c r="H782" s="169"/>
      <c r="I782" s="169"/>
      <c r="J782" s="6"/>
      <c r="K782" s="188"/>
      <c r="L782" s="189"/>
      <c r="M782" s="189"/>
      <c r="N782" s="6"/>
      <c r="O782" s="6"/>
      <c r="P782" s="6"/>
      <c r="Q782" s="169"/>
      <c r="R782" s="6"/>
      <c r="S782" s="6"/>
      <c r="T782" s="169"/>
      <c r="U782" s="6"/>
      <c r="V782" s="169"/>
      <c r="W782" s="169"/>
      <c r="X782" s="169"/>
      <c r="Y782" s="169"/>
      <c r="Z782" s="169"/>
      <c r="AA782" s="169"/>
      <c r="AB782" s="169"/>
      <c r="AC782" s="169"/>
      <c r="AD782" s="169"/>
      <c r="AE782" s="169"/>
      <c r="AF782" s="169"/>
      <c r="AG782" s="169"/>
      <c r="AH782" s="169"/>
      <c r="AI782" s="169"/>
      <c r="AJ782" s="169"/>
      <c r="AK782" s="169"/>
      <c r="AL782" s="169"/>
      <c r="AM782" s="169"/>
      <c r="AN782" s="169"/>
      <c r="AO782" s="169"/>
      <c r="AP782" s="169"/>
      <c r="AQ782" s="169"/>
      <c r="AR782" s="169"/>
    </row>
    <row r="783" spans="1:44" ht="12.5">
      <c r="A783" s="169"/>
      <c r="B783" s="186"/>
      <c r="C783" s="186"/>
      <c r="D783" s="187"/>
      <c r="E783" s="6"/>
      <c r="F783" s="6"/>
      <c r="G783" s="6"/>
      <c r="H783" s="169"/>
      <c r="I783" s="169"/>
      <c r="J783" s="6"/>
      <c r="K783" s="188"/>
      <c r="L783" s="189"/>
      <c r="M783" s="189"/>
      <c r="N783" s="6"/>
      <c r="O783" s="6"/>
      <c r="P783" s="6"/>
      <c r="Q783" s="169"/>
      <c r="R783" s="6"/>
      <c r="S783" s="6"/>
      <c r="T783" s="169"/>
      <c r="U783" s="6"/>
      <c r="V783" s="169"/>
      <c r="W783" s="169"/>
      <c r="X783" s="169"/>
      <c r="Y783" s="169"/>
      <c r="Z783" s="169"/>
      <c r="AA783" s="169"/>
      <c r="AB783" s="169"/>
      <c r="AC783" s="169"/>
      <c r="AD783" s="169"/>
      <c r="AE783" s="169"/>
      <c r="AF783" s="169"/>
      <c r="AG783" s="169"/>
      <c r="AH783" s="169"/>
      <c r="AI783" s="169"/>
      <c r="AJ783" s="169"/>
      <c r="AK783" s="169"/>
      <c r="AL783" s="169"/>
      <c r="AM783" s="169"/>
      <c r="AN783" s="169"/>
      <c r="AO783" s="169"/>
      <c r="AP783" s="169"/>
      <c r="AQ783" s="169"/>
      <c r="AR783" s="169"/>
    </row>
    <row r="784" spans="1:44" ht="12.5">
      <c r="A784" s="169"/>
      <c r="B784" s="186"/>
      <c r="C784" s="186"/>
      <c r="D784" s="187"/>
      <c r="E784" s="6"/>
      <c r="F784" s="6"/>
      <c r="G784" s="6"/>
      <c r="H784" s="169"/>
      <c r="I784" s="169"/>
      <c r="J784" s="6"/>
      <c r="K784" s="188"/>
      <c r="L784" s="189"/>
      <c r="M784" s="189"/>
      <c r="N784" s="6"/>
      <c r="O784" s="6"/>
      <c r="P784" s="6"/>
      <c r="Q784" s="169"/>
      <c r="R784" s="6"/>
      <c r="S784" s="6"/>
      <c r="T784" s="169"/>
      <c r="U784" s="6"/>
      <c r="V784" s="169"/>
      <c r="W784" s="169"/>
      <c r="X784" s="169"/>
      <c r="Y784" s="169"/>
      <c r="Z784" s="169"/>
      <c r="AA784" s="169"/>
      <c r="AB784" s="169"/>
      <c r="AC784" s="169"/>
      <c r="AD784" s="169"/>
      <c r="AE784" s="169"/>
      <c r="AF784" s="169"/>
      <c r="AG784" s="169"/>
      <c r="AH784" s="169"/>
      <c r="AI784" s="169"/>
      <c r="AJ784" s="169"/>
      <c r="AK784" s="169"/>
      <c r="AL784" s="169"/>
      <c r="AM784" s="169"/>
      <c r="AN784" s="169"/>
      <c r="AO784" s="169"/>
      <c r="AP784" s="169"/>
      <c r="AQ784" s="169"/>
      <c r="AR784" s="169"/>
    </row>
    <row r="785" spans="1:44" ht="12.5">
      <c r="A785" s="169"/>
      <c r="B785" s="186"/>
      <c r="C785" s="186"/>
      <c r="D785" s="187"/>
      <c r="E785" s="6"/>
      <c r="F785" s="6"/>
      <c r="G785" s="6"/>
      <c r="H785" s="169"/>
      <c r="I785" s="169"/>
      <c r="J785" s="6"/>
      <c r="K785" s="188"/>
      <c r="L785" s="189"/>
      <c r="M785" s="189"/>
      <c r="N785" s="6"/>
      <c r="O785" s="6"/>
      <c r="P785" s="6"/>
      <c r="Q785" s="169"/>
      <c r="R785" s="6"/>
      <c r="S785" s="6"/>
      <c r="T785" s="169"/>
      <c r="U785" s="6"/>
      <c r="V785" s="169"/>
      <c r="W785" s="169"/>
      <c r="X785" s="169"/>
      <c r="Y785" s="169"/>
      <c r="Z785" s="169"/>
      <c r="AA785" s="169"/>
      <c r="AB785" s="169"/>
      <c r="AC785" s="169"/>
      <c r="AD785" s="169"/>
      <c r="AE785" s="169"/>
      <c r="AF785" s="169"/>
      <c r="AG785" s="169"/>
      <c r="AH785" s="169"/>
      <c r="AI785" s="169"/>
      <c r="AJ785" s="169"/>
      <c r="AK785" s="169"/>
      <c r="AL785" s="169"/>
      <c r="AM785" s="169"/>
      <c r="AN785" s="169"/>
      <c r="AO785" s="169"/>
      <c r="AP785" s="169"/>
      <c r="AQ785" s="169"/>
      <c r="AR785" s="169"/>
    </row>
    <row r="786" spans="1:44" ht="12.5">
      <c r="A786" s="169"/>
      <c r="B786" s="186"/>
      <c r="C786" s="186"/>
      <c r="D786" s="187"/>
      <c r="E786" s="6"/>
      <c r="F786" s="6"/>
      <c r="G786" s="6"/>
      <c r="H786" s="169"/>
      <c r="I786" s="169"/>
      <c r="J786" s="6"/>
      <c r="K786" s="188"/>
      <c r="L786" s="189"/>
      <c r="M786" s="189"/>
      <c r="N786" s="6"/>
      <c r="O786" s="6"/>
      <c r="P786" s="6"/>
      <c r="Q786" s="169"/>
      <c r="R786" s="6"/>
      <c r="S786" s="6"/>
      <c r="T786" s="169"/>
      <c r="U786" s="6"/>
      <c r="V786" s="169"/>
      <c r="W786" s="169"/>
      <c r="X786" s="169"/>
      <c r="Y786" s="169"/>
      <c r="Z786" s="169"/>
      <c r="AA786" s="169"/>
      <c r="AB786" s="169"/>
      <c r="AC786" s="169"/>
      <c r="AD786" s="169"/>
      <c r="AE786" s="169"/>
      <c r="AF786" s="169"/>
      <c r="AG786" s="169"/>
      <c r="AH786" s="169"/>
      <c r="AI786" s="169"/>
      <c r="AJ786" s="169"/>
      <c r="AK786" s="169"/>
      <c r="AL786" s="169"/>
      <c r="AM786" s="169"/>
      <c r="AN786" s="169"/>
      <c r="AO786" s="169"/>
      <c r="AP786" s="169"/>
      <c r="AQ786" s="169"/>
      <c r="AR786" s="169"/>
    </row>
    <row r="787" spans="1:44" ht="12.5">
      <c r="A787" s="169"/>
      <c r="B787" s="186"/>
      <c r="C787" s="186"/>
      <c r="D787" s="187"/>
      <c r="E787" s="6"/>
      <c r="F787" s="6"/>
      <c r="G787" s="6"/>
      <c r="H787" s="169"/>
      <c r="I787" s="169"/>
      <c r="J787" s="6"/>
      <c r="K787" s="188"/>
      <c r="L787" s="189"/>
      <c r="M787" s="189"/>
      <c r="N787" s="6"/>
      <c r="O787" s="6"/>
      <c r="P787" s="6"/>
      <c r="Q787" s="169"/>
      <c r="R787" s="6"/>
      <c r="S787" s="6"/>
      <c r="T787" s="169"/>
      <c r="U787" s="6"/>
      <c r="V787" s="169"/>
      <c r="W787" s="169"/>
      <c r="X787" s="169"/>
      <c r="Y787" s="169"/>
      <c r="Z787" s="169"/>
      <c r="AA787" s="169"/>
      <c r="AB787" s="169"/>
      <c r="AC787" s="169"/>
      <c r="AD787" s="169"/>
      <c r="AE787" s="169"/>
      <c r="AF787" s="169"/>
      <c r="AG787" s="169"/>
      <c r="AH787" s="169"/>
      <c r="AI787" s="169"/>
      <c r="AJ787" s="169"/>
      <c r="AK787" s="169"/>
      <c r="AL787" s="169"/>
      <c r="AM787" s="169"/>
      <c r="AN787" s="169"/>
      <c r="AO787" s="169"/>
      <c r="AP787" s="169"/>
      <c r="AQ787" s="169"/>
      <c r="AR787" s="169"/>
    </row>
    <row r="788" spans="1:44" ht="12.5">
      <c r="A788" s="169"/>
      <c r="B788" s="186"/>
      <c r="C788" s="186"/>
      <c r="D788" s="187"/>
      <c r="E788" s="6"/>
      <c r="F788" s="6"/>
      <c r="G788" s="6"/>
      <c r="H788" s="169"/>
      <c r="I788" s="169"/>
      <c r="J788" s="6"/>
      <c r="K788" s="188"/>
      <c r="L788" s="189"/>
      <c r="M788" s="189"/>
      <c r="N788" s="6"/>
      <c r="O788" s="6"/>
      <c r="P788" s="6"/>
      <c r="Q788" s="169"/>
      <c r="R788" s="6"/>
      <c r="S788" s="6"/>
      <c r="T788" s="169"/>
      <c r="U788" s="6"/>
      <c r="V788" s="169"/>
      <c r="W788" s="169"/>
      <c r="X788" s="169"/>
      <c r="Y788" s="169"/>
      <c r="Z788" s="169"/>
      <c r="AA788" s="169"/>
      <c r="AB788" s="169"/>
      <c r="AC788" s="169"/>
      <c r="AD788" s="169"/>
      <c r="AE788" s="169"/>
      <c r="AF788" s="169"/>
      <c r="AG788" s="169"/>
      <c r="AH788" s="169"/>
      <c r="AI788" s="169"/>
      <c r="AJ788" s="169"/>
      <c r="AK788" s="169"/>
      <c r="AL788" s="169"/>
      <c r="AM788" s="169"/>
      <c r="AN788" s="169"/>
      <c r="AO788" s="169"/>
      <c r="AP788" s="169"/>
      <c r="AQ788" s="169"/>
      <c r="AR788" s="169"/>
    </row>
    <row r="789" spans="1:44" ht="12.5">
      <c r="A789" s="169"/>
      <c r="B789" s="186"/>
      <c r="C789" s="186"/>
      <c r="D789" s="187"/>
      <c r="E789" s="6"/>
      <c r="F789" s="6"/>
      <c r="G789" s="6"/>
      <c r="H789" s="169"/>
      <c r="I789" s="169"/>
      <c r="J789" s="6"/>
      <c r="K789" s="188"/>
      <c r="L789" s="189"/>
      <c r="M789" s="189"/>
      <c r="N789" s="6"/>
      <c r="O789" s="6"/>
      <c r="P789" s="6"/>
      <c r="Q789" s="169"/>
      <c r="R789" s="6"/>
      <c r="S789" s="6"/>
      <c r="T789" s="169"/>
      <c r="U789" s="6"/>
      <c r="V789" s="169"/>
      <c r="W789" s="169"/>
      <c r="X789" s="169"/>
      <c r="Y789" s="169"/>
      <c r="Z789" s="169"/>
      <c r="AA789" s="169"/>
      <c r="AB789" s="169"/>
      <c r="AC789" s="169"/>
      <c r="AD789" s="169"/>
      <c r="AE789" s="169"/>
      <c r="AF789" s="169"/>
      <c r="AG789" s="169"/>
      <c r="AH789" s="169"/>
      <c r="AI789" s="169"/>
      <c r="AJ789" s="169"/>
      <c r="AK789" s="169"/>
      <c r="AL789" s="169"/>
      <c r="AM789" s="169"/>
      <c r="AN789" s="169"/>
      <c r="AO789" s="169"/>
      <c r="AP789" s="169"/>
      <c r="AQ789" s="169"/>
      <c r="AR789" s="169"/>
    </row>
    <row r="790" spans="1:44" ht="12.5">
      <c r="A790" s="169"/>
      <c r="B790" s="186"/>
      <c r="C790" s="186"/>
      <c r="D790" s="187"/>
      <c r="E790" s="6"/>
      <c r="F790" s="6"/>
      <c r="G790" s="6"/>
      <c r="H790" s="169"/>
      <c r="I790" s="169"/>
      <c r="J790" s="6"/>
      <c r="K790" s="188"/>
      <c r="L790" s="189"/>
      <c r="M790" s="189"/>
      <c r="N790" s="6"/>
      <c r="O790" s="6"/>
      <c r="P790" s="6"/>
      <c r="Q790" s="169"/>
      <c r="R790" s="6"/>
      <c r="S790" s="6"/>
      <c r="T790" s="169"/>
      <c r="U790" s="6"/>
      <c r="V790" s="169"/>
      <c r="W790" s="169"/>
      <c r="X790" s="169"/>
      <c r="Y790" s="169"/>
      <c r="Z790" s="169"/>
      <c r="AA790" s="169"/>
      <c r="AB790" s="169"/>
      <c r="AC790" s="169"/>
      <c r="AD790" s="169"/>
      <c r="AE790" s="169"/>
      <c r="AF790" s="169"/>
      <c r="AG790" s="169"/>
      <c r="AH790" s="169"/>
      <c r="AI790" s="169"/>
      <c r="AJ790" s="169"/>
      <c r="AK790" s="169"/>
      <c r="AL790" s="169"/>
      <c r="AM790" s="169"/>
      <c r="AN790" s="169"/>
      <c r="AO790" s="169"/>
      <c r="AP790" s="169"/>
      <c r="AQ790" s="169"/>
      <c r="AR790" s="169"/>
    </row>
    <row r="791" spans="1:44" ht="12.5">
      <c r="A791" s="169"/>
      <c r="B791" s="186"/>
      <c r="C791" s="186"/>
      <c r="D791" s="187"/>
      <c r="E791" s="6"/>
      <c r="F791" s="6"/>
      <c r="G791" s="6"/>
      <c r="H791" s="169"/>
      <c r="I791" s="169"/>
      <c r="J791" s="6"/>
      <c r="K791" s="188"/>
      <c r="L791" s="189"/>
      <c r="M791" s="189"/>
      <c r="N791" s="6"/>
      <c r="O791" s="6"/>
      <c r="P791" s="6"/>
      <c r="Q791" s="169"/>
      <c r="R791" s="6"/>
      <c r="S791" s="6"/>
      <c r="T791" s="169"/>
      <c r="U791" s="6"/>
      <c r="V791" s="169"/>
      <c r="W791" s="169"/>
      <c r="X791" s="169"/>
      <c r="Y791" s="169"/>
      <c r="Z791" s="169"/>
      <c r="AA791" s="169"/>
      <c r="AB791" s="169"/>
      <c r="AC791" s="169"/>
      <c r="AD791" s="169"/>
      <c r="AE791" s="169"/>
      <c r="AF791" s="169"/>
      <c r="AG791" s="169"/>
      <c r="AH791" s="169"/>
      <c r="AI791" s="169"/>
      <c r="AJ791" s="169"/>
      <c r="AK791" s="169"/>
      <c r="AL791" s="169"/>
      <c r="AM791" s="169"/>
      <c r="AN791" s="169"/>
      <c r="AO791" s="169"/>
      <c r="AP791" s="169"/>
      <c r="AQ791" s="169"/>
      <c r="AR791" s="169"/>
    </row>
    <row r="792" spans="1:44" ht="12.5">
      <c r="A792" s="169"/>
      <c r="B792" s="186"/>
      <c r="C792" s="186"/>
      <c r="D792" s="187"/>
      <c r="E792" s="6"/>
      <c r="F792" s="6"/>
      <c r="G792" s="6"/>
      <c r="H792" s="169"/>
      <c r="I792" s="169"/>
      <c r="J792" s="6"/>
      <c r="K792" s="188"/>
      <c r="L792" s="189"/>
      <c r="M792" s="189"/>
      <c r="N792" s="6"/>
      <c r="O792" s="6"/>
      <c r="P792" s="6"/>
      <c r="Q792" s="169"/>
      <c r="R792" s="6"/>
      <c r="S792" s="6"/>
      <c r="T792" s="169"/>
      <c r="U792" s="6"/>
      <c r="V792" s="169"/>
      <c r="W792" s="169"/>
      <c r="X792" s="169"/>
      <c r="Y792" s="169"/>
      <c r="Z792" s="169"/>
      <c r="AA792" s="169"/>
      <c r="AB792" s="169"/>
      <c r="AC792" s="169"/>
      <c r="AD792" s="169"/>
      <c r="AE792" s="169"/>
      <c r="AF792" s="169"/>
      <c r="AG792" s="169"/>
      <c r="AH792" s="169"/>
      <c r="AI792" s="169"/>
      <c r="AJ792" s="169"/>
      <c r="AK792" s="169"/>
      <c r="AL792" s="169"/>
      <c r="AM792" s="169"/>
      <c r="AN792" s="169"/>
      <c r="AO792" s="169"/>
      <c r="AP792" s="169"/>
      <c r="AQ792" s="169"/>
      <c r="AR792" s="169"/>
    </row>
    <row r="793" spans="1:44" ht="12.5">
      <c r="A793" s="169"/>
      <c r="B793" s="186"/>
      <c r="C793" s="186"/>
      <c r="D793" s="187"/>
      <c r="E793" s="6"/>
      <c r="F793" s="6"/>
      <c r="G793" s="6"/>
      <c r="H793" s="169"/>
      <c r="I793" s="169"/>
      <c r="J793" s="6"/>
      <c r="K793" s="188"/>
      <c r="L793" s="189"/>
      <c r="M793" s="189"/>
      <c r="N793" s="6"/>
      <c r="O793" s="6"/>
      <c r="P793" s="6"/>
      <c r="Q793" s="169"/>
      <c r="R793" s="6"/>
      <c r="S793" s="6"/>
      <c r="T793" s="169"/>
      <c r="U793" s="6"/>
      <c r="V793" s="169"/>
      <c r="W793" s="169"/>
      <c r="X793" s="169"/>
      <c r="Y793" s="169"/>
      <c r="Z793" s="169"/>
      <c r="AA793" s="169"/>
      <c r="AB793" s="169"/>
      <c r="AC793" s="169"/>
      <c r="AD793" s="169"/>
      <c r="AE793" s="169"/>
      <c r="AF793" s="169"/>
      <c r="AG793" s="169"/>
      <c r="AH793" s="169"/>
      <c r="AI793" s="169"/>
      <c r="AJ793" s="169"/>
      <c r="AK793" s="169"/>
      <c r="AL793" s="169"/>
      <c r="AM793" s="169"/>
      <c r="AN793" s="169"/>
      <c r="AO793" s="169"/>
      <c r="AP793" s="169"/>
      <c r="AQ793" s="169"/>
      <c r="AR793" s="169"/>
    </row>
    <row r="794" spans="1:44" ht="12.5">
      <c r="A794" s="169"/>
      <c r="B794" s="186"/>
      <c r="C794" s="186"/>
      <c r="D794" s="187"/>
      <c r="E794" s="6"/>
      <c r="F794" s="6"/>
      <c r="G794" s="6"/>
      <c r="H794" s="169"/>
      <c r="I794" s="169"/>
      <c r="J794" s="6"/>
      <c r="K794" s="188"/>
      <c r="L794" s="189"/>
      <c r="M794" s="189"/>
      <c r="N794" s="6"/>
      <c r="O794" s="6"/>
      <c r="P794" s="6"/>
      <c r="Q794" s="169"/>
      <c r="R794" s="6"/>
      <c r="S794" s="6"/>
      <c r="T794" s="169"/>
      <c r="U794" s="6"/>
      <c r="V794" s="169"/>
      <c r="W794" s="169"/>
      <c r="X794" s="169"/>
      <c r="Y794" s="169"/>
      <c r="Z794" s="169"/>
      <c r="AA794" s="169"/>
      <c r="AB794" s="169"/>
      <c r="AC794" s="169"/>
      <c r="AD794" s="169"/>
      <c r="AE794" s="169"/>
      <c r="AF794" s="169"/>
      <c r="AG794" s="169"/>
      <c r="AH794" s="169"/>
      <c r="AI794" s="169"/>
      <c r="AJ794" s="169"/>
      <c r="AK794" s="169"/>
      <c r="AL794" s="169"/>
      <c r="AM794" s="169"/>
      <c r="AN794" s="169"/>
      <c r="AO794" s="169"/>
      <c r="AP794" s="169"/>
      <c r="AQ794" s="169"/>
      <c r="AR794" s="169"/>
    </row>
    <row r="795" spans="1:44" ht="12.5">
      <c r="A795" s="169"/>
      <c r="B795" s="186"/>
      <c r="C795" s="186"/>
      <c r="D795" s="187"/>
      <c r="E795" s="6"/>
      <c r="F795" s="6"/>
      <c r="G795" s="6"/>
      <c r="H795" s="169"/>
      <c r="I795" s="169"/>
      <c r="J795" s="6"/>
      <c r="K795" s="188"/>
      <c r="L795" s="189"/>
      <c r="M795" s="189"/>
      <c r="N795" s="6"/>
      <c r="O795" s="6"/>
      <c r="P795" s="6"/>
      <c r="Q795" s="169"/>
      <c r="R795" s="6"/>
      <c r="S795" s="6"/>
      <c r="T795" s="169"/>
      <c r="U795" s="6"/>
      <c r="V795" s="169"/>
      <c r="W795" s="169"/>
      <c r="X795" s="169"/>
      <c r="Y795" s="169"/>
      <c r="Z795" s="169"/>
      <c r="AA795" s="169"/>
      <c r="AB795" s="169"/>
      <c r="AC795" s="169"/>
      <c r="AD795" s="169"/>
      <c r="AE795" s="169"/>
      <c r="AF795" s="169"/>
      <c r="AG795" s="169"/>
      <c r="AH795" s="169"/>
      <c r="AI795" s="169"/>
      <c r="AJ795" s="169"/>
      <c r="AK795" s="169"/>
      <c r="AL795" s="169"/>
      <c r="AM795" s="169"/>
      <c r="AN795" s="169"/>
      <c r="AO795" s="169"/>
      <c r="AP795" s="169"/>
      <c r="AQ795" s="169"/>
      <c r="AR795" s="169"/>
    </row>
    <row r="796" spans="1:44" ht="12.5">
      <c r="A796" s="169"/>
      <c r="B796" s="186"/>
      <c r="C796" s="186"/>
      <c r="D796" s="187"/>
      <c r="E796" s="6"/>
      <c r="F796" s="6"/>
      <c r="G796" s="6"/>
      <c r="H796" s="169"/>
      <c r="I796" s="169"/>
      <c r="J796" s="6"/>
      <c r="K796" s="188"/>
      <c r="L796" s="189"/>
      <c r="M796" s="189"/>
      <c r="N796" s="6"/>
      <c r="O796" s="6"/>
      <c r="P796" s="6"/>
      <c r="Q796" s="169"/>
      <c r="R796" s="6"/>
      <c r="S796" s="6"/>
      <c r="T796" s="169"/>
      <c r="U796" s="6"/>
      <c r="V796" s="169"/>
      <c r="W796" s="169"/>
      <c r="X796" s="169"/>
      <c r="Y796" s="169"/>
      <c r="Z796" s="169"/>
      <c r="AA796" s="169"/>
      <c r="AB796" s="169"/>
      <c r="AC796" s="169"/>
      <c r="AD796" s="169"/>
      <c r="AE796" s="169"/>
      <c r="AF796" s="169"/>
      <c r="AG796" s="169"/>
      <c r="AH796" s="169"/>
      <c r="AI796" s="169"/>
      <c r="AJ796" s="169"/>
      <c r="AK796" s="169"/>
      <c r="AL796" s="169"/>
      <c r="AM796" s="169"/>
      <c r="AN796" s="169"/>
      <c r="AO796" s="169"/>
      <c r="AP796" s="169"/>
      <c r="AQ796" s="169"/>
      <c r="AR796" s="169"/>
    </row>
    <row r="797" spans="1:44" ht="12.5">
      <c r="A797" s="169"/>
      <c r="B797" s="186"/>
      <c r="C797" s="186"/>
      <c r="D797" s="187"/>
      <c r="E797" s="6"/>
      <c r="F797" s="6"/>
      <c r="G797" s="6"/>
      <c r="H797" s="169"/>
      <c r="I797" s="169"/>
      <c r="J797" s="6"/>
      <c r="K797" s="188"/>
      <c r="L797" s="189"/>
      <c r="M797" s="189"/>
      <c r="N797" s="6"/>
      <c r="O797" s="6"/>
      <c r="P797" s="6"/>
      <c r="Q797" s="169"/>
      <c r="R797" s="6"/>
      <c r="S797" s="6"/>
      <c r="T797" s="169"/>
      <c r="U797" s="6"/>
      <c r="V797" s="169"/>
      <c r="W797" s="169"/>
      <c r="X797" s="169"/>
      <c r="Y797" s="169"/>
      <c r="Z797" s="169"/>
      <c r="AA797" s="169"/>
      <c r="AB797" s="169"/>
      <c r="AC797" s="169"/>
      <c r="AD797" s="169"/>
      <c r="AE797" s="169"/>
      <c r="AF797" s="169"/>
      <c r="AG797" s="169"/>
      <c r="AH797" s="169"/>
      <c r="AI797" s="169"/>
      <c r="AJ797" s="169"/>
      <c r="AK797" s="169"/>
      <c r="AL797" s="169"/>
      <c r="AM797" s="169"/>
      <c r="AN797" s="169"/>
      <c r="AO797" s="169"/>
      <c r="AP797" s="169"/>
      <c r="AQ797" s="169"/>
      <c r="AR797" s="169"/>
    </row>
    <row r="798" spans="1:44" ht="12.5">
      <c r="A798" s="169"/>
      <c r="B798" s="186"/>
      <c r="C798" s="186"/>
      <c r="D798" s="187"/>
      <c r="E798" s="6"/>
      <c r="F798" s="6"/>
      <c r="G798" s="6"/>
      <c r="H798" s="169"/>
      <c r="I798" s="169"/>
      <c r="J798" s="6"/>
      <c r="K798" s="188"/>
      <c r="L798" s="189"/>
      <c r="M798" s="189"/>
      <c r="N798" s="6"/>
      <c r="O798" s="6"/>
      <c r="P798" s="6"/>
      <c r="Q798" s="169"/>
      <c r="R798" s="6"/>
      <c r="S798" s="6"/>
      <c r="T798" s="169"/>
      <c r="U798" s="6"/>
      <c r="V798" s="169"/>
      <c r="W798" s="169"/>
      <c r="X798" s="169"/>
      <c r="Y798" s="169"/>
      <c r="Z798" s="169"/>
      <c r="AA798" s="169"/>
      <c r="AB798" s="169"/>
      <c r="AC798" s="169"/>
      <c r="AD798" s="169"/>
      <c r="AE798" s="169"/>
      <c r="AF798" s="169"/>
      <c r="AG798" s="169"/>
      <c r="AH798" s="169"/>
      <c r="AI798" s="169"/>
      <c r="AJ798" s="169"/>
      <c r="AK798" s="169"/>
      <c r="AL798" s="169"/>
      <c r="AM798" s="169"/>
      <c r="AN798" s="169"/>
      <c r="AO798" s="169"/>
      <c r="AP798" s="169"/>
      <c r="AQ798" s="169"/>
      <c r="AR798" s="169"/>
    </row>
    <row r="799" spans="1:44" ht="12.5">
      <c r="A799" s="169"/>
      <c r="B799" s="186"/>
      <c r="C799" s="186"/>
      <c r="D799" s="187"/>
      <c r="E799" s="6"/>
      <c r="F799" s="6"/>
      <c r="G799" s="6"/>
      <c r="H799" s="169"/>
      <c r="I799" s="169"/>
      <c r="J799" s="6"/>
      <c r="K799" s="188"/>
      <c r="L799" s="189"/>
      <c r="M799" s="189"/>
      <c r="N799" s="6"/>
      <c r="O799" s="6"/>
      <c r="P799" s="6"/>
      <c r="Q799" s="169"/>
      <c r="R799" s="6"/>
      <c r="S799" s="6"/>
      <c r="T799" s="169"/>
      <c r="U799" s="6"/>
      <c r="V799" s="169"/>
      <c r="W799" s="169"/>
      <c r="X799" s="169"/>
      <c r="Y799" s="169"/>
      <c r="Z799" s="169"/>
      <c r="AA799" s="169"/>
      <c r="AB799" s="169"/>
      <c r="AC799" s="169"/>
      <c r="AD799" s="169"/>
      <c r="AE799" s="169"/>
      <c r="AF799" s="169"/>
      <c r="AG799" s="169"/>
      <c r="AH799" s="169"/>
      <c r="AI799" s="169"/>
      <c r="AJ799" s="169"/>
      <c r="AK799" s="169"/>
      <c r="AL799" s="169"/>
      <c r="AM799" s="169"/>
      <c r="AN799" s="169"/>
      <c r="AO799" s="169"/>
      <c r="AP799" s="169"/>
      <c r="AQ799" s="169"/>
      <c r="AR799" s="169"/>
    </row>
    <row r="800" spans="1:44" ht="12.5">
      <c r="A800" s="169"/>
      <c r="B800" s="186"/>
      <c r="C800" s="186"/>
      <c r="D800" s="187"/>
      <c r="E800" s="6"/>
      <c r="F800" s="6"/>
      <c r="G800" s="6"/>
      <c r="H800" s="169"/>
      <c r="I800" s="169"/>
      <c r="J800" s="6"/>
      <c r="K800" s="188"/>
      <c r="L800" s="189"/>
      <c r="M800" s="189"/>
      <c r="N800" s="6"/>
      <c r="O800" s="6"/>
      <c r="P800" s="6"/>
      <c r="Q800" s="169"/>
      <c r="R800" s="6"/>
      <c r="S800" s="6"/>
      <c r="T800" s="169"/>
      <c r="U800" s="6"/>
      <c r="V800" s="169"/>
      <c r="W800" s="169"/>
      <c r="X800" s="169"/>
      <c r="Y800" s="169"/>
      <c r="Z800" s="169"/>
      <c r="AA800" s="169"/>
      <c r="AB800" s="169"/>
      <c r="AC800" s="169"/>
      <c r="AD800" s="169"/>
      <c r="AE800" s="169"/>
      <c r="AF800" s="169"/>
      <c r="AG800" s="169"/>
      <c r="AH800" s="169"/>
      <c r="AI800" s="169"/>
      <c r="AJ800" s="169"/>
      <c r="AK800" s="169"/>
      <c r="AL800" s="169"/>
      <c r="AM800" s="169"/>
      <c r="AN800" s="169"/>
      <c r="AO800" s="169"/>
      <c r="AP800" s="169"/>
      <c r="AQ800" s="169"/>
      <c r="AR800" s="169"/>
    </row>
    <row r="801" spans="1:44" ht="12.5">
      <c r="A801" s="169"/>
      <c r="B801" s="186"/>
      <c r="C801" s="186"/>
      <c r="D801" s="187"/>
      <c r="E801" s="6"/>
      <c r="F801" s="6"/>
      <c r="G801" s="6"/>
      <c r="H801" s="169"/>
      <c r="I801" s="169"/>
      <c r="J801" s="6"/>
      <c r="K801" s="188"/>
      <c r="L801" s="189"/>
      <c r="M801" s="189"/>
      <c r="N801" s="6"/>
      <c r="O801" s="6"/>
      <c r="P801" s="6"/>
      <c r="Q801" s="169"/>
      <c r="R801" s="6"/>
      <c r="S801" s="6"/>
      <c r="T801" s="169"/>
      <c r="U801" s="6"/>
      <c r="V801" s="169"/>
      <c r="W801" s="169"/>
      <c r="X801" s="169"/>
      <c r="Y801" s="169"/>
      <c r="Z801" s="169"/>
      <c r="AA801" s="169"/>
      <c r="AB801" s="169"/>
      <c r="AC801" s="169"/>
      <c r="AD801" s="169"/>
      <c r="AE801" s="169"/>
      <c r="AF801" s="169"/>
      <c r="AG801" s="169"/>
      <c r="AH801" s="169"/>
      <c r="AI801" s="169"/>
      <c r="AJ801" s="169"/>
      <c r="AK801" s="169"/>
      <c r="AL801" s="169"/>
      <c r="AM801" s="169"/>
      <c r="AN801" s="169"/>
      <c r="AO801" s="169"/>
      <c r="AP801" s="169"/>
      <c r="AQ801" s="169"/>
      <c r="AR801" s="169"/>
    </row>
    <row r="802" spans="1:44" ht="12.5">
      <c r="A802" s="169"/>
      <c r="B802" s="186"/>
      <c r="C802" s="186"/>
      <c r="D802" s="187"/>
      <c r="E802" s="6"/>
      <c r="F802" s="6"/>
      <c r="G802" s="6"/>
      <c r="H802" s="169"/>
      <c r="I802" s="169"/>
      <c r="J802" s="6"/>
      <c r="K802" s="188"/>
      <c r="L802" s="189"/>
      <c r="M802" s="189"/>
      <c r="N802" s="6"/>
      <c r="O802" s="6"/>
      <c r="P802" s="6"/>
      <c r="Q802" s="169"/>
      <c r="R802" s="6"/>
      <c r="S802" s="6"/>
      <c r="T802" s="169"/>
      <c r="U802" s="6"/>
      <c r="V802" s="169"/>
      <c r="W802" s="169"/>
      <c r="X802" s="169"/>
      <c r="Y802" s="169"/>
      <c r="Z802" s="169"/>
      <c r="AA802" s="169"/>
      <c r="AB802" s="169"/>
      <c r="AC802" s="169"/>
      <c r="AD802" s="169"/>
      <c r="AE802" s="169"/>
      <c r="AF802" s="169"/>
      <c r="AG802" s="169"/>
      <c r="AH802" s="169"/>
      <c r="AI802" s="169"/>
      <c r="AJ802" s="169"/>
      <c r="AK802" s="169"/>
      <c r="AL802" s="169"/>
      <c r="AM802" s="169"/>
      <c r="AN802" s="169"/>
      <c r="AO802" s="169"/>
      <c r="AP802" s="169"/>
      <c r="AQ802" s="169"/>
      <c r="AR802" s="169"/>
    </row>
    <row r="803" spans="1:44" ht="12.5">
      <c r="A803" s="169"/>
      <c r="B803" s="186"/>
      <c r="C803" s="186"/>
      <c r="D803" s="187"/>
      <c r="E803" s="6"/>
      <c r="F803" s="6"/>
      <c r="G803" s="6"/>
      <c r="H803" s="169"/>
      <c r="I803" s="169"/>
      <c r="J803" s="6"/>
      <c r="K803" s="188"/>
      <c r="L803" s="189"/>
      <c r="M803" s="189"/>
      <c r="N803" s="6"/>
      <c r="O803" s="6"/>
      <c r="P803" s="6"/>
      <c r="Q803" s="169"/>
      <c r="R803" s="6"/>
      <c r="S803" s="6"/>
      <c r="T803" s="169"/>
      <c r="U803" s="6"/>
      <c r="V803" s="169"/>
      <c r="W803" s="169"/>
      <c r="X803" s="169"/>
      <c r="Y803" s="169"/>
      <c r="Z803" s="169"/>
      <c r="AA803" s="169"/>
      <c r="AB803" s="169"/>
      <c r="AC803" s="169"/>
      <c r="AD803" s="169"/>
      <c r="AE803" s="169"/>
      <c r="AF803" s="169"/>
      <c r="AG803" s="169"/>
      <c r="AH803" s="169"/>
      <c r="AI803" s="169"/>
      <c r="AJ803" s="169"/>
      <c r="AK803" s="169"/>
      <c r="AL803" s="169"/>
      <c r="AM803" s="169"/>
      <c r="AN803" s="169"/>
      <c r="AO803" s="169"/>
      <c r="AP803" s="169"/>
      <c r="AQ803" s="169"/>
      <c r="AR803" s="169"/>
    </row>
    <row r="804" spans="1:44" ht="12.5">
      <c r="A804" s="169"/>
      <c r="B804" s="186"/>
      <c r="C804" s="186"/>
      <c r="D804" s="187"/>
      <c r="E804" s="6"/>
      <c r="F804" s="6"/>
      <c r="G804" s="6"/>
      <c r="H804" s="169"/>
      <c r="I804" s="169"/>
      <c r="J804" s="6"/>
      <c r="K804" s="188"/>
      <c r="L804" s="189"/>
      <c r="M804" s="189"/>
      <c r="N804" s="6"/>
      <c r="O804" s="6"/>
      <c r="P804" s="6"/>
      <c r="Q804" s="169"/>
      <c r="R804" s="6"/>
      <c r="S804" s="6"/>
      <c r="T804" s="169"/>
      <c r="U804" s="6"/>
      <c r="V804" s="169"/>
      <c r="W804" s="169"/>
      <c r="X804" s="169"/>
      <c r="Y804" s="169"/>
      <c r="Z804" s="169"/>
      <c r="AA804" s="169"/>
      <c r="AB804" s="169"/>
      <c r="AC804" s="169"/>
      <c r="AD804" s="169"/>
      <c r="AE804" s="169"/>
      <c r="AF804" s="169"/>
      <c r="AG804" s="169"/>
      <c r="AH804" s="169"/>
      <c r="AI804" s="169"/>
      <c r="AJ804" s="169"/>
      <c r="AK804" s="169"/>
      <c r="AL804" s="169"/>
      <c r="AM804" s="169"/>
      <c r="AN804" s="169"/>
      <c r="AO804" s="169"/>
      <c r="AP804" s="169"/>
      <c r="AQ804" s="169"/>
      <c r="AR804" s="169"/>
    </row>
    <row r="805" spans="1:44" ht="12.5">
      <c r="A805" s="169"/>
      <c r="B805" s="186"/>
      <c r="C805" s="186"/>
      <c r="D805" s="187"/>
      <c r="E805" s="6"/>
      <c r="F805" s="6"/>
      <c r="G805" s="6"/>
      <c r="H805" s="169"/>
      <c r="I805" s="169"/>
      <c r="J805" s="6"/>
      <c r="K805" s="188"/>
      <c r="L805" s="189"/>
      <c r="M805" s="189"/>
      <c r="N805" s="6"/>
      <c r="O805" s="6"/>
      <c r="P805" s="6"/>
      <c r="Q805" s="169"/>
      <c r="R805" s="6"/>
      <c r="S805" s="6"/>
      <c r="T805" s="169"/>
      <c r="U805" s="6"/>
      <c r="V805" s="169"/>
      <c r="W805" s="169"/>
      <c r="X805" s="169"/>
      <c r="Y805" s="169"/>
      <c r="Z805" s="169"/>
      <c r="AA805" s="169"/>
      <c r="AB805" s="169"/>
      <c r="AC805" s="169"/>
      <c r="AD805" s="169"/>
      <c r="AE805" s="169"/>
      <c r="AF805" s="169"/>
      <c r="AG805" s="169"/>
      <c r="AH805" s="169"/>
      <c r="AI805" s="169"/>
      <c r="AJ805" s="169"/>
      <c r="AK805" s="169"/>
      <c r="AL805" s="169"/>
      <c r="AM805" s="169"/>
      <c r="AN805" s="169"/>
      <c r="AO805" s="169"/>
      <c r="AP805" s="169"/>
      <c r="AQ805" s="169"/>
      <c r="AR805" s="169"/>
    </row>
    <row r="806" spans="1:44" ht="12.5">
      <c r="A806" s="169"/>
      <c r="B806" s="186"/>
      <c r="C806" s="186"/>
      <c r="D806" s="187"/>
      <c r="E806" s="6"/>
      <c r="F806" s="6"/>
      <c r="G806" s="6"/>
      <c r="H806" s="169"/>
      <c r="I806" s="169"/>
      <c r="J806" s="6"/>
      <c r="K806" s="188"/>
      <c r="L806" s="189"/>
      <c r="M806" s="189"/>
      <c r="N806" s="6"/>
      <c r="O806" s="6"/>
      <c r="P806" s="6"/>
      <c r="Q806" s="169"/>
      <c r="R806" s="6"/>
      <c r="S806" s="6"/>
      <c r="T806" s="169"/>
      <c r="U806" s="6"/>
      <c r="V806" s="169"/>
      <c r="W806" s="169"/>
      <c r="X806" s="169"/>
      <c r="Y806" s="169"/>
      <c r="Z806" s="169"/>
      <c r="AA806" s="169"/>
      <c r="AB806" s="169"/>
      <c r="AC806" s="169"/>
      <c r="AD806" s="169"/>
      <c r="AE806" s="169"/>
      <c r="AF806" s="169"/>
      <c r="AG806" s="169"/>
      <c r="AH806" s="169"/>
      <c r="AI806" s="169"/>
      <c r="AJ806" s="169"/>
      <c r="AK806" s="169"/>
      <c r="AL806" s="169"/>
      <c r="AM806" s="169"/>
      <c r="AN806" s="169"/>
      <c r="AO806" s="169"/>
      <c r="AP806" s="169"/>
      <c r="AQ806" s="169"/>
      <c r="AR806" s="169"/>
    </row>
    <row r="807" spans="1:44" ht="12.5">
      <c r="A807" s="169"/>
      <c r="B807" s="186"/>
      <c r="C807" s="186"/>
      <c r="D807" s="187"/>
      <c r="E807" s="6"/>
      <c r="F807" s="6"/>
      <c r="G807" s="6"/>
      <c r="H807" s="169"/>
      <c r="I807" s="169"/>
      <c r="J807" s="6"/>
      <c r="K807" s="188"/>
      <c r="L807" s="189"/>
      <c r="M807" s="189"/>
      <c r="N807" s="6"/>
      <c r="O807" s="6"/>
      <c r="P807" s="6"/>
      <c r="Q807" s="169"/>
      <c r="R807" s="6"/>
      <c r="S807" s="6"/>
      <c r="T807" s="169"/>
      <c r="U807" s="6"/>
      <c r="V807" s="169"/>
      <c r="W807" s="169"/>
      <c r="X807" s="169"/>
      <c r="Y807" s="169"/>
      <c r="Z807" s="169"/>
      <c r="AA807" s="169"/>
      <c r="AB807" s="169"/>
      <c r="AC807" s="169"/>
      <c r="AD807" s="169"/>
      <c r="AE807" s="169"/>
      <c r="AF807" s="169"/>
      <c r="AG807" s="169"/>
      <c r="AH807" s="169"/>
      <c r="AI807" s="169"/>
      <c r="AJ807" s="169"/>
      <c r="AK807" s="169"/>
      <c r="AL807" s="169"/>
      <c r="AM807" s="169"/>
      <c r="AN807" s="169"/>
      <c r="AO807" s="169"/>
      <c r="AP807" s="169"/>
      <c r="AQ807" s="169"/>
      <c r="AR807" s="169"/>
    </row>
    <row r="808" spans="1:44" ht="12.5">
      <c r="A808" s="169"/>
      <c r="B808" s="186"/>
      <c r="C808" s="186"/>
      <c r="D808" s="187"/>
      <c r="E808" s="6"/>
      <c r="F808" s="6"/>
      <c r="G808" s="6"/>
      <c r="H808" s="169"/>
      <c r="I808" s="169"/>
      <c r="J808" s="6"/>
      <c r="K808" s="188"/>
      <c r="L808" s="189"/>
      <c r="M808" s="189"/>
      <c r="N808" s="6"/>
      <c r="O808" s="6"/>
      <c r="P808" s="6"/>
      <c r="Q808" s="169"/>
      <c r="R808" s="6"/>
      <c r="S808" s="6"/>
      <c r="T808" s="169"/>
      <c r="U808" s="6"/>
      <c r="V808" s="169"/>
      <c r="W808" s="169"/>
      <c r="X808" s="169"/>
      <c r="Y808" s="169"/>
      <c r="Z808" s="169"/>
      <c r="AA808" s="169"/>
      <c r="AB808" s="169"/>
      <c r="AC808" s="169"/>
      <c r="AD808" s="169"/>
      <c r="AE808" s="169"/>
      <c r="AF808" s="169"/>
      <c r="AG808" s="169"/>
      <c r="AH808" s="169"/>
      <c r="AI808" s="169"/>
      <c r="AJ808" s="169"/>
      <c r="AK808" s="169"/>
      <c r="AL808" s="169"/>
      <c r="AM808" s="169"/>
      <c r="AN808" s="169"/>
      <c r="AO808" s="169"/>
      <c r="AP808" s="169"/>
      <c r="AQ808" s="169"/>
      <c r="AR808" s="169"/>
    </row>
    <row r="809" spans="1:44" ht="12.5">
      <c r="A809" s="169"/>
      <c r="B809" s="186"/>
      <c r="C809" s="186"/>
      <c r="D809" s="187"/>
      <c r="E809" s="6"/>
      <c r="F809" s="6"/>
      <c r="G809" s="6"/>
      <c r="H809" s="169"/>
      <c r="I809" s="169"/>
      <c r="J809" s="6"/>
      <c r="K809" s="188"/>
      <c r="L809" s="189"/>
      <c r="M809" s="189"/>
      <c r="N809" s="6"/>
      <c r="O809" s="6"/>
      <c r="P809" s="6"/>
      <c r="Q809" s="169"/>
      <c r="R809" s="6"/>
      <c r="S809" s="6"/>
      <c r="T809" s="169"/>
      <c r="U809" s="6"/>
      <c r="V809" s="169"/>
      <c r="W809" s="169"/>
      <c r="X809" s="169"/>
      <c r="Y809" s="169"/>
      <c r="Z809" s="169"/>
      <c r="AA809" s="169"/>
      <c r="AB809" s="169"/>
      <c r="AC809" s="169"/>
      <c r="AD809" s="169"/>
      <c r="AE809" s="169"/>
      <c r="AF809" s="169"/>
      <c r="AG809" s="169"/>
      <c r="AH809" s="169"/>
      <c r="AI809" s="169"/>
      <c r="AJ809" s="169"/>
      <c r="AK809" s="169"/>
      <c r="AL809" s="169"/>
      <c r="AM809" s="169"/>
      <c r="AN809" s="169"/>
      <c r="AO809" s="169"/>
      <c r="AP809" s="169"/>
      <c r="AQ809" s="169"/>
      <c r="AR809" s="169"/>
    </row>
    <row r="810" spans="1:44" ht="12.5">
      <c r="A810" s="169"/>
      <c r="B810" s="186"/>
      <c r="C810" s="186"/>
      <c r="D810" s="187"/>
      <c r="E810" s="6"/>
      <c r="F810" s="6"/>
      <c r="G810" s="6"/>
      <c r="H810" s="169"/>
      <c r="I810" s="169"/>
      <c r="J810" s="6"/>
      <c r="K810" s="188"/>
      <c r="L810" s="189"/>
      <c r="M810" s="189"/>
      <c r="N810" s="6"/>
      <c r="O810" s="6"/>
      <c r="P810" s="6"/>
      <c r="Q810" s="169"/>
      <c r="R810" s="6"/>
      <c r="S810" s="6"/>
      <c r="T810" s="169"/>
      <c r="U810" s="6"/>
      <c r="V810" s="169"/>
      <c r="W810" s="169"/>
      <c r="X810" s="169"/>
      <c r="Y810" s="169"/>
      <c r="Z810" s="169"/>
      <c r="AA810" s="169"/>
      <c r="AB810" s="169"/>
      <c r="AC810" s="169"/>
      <c r="AD810" s="169"/>
      <c r="AE810" s="169"/>
      <c r="AF810" s="169"/>
      <c r="AG810" s="169"/>
      <c r="AH810" s="169"/>
      <c r="AI810" s="169"/>
      <c r="AJ810" s="169"/>
      <c r="AK810" s="169"/>
      <c r="AL810" s="169"/>
      <c r="AM810" s="169"/>
      <c r="AN810" s="169"/>
      <c r="AO810" s="169"/>
      <c r="AP810" s="169"/>
      <c r="AQ810" s="169"/>
      <c r="AR810" s="169"/>
    </row>
    <row r="811" spans="1:44" ht="12.5">
      <c r="A811" s="169"/>
      <c r="B811" s="186"/>
      <c r="C811" s="186"/>
      <c r="D811" s="187"/>
      <c r="E811" s="6"/>
      <c r="F811" s="6"/>
      <c r="G811" s="6"/>
      <c r="H811" s="169"/>
      <c r="I811" s="169"/>
      <c r="J811" s="6"/>
      <c r="K811" s="188"/>
      <c r="L811" s="189"/>
      <c r="M811" s="189"/>
      <c r="N811" s="6"/>
      <c r="O811" s="6"/>
      <c r="P811" s="6"/>
      <c r="Q811" s="169"/>
      <c r="R811" s="6"/>
      <c r="S811" s="6"/>
      <c r="T811" s="169"/>
      <c r="U811" s="6"/>
      <c r="V811" s="169"/>
      <c r="W811" s="169"/>
      <c r="X811" s="169"/>
      <c r="Y811" s="169"/>
      <c r="Z811" s="169"/>
      <c r="AA811" s="169"/>
      <c r="AB811" s="169"/>
      <c r="AC811" s="169"/>
      <c r="AD811" s="169"/>
      <c r="AE811" s="169"/>
      <c r="AF811" s="169"/>
      <c r="AG811" s="169"/>
      <c r="AH811" s="169"/>
      <c r="AI811" s="169"/>
      <c r="AJ811" s="169"/>
      <c r="AK811" s="169"/>
      <c r="AL811" s="169"/>
      <c r="AM811" s="169"/>
      <c r="AN811" s="169"/>
      <c r="AO811" s="169"/>
      <c r="AP811" s="169"/>
      <c r="AQ811" s="169"/>
      <c r="AR811" s="169"/>
    </row>
    <row r="812" spans="1:44" ht="12.5">
      <c r="A812" s="169"/>
      <c r="B812" s="186"/>
      <c r="C812" s="186"/>
      <c r="D812" s="187"/>
      <c r="E812" s="6"/>
      <c r="F812" s="6"/>
      <c r="G812" s="6"/>
      <c r="H812" s="169"/>
      <c r="I812" s="169"/>
      <c r="J812" s="6"/>
      <c r="K812" s="188"/>
      <c r="L812" s="189"/>
      <c r="M812" s="189"/>
      <c r="N812" s="6"/>
      <c r="O812" s="6"/>
      <c r="P812" s="6"/>
      <c r="Q812" s="169"/>
      <c r="R812" s="6"/>
      <c r="S812" s="6"/>
      <c r="T812" s="169"/>
      <c r="U812" s="6"/>
      <c r="V812" s="169"/>
      <c r="W812" s="169"/>
      <c r="X812" s="169"/>
      <c r="Y812" s="169"/>
      <c r="Z812" s="169"/>
      <c r="AA812" s="169"/>
      <c r="AB812" s="169"/>
      <c r="AC812" s="169"/>
      <c r="AD812" s="169"/>
      <c r="AE812" s="169"/>
      <c r="AF812" s="169"/>
      <c r="AG812" s="169"/>
      <c r="AH812" s="169"/>
      <c r="AI812" s="169"/>
      <c r="AJ812" s="169"/>
      <c r="AK812" s="169"/>
      <c r="AL812" s="169"/>
      <c r="AM812" s="169"/>
      <c r="AN812" s="169"/>
      <c r="AO812" s="169"/>
      <c r="AP812" s="169"/>
      <c r="AQ812" s="169"/>
      <c r="AR812" s="169"/>
    </row>
    <row r="813" spans="1:44" ht="12.5">
      <c r="A813" s="169"/>
      <c r="B813" s="186"/>
      <c r="C813" s="186"/>
      <c r="D813" s="187"/>
      <c r="E813" s="6"/>
      <c r="F813" s="6"/>
      <c r="G813" s="6"/>
      <c r="H813" s="169"/>
      <c r="I813" s="169"/>
      <c r="J813" s="6"/>
      <c r="K813" s="188"/>
      <c r="L813" s="189"/>
      <c r="M813" s="189"/>
      <c r="N813" s="6"/>
      <c r="O813" s="6"/>
      <c r="P813" s="6"/>
      <c r="Q813" s="169"/>
      <c r="R813" s="6"/>
      <c r="S813" s="6"/>
      <c r="T813" s="169"/>
      <c r="U813" s="6"/>
      <c r="V813" s="169"/>
      <c r="W813" s="169"/>
      <c r="X813" s="169"/>
      <c r="Y813" s="169"/>
      <c r="Z813" s="169"/>
      <c r="AA813" s="169"/>
      <c r="AB813" s="169"/>
      <c r="AC813" s="169"/>
      <c r="AD813" s="169"/>
      <c r="AE813" s="169"/>
      <c r="AF813" s="169"/>
      <c r="AG813" s="169"/>
      <c r="AH813" s="169"/>
      <c r="AI813" s="169"/>
      <c r="AJ813" s="169"/>
      <c r="AK813" s="169"/>
      <c r="AL813" s="169"/>
      <c r="AM813" s="169"/>
      <c r="AN813" s="169"/>
      <c r="AO813" s="169"/>
      <c r="AP813" s="169"/>
      <c r="AQ813" s="169"/>
      <c r="AR813" s="169"/>
    </row>
    <row r="814" spans="1:44" ht="12.5">
      <c r="A814" s="169"/>
      <c r="B814" s="186"/>
      <c r="C814" s="186"/>
      <c r="D814" s="187"/>
      <c r="E814" s="6"/>
      <c r="F814" s="6"/>
      <c r="G814" s="6"/>
      <c r="H814" s="169"/>
      <c r="I814" s="169"/>
      <c r="J814" s="6"/>
      <c r="K814" s="188"/>
      <c r="L814" s="189"/>
      <c r="M814" s="189"/>
      <c r="N814" s="6"/>
      <c r="O814" s="6"/>
      <c r="P814" s="6"/>
      <c r="Q814" s="169"/>
      <c r="R814" s="6"/>
      <c r="S814" s="6"/>
      <c r="T814" s="169"/>
      <c r="U814" s="6"/>
      <c r="V814" s="169"/>
      <c r="W814" s="169"/>
      <c r="X814" s="169"/>
      <c r="Y814" s="169"/>
      <c r="Z814" s="169"/>
      <c r="AA814" s="169"/>
      <c r="AB814" s="169"/>
      <c r="AC814" s="169"/>
      <c r="AD814" s="169"/>
      <c r="AE814" s="169"/>
      <c r="AF814" s="169"/>
      <c r="AG814" s="169"/>
      <c r="AH814" s="169"/>
      <c r="AI814" s="169"/>
      <c r="AJ814" s="169"/>
      <c r="AK814" s="169"/>
      <c r="AL814" s="169"/>
      <c r="AM814" s="169"/>
      <c r="AN814" s="169"/>
      <c r="AO814" s="169"/>
      <c r="AP814" s="169"/>
      <c r="AQ814" s="169"/>
      <c r="AR814" s="169"/>
    </row>
    <row r="815" spans="1:44" ht="12.5">
      <c r="A815" s="169"/>
      <c r="B815" s="186"/>
      <c r="C815" s="186"/>
      <c r="D815" s="187"/>
      <c r="E815" s="6"/>
      <c r="F815" s="6"/>
      <c r="G815" s="6"/>
      <c r="H815" s="169"/>
      <c r="I815" s="169"/>
      <c r="J815" s="6"/>
      <c r="K815" s="188"/>
      <c r="L815" s="189"/>
      <c r="M815" s="189"/>
      <c r="N815" s="6"/>
      <c r="O815" s="6"/>
      <c r="P815" s="6"/>
      <c r="Q815" s="169"/>
      <c r="R815" s="6"/>
      <c r="S815" s="6"/>
      <c r="T815" s="169"/>
      <c r="U815" s="6"/>
      <c r="V815" s="169"/>
      <c r="W815" s="169"/>
      <c r="X815" s="169"/>
      <c r="Y815" s="169"/>
      <c r="Z815" s="169"/>
      <c r="AA815" s="169"/>
      <c r="AB815" s="169"/>
      <c r="AC815" s="169"/>
      <c r="AD815" s="169"/>
      <c r="AE815" s="169"/>
      <c r="AF815" s="169"/>
      <c r="AG815" s="169"/>
      <c r="AH815" s="169"/>
      <c r="AI815" s="169"/>
      <c r="AJ815" s="169"/>
      <c r="AK815" s="169"/>
      <c r="AL815" s="169"/>
      <c r="AM815" s="169"/>
      <c r="AN815" s="169"/>
      <c r="AO815" s="169"/>
      <c r="AP815" s="169"/>
      <c r="AQ815" s="169"/>
      <c r="AR815" s="169"/>
    </row>
    <row r="816" spans="1:44" ht="12.5">
      <c r="A816" s="169"/>
      <c r="B816" s="186"/>
      <c r="C816" s="186"/>
      <c r="D816" s="187"/>
      <c r="E816" s="6"/>
      <c r="F816" s="6"/>
      <c r="G816" s="6"/>
      <c r="H816" s="169"/>
      <c r="I816" s="169"/>
      <c r="J816" s="6"/>
      <c r="K816" s="188"/>
      <c r="L816" s="189"/>
      <c r="M816" s="189"/>
      <c r="N816" s="6"/>
      <c r="O816" s="6"/>
      <c r="P816" s="6"/>
      <c r="Q816" s="169"/>
      <c r="R816" s="6"/>
      <c r="S816" s="6"/>
      <c r="T816" s="169"/>
      <c r="U816" s="6"/>
      <c r="V816" s="169"/>
      <c r="W816" s="169"/>
      <c r="X816" s="169"/>
      <c r="Y816" s="169"/>
      <c r="Z816" s="169"/>
      <c r="AA816" s="169"/>
      <c r="AB816" s="169"/>
      <c r="AC816" s="169"/>
      <c r="AD816" s="169"/>
      <c r="AE816" s="169"/>
      <c r="AF816" s="169"/>
      <c r="AG816" s="169"/>
      <c r="AH816" s="169"/>
      <c r="AI816" s="169"/>
      <c r="AJ816" s="169"/>
      <c r="AK816" s="169"/>
      <c r="AL816" s="169"/>
      <c r="AM816" s="169"/>
      <c r="AN816" s="169"/>
      <c r="AO816" s="169"/>
      <c r="AP816" s="169"/>
      <c r="AQ816" s="169"/>
      <c r="AR816" s="169"/>
    </row>
    <row r="817" spans="1:44" ht="12.5">
      <c r="A817" s="169"/>
      <c r="B817" s="186"/>
      <c r="C817" s="186"/>
      <c r="D817" s="187"/>
      <c r="E817" s="6"/>
      <c r="F817" s="6"/>
      <c r="G817" s="6"/>
      <c r="H817" s="169"/>
      <c r="I817" s="169"/>
      <c r="J817" s="6"/>
      <c r="K817" s="188"/>
      <c r="L817" s="189"/>
      <c r="M817" s="189"/>
      <c r="N817" s="6"/>
      <c r="O817" s="6"/>
      <c r="P817" s="6"/>
      <c r="Q817" s="169"/>
      <c r="R817" s="6"/>
      <c r="S817" s="6"/>
      <c r="T817" s="169"/>
      <c r="U817" s="6"/>
      <c r="V817" s="169"/>
      <c r="W817" s="169"/>
      <c r="X817" s="169"/>
      <c r="Y817" s="169"/>
      <c r="Z817" s="169"/>
      <c r="AA817" s="169"/>
      <c r="AB817" s="169"/>
      <c r="AC817" s="169"/>
      <c r="AD817" s="169"/>
      <c r="AE817" s="169"/>
      <c r="AF817" s="169"/>
      <c r="AG817" s="169"/>
      <c r="AH817" s="169"/>
      <c r="AI817" s="169"/>
      <c r="AJ817" s="169"/>
      <c r="AK817" s="169"/>
      <c r="AL817" s="169"/>
      <c r="AM817" s="169"/>
      <c r="AN817" s="169"/>
      <c r="AO817" s="169"/>
      <c r="AP817" s="169"/>
      <c r="AQ817" s="169"/>
      <c r="AR817" s="169"/>
    </row>
    <row r="818" spans="1:44" ht="12.5">
      <c r="A818" s="169"/>
      <c r="B818" s="186"/>
      <c r="C818" s="186"/>
      <c r="D818" s="187"/>
      <c r="E818" s="6"/>
      <c r="F818" s="6"/>
      <c r="G818" s="6"/>
      <c r="H818" s="169"/>
      <c r="I818" s="169"/>
      <c r="J818" s="6"/>
      <c r="K818" s="188"/>
      <c r="L818" s="189"/>
      <c r="M818" s="189"/>
      <c r="N818" s="6"/>
      <c r="O818" s="6"/>
      <c r="P818" s="6"/>
      <c r="Q818" s="169"/>
      <c r="R818" s="6"/>
      <c r="S818" s="6"/>
      <c r="T818" s="169"/>
      <c r="U818" s="6"/>
      <c r="V818" s="169"/>
      <c r="W818" s="169"/>
      <c r="X818" s="169"/>
      <c r="Y818" s="169"/>
      <c r="Z818" s="169"/>
      <c r="AA818" s="169"/>
      <c r="AB818" s="169"/>
      <c r="AC818" s="169"/>
      <c r="AD818" s="169"/>
      <c r="AE818" s="169"/>
      <c r="AF818" s="169"/>
      <c r="AG818" s="169"/>
      <c r="AH818" s="169"/>
      <c r="AI818" s="169"/>
      <c r="AJ818" s="169"/>
      <c r="AK818" s="169"/>
      <c r="AL818" s="169"/>
      <c r="AM818" s="169"/>
      <c r="AN818" s="169"/>
      <c r="AO818" s="169"/>
      <c r="AP818" s="169"/>
      <c r="AQ818" s="169"/>
      <c r="AR818" s="169"/>
    </row>
    <row r="819" spans="1:44" ht="12.5">
      <c r="A819" s="169"/>
      <c r="B819" s="186"/>
      <c r="C819" s="186"/>
      <c r="D819" s="187"/>
      <c r="E819" s="6"/>
      <c r="F819" s="6"/>
      <c r="G819" s="6"/>
      <c r="H819" s="169"/>
      <c r="I819" s="169"/>
      <c r="J819" s="6"/>
      <c r="K819" s="188"/>
      <c r="L819" s="189"/>
      <c r="M819" s="189"/>
      <c r="N819" s="6"/>
      <c r="O819" s="6"/>
      <c r="P819" s="6"/>
      <c r="Q819" s="169"/>
      <c r="R819" s="6"/>
      <c r="S819" s="6"/>
      <c r="T819" s="169"/>
      <c r="U819" s="6"/>
      <c r="V819" s="169"/>
      <c r="W819" s="169"/>
      <c r="X819" s="169"/>
      <c r="Y819" s="169"/>
      <c r="Z819" s="169"/>
      <c r="AA819" s="169"/>
      <c r="AB819" s="169"/>
      <c r="AC819" s="169"/>
      <c r="AD819" s="169"/>
      <c r="AE819" s="169"/>
      <c r="AF819" s="169"/>
      <c r="AG819" s="169"/>
      <c r="AH819" s="169"/>
      <c r="AI819" s="169"/>
      <c r="AJ819" s="169"/>
      <c r="AK819" s="169"/>
      <c r="AL819" s="169"/>
      <c r="AM819" s="169"/>
      <c r="AN819" s="169"/>
      <c r="AO819" s="169"/>
      <c r="AP819" s="169"/>
      <c r="AQ819" s="169"/>
      <c r="AR819" s="169"/>
    </row>
    <row r="820" spans="1:44" ht="12.5">
      <c r="A820" s="169"/>
      <c r="B820" s="186"/>
      <c r="C820" s="186"/>
      <c r="D820" s="187"/>
      <c r="E820" s="6"/>
      <c r="F820" s="6"/>
      <c r="G820" s="6"/>
      <c r="H820" s="169"/>
      <c r="I820" s="169"/>
      <c r="J820" s="6"/>
      <c r="K820" s="188"/>
      <c r="L820" s="189"/>
      <c r="M820" s="189"/>
      <c r="N820" s="6"/>
      <c r="O820" s="6"/>
      <c r="P820" s="6"/>
      <c r="Q820" s="169"/>
      <c r="R820" s="6"/>
      <c r="S820" s="6"/>
      <c r="T820" s="169"/>
      <c r="U820" s="6"/>
      <c r="V820" s="169"/>
      <c r="W820" s="169"/>
      <c r="X820" s="169"/>
      <c r="Y820" s="169"/>
      <c r="Z820" s="169"/>
      <c r="AA820" s="169"/>
      <c r="AB820" s="169"/>
      <c r="AC820" s="169"/>
      <c r="AD820" s="169"/>
      <c r="AE820" s="169"/>
      <c r="AF820" s="169"/>
      <c r="AG820" s="169"/>
      <c r="AH820" s="169"/>
      <c r="AI820" s="169"/>
      <c r="AJ820" s="169"/>
      <c r="AK820" s="169"/>
      <c r="AL820" s="169"/>
      <c r="AM820" s="169"/>
      <c r="AN820" s="169"/>
      <c r="AO820" s="169"/>
      <c r="AP820" s="169"/>
      <c r="AQ820" s="169"/>
      <c r="AR820" s="169"/>
    </row>
    <row r="821" spans="1:44" ht="12.5">
      <c r="A821" s="169"/>
      <c r="B821" s="186"/>
      <c r="C821" s="186"/>
      <c r="D821" s="187"/>
      <c r="E821" s="6"/>
      <c r="F821" s="6"/>
      <c r="G821" s="6"/>
      <c r="H821" s="169"/>
      <c r="I821" s="169"/>
      <c r="J821" s="6"/>
      <c r="K821" s="188"/>
      <c r="L821" s="189"/>
      <c r="M821" s="189"/>
      <c r="N821" s="6"/>
      <c r="O821" s="6"/>
      <c r="P821" s="6"/>
      <c r="Q821" s="169"/>
      <c r="R821" s="6"/>
      <c r="S821" s="6"/>
      <c r="T821" s="169"/>
      <c r="U821" s="6"/>
      <c r="V821" s="169"/>
      <c r="W821" s="169"/>
      <c r="X821" s="169"/>
      <c r="Y821" s="169"/>
      <c r="Z821" s="169"/>
      <c r="AA821" s="169"/>
      <c r="AB821" s="169"/>
      <c r="AC821" s="169"/>
      <c r="AD821" s="169"/>
      <c r="AE821" s="169"/>
      <c r="AF821" s="169"/>
      <c r="AG821" s="169"/>
      <c r="AH821" s="169"/>
      <c r="AI821" s="169"/>
      <c r="AJ821" s="169"/>
      <c r="AK821" s="169"/>
      <c r="AL821" s="169"/>
      <c r="AM821" s="169"/>
      <c r="AN821" s="169"/>
      <c r="AO821" s="169"/>
      <c r="AP821" s="169"/>
      <c r="AQ821" s="169"/>
      <c r="AR821" s="169"/>
    </row>
    <row r="822" spans="1:44" ht="12.5">
      <c r="A822" s="169"/>
      <c r="B822" s="186"/>
      <c r="C822" s="186"/>
      <c r="D822" s="187"/>
      <c r="E822" s="6"/>
      <c r="F822" s="6"/>
      <c r="G822" s="6"/>
      <c r="H822" s="169"/>
      <c r="I822" s="169"/>
      <c r="J822" s="6"/>
      <c r="K822" s="188"/>
      <c r="L822" s="189"/>
      <c r="M822" s="189"/>
      <c r="N822" s="6"/>
      <c r="O822" s="6"/>
      <c r="P822" s="6"/>
      <c r="Q822" s="169"/>
      <c r="R822" s="6"/>
      <c r="S822" s="6"/>
      <c r="T822" s="169"/>
      <c r="U822" s="6"/>
      <c r="V822" s="169"/>
      <c r="W822" s="169"/>
      <c r="X822" s="169"/>
      <c r="Y822" s="169"/>
      <c r="Z822" s="169"/>
      <c r="AA822" s="169"/>
      <c r="AB822" s="169"/>
      <c r="AC822" s="169"/>
      <c r="AD822" s="169"/>
      <c r="AE822" s="169"/>
      <c r="AF822" s="169"/>
      <c r="AG822" s="169"/>
      <c r="AH822" s="169"/>
      <c r="AI822" s="169"/>
      <c r="AJ822" s="169"/>
      <c r="AK822" s="169"/>
      <c r="AL822" s="169"/>
      <c r="AM822" s="169"/>
      <c r="AN822" s="169"/>
      <c r="AO822" s="169"/>
      <c r="AP822" s="169"/>
      <c r="AQ822" s="169"/>
      <c r="AR822" s="169"/>
    </row>
    <row r="823" spans="1:44" ht="12.5">
      <c r="A823" s="169"/>
      <c r="B823" s="186"/>
      <c r="C823" s="186"/>
      <c r="D823" s="187"/>
      <c r="E823" s="6"/>
      <c r="F823" s="6"/>
      <c r="G823" s="6"/>
      <c r="H823" s="169"/>
      <c r="I823" s="169"/>
      <c r="J823" s="6"/>
      <c r="K823" s="188"/>
      <c r="L823" s="189"/>
      <c r="M823" s="189"/>
      <c r="N823" s="6"/>
      <c r="O823" s="6"/>
      <c r="P823" s="6"/>
      <c r="Q823" s="169"/>
      <c r="R823" s="6"/>
      <c r="S823" s="6"/>
      <c r="T823" s="169"/>
      <c r="U823" s="6"/>
      <c r="V823" s="169"/>
      <c r="W823" s="169"/>
      <c r="X823" s="169"/>
      <c r="Y823" s="169"/>
      <c r="Z823" s="169"/>
      <c r="AA823" s="169"/>
      <c r="AB823" s="169"/>
      <c r="AC823" s="169"/>
      <c r="AD823" s="169"/>
      <c r="AE823" s="169"/>
      <c r="AF823" s="169"/>
      <c r="AG823" s="169"/>
      <c r="AH823" s="169"/>
      <c r="AI823" s="169"/>
      <c r="AJ823" s="169"/>
      <c r="AK823" s="169"/>
      <c r="AL823" s="169"/>
      <c r="AM823" s="169"/>
      <c r="AN823" s="169"/>
      <c r="AO823" s="169"/>
      <c r="AP823" s="169"/>
      <c r="AQ823" s="169"/>
      <c r="AR823" s="169"/>
    </row>
    <row r="824" spans="1:44" ht="12.5">
      <c r="A824" s="169"/>
      <c r="B824" s="186"/>
      <c r="C824" s="186"/>
      <c r="D824" s="187"/>
      <c r="E824" s="6"/>
      <c r="F824" s="6"/>
      <c r="G824" s="6"/>
      <c r="H824" s="169"/>
      <c r="I824" s="169"/>
      <c r="J824" s="6"/>
      <c r="K824" s="188"/>
      <c r="L824" s="189"/>
      <c r="M824" s="189"/>
      <c r="N824" s="6"/>
      <c r="O824" s="6"/>
      <c r="P824" s="6"/>
      <c r="Q824" s="169"/>
      <c r="R824" s="6"/>
      <c r="S824" s="6"/>
      <c r="T824" s="169"/>
      <c r="U824" s="6"/>
      <c r="V824" s="169"/>
      <c r="W824" s="169"/>
      <c r="X824" s="169"/>
      <c r="Y824" s="169"/>
      <c r="Z824" s="169"/>
      <c r="AA824" s="169"/>
      <c r="AB824" s="169"/>
      <c r="AC824" s="169"/>
      <c r="AD824" s="169"/>
      <c r="AE824" s="169"/>
      <c r="AF824" s="169"/>
      <c r="AG824" s="169"/>
      <c r="AH824" s="169"/>
      <c r="AI824" s="169"/>
      <c r="AJ824" s="169"/>
      <c r="AK824" s="169"/>
      <c r="AL824" s="169"/>
      <c r="AM824" s="169"/>
      <c r="AN824" s="169"/>
      <c r="AO824" s="169"/>
      <c r="AP824" s="169"/>
      <c r="AQ824" s="169"/>
      <c r="AR824" s="169"/>
    </row>
    <row r="825" spans="1:44" ht="12.5">
      <c r="A825" s="169"/>
      <c r="B825" s="186"/>
      <c r="C825" s="186"/>
      <c r="D825" s="187"/>
      <c r="E825" s="6"/>
      <c r="F825" s="6"/>
      <c r="G825" s="6"/>
      <c r="H825" s="169"/>
      <c r="I825" s="169"/>
      <c r="J825" s="6"/>
      <c r="K825" s="188"/>
      <c r="L825" s="189"/>
      <c r="M825" s="189"/>
      <c r="N825" s="6"/>
      <c r="O825" s="6"/>
      <c r="P825" s="6"/>
      <c r="Q825" s="169"/>
      <c r="R825" s="6"/>
      <c r="S825" s="6"/>
      <c r="T825" s="169"/>
      <c r="U825" s="6"/>
      <c r="V825" s="169"/>
      <c r="W825" s="169"/>
      <c r="X825" s="169"/>
      <c r="Y825" s="169"/>
      <c r="Z825" s="169"/>
      <c r="AA825" s="169"/>
      <c r="AB825" s="169"/>
      <c r="AC825" s="169"/>
      <c r="AD825" s="169"/>
      <c r="AE825" s="169"/>
      <c r="AF825" s="169"/>
      <c r="AG825" s="169"/>
      <c r="AH825" s="169"/>
      <c r="AI825" s="169"/>
      <c r="AJ825" s="169"/>
      <c r="AK825" s="169"/>
      <c r="AL825" s="169"/>
      <c r="AM825" s="169"/>
      <c r="AN825" s="169"/>
      <c r="AO825" s="169"/>
      <c r="AP825" s="169"/>
      <c r="AQ825" s="169"/>
      <c r="AR825" s="169"/>
    </row>
    <row r="826" spans="1:44" ht="12.5">
      <c r="A826" s="169"/>
      <c r="B826" s="186"/>
      <c r="C826" s="186"/>
      <c r="D826" s="187"/>
      <c r="E826" s="6"/>
      <c r="F826" s="6"/>
      <c r="G826" s="6"/>
      <c r="H826" s="169"/>
      <c r="I826" s="169"/>
      <c r="J826" s="6"/>
      <c r="K826" s="188"/>
      <c r="L826" s="189"/>
      <c r="M826" s="189"/>
      <c r="N826" s="6"/>
      <c r="O826" s="6"/>
      <c r="P826" s="6"/>
      <c r="Q826" s="169"/>
      <c r="R826" s="6"/>
      <c r="S826" s="6"/>
      <c r="T826" s="169"/>
      <c r="U826" s="6"/>
      <c r="V826" s="169"/>
      <c r="W826" s="169"/>
      <c r="X826" s="169"/>
      <c r="Y826" s="169"/>
      <c r="Z826" s="169"/>
      <c r="AA826" s="169"/>
      <c r="AB826" s="169"/>
      <c r="AC826" s="169"/>
      <c r="AD826" s="169"/>
      <c r="AE826" s="169"/>
      <c r="AF826" s="169"/>
      <c r="AG826" s="169"/>
      <c r="AH826" s="169"/>
      <c r="AI826" s="169"/>
      <c r="AJ826" s="169"/>
      <c r="AK826" s="169"/>
      <c r="AL826" s="169"/>
      <c r="AM826" s="169"/>
      <c r="AN826" s="169"/>
      <c r="AO826" s="169"/>
      <c r="AP826" s="169"/>
      <c r="AQ826" s="169"/>
      <c r="AR826" s="169"/>
    </row>
    <row r="827" spans="1:44" ht="12.5">
      <c r="A827" s="169"/>
      <c r="B827" s="186"/>
      <c r="C827" s="186"/>
      <c r="D827" s="187"/>
      <c r="E827" s="6"/>
      <c r="F827" s="6"/>
      <c r="G827" s="6"/>
      <c r="H827" s="169"/>
      <c r="I827" s="169"/>
      <c r="J827" s="6"/>
      <c r="K827" s="188"/>
      <c r="L827" s="189"/>
      <c r="M827" s="189"/>
      <c r="N827" s="6"/>
      <c r="O827" s="6"/>
      <c r="P827" s="6"/>
      <c r="Q827" s="169"/>
      <c r="R827" s="6"/>
      <c r="S827" s="6"/>
      <c r="T827" s="169"/>
      <c r="U827" s="6"/>
      <c r="V827" s="169"/>
      <c r="W827" s="169"/>
      <c r="X827" s="169"/>
      <c r="Y827" s="169"/>
      <c r="Z827" s="169"/>
      <c r="AA827" s="169"/>
      <c r="AB827" s="169"/>
      <c r="AC827" s="169"/>
      <c r="AD827" s="169"/>
      <c r="AE827" s="169"/>
      <c r="AF827" s="169"/>
      <c r="AG827" s="169"/>
      <c r="AH827" s="169"/>
      <c r="AI827" s="169"/>
      <c r="AJ827" s="169"/>
      <c r="AK827" s="169"/>
      <c r="AL827" s="169"/>
      <c r="AM827" s="169"/>
      <c r="AN827" s="169"/>
      <c r="AO827" s="169"/>
      <c r="AP827" s="169"/>
      <c r="AQ827" s="169"/>
      <c r="AR827" s="169"/>
    </row>
    <row r="828" spans="1:44" ht="12.5">
      <c r="A828" s="169"/>
      <c r="B828" s="186"/>
      <c r="C828" s="186"/>
      <c r="D828" s="187"/>
      <c r="E828" s="6"/>
      <c r="F828" s="6"/>
      <c r="G828" s="6"/>
      <c r="H828" s="169"/>
      <c r="I828" s="169"/>
      <c r="J828" s="6"/>
      <c r="K828" s="188"/>
      <c r="L828" s="189"/>
      <c r="M828" s="189"/>
      <c r="N828" s="6"/>
      <c r="O828" s="6"/>
      <c r="P828" s="6"/>
      <c r="Q828" s="169"/>
      <c r="R828" s="6"/>
      <c r="S828" s="6"/>
      <c r="T828" s="169"/>
      <c r="U828" s="6"/>
      <c r="V828" s="169"/>
      <c r="W828" s="169"/>
      <c r="X828" s="169"/>
      <c r="Y828" s="169"/>
      <c r="Z828" s="169"/>
      <c r="AA828" s="169"/>
      <c r="AB828" s="169"/>
      <c r="AC828" s="169"/>
      <c r="AD828" s="169"/>
      <c r="AE828" s="169"/>
      <c r="AF828" s="169"/>
      <c r="AG828" s="169"/>
      <c r="AH828" s="169"/>
      <c r="AI828" s="169"/>
      <c r="AJ828" s="169"/>
      <c r="AK828" s="169"/>
      <c r="AL828" s="169"/>
      <c r="AM828" s="169"/>
      <c r="AN828" s="169"/>
      <c r="AO828" s="169"/>
      <c r="AP828" s="169"/>
      <c r="AQ828" s="169"/>
      <c r="AR828" s="169"/>
    </row>
    <row r="829" spans="1:44" ht="12.5">
      <c r="A829" s="169"/>
      <c r="B829" s="186"/>
      <c r="C829" s="186"/>
      <c r="D829" s="187"/>
      <c r="E829" s="6"/>
      <c r="F829" s="6"/>
      <c r="G829" s="6"/>
      <c r="H829" s="169"/>
      <c r="I829" s="169"/>
      <c r="J829" s="6"/>
      <c r="K829" s="188"/>
      <c r="L829" s="189"/>
      <c r="M829" s="189"/>
      <c r="N829" s="6"/>
      <c r="O829" s="6"/>
      <c r="P829" s="6"/>
      <c r="Q829" s="169"/>
      <c r="R829" s="6"/>
      <c r="S829" s="6"/>
      <c r="T829" s="169"/>
      <c r="U829" s="6"/>
      <c r="V829" s="169"/>
      <c r="W829" s="169"/>
      <c r="X829" s="169"/>
      <c r="Y829" s="169"/>
      <c r="Z829" s="169"/>
      <c r="AA829" s="169"/>
      <c r="AB829" s="169"/>
      <c r="AC829" s="169"/>
      <c r="AD829" s="169"/>
      <c r="AE829" s="169"/>
      <c r="AF829" s="169"/>
      <c r="AG829" s="169"/>
      <c r="AH829" s="169"/>
      <c r="AI829" s="169"/>
      <c r="AJ829" s="169"/>
      <c r="AK829" s="169"/>
      <c r="AL829" s="169"/>
      <c r="AM829" s="169"/>
      <c r="AN829" s="169"/>
      <c r="AO829" s="169"/>
      <c r="AP829" s="169"/>
      <c r="AQ829" s="169"/>
      <c r="AR829" s="169"/>
    </row>
    <row r="830" spans="1:44" ht="12.5">
      <c r="A830" s="169"/>
      <c r="B830" s="186"/>
      <c r="C830" s="186"/>
      <c r="D830" s="187"/>
      <c r="E830" s="6"/>
      <c r="F830" s="6"/>
      <c r="G830" s="6"/>
      <c r="H830" s="169"/>
      <c r="I830" s="169"/>
      <c r="J830" s="6"/>
      <c r="K830" s="188"/>
      <c r="L830" s="189"/>
      <c r="M830" s="189"/>
      <c r="N830" s="6"/>
      <c r="O830" s="6"/>
      <c r="P830" s="6"/>
      <c r="Q830" s="169"/>
      <c r="R830" s="6"/>
      <c r="S830" s="6"/>
      <c r="T830" s="169"/>
      <c r="U830" s="6"/>
      <c r="V830" s="169"/>
      <c r="W830" s="169"/>
      <c r="X830" s="169"/>
      <c r="Y830" s="169"/>
      <c r="Z830" s="169"/>
      <c r="AA830" s="169"/>
      <c r="AB830" s="169"/>
      <c r="AC830" s="169"/>
      <c r="AD830" s="169"/>
      <c r="AE830" s="169"/>
      <c r="AF830" s="169"/>
      <c r="AG830" s="169"/>
      <c r="AH830" s="169"/>
      <c r="AI830" s="169"/>
      <c r="AJ830" s="169"/>
      <c r="AK830" s="169"/>
      <c r="AL830" s="169"/>
      <c r="AM830" s="169"/>
      <c r="AN830" s="169"/>
      <c r="AO830" s="169"/>
      <c r="AP830" s="169"/>
      <c r="AQ830" s="169"/>
      <c r="AR830" s="169"/>
    </row>
    <row r="831" spans="1:44" ht="12.5">
      <c r="A831" s="169"/>
      <c r="B831" s="186"/>
      <c r="C831" s="186"/>
      <c r="D831" s="187"/>
      <c r="E831" s="6"/>
      <c r="F831" s="6"/>
      <c r="G831" s="6"/>
      <c r="H831" s="169"/>
      <c r="I831" s="169"/>
      <c r="J831" s="6"/>
      <c r="K831" s="188"/>
      <c r="L831" s="189"/>
      <c r="M831" s="189"/>
      <c r="N831" s="6"/>
      <c r="O831" s="6"/>
      <c r="P831" s="6"/>
      <c r="Q831" s="169"/>
      <c r="R831" s="6"/>
      <c r="S831" s="6"/>
      <c r="T831" s="169"/>
      <c r="U831" s="6"/>
      <c r="V831" s="169"/>
      <c r="W831" s="169"/>
      <c r="X831" s="169"/>
      <c r="Y831" s="169"/>
      <c r="Z831" s="169"/>
      <c r="AA831" s="169"/>
      <c r="AB831" s="169"/>
      <c r="AC831" s="169"/>
      <c r="AD831" s="169"/>
      <c r="AE831" s="169"/>
      <c r="AF831" s="169"/>
      <c r="AG831" s="169"/>
      <c r="AH831" s="169"/>
      <c r="AI831" s="169"/>
      <c r="AJ831" s="169"/>
      <c r="AK831" s="169"/>
      <c r="AL831" s="169"/>
      <c r="AM831" s="169"/>
      <c r="AN831" s="169"/>
      <c r="AO831" s="169"/>
      <c r="AP831" s="169"/>
      <c r="AQ831" s="169"/>
      <c r="AR831" s="169"/>
    </row>
    <row r="832" spans="1:44" ht="12.5">
      <c r="A832" s="169"/>
      <c r="B832" s="186"/>
      <c r="C832" s="186"/>
      <c r="D832" s="187"/>
      <c r="E832" s="6"/>
      <c r="F832" s="6"/>
      <c r="G832" s="6"/>
      <c r="H832" s="169"/>
      <c r="I832" s="169"/>
      <c r="J832" s="6"/>
      <c r="K832" s="188"/>
      <c r="L832" s="189"/>
      <c r="M832" s="189"/>
      <c r="N832" s="6"/>
      <c r="O832" s="6"/>
      <c r="P832" s="6"/>
      <c r="Q832" s="169"/>
      <c r="R832" s="6"/>
      <c r="S832" s="6"/>
      <c r="T832" s="169"/>
      <c r="U832" s="6"/>
      <c r="V832" s="169"/>
      <c r="W832" s="169"/>
      <c r="X832" s="169"/>
      <c r="Y832" s="169"/>
      <c r="Z832" s="169"/>
      <c r="AA832" s="169"/>
      <c r="AB832" s="169"/>
      <c r="AC832" s="169"/>
      <c r="AD832" s="169"/>
      <c r="AE832" s="169"/>
      <c r="AF832" s="169"/>
      <c r="AG832" s="169"/>
      <c r="AH832" s="169"/>
      <c r="AI832" s="169"/>
      <c r="AJ832" s="169"/>
      <c r="AK832" s="169"/>
      <c r="AL832" s="169"/>
      <c r="AM832" s="169"/>
      <c r="AN832" s="169"/>
      <c r="AO832" s="169"/>
      <c r="AP832" s="169"/>
      <c r="AQ832" s="169"/>
      <c r="AR832" s="169"/>
    </row>
    <row r="833" spans="1:44" ht="12.5">
      <c r="A833" s="169"/>
      <c r="B833" s="186"/>
      <c r="C833" s="186"/>
      <c r="D833" s="187"/>
      <c r="E833" s="6"/>
      <c r="F833" s="6"/>
      <c r="G833" s="6"/>
      <c r="H833" s="169"/>
      <c r="I833" s="169"/>
      <c r="J833" s="6"/>
      <c r="K833" s="188"/>
      <c r="L833" s="189"/>
      <c r="M833" s="189"/>
      <c r="N833" s="6"/>
      <c r="O833" s="6"/>
      <c r="P833" s="6"/>
      <c r="Q833" s="169"/>
      <c r="R833" s="6"/>
      <c r="S833" s="6"/>
      <c r="T833" s="169"/>
      <c r="U833" s="6"/>
      <c r="V833" s="169"/>
      <c r="W833" s="169"/>
      <c r="X833" s="169"/>
      <c r="Y833" s="169"/>
      <c r="Z833" s="169"/>
      <c r="AA833" s="169"/>
      <c r="AB833" s="169"/>
      <c r="AC833" s="169"/>
      <c r="AD833" s="169"/>
      <c r="AE833" s="169"/>
      <c r="AF833" s="169"/>
      <c r="AG833" s="169"/>
      <c r="AH833" s="169"/>
      <c r="AI833" s="169"/>
      <c r="AJ833" s="169"/>
      <c r="AK833" s="169"/>
      <c r="AL833" s="169"/>
      <c r="AM833" s="169"/>
      <c r="AN833" s="169"/>
      <c r="AO833" s="169"/>
      <c r="AP833" s="169"/>
      <c r="AQ833" s="169"/>
      <c r="AR833" s="169"/>
    </row>
    <row r="834" spans="1:44" ht="12.5">
      <c r="A834" s="169"/>
      <c r="B834" s="186"/>
      <c r="C834" s="186"/>
      <c r="D834" s="187"/>
      <c r="E834" s="6"/>
      <c r="F834" s="6"/>
      <c r="G834" s="6"/>
      <c r="H834" s="169"/>
      <c r="I834" s="169"/>
      <c r="J834" s="6"/>
      <c r="K834" s="188"/>
      <c r="L834" s="189"/>
      <c r="M834" s="189"/>
      <c r="N834" s="6"/>
      <c r="O834" s="6"/>
      <c r="P834" s="6"/>
      <c r="Q834" s="169"/>
      <c r="R834" s="6"/>
      <c r="S834" s="6"/>
      <c r="T834" s="169"/>
      <c r="U834" s="6"/>
      <c r="V834" s="169"/>
      <c r="W834" s="169"/>
      <c r="X834" s="169"/>
      <c r="Y834" s="169"/>
      <c r="Z834" s="169"/>
      <c r="AA834" s="169"/>
      <c r="AB834" s="169"/>
      <c r="AC834" s="169"/>
      <c r="AD834" s="169"/>
      <c r="AE834" s="169"/>
      <c r="AF834" s="169"/>
      <c r="AG834" s="169"/>
      <c r="AH834" s="169"/>
      <c r="AI834" s="169"/>
      <c r="AJ834" s="169"/>
      <c r="AK834" s="169"/>
      <c r="AL834" s="169"/>
      <c r="AM834" s="169"/>
      <c r="AN834" s="169"/>
      <c r="AO834" s="169"/>
      <c r="AP834" s="169"/>
      <c r="AQ834" s="169"/>
      <c r="AR834" s="169"/>
    </row>
    <row r="835" spans="1:44" ht="12.5">
      <c r="A835" s="169"/>
      <c r="B835" s="186"/>
      <c r="C835" s="186"/>
      <c r="D835" s="187"/>
      <c r="E835" s="6"/>
      <c r="F835" s="6"/>
      <c r="G835" s="6"/>
      <c r="H835" s="169"/>
      <c r="I835" s="169"/>
      <c r="J835" s="6"/>
      <c r="K835" s="188"/>
      <c r="L835" s="189"/>
      <c r="M835" s="189"/>
      <c r="N835" s="6"/>
      <c r="O835" s="6"/>
      <c r="P835" s="6"/>
      <c r="Q835" s="169"/>
      <c r="R835" s="6"/>
      <c r="S835" s="6"/>
      <c r="T835" s="169"/>
      <c r="U835" s="6"/>
      <c r="V835" s="169"/>
      <c r="W835" s="169"/>
      <c r="X835" s="169"/>
      <c r="Y835" s="169"/>
      <c r="Z835" s="169"/>
      <c r="AA835" s="169"/>
      <c r="AB835" s="169"/>
      <c r="AC835" s="169"/>
      <c r="AD835" s="169"/>
      <c r="AE835" s="169"/>
      <c r="AF835" s="169"/>
      <c r="AG835" s="169"/>
      <c r="AH835" s="169"/>
      <c r="AI835" s="169"/>
      <c r="AJ835" s="169"/>
      <c r="AK835" s="169"/>
      <c r="AL835" s="169"/>
      <c r="AM835" s="169"/>
      <c r="AN835" s="169"/>
      <c r="AO835" s="169"/>
      <c r="AP835" s="169"/>
      <c r="AQ835" s="169"/>
      <c r="AR835" s="169"/>
    </row>
    <row r="836" spans="1:44" ht="12.5">
      <c r="A836" s="169"/>
      <c r="B836" s="186"/>
      <c r="C836" s="186"/>
      <c r="D836" s="187"/>
      <c r="E836" s="6"/>
      <c r="F836" s="6"/>
      <c r="G836" s="6"/>
      <c r="H836" s="169"/>
      <c r="I836" s="169"/>
      <c r="J836" s="6"/>
      <c r="K836" s="188"/>
      <c r="L836" s="189"/>
      <c r="M836" s="189"/>
      <c r="N836" s="6"/>
      <c r="O836" s="6"/>
      <c r="P836" s="6"/>
      <c r="Q836" s="169"/>
      <c r="R836" s="6"/>
      <c r="S836" s="6"/>
      <c r="T836" s="169"/>
      <c r="U836" s="6"/>
      <c r="V836" s="169"/>
      <c r="W836" s="169"/>
      <c r="X836" s="169"/>
      <c r="Y836" s="169"/>
      <c r="Z836" s="169"/>
      <c r="AA836" s="169"/>
      <c r="AB836" s="169"/>
      <c r="AC836" s="169"/>
      <c r="AD836" s="169"/>
      <c r="AE836" s="169"/>
      <c r="AF836" s="169"/>
      <c r="AG836" s="169"/>
      <c r="AH836" s="169"/>
      <c r="AI836" s="169"/>
      <c r="AJ836" s="169"/>
      <c r="AK836" s="169"/>
      <c r="AL836" s="169"/>
      <c r="AM836" s="169"/>
      <c r="AN836" s="169"/>
      <c r="AO836" s="169"/>
      <c r="AP836" s="169"/>
      <c r="AQ836" s="169"/>
      <c r="AR836" s="169"/>
    </row>
    <row r="837" spans="1:44" ht="12.5">
      <c r="A837" s="169"/>
      <c r="B837" s="186"/>
      <c r="C837" s="186"/>
      <c r="D837" s="187"/>
      <c r="E837" s="6"/>
      <c r="F837" s="6"/>
      <c r="G837" s="6"/>
      <c r="H837" s="169"/>
      <c r="I837" s="169"/>
      <c r="J837" s="6"/>
      <c r="K837" s="188"/>
      <c r="L837" s="189"/>
      <c r="M837" s="189"/>
      <c r="N837" s="6"/>
      <c r="O837" s="6"/>
      <c r="P837" s="6"/>
      <c r="Q837" s="169"/>
      <c r="R837" s="6"/>
      <c r="S837" s="6"/>
      <c r="T837" s="169"/>
      <c r="U837" s="6"/>
      <c r="V837" s="169"/>
      <c r="W837" s="169"/>
      <c r="X837" s="169"/>
      <c r="Y837" s="169"/>
      <c r="Z837" s="169"/>
      <c r="AA837" s="169"/>
      <c r="AB837" s="169"/>
      <c r="AC837" s="169"/>
      <c r="AD837" s="169"/>
      <c r="AE837" s="169"/>
      <c r="AF837" s="169"/>
      <c r="AG837" s="169"/>
      <c r="AH837" s="169"/>
      <c r="AI837" s="169"/>
      <c r="AJ837" s="169"/>
      <c r="AK837" s="169"/>
      <c r="AL837" s="169"/>
      <c r="AM837" s="169"/>
      <c r="AN837" s="169"/>
      <c r="AO837" s="169"/>
      <c r="AP837" s="169"/>
      <c r="AQ837" s="169"/>
      <c r="AR837" s="169"/>
    </row>
    <row r="838" spans="1:44" ht="12.5">
      <c r="A838" s="169"/>
      <c r="B838" s="186"/>
      <c r="C838" s="186"/>
      <c r="D838" s="187"/>
      <c r="E838" s="6"/>
      <c r="F838" s="6"/>
      <c r="G838" s="6"/>
      <c r="H838" s="169"/>
      <c r="I838" s="169"/>
      <c r="J838" s="6"/>
      <c r="K838" s="188"/>
      <c r="L838" s="189"/>
      <c r="M838" s="189"/>
      <c r="N838" s="6"/>
      <c r="O838" s="6"/>
      <c r="P838" s="6"/>
      <c r="Q838" s="169"/>
      <c r="R838" s="6"/>
      <c r="S838" s="6"/>
      <c r="T838" s="169"/>
      <c r="U838" s="6"/>
      <c r="V838" s="169"/>
      <c r="W838" s="169"/>
      <c r="X838" s="169"/>
      <c r="Y838" s="169"/>
      <c r="Z838" s="169"/>
      <c r="AA838" s="169"/>
      <c r="AB838" s="169"/>
      <c r="AC838" s="169"/>
      <c r="AD838" s="169"/>
      <c r="AE838" s="169"/>
      <c r="AF838" s="169"/>
      <c r="AG838" s="169"/>
      <c r="AH838" s="169"/>
      <c r="AI838" s="169"/>
      <c r="AJ838" s="169"/>
      <c r="AK838" s="169"/>
      <c r="AL838" s="169"/>
      <c r="AM838" s="169"/>
      <c r="AN838" s="169"/>
      <c r="AO838" s="169"/>
      <c r="AP838" s="169"/>
      <c r="AQ838" s="169"/>
      <c r="AR838" s="169"/>
    </row>
    <row r="839" spans="1:44" ht="12.5">
      <c r="A839" s="169"/>
      <c r="B839" s="186"/>
      <c r="C839" s="186"/>
      <c r="D839" s="187"/>
      <c r="E839" s="6"/>
      <c r="F839" s="6"/>
      <c r="G839" s="6"/>
      <c r="H839" s="169"/>
      <c r="I839" s="169"/>
      <c r="J839" s="6"/>
      <c r="K839" s="188"/>
      <c r="L839" s="189"/>
      <c r="M839" s="189"/>
      <c r="N839" s="6"/>
      <c r="O839" s="6"/>
      <c r="P839" s="6"/>
      <c r="Q839" s="169"/>
      <c r="R839" s="6"/>
      <c r="S839" s="6"/>
      <c r="T839" s="169"/>
      <c r="U839" s="6"/>
      <c r="V839" s="169"/>
      <c r="W839" s="169"/>
      <c r="X839" s="169"/>
      <c r="Y839" s="169"/>
      <c r="Z839" s="169"/>
      <c r="AA839" s="169"/>
      <c r="AB839" s="169"/>
      <c r="AC839" s="169"/>
      <c r="AD839" s="169"/>
      <c r="AE839" s="169"/>
      <c r="AF839" s="169"/>
      <c r="AG839" s="169"/>
      <c r="AH839" s="169"/>
      <c r="AI839" s="169"/>
      <c r="AJ839" s="169"/>
      <c r="AK839" s="169"/>
      <c r="AL839" s="169"/>
      <c r="AM839" s="169"/>
      <c r="AN839" s="169"/>
      <c r="AO839" s="169"/>
      <c r="AP839" s="169"/>
      <c r="AQ839" s="169"/>
      <c r="AR839" s="169"/>
    </row>
    <row r="840" spans="1:44" ht="12.5">
      <c r="A840" s="169"/>
      <c r="B840" s="186"/>
      <c r="C840" s="186"/>
      <c r="D840" s="187"/>
      <c r="E840" s="6"/>
      <c r="F840" s="6"/>
      <c r="G840" s="6"/>
      <c r="H840" s="169"/>
      <c r="I840" s="169"/>
      <c r="J840" s="6"/>
      <c r="K840" s="188"/>
      <c r="L840" s="189"/>
      <c r="M840" s="189"/>
      <c r="N840" s="6"/>
      <c r="O840" s="6"/>
      <c r="P840" s="6"/>
      <c r="Q840" s="169"/>
      <c r="R840" s="6"/>
      <c r="S840" s="6"/>
      <c r="T840" s="169"/>
      <c r="U840" s="6"/>
      <c r="V840" s="169"/>
      <c r="W840" s="169"/>
      <c r="X840" s="169"/>
      <c r="Y840" s="169"/>
      <c r="Z840" s="169"/>
      <c r="AA840" s="169"/>
      <c r="AB840" s="169"/>
      <c r="AC840" s="169"/>
      <c r="AD840" s="169"/>
      <c r="AE840" s="169"/>
      <c r="AF840" s="169"/>
      <c r="AG840" s="169"/>
      <c r="AH840" s="169"/>
      <c r="AI840" s="169"/>
      <c r="AJ840" s="169"/>
      <c r="AK840" s="169"/>
      <c r="AL840" s="169"/>
      <c r="AM840" s="169"/>
      <c r="AN840" s="169"/>
      <c r="AO840" s="169"/>
      <c r="AP840" s="169"/>
      <c r="AQ840" s="169"/>
      <c r="AR840" s="169"/>
    </row>
    <row r="841" spans="1:44" ht="12.5">
      <c r="A841" s="169"/>
      <c r="B841" s="186"/>
      <c r="C841" s="186"/>
      <c r="D841" s="187"/>
      <c r="E841" s="6"/>
      <c r="F841" s="6"/>
      <c r="G841" s="6"/>
      <c r="H841" s="169"/>
      <c r="I841" s="169"/>
      <c r="J841" s="6"/>
      <c r="K841" s="188"/>
      <c r="L841" s="189"/>
      <c r="M841" s="189"/>
      <c r="N841" s="6"/>
      <c r="O841" s="6"/>
      <c r="P841" s="6"/>
      <c r="Q841" s="169"/>
      <c r="R841" s="6"/>
      <c r="S841" s="6"/>
      <c r="T841" s="169"/>
      <c r="U841" s="6"/>
      <c r="V841" s="169"/>
      <c r="W841" s="169"/>
      <c r="X841" s="169"/>
      <c r="Y841" s="169"/>
      <c r="Z841" s="169"/>
      <c r="AA841" s="169"/>
      <c r="AB841" s="169"/>
      <c r="AC841" s="169"/>
      <c r="AD841" s="169"/>
      <c r="AE841" s="169"/>
      <c r="AF841" s="169"/>
      <c r="AG841" s="169"/>
      <c r="AH841" s="169"/>
      <c r="AI841" s="169"/>
      <c r="AJ841" s="169"/>
      <c r="AK841" s="169"/>
      <c r="AL841" s="169"/>
      <c r="AM841" s="169"/>
      <c r="AN841" s="169"/>
      <c r="AO841" s="169"/>
      <c r="AP841" s="169"/>
      <c r="AQ841" s="169"/>
      <c r="AR841" s="169"/>
    </row>
    <row r="842" spans="1:44" ht="12.5">
      <c r="A842" s="169"/>
      <c r="B842" s="186"/>
      <c r="C842" s="186"/>
      <c r="D842" s="187"/>
      <c r="E842" s="6"/>
      <c r="F842" s="6"/>
      <c r="G842" s="6"/>
      <c r="H842" s="169"/>
      <c r="I842" s="169"/>
      <c r="J842" s="6"/>
      <c r="K842" s="188"/>
      <c r="L842" s="189"/>
      <c r="M842" s="189"/>
      <c r="N842" s="6"/>
      <c r="O842" s="6"/>
      <c r="P842" s="6"/>
      <c r="Q842" s="169"/>
      <c r="R842" s="6"/>
      <c r="S842" s="6"/>
      <c r="T842" s="169"/>
      <c r="U842" s="6"/>
      <c r="V842" s="169"/>
      <c r="W842" s="169"/>
      <c r="X842" s="169"/>
      <c r="Y842" s="169"/>
      <c r="Z842" s="169"/>
      <c r="AA842" s="169"/>
      <c r="AB842" s="169"/>
      <c r="AC842" s="169"/>
      <c r="AD842" s="169"/>
      <c r="AE842" s="169"/>
      <c r="AF842" s="169"/>
      <c r="AG842" s="169"/>
      <c r="AH842" s="169"/>
      <c r="AI842" s="169"/>
      <c r="AJ842" s="169"/>
      <c r="AK842" s="169"/>
      <c r="AL842" s="169"/>
      <c r="AM842" s="169"/>
      <c r="AN842" s="169"/>
      <c r="AO842" s="169"/>
      <c r="AP842" s="169"/>
      <c r="AQ842" s="169"/>
      <c r="AR842" s="169"/>
    </row>
    <row r="843" spans="1:44" ht="12.5">
      <c r="A843" s="169"/>
      <c r="B843" s="186"/>
      <c r="C843" s="186"/>
      <c r="D843" s="187"/>
      <c r="E843" s="6"/>
      <c r="F843" s="6"/>
      <c r="G843" s="6"/>
      <c r="H843" s="169"/>
      <c r="I843" s="169"/>
      <c r="J843" s="6"/>
      <c r="K843" s="188"/>
      <c r="L843" s="189"/>
      <c r="M843" s="189"/>
      <c r="N843" s="6"/>
      <c r="O843" s="6"/>
      <c r="P843" s="6"/>
      <c r="Q843" s="169"/>
      <c r="R843" s="6"/>
      <c r="S843" s="6"/>
      <c r="T843" s="169"/>
      <c r="U843" s="6"/>
      <c r="V843" s="169"/>
      <c r="W843" s="169"/>
      <c r="X843" s="169"/>
      <c r="Y843" s="169"/>
      <c r="Z843" s="169"/>
      <c r="AA843" s="169"/>
      <c r="AB843" s="169"/>
      <c r="AC843" s="169"/>
      <c r="AD843" s="169"/>
      <c r="AE843" s="169"/>
      <c r="AF843" s="169"/>
      <c r="AG843" s="169"/>
      <c r="AH843" s="169"/>
      <c r="AI843" s="169"/>
      <c r="AJ843" s="169"/>
      <c r="AK843" s="169"/>
      <c r="AL843" s="169"/>
      <c r="AM843" s="169"/>
      <c r="AN843" s="169"/>
      <c r="AO843" s="169"/>
      <c r="AP843" s="169"/>
      <c r="AQ843" s="169"/>
      <c r="AR843" s="169"/>
    </row>
    <row r="844" spans="1:44" ht="12.5">
      <c r="A844" s="169"/>
      <c r="B844" s="186"/>
      <c r="C844" s="186"/>
      <c r="D844" s="187"/>
      <c r="E844" s="6"/>
      <c r="F844" s="6"/>
      <c r="G844" s="6"/>
      <c r="H844" s="169"/>
      <c r="I844" s="169"/>
      <c r="J844" s="6"/>
      <c r="K844" s="188"/>
      <c r="L844" s="189"/>
      <c r="M844" s="189"/>
      <c r="N844" s="6"/>
      <c r="O844" s="6"/>
      <c r="P844" s="6"/>
      <c r="Q844" s="169"/>
      <c r="R844" s="6"/>
      <c r="S844" s="6"/>
      <c r="T844" s="169"/>
      <c r="U844" s="6"/>
      <c r="V844" s="169"/>
      <c r="W844" s="169"/>
      <c r="X844" s="169"/>
      <c r="Y844" s="169"/>
      <c r="Z844" s="169"/>
      <c r="AA844" s="169"/>
      <c r="AB844" s="169"/>
      <c r="AC844" s="169"/>
      <c r="AD844" s="169"/>
      <c r="AE844" s="169"/>
      <c r="AF844" s="169"/>
      <c r="AG844" s="169"/>
      <c r="AH844" s="169"/>
      <c r="AI844" s="169"/>
      <c r="AJ844" s="169"/>
      <c r="AK844" s="169"/>
      <c r="AL844" s="169"/>
      <c r="AM844" s="169"/>
      <c r="AN844" s="169"/>
      <c r="AO844" s="169"/>
      <c r="AP844" s="169"/>
      <c r="AQ844" s="169"/>
      <c r="AR844" s="169"/>
    </row>
    <row r="845" spans="1:44" ht="12.5">
      <c r="A845" s="169"/>
      <c r="B845" s="186"/>
      <c r="C845" s="186"/>
      <c r="D845" s="187"/>
      <c r="E845" s="6"/>
      <c r="F845" s="6"/>
      <c r="G845" s="6"/>
      <c r="H845" s="169"/>
      <c r="I845" s="169"/>
      <c r="J845" s="6"/>
      <c r="K845" s="188"/>
      <c r="L845" s="189"/>
      <c r="M845" s="189"/>
      <c r="N845" s="6"/>
      <c r="O845" s="6"/>
      <c r="P845" s="6"/>
      <c r="Q845" s="169"/>
      <c r="R845" s="6"/>
      <c r="S845" s="6"/>
      <c r="T845" s="169"/>
      <c r="U845" s="6"/>
      <c r="V845" s="169"/>
      <c r="W845" s="169"/>
      <c r="X845" s="169"/>
      <c r="Y845" s="169"/>
      <c r="Z845" s="169"/>
      <c r="AA845" s="169"/>
      <c r="AB845" s="169"/>
      <c r="AC845" s="169"/>
      <c r="AD845" s="169"/>
      <c r="AE845" s="169"/>
      <c r="AF845" s="169"/>
      <c r="AG845" s="169"/>
      <c r="AH845" s="169"/>
      <c r="AI845" s="169"/>
      <c r="AJ845" s="169"/>
      <c r="AK845" s="169"/>
      <c r="AL845" s="169"/>
      <c r="AM845" s="169"/>
      <c r="AN845" s="169"/>
      <c r="AO845" s="169"/>
      <c r="AP845" s="169"/>
      <c r="AQ845" s="169"/>
      <c r="AR845" s="169"/>
    </row>
    <row r="846" spans="1:44" ht="12.5">
      <c r="A846" s="169"/>
      <c r="B846" s="186"/>
      <c r="C846" s="186"/>
      <c r="D846" s="187"/>
      <c r="E846" s="6"/>
      <c r="F846" s="6"/>
      <c r="G846" s="6"/>
      <c r="H846" s="169"/>
      <c r="I846" s="169"/>
      <c r="J846" s="6"/>
      <c r="K846" s="188"/>
      <c r="L846" s="189"/>
      <c r="M846" s="189"/>
      <c r="N846" s="6"/>
      <c r="O846" s="6"/>
      <c r="P846" s="6"/>
      <c r="Q846" s="169"/>
      <c r="R846" s="6"/>
      <c r="S846" s="6"/>
      <c r="T846" s="169"/>
      <c r="U846" s="6"/>
      <c r="V846" s="169"/>
      <c r="W846" s="169"/>
      <c r="X846" s="169"/>
      <c r="Y846" s="169"/>
      <c r="Z846" s="169"/>
      <c r="AA846" s="169"/>
      <c r="AB846" s="169"/>
      <c r="AC846" s="169"/>
      <c r="AD846" s="169"/>
      <c r="AE846" s="169"/>
      <c r="AF846" s="169"/>
      <c r="AG846" s="169"/>
      <c r="AH846" s="169"/>
      <c r="AI846" s="169"/>
      <c r="AJ846" s="169"/>
      <c r="AK846" s="169"/>
      <c r="AL846" s="169"/>
      <c r="AM846" s="169"/>
      <c r="AN846" s="169"/>
      <c r="AO846" s="169"/>
      <c r="AP846" s="169"/>
      <c r="AQ846" s="169"/>
      <c r="AR846" s="169"/>
    </row>
    <row r="847" spans="1:44" ht="12.5">
      <c r="A847" s="169"/>
      <c r="B847" s="186"/>
      <c r="C847" s="186"/>
      <c r="D847" s="187"/>
      <c r="E847" s="6"/>
      <c r="F847" s="6"/>
      <c r="G847" s="6"/>
      <c r="H847" s="169"/>
      <c r="I847" s="169"/>
      <c r="J847" s="6"/>
      <c r="K847" s="188"/>
      <c r="L847" s="189"/>
      <c r="M847" s="189"/>
      <c r="N847" s="6"/>
      <c r="O847" s="6"/>
      <c r="P847" s="6"/>
      <c r="Q847" s="169"/>
      <c r="R847" s="6"/>
      <c r="S847" s="6"/>
      <c r="T847" s="169"/>
      <c r="U847" s="6"/>
      <c r="V847" s="169"/>
      <c r="W847" s="169"/>
      <c r="X847" s="169"/>
      <c r="Y847" s="169"/>
      <c r="Z847" s="169"/>
      <c r="AA847" s="169"/>
      <c r="AB847" s="169"/>
      <c r="AC847" s="169"/>
      <c r="AD847" s="169"/>
      <c r="AE847" s="169"/>
      <c r="AF847" s="169"/>
      <c r="AG847" s="169"/>
      <c r="AH847" s="169"/>
      <c r="AI847" s="169"/>
      <c r="AJ847" s="169"/>
      <c r="AK847" s="169"/>
      <c r="AL847" s="169"/>
      <c r="AM847" s="169"/>
      <c r="AN847" s="169"/>
      <c r="AO847" s="169"/>
      <c r="AP847" s="169"/>
      <c r="AQ847" s="169"/>
      <c r="AR847" s="169"/>
    </row>
    <row r="848" spans="1:44" ht="12.5">
      <c r="A848" s="169"/>
      <c r="B848" s="186"/>
      <c r="C848" s="186"/>
      <c r="D848" s="187"/>
      <c r="E848" s="6"/>
      <c r="F848" s="6"/>
      <c r="G848" s="6"/>
      <c r="H848" s="169"/>
      <c r="I848" s="169"/>
      <c r="J848" s="6"/>
      <c r="K848" s="188"/>
      <c r="L848" s="189"/>
      <c r="M848" s="189"/>
      <c r="N848" s="6"/>
      <c r="O848" s="6"/>
      <c r="P848" s="6"/>
      <c r="Q848" s="169"/>
      <c r="R848" s="6"/>
      <c r="S848" s="6"/>
      <c r="T848" s="169"/>
      <c r="U848" s="6"/>
      <c r="V848" s="169"/>
      <c r="W848" s="169"/>
      <c r="X848" s="169"/>
      <c r="Y848" s="169"/>
      <c r="Z848" s="169"/>
      <c r="AA848" s="169"/>
      <c r="AB848" s="169"/>
      <c r="AC848" s="169"/>
      <c r="AD848" s="169"/>
      <c r="AE848" s="169"/>
      <c r="AF848" s="169"/>
      <c r="AG848" s="169"/>
      <c r="AH848" s="169"/>
      <c r="AI848" s="169"/>
      <c r="AJ848" s="169"/>
      <c r="AK848" s="169"/>
      <c r="AL848" s="169"/>
      <c r="AM848" s="169"/>
      <c r="AN848" s="169"/>
      <c r="AO848" s="169"/>
      <c r="AP848" s="169"/>
      <c r="AQ848" s="169"/>
      <c r="AR848" s="169"/>
    </row>
    <row r="849" spans="1:44" ht="12.5">
      <c r="A849" s="169"/>
      <c r="B849" s="186"/>
      <c r="C849" s="186"/>
      <c r="D849" s="187"/>
      <c r="E849" s="6"/>
      <c r="F849" s="6"/>
      <c r="G849" s="6"/>
      <c r="H849" s="169"/>
      <c r="I849" s="169"/>
      <c r="J849" s="6"/>
      <c r="K849" s="188"/>
      <c r="L849" s="189"/>
      <c r="M849" s="189"/>
      <c r="N849" s="6"/>
      <c r="O849" s="6"/>
      <c r="P849" s="6"/>
      <c r="Q849" s="169"/>
      <c r="R849" s="6"/>
      <c r="S849" s="6"/>
      <c r="T849" s="169"/>
      <c r="U849" s="6"/>
      <c r="V849" s="169"/>
      <c r="W849" s="169"/>
      <c r="X849" s="169"/>
      <c r="Y849" s="169"/>
      <c r="Z849" s="169"/>
      <c r="AA849" s="169"/>
      <c r="AB849" s="169"/>
      <c r="AC849" s="169"/>
      <c r="AD849" s="169"/>
      <c r="AE849" s="169"/>
      <c r="AF849" s="169"/>
      <c r="AG849" s="169"/>
      <c r="AH849" s="169"/>
      <c r="AI849" s="169"/>
      <c r="AJ849" s="169"/>
      <c r="AK849" s="169"/>
      <c r="AL849" s="169"/>
      <c r="AM849" s="169"/>
      <c r="AN849" s="169"/>
      <c r="AO849" s="169"/>
      <c r="AP849" s="169"/>
      <c r="AQ849" s="169"/>
      <c r="AR849" s="169"/>
    </row>
    <row r="850" spans="1:44" ht="12.5">
      <c r="A850" s="169"/>
      <c r="B850" s="186"/>
      <c r="C850" s="186"/>
      <c r="D850" s="187"/>
      <c r="E850" s="6"/>
      <c r="F850" s="6"/>
      <c r="G850" s="6"/>
      <c r="H850" s="169"/>
      <c r="I850" s="169"/>
      <c r="J850" s="6"/>
      <c r="K850" s="188"/>
      <c r="L850" s="189"/>
      <c r="M850" s="189"/>
      <c r="N850" s="6"/>
      <c r="O850" s="6"/>
      <c r="P850" s="6"/>
      <c r="Q850" s="169"/>
      <c r="R850" s="6"/>
      <c r="S850" s="6"/>
      <c r="T850" s="169"/>
      <c r="U850" s="6"/>
      <c r="V850" s="169"/>
      <c r="W850" s="169"/>
      <c r="X850" s="169"/>
      <c r="Y850" s="169"/>
      <c r="Z850" s="169"/>
      <c r="AA850" s="169"/>
      <c r="AB850" s="169"/>
      <c r="AC850" s="169"/>
      <c r="AD850" s="169"/>
      <c r="AE850" s="169"/>
      <c r="AF850" s="169"/>
      <c r="AG850" s="169"/>
      <c r="AH850" s="169"/>
      <c r="AI850" s="169"/>
      <c r="AJ850" s="169"/>
      <c r="AK850" s="169"/>
      <c r="AL850" s="169"/>
      <c r="AM850" s="169"/>
      <c r="AN850" s="169"/>
      <c r="AO850" s="169"/>
      <c r="AP850" s="169"/>
      <c r="AQ850" s="169"/>
      <c r="AR850" s="169"/>
    </row>
    <row r="851" spans="1:44" ht="12.5">
      <c r="A851" s="169"/>
      <c r="B851" s="186"/>
      <c r="C851" s="186"/>
      <c r="D851" s="187"/>
      <c r="E851" s="6"/>
      <c r="F851" s="6"/>
      <c r="G851" s="6"/>
      <c r="H851" s="169"/>
      <c r="I851" s="169"/>
      <c r="J851" s="6"/>
      <c r="K851" s="188"/>
      <c r="L851" s="189"/>
      <c r="M851" s="189"/>
      <c r="N851" s="6"/>
      <c r="O851" s="6"/>
      <c r="P851" s="6"/>
      <c r="Q851" s="169"/>
      <c r="R851" s="6"/>
      <c r="S851" s="6"/>
      <c r="T851" s="169"/>
      <c r="U851" s="6"/>
      <c r="V851" s="169"/>
      <c r="W851" s="169"/>
      <c r="X851" s="169"/>
      <c r="Y851" s="169"/>
      <c r="Z851" s="169"/>
      <c r="AA851" s="169"/>
      <c r="AB851" s="169"/>
      <c r="AC851" s="169"/>
      <c r="AD851" s="169"/>
      <c r="AE851" s="169"/>
      <c r="AF851" s="169"/>
      <c r="AG851" s="169"/>
      <c r="AH851" s="169"/>
      <c r="AI851" s="169"/>
      <c r="AJ851" s="169"/>
      <c r="AK851" s="169"/>
      <c r="AL851" s="169"/>
      <c r="AM851" s="169"/>
      <c r="AN851" s="169"/>
      <c r="AO851" s="169"/>
      <c r="AP851" s="169"/>
      <c r="AQ851" s="169"/>
      <c r="AR851" s="169"/>
    </row>
    <row r="852" spans="1:44" ht="12.5">
      <c r="A852" s="169"/>
      <c r="B852" s="186"/>
      <c r="C852" s="186"/>
      <c r="D852" s="187"/>
      <c r="E852" s="6"/>
      <c r="F852" s="6"/>
      <c r="G852" s="6"/>
      <c r="H852" s="169"/>
      <c r="I852" s="169"/>
      <c r="J852" s="6"/>
      <c r="K852" s="188"/>
      <c r="L852" s="189"/>
      <c r="M852" s="189"/>
      <c r="N852" s="6"/>
      <c r="O852" s="6"/>
      <c r="P852" s="6"/>
      <c r="Q852" s="169"/>
      <c r="R852" s="6"/>
      <c r="S852" s="6"/>
      <c r="T852" s="169"/>
      <c r="U852" s="6"/>
      <c r="V852" s="169"/>
      <c r="W852" s="169"/>
      <c r="X852" s="169"/>
      <c r="Y852" s="169"/>
      <c r="Z852" s="169"/>
      <c r="AA852" s="169"/>
      <c r="AB852" s="169"/>
      <c r="AC852" s="169"/>
      <c r="AD852" s="169"/>
      <c r="AE852" s="169"/>
      <c r="AF852" s="169"/>
      <c r="AG852" s="169"/>
      <c r="AH852" s="169"/>
      <c r="AI852" s="169"/>
      <c r="AJ852" s="169"/>
      <c r="AK852" s="169"/>
      <c r="AL852" s="169"/>
      <c r="AM852" s="169"/>
      <c r="AN852" s="169"/>
      <c r="AO852" s="169"/>
      <c r="AP852" s="169"/>
      <c r="AQ852" s="169"/>
      <c r="AR852" s="169"/>
    </row>
    <row r="853" spans="1:44" ht="12.5">
      <c r="A853" s="169"/>
      <c r="B853" s="186"/>
      <c r="C853" s="186"/>
      <c r="D853" s="187"/>
      <c r="E853" s="6"/>
      <c r="F853" s="6"/>
      <c r="G853" s="6"/>
      <c r="H853" s="169"/>
      <c r="I853" s="169"/>
      <c r="J853" s="6"/>
      <c r="K853" s="188"/>
      <c r="L853" s="189"/>
      <c r="M853" s="189"/>
      <c r="N853" s="6"/>
      <c r="O853" s="6"/>
      <c r="P853" s="6"/>
      <c r="Q853" s="169"/>
      <c r="R853" s="6"/>
      <c r="S853" s="6"/>
      <c r="T853" s="169"/>
      <c r="U853" s="6"/>
      <c r="V853" s="169"/>
      <c r="W853" s="169"/>
      <c r="X853" s="169"/>
      <c r="Y853" s="169"/>
      <c r="Z853" s="169"/>
      <c r="AA853" s="169"/>
      <c r="AB853" s="169"/>
      <c r="AC853" s="169"/>
      <c r="AD853" s="169"/>
      <c r="AE853" s="169"/>
      <c r="AF853" s="169"/>
      <c r="AG853" s="169"/>
      <c r="AH853" s="169"/>
      <c r="AI853" s="169"/>
      <c r="AJ853" s="169"/>
      <c r="AK853" s="169"/>
      <c r="AL853" s="169"/>
      <c r="AM853" s="169"/>
      <c r="AN853" s="169"/>
      <c r="AO853" s="169"/>
      <c r="AP853" s="169"/>
      <c r="AQ853" s="169"/>
      <c r="AR853" s="169"/>
    </row>
    <row r="854" spans="1:44" ht="12.5">
      <c r="A854" s="169"/>
      <c r="B854" s="186"/>
      <c r="C854" s="186"/>
      <c r="D854" s="187"/>
      <c r="E854" s="6"/>
      <c r="F854" s="6"/>
      <c r="G854" s="6"/>
      <c r="H854" s="169"/>
      <c r="I854" s="169"/>
      <c r="J854" s="6"/>
      <c r="K854" s="188"/>
      <c r="L854" s="189"/>
      <c r="M854" s="189"/>
      <c r="N854" s="6"/>
      <c r="O854" s="6"/>
      <c r="P854" s="6"/>
      <c r="Q854" s="169"/>
      <c r="R854" s="6"/>
      <c r="S854" s="6"/>
      <c r="T854" s="169"/>
      <c r="U854" s="6"/>
      <c r="V854" s="169"/>
      <c r="W854" s="169"/>
      <c r="X854" s="169"/>
      <c r="Y854" s="169"/>
      <c r="Z854" s="169"/>
      <c r="AA854" s="169"/>
      <c r="AB854" s="169"/>
      <c r="AC854" s="169"/>
      <c r="AD854" s="169"/>
      <c r="AE854" s="169"/>
      <c r="AF854" s="169"/>
      <c r="AG854" s="169"/>
      <c r="AH854" s="169"/>
      <c r="AI854" s="169"/>
      <c r="AJ854" s="169"/>
      <c r="AK854" s="169"/>
      <c r="AL854" s="169"/>
      <c r="AM854" s="169"/>
      <c r="AN854" s="169"/>
      <c r="AO854" s="169"/>
      <c r="AP854" s="169"/>
      <c r="AQ854" s="169"/>
      <c r="AR854" s="169"/>
    </row>
    <row r="855" spans="1:44" ht="12.5">
      <c r="A855" s="169"/>
      <c r="B855" s="186"/>
      <c r="C855" s="186"/>
      <c r="D855" s="187"/>
      <c r="E855" s="6"/>
      <c r="F855" s="6"/>
      <c r="G855" s="6"/>
      <c r="H855" s="169"/>
      <c r="I855" s="169"/>
      <c r="J855" s="6"/>
      <c r="K855" s="188"/>
      <c r="L855" s="189"/>
      <c r="M855" s="189"/>
      <c r="N855" s="6"/>
      <c r="O855" s="6"/>
      <c r="P855" s="6"/>
      <c r="Q855" s="169"/>
      <c r="R855" s="6"/>
      <c r="S855" s="6"/>
      <c r="T855" s="169"/>
      <c r="U855" s="6"/>
      <c r="V855" s="169"/>
      <c r="W855" s="169"/>
      <c r="X855" s="169"/>
      <c r="Y855" s="169"/>
      <c r="Z855" s="169"/>
      <c r="AA855" s="169"/>
      <c r="AB855" s="169"/>
      <c r="AC855" s="169"/>
      <c r="AD855" s="169"/>
      <c r="AE855" s="169"/>
      <c r="AF855" s="169"/>
      <c r="AG855" s="169"/>
      <c r="AH855" s="169"/>
      <c r="AI855" s="169"/>
      <c r="AJ855" s="169"/>
      <c r="AK855" s="169"/>
      <c r="AL855" s="169"/>
      <c r="AM855" s="169"/>
      <c r="AN855" s="169"/>
      <c r="AO855" s="169"/>
      <c r="AP855" s="169"/>
      <c r="AQ855" s="169"/>
      <c r="AR855" s="169"/>
    </row>
    <row r="856" spans="1:44" ht="12.5">
      <c r="A856" s="169"/>
      <c r="B856" s="186"/>
      <c r="C856" s="186"/>
      <c r="D856" s="187"/>
      <c r="E856" s="6"/>
      <c r="F856" s="6"/>
      <c r="G856" s="6"/>
      <c r="H856" s="169"/>
      <c r="I856" s="169"/>
      <c r="J856" s="6"/>
      <c r="K856" s="188"/>
      <c r="L856" s="189"/>
      <c r="M856" s="189"/>
      <c r="N856" s="6"/>
      <c r="O856" s="6"/>
      <c r="P856" s="6"/>
      <c r="Q856" s="169"/>
      <c r="R856" s="6"/>
      <c r="S856" s="6"/>
      <c r="T856" s="169"/>
      <c r="U856" s="6"/>
      <c r="V856" s="169"/>
      <c r="W856" s="169"/>
      <c r="X856" s="169"/>
      <c r="Y856" s="169"/>
      <c r="Z856" s="169"/>
      <c r="AA856" s="169"/>
      <c r="AB856" s="169"/>
      <c r="AC856" s="169"/>
      <c r="AD856" s="169"/>
      <c r="AE856" s="169"/>
      <c r="AF856" s="169"/>
      <c r="AG856" s="169"/>
      <c r="AH856" s="169"/>
      <c r="AI856" s="169"/>
      <c r="AJ856" s="169"/>
      <c r="AK856" s="169"/>
      <c r="AL856" s="169"/>
      <c r="AM856" s="169"/>
      <c r="AN856" s="169"/>
      <c r="AO856" s="169"/>
      <c r="AP856" s="169"/>
      <c r="AQ856" s="169"/>
      <c r="AR856" s="169"/>
    </row>
    <row r="857" spans="1:44" ht="12.5">
      <c r="A857" s="169"/>
      <c r="B857" s="186"/>
      <c r="C857" s="186"/>
      <c r="D857" s="187"/>
      <c r="E857" s="6"/>
      <c r="F857" s="6"/>
      <c r="G857" s="6"/>
      <c r="H857" s="169"/>
      <c r="I857" s="169"/>
      <c r="J857" s="6"/>
      <c r="K857" s="188"/>
      <c r="L857" s="189"/>
      <c r="M857" s="189"/>
      <c r="N857" s="6"/>
      <c r="O857" s="6"/>
      <c r="P857" s="6"/>
      <c r="Q857" s="169"/>
      <c r="R857" s="6"/>
      <c r="S857" s="6"/>
      <c r="T857" s="169"/>
      <c r="U857" s="6"/>
      <c r="V857" s="169"/>
      <c r="W857" s="169"/>
      <c r="X857" s="169"/>
      <c r="Y857" s="169"/>
      <c r="Z857" s="169"/>
      <c r="AA857" s="169"/>
      <c r="AB857" s="169"/>
      <c r="AC857" s="169"/>
      <c r="AD857" s="169"/>
      <c r="AE857" s="169"/>
      <c r="AF857" s="169"/>
      <c r="AG857" s="169"/>
      <c r="AH857" s="169"/>
      <c r="AI857" s="169"/>
      <c r="AJ857" s="169"/>
      <c r="AK857" s="169"/>
      <c r="AL857" s="169"/>
      <c r="AM857" s="169"/>
      <c r="AN857" s="169"/>
      <c r="AO857" s="169"/>
      <c r="AP857" s="169"/>
      <c r="AQ857" s="169"/>
      <c r="AR857" s="169"/>
    </row>
    <row r="858" spans="1:44" ht="12.5">
      <c r="A858" s="169"/>
      <c r="B858" s="186"/>
      <c r="C858" s="186"/>
      <c r="D858" s="187"/>
      <c r="E858" s="6"/>
      <c r="F858" s="6"/>
      <c r="G858" s="6"/>
      <c r="H858" s="169"/>
      <c r="I858" s="169"/>
      <c r="J858" s="6"/>
      <c r="K858" s="188"/>
      <c r="L858" s="189"/>
      <c r="M858" s="189"/>
      <c r="N858" s="6"/>
      <c r="O858" s="6"/>
      <c r="P858" s="6"/>
      <c r="Q858" s="169"/>
      <c r="R858" s="6"/>
      <c r="S858" s="6"/>
      <c r="T858" s="169"/>
      <c r="U858" s="6"/>
      <c r="V858" s="169"/>
      <c r="W858" s="169"/>
      <c r="X858" s="169"/>
      <c r="Y858" s="169"/>
      <c r="Z858" s="169"/>
      <c r="AA858" s="169"/>
      <c r="AB858" s="169"/>
      <c r="AC858" s="169"/>
      <c r="AD858" s="169"/>
      <c r="AE858" s="169"/>
      <c r="AF858" s="169"/>
      <c r="AG858" s="169"/>
      <c r="AH858" s="169"/>
      <c r="AI858" s="169"/>
      <c r="AJ858" s="169"/>
      <c r="AK858" s="169"/>
      <c r="AL858" s="169"/>
      <c r="AM858" s="169"/>
      <c r="AN858" s="169"/>
      <c r="AO858" s="169"/>
      <c r="AP858" s="169"/>
      <c r="AQ858" s="169"/>
      <c r="AR858" s="169"/>
    </row>
    <row r="859" spans="1:44" ht="12.5">
      <c r="A859" s="169"/>
      <c r="B859" s="186"/>
      <c r="C859" s="186"/>
      <c r="D859" s="187"/>
      <c r="E859" s="6"/>
      <c r="F859" s="6"/>
      <c r="G859" s="6"/>
      <c r="H859" s="169"/>
      <c r="I859" s="169"/>
      <c r="J859" s="6"/>
      <c r="K859" s="188"/>
      <c r="L859" s="189"/>
      <c r="M859" s="189"/>
      <c r="N859" s="6"/>
      <c r="O859" s="6"/>
      <c r="P859" s="6"/>
      <c r="Q859" s="169"/>
      <c r="R859" s="6"/>
      <c r="S859" s="6"/>
      <c r="T859" s="169"/>
      <c r="U859" s="6"/>
      <c r="V859" s="169"/>
      <c r="W859" s="169"/>
      <c r="X859" s="169"/>
      <c r="Y859" s="169"/>
      <c r="Z859" s="169"/>
      <c r="AA859" s="169"/>
      <c r="AB859" s="169"/>
      <c r="AC859" s="169"/>
      <c r="AD859" s="169"/>
      <c r="AE859" s="169"/>
      <c r="AF859" s="169"/>
      <c r="AG859" s="169"/>
      <c r="AH859" s="169"/>
      <c r="AI859" s="169"/>
      <c r="AJ859" s="169"/>
      <c r="AK859" s="169"/>
      <c r="AL859" s="169"/>
      <c r="AM859" s="169"/>
      <c r="AN859" s="169"/>
      <c r="AO859" s="169"/>
      <c r="AP859" s="169"/>
      <c r="AQ859" s="169"/>
      <c r="AR859" s="169"/>
    </row>
    <row r="860" spans="1:44" ht="12.5">
      <c r="A860" s="169"/>
      <c r="B860" s="186"/>
      <c r="C860" s="186"/>
      <c r="D860" s="187"/>
      <c r="E860" s="6"/>
      <c r="F860" s="6"/>
      <c r="G860" s="6"/>
      <c r="H860" s="169"/>
      <c r="I860" s="169"/>
      <c r="J860" s="6"/>
      <c r="K860" s="188"/>
      <c r="L860" s="189"/>
      <c r="M860" s="189"/>
      <c r="N860" s="6"/>
      <c r="O860" s="6"/>
      <c r="P860" s="6"/>
      <c r="Q860" s="169"/>
      <c r="R860" s="6"/>
      <c r="S860" s="6"/>
      <c r="T860" s="169"/>
      <c r="U860" s="6"/>
      <c r="V860" s="169"/>
      <c r="W860" s="169"/>
      <c r="X860" s="169"/>
      <c r="Y860" s="169"/>
      <c r="Z860" s="169"/>
      <c r="AA860" s="169"/>
      <c r="AB860" s="169"/>
      <c r="AC860" s="169"/>
      <c r="AD860" s="169"/>
      <c r="AE860" s="169"/>
      <c r="AF860" s="169"/>
      <c r="AG860" s="169"/>
      <c r="AH860" s="169"/>
      <c r="AI860" s="169"/>
      <c r="AJ860" s="169"/>
      <c r="AK860" s="169"/>
      <c r="AL860" s="169"/>
      <c r="AM860" s="169"/>
      <c r="AN860" s="169"/>
      <c r="AO860" s="169"/>
      <c r="AP860" s="169"/>
      <c r="AQ860" s="169"/>
      <c r="AR860" s="169"/>
    </row>
    <row r="861" spans="1:44" ht="12.5">
      <c r="A861" s="169"/>
      <c r="B861" s="186"/>
      <c r="C861" s="186"/>
      <c r="D861" s="187"/>
      <c r="E861" s="6"/>
      <c r="F861" s="6"/>
      <c r="G861" s="6"/>
      <c r="H861" s="169"/>
      <c r="I861" s="169"/>
      <c r="J861" s="6"/>
      <c r="K861" s="188"/>
      <c r="L861" s="189"/>
      <c r="M861" s="189"/>
      <c r="N861" s="6"/>
      <c r="O861" s="6"/>
      <c r="P861" s="6"/>
      <c r="Q861" s="169"/>
      <c r="R861" s="6"/>
      <c r="S861" s="6"/>
      <c r="T861" s="169"/>
      <c r="U861" s="6"/>
      <c r="V861" s="169"/>
      <c r="W861" s="169"/>
      <c r="X861" s="169"/>
      <c r="Y861" s="169"/>
      <c r="Z861" s="169"/>
      <c r="AA861" s="169"/>
      <c r="AB861" s="169"/>
      <c r="AC861" s="169"/>
      <c r="AD861" s="169"/>
      <c r="AE861" s="169"/>
      <c r="AF861" s="169"/>
      <c r="AG861" s="169"/>
      <c r="AH861" s="169"/>
      <c r="AI861" s="169"/>
      <c r="AJ861" s="169"/>
      <c r="AK861" s="169"/>
      <c r="AL861" s="169"/>
      <c r="AM861" s="169"/>
      <c r="AN861" s="169"/>
      <c r="AO861" s="169"/>
      <c r="AP861" s="169"/>
      <c r="AQ861" s="169"/>
      <c r="AR861" s="169"/>
    </row>
    <row r="862" spans="1:44" ht="12.5">
      <c r="A862" s="169"/>
      <c r="B862" s="186"/>
      <c r="C862" s="186"/>
      <c r="D862" s="187"/>
      <c r="E862" s="6"/>
      <c r="F862" s="6"/>
      <c r="G862" s="6"/>
      <c r="H862" s="169"/>
      <c r="I862" s="169"/>
      <c r="J862" s="6"/>
      <c r="K862" s="188"/>
      <c r="L862" s="189"/>
      <c r="M862" s="189"/>
      <c r="N862" s="6"/>
      <c r="O862" s="6"/>
      <c r="P862" s="6"/>
      <c r="Q862" s="169"/>
      <c r="R862" s="6"/>
      <c r="S862" s="6"/>
      <c r="T862" s="169"/>
      <c r="U862" s="6"/>
      <c r="V862" s="169"/>
      <c r="W862" s="169"/>
      <c r="X862" s="169"/>
      <c r="Y862" s="169"/>
      <c r="Z862" s="169"/>
      <c r="AA862" s="169"/>
      <c r="AB862" s="169"/>
      <c r="AC862" s="169"/>
      <c r="AD862" s="169"/>
      <c r="AE862" s="169"/>
      <c r="AF862" s="169"/>
      <c r="AG862" s="169"/>
      <c r="AH862" s="169"/>
      <c r="AI862" s="169"/>
      <c r="AJ862" s="169"/>
      <c r="AK862" s="169"/>
      <c r="AL862" s="169"/>
      <c r="AM862" s="169"/>
      <c r="AN862" s="169"/>
      <c r="AO862" s="169"/>
      <c r="AP862" s="169"/>
      <c r="AQ862" s="169"/>
      <c r="AR862" s="169"/>
    </row>
    <row r="863" spans="1:44" ht="12.5">
      <c r="A863" s="169"/>
      <c r="B863" s="186"/>
      <c r="C863" s="186"/>
      <c r="D863" s="187"/>
      <c r="E863" s="6"/>
      <c r="F863" s="6"/>
      <c r="G863" s="6"/>
      <c r="H863" s="169"/>
      <c r="I863" s="169"/>
      <c r="J863" s="6"/>
      <c r="K863" s="188"/>
      <c r="L863" s="189"/>
      <c r="M863" s="189"/>
      <c r="N863" s="6"/>
      <c r="O863" s="6"/>
      <c r="P863" s="6"/>
      <c r="Q863" s="169"/>
      <c r="R863" s="6"/>
      <c r="S863" s="6"/>
      <c r="T863" s="169"/>
      <c r="U863" s="6"/>
      <c r="V863" s="169"/>
      <c r="W863" s="169"/>
      <c r="X863" s="169"/>
      <c r="Y863" s="169"/>
      <c r="Z863" s="169"/>
      <c r="AA863" s="169"/>
      <c r="AB863" s="169"/>
      <c r="AC863" s="169"/>
      <c r="AD863" s="169"/>
      <c r="AE863" s="169"/>
      <c r="AF863" s="169"/>
      <c r="AG863" s="169"/>
      <c r="AH863" s="169"/>
      <c r="AI863" s="169"/>
      <c r="AJ863" s="169"/>
      <c r="AK863" s="169"/>
      <c r="AL863" s="169"/>
      <c r="AM863" s="169"/>
      <c r="AN863" s="169"/>
      <c r="AO863" s="169"/>
      <c r="AP863" s="169"/>
      <c r="AQ863" s="169"/>
      <c r="AR863" s="169"/>
    </row>
    <row r="864" spans="1:44" ht="12.5">
      <c r="A864" s="169"/>
      <c r="B864" s="186"/>
      <c r="C864" s="186"/>
      <c r="D864" s="187"/>
      <c r="E864" s="6"/>
      <c r="F864" s="6"/>
      <c r="G864" s="6"/>
      <c r="H864" s="169"/>
      <c r="I864" s="169"/>
      <c r="J864" s="6"/>
      <c r="K864" s="188"/>
      <c r="L864" s="189"/>
      <c r="M864" s="189"/>
      <c r="N864" s="6"/>
      <c r="O864" s="6"/>
      <c r="P864" s="6"/>
      <c r="Q864" s="169"/>
      <c r="R864" s="6"/>
      <c r="S864" s="6"/>
      <c r="T864" s="169"/>
      <c r="U864" s="6"/>
      <c r="V864" s="169"/>
      <c r="W864" s="169"/>
      <c r="X864" s="169"/>
      <c r="Y864" s="169"/>
      <c r="Z864" s="169"/>
      <c r="AA864" s="169"/>
      <c r="AB864" s="169"/>
      <c r="AC864" s="169"/>
      <c r="AD864" s="169"/>
      <c r="AE864" s="169"/>
      <c r="AF864" s="169"/>
      <c r="AG864" s="169"/>
      <c r="AH864" s="169"/>
      <c r="AI864" s="169"/>
      <c r="AJ864" s="169"/>
      <c r="AK864" s="169"/>
      <c r="AL864" s="169"/>
      <c r="AM864" s="169"/>
      <c r="AN864" s="169"/>
      <c r="AO864" s="169"/>
      <c r="AP864" s="169"/>
      <c r="AQ864" s="169"/>
      <c r="AR864" s="169"/>
    </row>
    <row r="865" spans="1:44" ht="12.5">
      <c r="A865" s="169"/>
      <c r="B865" s="186"/>
      <c r="C865" s="186"/>
      <c r="D865" s="187"/>
      <c r="E865" s="6"/>
      <c r="F865" s="6"/>
      <c r="G865" s="6"/>
      <c r="H865" s="169"/>
      <c r="I865" s="169"/>
      <c r="J865" s="6"/>
      <c r="K865" s="188"/>
      <c r="L865" s="189"/>
      <c r="M865" s="189"/>
      <c r="N865" s="6"/>
      <c r="O865" s="6"/>
      <c r="P865" s="6"/>
      <c r="Q865" s="169"/>
      <c r="R865" s="6"/>
      <c r="S865" s="6"/>
      <c r="T865" s="169"/>
      <c r="U865" s="6"/>
      <c r="V865" s="169"/>
      <c r="W865" s="169"/>
      <c r="X865" s="169"/>
      <c r="Y865" s="169"/>
      <c r="Z865" s="169"/>
      <c r="AA865" s="169"/>
      <c r="AB865" s="169"/>
      <c r="AC865" s="169"/>
      <c r="AD865" s="169"/>
      <c r="AE865" s="169"/>
      <c r="AF865" s="169"/>
      <c r="AG865" s="169"/>
      <c r="AH865" s="169"/>
      <c r="AI865" s="169"/>
      <c r="AJ865" s="169"/>
      <c r="AK865" s="169"/>
      <c r="AL865" s="169"/>
      <c r="AM865" s="169"/>
      <c r="AN865" s="169"/>
      <c r="AO865" s="169"/>
      <c r="AP865" s="169"/>
      <c r="AQ865" s="169"/>
      <c r="AR865" s="169"/>
    </row>
    <row r="866" spans="1:44" ht="12.5">
      <c r="A866" s="169"/>
      <c r="B866" s="186"/>
      <c r="C866" s="186"/>
      <c r="D866" s="187"/>
      <c r="E866" s="6"/>
      <c r="F866" s="6"/>
      <c r="G866" s="6"/>
      <c r="H866" s="169"/>
      <c r="I866" s="169"/>
      <c r="J866" s="6"/>
      <c r="K866" s="188"/>
      <c r="L866" s="189"/>
      <c r="M866" s="189"/>
      <c r="N866" s="6"/>
      <c r="O866" s="6"/>
      <c r="P866" s="6"/>
      <c r="Q866" s="169"/>
      <c r="R866" s="6"/>
      <c r="S866" s="6"/>
      <c r="T866" s="169"/>
      <c r="U866" s="6"/>
      <c r="V866" s="169"/>
      <c r="W866" s="169"/>
      <c r="X866" s="169"/>
      <c r="Y866" s="169"/>
      <c r="Z866" s="169"/>
      <c r="AA866" s="169"/>
      <c r="AB866" s="169"/>
      <c r="AC866" s="169"/>
      <c r="AD866" s="169"/>
      <c r="AE866" s="169"/>
      <c r="AF866" s="169"/>
      <c r="AG866" s="169"/>
      <c r="AH866" s="169"/>
      <c r="AI866" s="169"/>
      <c r="AJ866" s="169"/>
      <c r="AK866" s="169"/>
      <c r="AL866" s="169"/>
      <c r="AM866" s="169"/>
      <c r="AN866" s="169"/>
      <c r="AO866" s="169"/>
      <c r="AP866" s="169"/>
      <c r="AQ866" s="169"/>
      <c r="AR866" s="169"/>
    </row>
    <row r="867" spans="1:44" ht="12.5">
      <c r="A867" s="169"/>
      <c r="B867" s="186"/>
      <c r="C867" s="186"/>
      <c r="D867" s="187"/>
      <c r="E867" s="6"/>
      <c r="F867" s="6"/>
      <c r="G867" s="6"/>
      <c r="H867" s="169"/>
      <c r="I867" s="169"/>
      <c r="J867" s="6"/>
      <c r="K867" s="188"/>
      <c r="L867" s="189"/>
      <c r="M867" s="189"/>
      <c r="N867" s="6"/>
      <c r="O867" s="6"/>
      <c r="P867" s="6"/>
      <c r="Q867" s="169"/>
      <c r="R867" s="6"/>
      <c r="S867" s="6"/>
      <c r="T867" s="169"/>
      <c r="U867" s="6"/>
      <c r="V867" s="169"/>
      <c r="W867" s="169"/>
      <c r="X867" s="169"/>
      <c r="Y867" s="169"/>
      <c r="Z867" s="169"/>
      <c r="AA867" s="169"/>
      <c r="AB867" s="169"/>
      <c r="AC867" s="169"/>
      <c r="AD867" s="169"/>
      <c r="AE867" s="169"/>
      <c r="AF867" s="169"/>
      <c r="AG867" s="169"/>
      <c r="AH867" s="169"/>
      <c r="AI867" s="169"/>
      <c r="AJ867" s="169"/>
      <c r="AK867" s="169"/>
      <c r="AL867" s="169"/>
      <c r="AM867" s="169"/>
      <c r="AN867" s="169"/>
      <c r="AO867" s="169"/>
      <c r="AP867" s="169"/>
      <c r="AQ867" s="169"/>
      <c r="AR867" s="169"/>
    </row>
    <row r="868" spans="1:44" ht="12.5">
      <c r="A868" s="169"/>
      <c r="B868" s="186"/>
      <c r="C868" s="186"/>
      <c r="D868" s="187"/>
      <c r="E868" s="6"/>
      <c r="F868" s="6"/>
      <c r="G868" s="6"/>
      <c r="H868" s="169"/>
      <c r="I868" s="169"/>
      <c r="J868" s="6"/>
      <c r="K868" s="188"/>
      <c r="L868" s="189"/>
      <c r="M868" s="189"/>
      <c r="N868" s="6"/>
      <c r="O868" s="6"/>
      <c r="P868" s="6"/>
      <c r="Q868" s="169"/>
      <c r="R868" s="6"/>
      <c r="S868" s="6"/>
      <c r="T868" s="169"/>
      <c r="U868" s="6"/>
      <c r="V868" s="169"/>
      <c r="W868" s="169"/>
      <c r="X868" s="169"/>
      <c r="Y868" s="169"/>
      <c r="Z868" s="169"/>
      <c r="AA868" s="169"/>
      <c r="AB868" s="169"/>
      <c r="AC868" s="169"/>
      <c r="AD868" s="169"/>
      <c r="AE868" s="169"/>
      <c r="AF868" s="169"/>
      <c r="AG868" s="169"/>
      <c r="AH868" s="169"/>
      <c r="AI868" s="169"/>
      <c r="AJ868" s="169"/>
      <c r="AK868" s="169"/>
      <c r="AL868" s="169"/>
      <c r="AM868" s="169"/>
      <c r="AN868" s="169"/>
      <c r="AO868" s="169"/>
      <c r="AP868" s="169"/>
      <c r="AQ868" s="169"/>
      <c r="AR868" s="169"/>
    </row>
    <row r="869" spans="1:44" ht="12.5">
      <c r="A869" s="169"/>
      <c r="B869" s="186"/>
      <c r="C869" s="186"/>
      <c r="D869" s="187"/>
      <c r="E869" s="6"/>
      <c r="F869" s="6"/>
      <c r="G869" s="6"/>
      <c r="H869" s="169"/>
      <c r="I869" s="169"/>
      <c r="J869" s="6"/>
      <c r="K869" s="188"/>
      <c r="L869" s="189"/>
      <c r="M869" s="189"/>
      <c r="N869" s="6"/>
      <c r="O869" s="6"/>
      <c r="P869" s="6"/>
      <c r="Q869" s="169"/>
      <c r="R869" s="6"/>
      <c r="S869" s="6"/>
      <c r="T869" s="169"/>
      <c r="U869" s="6"/>
      <c r="V869" s="169"/>
      <c r="W869" s="169"/>
      <c r="X869" s="169"/>
      <c r="Y869" s="169"/>
      <c r="Z869" s="169"/>
      <c r="AA869" s="169"/>
      <c r="AB869" s="169"/>
      <c r="AC869" s="169"/>
      <c r="AD869" s="169"/>
      <c r="AE869" s="169"/>
      <c r="AF869" s="169"/>
      <c r="AG869" s="169"/>
      <c r="AH869" s="169"/>
      <c r="AI869" s="169"/>
      <c r="AJ869" s="169"/>
      <c r="AK869" s="169"/>
      <c r="AL869" s="169"/>
      <c r="AM869" s="169"/>
      <c r="AN869" s="169"/>
      <c r="AO869" s="169"/>
      <c r="AP869" s="169"/>
      <c r="AQ869" s="169"/>
      <c r="AR869" s="169"/>
    </row>
    <row r="870" spans="1:44" ht="12.5">
      <c r="A870" s="169"/>
      <c r="B870" s="186"/>
      <c r="C870" s="186"/>
      <c r="D870" s="187"/>
      <c r="E870" s="6"/>
      <c r="F870" s="6"/>
      <c r="G870" s="6"/>
      <c r="H870" s="169"/>
      <c r="I870" s="169"/>
      <c r="J870" s="6"/>
      <c r="K870" s="188"/>
      <c r="L870" s="189"/>
      <c r="M870" s="189"/>
      <c r="N870" s="6"/>
      <c r="O870" s="6"/>
      <c r="P870" s="6"/>
      <c r="Q870" s="169"/>
      <c r="R870" s="6"/>
      <c r="S870" s="6"/>
      <c r="T870" s="169"/>
      <c r="U870" s="6"/>
      <c r="V870" s="169"/>
      <c r="W870" s="169"/>
      <c r="X870" s="169"/>
      <c r="Y870" s="169"/>
      <c r="Z870" s="169"/>
      <c r="AA870" s="169"/>
      <c r="AB870" s="169"/>
      <c r="AC870" s="169"/>
      <c r="AD870" s="169"/>
      <c r="AE870" s="169"/>
      <c r="AF870" s="169"/>
      <c r="AG870" s="169"/>
      <c r="AH870" s="169"/>
      <c r="AI870" s="169"/>
      <c r="AJ870" s="169"/>
      <c r="AK870" s="169"/>
      <c r="AL870" s="169"/>
      <c r="AM870" s="169"/>
      <c r="AN870" s="169"/>
      <c r="AO870" s="169"/>
      <c r="AP870" s="169"/>
      <c r="AQ870" s="169"/>
      <c r="AR870" s="169"/>
    </row>
    <row r="871" spans="1:44" ht="12.5">
      <c r="A871" s="169"/>
      <c r="B871" s="186"/>
      <c r="C871" s="186"/>
      <c r="D871" s="187"/>
      <c r="E871" s="6"/>
      <c r="F871" s="6"/>
      <c r="G871" s="6"/>
      <c r="H871" s="169"/>
      <c r="I871" s="169"/>
      <c r="J871" s="6"/>
      <c r="K871" s="188"/>
      <c r="L871" s="189"/>
      <c r="M871" s="189"/>
      <c r="N871" s="6"/>
      <c r="O871" s="6"/>
      <c r="P871" s="6"/>
      <c r="Q871" s="169"/>
      <c r="R871" s="6"/>
      <c r="S871" s="6"/>
      <c r="T871" s="169"/>
      <c r="U871" s="6"/>
      <c r="V871" s="169"/>
      <c r="W871" s="169"/>
      <c r="X871" s="169"/>
      <c r="Y871" s="169"/>
      <c r="Z871" s="169"/>
      <c r="AA871" s="169"/>
      <c r="AB871" s="169"/>
      <c r="AC871" s="169"/>
      <c r="AD871" s="169"/>
      <c r="AE871" s="169"/>
      <c r="AF871" s="169"/>
      <c r="AG871" s="169"/>
      <c r="AH871" s="169"/>
      <c r="AI871" s="169"/>
      <c r="AJ871" s="169"/>
      <c r="AK871" s="169"/>
      <c r="AL871" s="169"/>
      <c r="AM871" s="169"/>
      <c r="AN871" s="169"/>
      <c r="AO871" s="169"/>
      <c r="AP871" s="169"/>
      <c r="AQ871" s="169"/>
      <c r="AR871" s="169"/>
    </row>
    <row r="872" spans="1:44" ht="12.5">
      <c r="A872" s="169"/>
      <c r="B872" s="186"/>
      <c r="C872" s="186"/>
      <c r="D872" s="187"/>
      <c r="E872" s="6"/>
      <c r="F872" s="6"/>
      <c r="G872" s="6"/>
      <c r="H872" s="169"/>
      <c r="I872" s="169"/>
      <c r="J872" s="6"/>
      <c r="K872" s="188"/>
      <c r="L872" s="189"/>
      <c r="M872" s="189"/>
      <c r="N872" s="6"/>
      <c r="O872" s="6"/>
      <c r="P872" s="6"/>
      <c r="Q872" s="169"/>
      <c r="R872" s="6"/>
      <c r="S872" s="6"/>
      <c r="T872" s="169"/>
      <c r="U872" s="6"/>
      <c r="V872" s="169"/>
      <c r="W872" s="169"/>
      <c r="X872" s="169"/>
      <c r="Y872" s="169"/>
      <c r="Z872" s="169"/>
      <c r="AA872" s="169"/>
      <c r="AB872" s="169"/>
      <c r="AC872" s="169"/>
      <c r="AD872" s="169"/>
      <c r="AE872" s="169"/>
      <c r="AF872" s="169"/>
      <c r="AG872" s="169"/>
      <c r="AH872" s="169"/>
      <c r="AI872" s="169"/>
      <c r="AJ872" s="169"/>
      <c r="AK872" s="169"/>
      <c r="AL872" s="169"/>
      <c r="AM872" s="169"/>
      <c r="AN872" s="169"/>
      <c r="AO872" s="169"/>
      <c r="AP872" s="169"/>
      <c r="AQ872" s="169"/>
      <c r="AR872" s="169"/>
    </row>
    <row r="873" spans="1:44" ht="12.5">
      <c r="A873" s="169"/>
      <c r="B873" s="186"/>
      <c r="C873" s="186"/>
      <c r="D873" s="187"/>
      <c r="E873" s="6"/>
      <c r="F873" s="6"/>
      <c r="G873" s="6"/>
      <c r="H873" s="169"/>
      <c r="I873" s="169"/>
      <c r="J873" s="6"/>
      <c r="K873" s="188"/>
      <c r="L873" s="189"/>
      <c r="M873" s="189"/>
      <c r="N873" s="6"/>
      <c r="O873" s="6"/>
      <c r="P873" s="6"/>
      <c r="Q873" s="169"/>
      <c r="R873" s="6"/>
      <c r="S873" s="6"/>
      <c r="T873" s="169"/>
      <c r="U873" s="6"/>
      <c r="V873" s="169"/>
      <c r="W873" s="169"/>
      <c r="X873" s="169"/>
      <c r="Y873" s="169"/>
      <c r="Z873" s="169"/>
      <c r="AA873" s="169"/>
      <c r="AB873" s="169"/>
      <c r="AC873" s="169"/>
      <c r="AD873" s="169"/>
      <c r="AE873" s="169"/>
      <c r="AF873" s="169"/>
      <c r="AG873" s="169"/>
      <c r="AH873" s="169"/>
      <c r="AI873" s="169"/>
      <c r="AJ873" s="169"/>
      <c r="AK873" s="169"/>
      <c r="AL873" s="169"/>
      <c r="AM873" s="169"/>
      <c r="AN873" s="169"/>
      <c r="AO873" s="169"/>
      <c r="AP873" s="169"/>
      <c r="AQ873" s="169"/>
      <c r="AR873" s="169"/>
    </row>
    <row r="874" spans="1:44" ht="12.5">
      <c r="A874" s="169"/>
      <c r="B874" s="186"/>
      <c r="C874" s="186"/>
      <c r="D874" s="187"/>
      <c r="E874" s="6"/>
      <c r="F874" s="6"/>
      <c r="G874" s="6"/>
      <c r="H874" s="169"/>
      <c r="I874" s="169"/>
      <c r="J874" s="6"/>
      <c r="K874" s="188"/>
      <c r="L874" s="189"/>
      <c r="M874" s="189"/>
      <c r="N874" s="6"/>
      <c r="O874" s="6"/>
      <c r="P874" s="6"/>
      <c r="Q874" s="169"/>
      <c r="R874" s="6"/>
      <c r="S874" s="6"/>
      <c r="T874" s="169"/>
      <c r="U874" s="6"/>
      <c r="V874" s="169"/>
      <c r="W874" s="169"/>
      <c r="X874" s="169"/>
      <c r="Y874" s="169"/>
      <c r="Z874" s="169"/>
      <c r="AA874" s="169"/>
      <c r="AB874" s="169"/>
      <c r="AC874" s="169"/>
      <c r="AD874" s="169"/>
      <c r="AE874" s="169"/>
      <c r="AF874" s="169"/>
      <c r="AG874" s="169"/>
      <c r="AH874" s="169"/>
      <c r="AI874" s="169"/>
      <c r="AJ874" s="169"/>
      <c r="AK874" s="169"/>
      <c r="AL874" s="169"/>
      <c r="AM874" s="169"/>
      <c r="AN874" s="169"/>
      <c r="AO874" s="169"/>
      <c r="AP874" s="169"/>
      <c r="AQ874" s="169"/>
      <c r="AR874" s="169"/>
    </row>
    <row r="875" spans="1:44" ht="12.5">
      <c r="A875" s="169"/>
      <c r="B875" s="186"/>
      <c r="C875" s="186"/>
      <c r="D875" s="187"/>
      <c r="E875" s="6"/>
      <c r="F875" s="6"/>
      <c r="G875" s="6"/>
      <c r="H875" s="169"/>
      <c r="I875" s="169"/>
      <c r="J875" s="6"/>
      <c r="K875" s="188"/>
      <c r="L875" s="189"/>
      <c r="M875" s="189"/>
      <c r="N875" s="6"/>
      <c r="O875" s="6"/>
      <c r="P875" s="6"/>
      <c r="Q875" s="169"/>
      <c r="R875" s="6"/>
      <c r="S875" s="6"/>
      <c r="T875" s="169"/>
      <c r="U875" s="6"/>
      <c r="V875" s="169"/>
      <c r="W875" s="169"/>
      <c r="X875" s="169"/>
      <c r="Y875" s="169"/>
      <c r="Z875" s="169"/>
      <c r="AA875" s="169"/>
      <c r="AB875" s="169"/>
      <c r="AC875" s="169"/>
      <c r="AD875" s="169"/>
      <c r="AE875" s="169"/>
      <c r="AF875" s="169"/>
      <c r="AG875" s="169"/>
      <c r="AH875" s="169"/>
      <c r="AI875" s="169"/>
      <c r="AJ875" s="169"/>
      <c r="AK875" s="169"/>
      <c r="AL875" s="169"/>
      <c r="AM875" s="169"/>
      <c r="AN875" s="169"/>
      <c r="AO875" s="169"/>
      <c r="AP875" s="169"/>
      <c r="AQ875" s="169"/>
      <c r="AR875" s="169"/>
    </row>
    <row r="876" spans="1:44" ht="12.5">
      <c r="A876" s="169"/>
      <c r="B876" s="186"/>
      <c r="C876" s="186"/>
      <c r="D876" s="187"/>
      <c r="E876" s="6"/>
      <c r="F876" s="6"/>
      <c r="G876" s="6"/>
      <c r="H876" s="169"/>
      <c r="I876" s="169"/>
      <c r="J876" s="6"/>
      <c r="K876" s="188"/>
      <c r="L876" s="189"/>
      <c r="M876" s="189"/>
      <c r="N876" s="6"/>
      <c r="O876" s="6"/>
      <c r="P876" s="6"/>
      <c r="Q876" s="169"/>
      <c r="R876" s="6"/>
      <c r="S876" s="6"/>
      <c r="T876" s="169"/>
      <c r="U876" s="6"/>
      <c r="V876" s="169"/>
      <c r="W876" s="169"/>
      <c r="X876" s="169"/>
      <c r="Y876" s="169"/>
      <c r="Z876" s="169"/>
      <c r="AA876" s="169"/>
      <c r="AB876" s="169"/>
      <c r="AC876" s="169"/>
      <c r="AD876" s="169"/>
      <c r="AE876" s="169"/>
      <c r="AF876" s="169"/>
      <c r="AG876" s="169"/>
      <c r="AH876" s="169"/>
      <c r="AI876" s="169"/>
      <c r="AJ876" s="169"/>
      <c r="AK876" s="169"/>
      <c r="AL876" s="169"/>
      <c r="AM876" s="169"/>
      <c r="AN876" s="169"/>
      <c r="AO876" s="169"/>
      <c r="AP876" s="169"/>
      <c r="AQ876" s="169"/>
      <c r="AR876" s="169"/>
    </row>
    <row r="877" spans="1:44" ht="12.5">
      <c r="A877" s="169"/>
      <c r="B877" s="186"/>
      <c r="C877" s="186"/>
      <c r="D877" s="187"/>
      <c r="E877" s="6"/>
      <c r="F877" s="6"/>
      <c r="G877" s="6"/>
      <c r="H877" s="169"/>
      <c r="I877" s="169"/>
      <c r="J877" s="6"/>
      <c r="K877" s="188"/>
      <c r="L877" s="189"/>
      <c r="M877" s="189"/>
      <c r="N877" s="6"/>
      <c r="O877" s="6"/>
      <c r="P877" s="6"/>
      <c r="Q877" s="169"/>
      <c r="R877" s="6"/>
      <c r="S877" s="6"/>
      <c r="T877" s="169"/>
      <c r="U877" s="6"/>
      <c r="V877" s="169"/>
      <c r="W877" s="169"/>
      <c r="X877" s="169"/>
      <c r="Y877" s="169"/>
      <c r="Z877" s="169"/>
      <c r="AA877" s="169"/>
      <c r="AB877" s="169"/>
      <c r="AC877" s="169"/>
      <c r="AD877" s="169"/>
      <c r="AE877" s="169"/>
      <c r="AF877" s="169"/>
      <c r="AG877" s="169"/>
      <c r="AH877" s="169"/>
      <c r="AI877" s="169"/>
      <c r="AJ877" s="169"/>
      <c r="AK877" s="169"/>
      <c r="AL877" s="169"/>
      <c r="AM877" s="169"/>
      <c r="AN877" s="169"/>
      <c r="AO877" s="169"/>
      <c r="AP877" s="169"/>
      <c r="AQ877" s="169"/>
      <c r="AR877" s="169"/>
    </row>
    <row r="878" spans="1:44" ht="12.5">
      <c r="A878" s="169"/>
      <c r="B878" s="186"/>
      <c r="C878" s="186"/>
      <c r="D878" s="187"/>
      <c r="E878" s="6"/>
      <c r="F878" s="6"/>
      <c r="G878" s="6"/>
      <c r="H878" s="169"/>
      <c r="I878" s="169"/>
      <c r="J878" s="6"/>
      <c r="K878" s="188"/>
      <c r="L878" s="189"/>
      <c r="M878" s="189"/>
      <c r="N878" s="6"/>
      <c r="O878" s="6"/>
      <c r="P878" s="6"/>
      <c r="Q878" s="169"/>
      <c r="R878" s="6"/>
      <c r="S878" s="6"/>
      <c r="T878" s="169"/>
      <c r="U878" s="6"/>
      <c r="V878" s="169"/>
      <c r="W878" s="169"/>
      <c r="X878" s="169"/>
      <c r="Y878" s="169"/>
      <c r="Z878" s="169"/>
      <c r="AA878" s="169"/>
      <c r="AB878" s="169"/>
      <c r="AC878" s="169"/>
      <c r="AD878" s="169"/>
      <c r="AE878" s="169"/>
      <c r="AF878" s="169"/>
      <c r="AG878" s="169"/>
      <c r="AH878" s="169"/>
      <c r="AI878" s="169"/>
      <c r="AJ878" s="169"/>
      <c r="AK878" s="169"/>
      <c r="AL878" s="169"/>
      <c r="AM878" s="169"/>
      <c r="AN878" s="169"/>
      <c r="AO878" s="169"/>
      <c r="AP878" s="169"/>
      <c r="AQ878" s="169"/>
      <c r="AR878" s="169"/>
    </row>
    <row r="879" spans="1:44" ht="12.5">
      <c r="A879" s="169"/>
      <c r="B879" s="186"/>
      <c r="C879" s="186"/>
      <c r="D879" s="187"/>
      <c r="E879" s="6"/>
      <c r="F879" s="6"/>
      <c r="G879" s="6"/>
      <c r="H879" s="169"/>
      <c r="I879" s="169"/>
      <c r="J879" s="6"/>
      <c r="K879" s="188"/>
      <c r="L879" s="189"/>
      <c r="M879" s="189"/>
      <c r="N879" s="6"/>
      <c r="O879" s="6"/>
      <c r="P879" s="6"/>
      <c r="Q879" s="169"/>
      <c r="R879" s="6"/>
      <c r="S879" s="6"/>
      <c r="T879" s="169"/>
      <c r="U879" s="6"/>
      <c r="V879" s="169"/>
      <c r="W879" s="169"/>
      <c r="X879" s="169"/>
      <c r="Y879" s="169"/>
      <c r="Z879" s="169"/>
      <c r="AA879" s="169"/>
      <c r="AB879" s="169"/>
      <c r="AC879" s="169"/>
      <c r="AD879" s="169"/>
      <c r="AE879" s="169"/>
      <c r="AF879" s="169"/>
      <c r="AG879" s="169"/>
      <c r="AH879" s="169"/>
      <c r="AI879" s="169"/>
      <c r="AJ879" s="169"/>
      <c r="AK879" s="169"/>
      <c r="AL879" s="169"/>
      <c r="AM879" s="169"/>
      <c r="AN879" s="169"/>
      <c r="AO879" s="169"/>
      <c r="AP879" s="169"/>
      <c r="AQ879" s="169"/>
      <c r="AR879" s="169"/>
    </row>
    <row r="880" spans="1:44" ht="12.5">
      <c r="A880" s="169"/>
      <c r="B880" s="186"/>
      <c r="C880" s="186"/>
      <c r="D880" s="187"/>
      <c r="E880" s="6"/>
      <c r="F880" s="6"/>
      <c r="G880" s="6"/>
      <c r="H880" s="169"/>
      <c r="I880" s="169"/>
      <c r="J880" s="6"/>
      <c r="K880" s="188"/>
      <c r="L880" s="189"/>
      <c r="M880" s="189"/>
      <c r="N880" s="6"/>
      <c r="O880" s="6"/>
      <c r="P880" s="6"/>
      <c r="Q880" s="169"/>
      <c r="R880" s="6"/>
      <c r="S880" s="6"/>
      <c r="T880" s="169"/>
      <c r="U880" s="6"/>
      <c r="V880" s="169"/>
      <c r="W880" s="169"/>
      <c r="X880" s="169"/>
      <c r="Y880" s="169"/>
      <c r="Z880" s="169"/>
      <c r="AA880" s="169"/>
      <c r="AB880" s="169"/>
      <c r="AC880" s="169"/>
      <c r="AD880" s="169"/>
      <c r="AE880" s="169"/>
      <c r="AF880" s="169"/>
      <c r="AG880" s="169"/>
      <c r="AH880" s="169"/>
      <c r="AI880" s="169"/>
      <c r="AJ880" s="169"/>
      <c r="AK880" s="169"/>
      <c r="AL880" s="169"/>
      <c r="AM880" s="169"/>
      <c r="AN880" s="169"/>
      <c r="AO880" s="169"/>
      <c r="AP880" s="169"/>
      <c r="AQ880" s="169"/>
      <c r="AR880" s="169"/>
    </row>
    <row r="881" spans="1:44" ht="12.5">
      <c r="A881" s="169"/>
      <c r="B881" s="186"/>
      <c r="C881" s="186"/>
      <c r="D881" s="187"/>
      <c r="E881" s="6"/>
      <c r="F881" s="6"/>
      <c r="G881" s="6"/>
      <c r="H881" s="169"/>
      <c r="I881" s="169"/>
      <c r="J881" s="6"/>
      <c r="K881" s="188"/>
      <c r="L881" s="189"/>
      <c r="M881" s="189"/>
      <c r="N881" s="6"/>
      <c r="O881" s="6"/>
      <c r="P881" s="6"/>
      <c r="Q881" s="169"/>
      <c r="R881" s="6"/>
      <c r="S881" s="6"/>
      <c r="T881" s="169"/>
      <c r="U881" s="6"/>
      <c r="V881" s="169"/>
      <c r="W881" s="169"/>
      <c r="X881" s="169"/>
      <c r="Y881" s="169"/>
      <c r="Z881" s="169"/>
      <c r="AA881" s="169"/>
      <c r="AB881" s="169"/>
      <c r="AC881" s="169"/>
      <c r="AD881" s="169"/>
      <c r="AE881" s="169"/>
      <c r="AF881" s="169"/>
      <c r="AG881" s="169"/>
      <c r="AH881" s="169"/>
      <c r="AI881" s="169"/>
      <c r="AJ881" s="169"/>
      <c r="AK881" s="169"/>
      <c r="AL881" s="169"/>
      <c r="AM881" s="169"/>
      <c r="AN881" s="169"/>
      <c r="AO881" s="169"/>
      <c r="AP881" s="169"/>
      <c r="AQ881" s="169"/>
      <c r="AR881" s="169"/>
    </row>
    <row r="882" spans="1:44" ht="12.5">
      <c r="A882" s="169"/>
      <c r="B882" s="186"/>
      <c r="C882" s="186"/>
      <c r="D882" s="187"/>
      <c r="E882" s="6"/>
      <c r="F882" s="6"/>
      <c r="G882" s="6"/>
      <c r="H882" s="169"/>
      <c r="I882" s="169"/>
      <c r="J882" s="6"/>
      <c r="K882" s="188"/>
      <c r="L882" s="189"/>
      <c r="M882" s="189"/>
      <c r="N882" s="6"/>
      <c r="O882" s="6"/>
      <c r="P882" s="6"/>
      <c r="Q882" s="169"/>
      <c r="R882" s="6"/>
      <c r="S882" s="6"/>
      <c r="T882" s="169"/>
      <c r="U882" s="6"/>
      <c r="V882" s="169"/>
      <c r="W882" s="169"/>
      <c r="X882" s="169"/>
      <c r="Y882" s="169"/>
      <c r="Z882" s="169"/>
      <c r="AA882" s="169"/>
      <c r="AB882" s="169"/>
      <c r="AC882" s="169"/>
      <c r="AD882" s="169"/>
      <c r="AE882" s="169"/>
      <c r="AF882" s="169"/>
      <c r="AG882" s="169"/>
      <c r="AH882" s="169"/>
      <c r="AI882" s="169"/>
      <c r="AJ882" s="169"/>
      <c r="AK882" s="169"/>
      <c r="AL882" s="169"/>
      <c r="AM882" s="169"/>
      <c r="AN882" s="169"/>
      <c r="AO882" s="169"/>
      <c r="AP882" s="169"/>
      <c r="AQ882" s="169"/>
      <c r="AR882" s="169"/>
    </row>
    <row r="883" spans="1:44" ht="12.5">
      <c r="A883" s="169"/>
      <c r="B883" s="186"/>
      <c r="C883" s="186"/>
      <c r="D883" s="187"/>
      <c r="E883" s="6"/>
      <c r="F883" s="6"/>
      <c r="G883" s="6"/>
      <c r="H883" s="169"/>
      <c r="I883" s="169"/>
      <c r="J883" s="6"/>
      <c r="K883" s="188"/>
      <c r="L883" s="189"/>
      <c r="M883" s="189"/>
      <c r="N883" s="6"/>
      <c r="O883" s="6"/>
      <c r="P883" s="6"/>
      <c r="Q883" s="169"/>
      <c r="R883" s="6"/>
      <c r="S883" s="6"/>
      <c r="T883" s="169"/>
      <c r="U883" s="6"/>
      <c r="V883" s="169"/>
      <c r="W883" s="169"/>
      <c r="X883" s="169"/>
      <c r="Y883" s="169"/>
      <c r="Z883" s="169"/>
      <c r="AA883" s="169"/>
      <c r="AB883" s="169"/>
      <c r="AC883" s="169"/>
      <c r="AD883" s="169"/>
      <c r="AE883" s="169"/>
      <c r="AF883" s="169"/>
      <c r="AG883" s="169"/>
      <c r="AH883" s="169"/>
      <c r="AI883" s="169"/>
      <c r="AJ883" s="169"/>
      <c r="AK883" s="169"/>
      <c r="AL883" s="169"/>
      <c r="AM883" s="169"/>
      <c r="AN883" s="169"/>
      <c r="AO883" s="169"/>
      <c r="AP883" s="169"/>
      <c r="AQ883" s="169"/>
      <c r="AR883" s="169"/>
    </row>
    <row r="884" spans="1:44" ht="12.5">
      <c r="A884" s="169"/>
      <c r="B884" s="186"/>
      <c r="C884" s="186"/>
      <c r="D884" s="187"/>
      <c r="E884" s="6"/>
      <c r="F884" s="6"/>
      <c r="G884" s="6"/>
      <c r="H884" s="169"/>
      <c r="I884" s="169"/>
      <c r="J884" s="6"/>
      <c r="K884" s="188"/>
      <c r="L884" s="189"/>
      <c r="M884" s="189"/>
      <c r="N884" s="6"/>
      <c r="O884" s="6"/>
      <c r="P884" s="6"/>
      <c r="Q884" s="169"/>
      <c r="R884" s="6"/>
      <c r="S884" s="6"/>
      <c r="T884" s="169"/>
      <c r="U884" s="6"/>
      <c r="V884" s="169"/>
      <c r="W884" s="169"/>
      <c r="X884" s="169"/>
      <c r="Y884" s="169"/>
      <c r="Z884" s="169"/>
      <c r="AA884" s="169"/>
      <c r="AB884" s="169"/>
      <c r="AC884" s="169"/>
      <c r="AD884" s="169"/>
      <c r="AE884" s="169"/>
      <c r="AF884" s="169"/>
      <c r="AG884" s="169"/>
      <c r="AH884" s="169"/>
      <c r="AI884" s="169"/>
      <c r="AJ884" s="169"/>
      <c r="AK884" s="169"/>
      <c r="AL884" s="169"/>
      <c r="AM884" s="169"/>
      <c r="AN884" s="169"/>
      <c r="AO884" s="169"/>
      <c r="AP884" s="169"/>
      <c r="AQ884" s="169"/>
      <c r="AR884" s="169"/>
    </row>
    <row r="885" spans="1:44" ht="12.5">
      <c r="A885" s="169"/>
      <c r="B885" s="186"/>
      <c r="C885" s="186"/>
      <c r="D885" s="187"/>
      <c r="E885" s="6"/>
      <c r="F885" s="6"/>
      <c r="G885" s="6"/>
      <c r="H885" s="169"/>
      <c r="I885" s="169"/>
      <c r="J885" s="6"/>
      <c r="K885" s="188"/>
      <c r="L885" s="189"/>
      <c r="M885" s="189"/>
      <c r="N885" s="6"/>
      <c r="O885" s="6"/>
      <c r="P885" s="6"/>
      <c r="Q885" s="169"/>
      <c r="R885" s="6"/>
      <c r="S885" s="6"/>
      <c r="T885" s="169"/>
      <c r="U885" s="6"/>
      <c r="V885" s="169"/>
      <c r="W885" s="169"/>
      <c r="X885" s="169"/>
      <c r="Y885" s="169"/>
      <c r="Z885" s="169"/>
      <c r="AA885" s="169"/>
      <c r="AB885" s="169"/>
      <c r="AC885" s="169"/>
      <c r="AD885" s="169"/>
      <c r="AE885" s="169"/>
      <c r="AF885" s="169"/>
      <c r="AG885" s="169"/>
      <c r="AH885" s="169"/>
      <c r="AI885" s="169"/>
      <c r="AJ885" s="169"/>
      <c r="AK885" s="169"/>
      <c r="AL885" s="169"/>
      <c r="AM885" s="169"/>
      <c r="AN885" s="169"/>
      <c r="AO885" s="169"/>
      <c r="AP885" s="169"/>
      <c r="AQ885" s="169"/>
      <c r="AR885" s="169"/>
    </row>
    <row r="886" spans="1:44" ht="12.5">
      <c r="A886" s="169"/>
      <c r="B886" s="186"/>
      <c r="C886" s="186"/>
      <c r="D886" s="187"/>
      <c r="E886" s="6"/>
      <c r="F886" s="6"/>
      <c r="G886" s="6"/>
      <c r="H886" s="169"/>
      <c r="I886" s="169"/>
      <c r="J886" s="6"/>
      <c r="K886" s="188"/>
      <c r="L886" s="189"/>
      <c r="M886" s="189"/>
      <c r="N886" s="6"/>
      <c r="O886" s="6"/>
      <c r="P886" s="6"/>
      <c r="Q886" s="169"/>
      <c r="R886" s="6"/>
      <c r="S886" s="6"/>
      <c r="T886" s="169"/>
      <c r="U886" s="6"/>
      <c r="V886" s="169"/>
      <c r="W886" s="169"/>
      <c r="X886" s="169"/>
      <c r="Y886" s="169"/>
      <c r="Z886" s="169"/>
      <c r="AA886" s="169"/>
      <c r="AB886" s="169"/>
      <c r="AC886" s="169"/>
      <c r="AD886" s="169"/>
      <c r="AE886" s="169"/>
      <c r="AF886" s="169"/>
      <c r="AG886" s="169"/>
      <c r="AH886" s="169"/>
      <c r="AI886" s="169"/>
      <c r="AJ886" s="169"/>
      <c r="AK886" s="169"/>
      <c r="AL886" s="169"/>
      <c r="AM886" s="169"/>
      <c r="AN886" s="169"/>
      <c r="AO886" s="169"/>
      <c r="AP886" s="169"/>
      <c r="AQ886" s="169"/>
      <c r="AR886" s="169"/>
    </row>
    <row r="887" spans="1:44" ht="12.5">
      <c r="A887" s="169"/>
      <c r="B887" s="186"/>
      <c r="C887" s="186"/>
      <c r="D887" s="187"/>
      <c r="E887" s="6"/>
      <c r="F887" s="6"/>
      <c r="G887" s="6"/>
      <c r="H887" s="169"/>
      <c r="I887" s="169"/>
      <c r="J887" s="6"/>
      <c r="K887" s="188"/>
      <c r="L887" s="189"/>
      <c r="M887" s="189"/>
      <c r="N887" s="6"/>
      <c r="O887" s="6"/>
      <c r="P887" s="6"/>
      <c r="Q887" s="169"/>
      <c r="R887" s="6"/>
      <c r="S887" s="6"/>
      <c r="T887" s="169"/>
      <c r="U887" s="6"/>
      <c r="V887" s="169"/>
      <c r="W887" s="169"/>
      <c r="X887" s="169"/>
      <c r="Y887" s="169"/>
      <c r="Z887" s="169"/>
      <c r="AA887" s="169"/>
      <c r="AB887" s="169"/>
      <c r="AC887" s="169"/>
      <c r="AD887" s="169"/>
      <c r="AE887" s="169"/>
      <c r="AF887" s="169"/>
      <c r="AG887" s="169"/>
      <c r="AH887" s="169"/>
      <c r="AI887" s="169"/>
      <c r="AJ887" s="169"/>
      <c r="AK887" s="169"/>
      <c r="AL887" s="169"/>
      <c r="AM887" s="169"/>
      <c r="AN887" s="169"/>
      <c r="AO887" s="169"/>
      <c r="AP887" s="169"/>
      <c r="AQ887" s="169"/>
      <c r="AR887" s="169"/>
    </row>
    <row r="888" spans="1:44" ht="12.5">
      <c r="A888" s="169"/>
      <c r="B888" s="186"/>
      <c r="C888" s="186"/>
      <c r="D888" s="187"/>
      <c r="E888" s="6"/>
      <c r="F888" s="6"/>
      <c r="G888" s="6"/>
      <c r="H888" s="169"/>
      <c r="I888" s="169"/>
      <c r="J888" s="6"/>
      <c r="K888" s="188"/>
      <c r="L888" s="189"/>
      <c r="M888" s="189"/>
      <c r="N888" s="6"/>
      <c r="O888" s="6"/>
      <c r="P888" s="6"/>
      <c r="Q888" s="169"/>
      <c r="R888" s="6"/>
      <c r="S888" s="6"/>
      <c r="T888" s="169"/>
      <c r="U888" s="6"/>
      <c r="V888" s="169"/>
      <c r="W888" s="169"/>
      <c r="X888" s="169"/>
      <c r="Y888" s="169"/>
      <c r="Z888" s="169"/>
      <c r="AA888" s="169"/>
      <c r="AB888" s="169"/>
      <c r="AC888" s="169"/>
      <c r="AD888" s="169"/>
      <c r="AE888" s="169"/>
      <c r="AF888" s="169"/>
      <c r="AG888" s="169"/>
      <c r="AH888" s="169"/>
      <c r="AI888" s="169"/>
      <c r="AJ888" s="169"/>
      <c r="AK888" s="169"/>
      <c r="AL888" s="169"/>
      <c r="AM888" s="169"/>
      <c r="AN888" s="169"/>
      <c r="AO888" s="169"/>
      <c r="AP888" s="169"/>
      <c r="AQ888" s="169"/>
      <c r="AR888" s="169"/>
    </row>
    <row r="889" spans="1:44" ht="12.5">
      <c r="A889" s="169"/>
      <c r="B889" s="186"/>
      <c r="C889" s="186"/>
      <c r="D889" s="187"/>
      <c r="E889" s="6"/>
      <c r="F889" s="6"/>
      <c r="G889" s="6"/>
      <c r="H889" s="169"/>
      <c r="I889" s="169"/>
      <c r="J889" s="6"/>
      <c r="K889" s="188"/>
      <c r="L889" s="189"/>
      <c r="M889" s="189"/>
      <c r="N889" s="6"/>
      <c r="O889" s="6"/>
      <c r="P889" s="6"/>
      <c r="Q889" s="169"/>
      <c r="R889" s="6"/>
      <c r="S889" s="6"/>
      <c r="T889" s="169"/>
      <c r="U889" s="6"/>
      <c r="V889" s="169"/>
      <c r="W889" s="169"/>
      <c r="X889" s="169"/>
      <c r="Y889" s="169"/>
      <c r="Z889" s="169"/>
      <c r="AA889" s="169"/>
      <c r="AB889" s="169"/>
      <c r="AC889" s="169"/>
      <c r="AD889" s="169"/>
      <c r="AE889" s="169"/>
      <c r="AF889" s="169"/>
      <c r="AG889" s="169"/>
      <c r="AH889" s="169"/>
      <c r="AI889" s="169"/>
      <c r="AJ889" s="169"/>
      <c r="AK889" s="169"/>
      <c r="AL889" s="169"/>
      <c r="AM889" s="169"/>
      <c r="AN889" s="169"/>
      <c r="AO889" s="169"/>
      <c r="AP889" s="169"/>
      <c r="AQ889" s="169"/>
      <c r="AR889" s="169"/>
    </row>
    <row r="890" spans="1:44" ht="12.5">
      <c r="A890" s="169"/>
      <c r="B890" s="186"/>
      <c r="C890" s="186"/>
      <c r="D890" s="187"/>
      <c r="E890" s="6"/>
      <c r="F890" s="6"/>
      <c r="G890" s="6"/>
      <c r="H890" s="169"/>
      <c r="I890" s="169"/>
      <c r="J890" s="6"/>
      <c r="K890" s="188"/>
      <c r="L890" s="189"/>
      <c r="M890" s="189"/>
      <c r="N890" s="6"/>
      <c r="O890" s="6"/>
      <c r="P890" s="6"/>
      <c r="Q890" s="169"/>
      <c r="R890" s="6"/>
      <c r="S890" s="6"/>
      <c r="T890" s="169"/>
      <c r="U890" s="6"/>
      <c r="V890" s="169"/>
      <c r="W890" s="169"/>
      <c r="X890" s="169"/>
      <c r="Y890" s="169"/>
      <c r="Z890" s="169"/>
      <c r="AA890" s="169"/>
      <c r="AB890" s="169"/>
      <c r="AC890" s="169"/>
      <c r="AD890" s="169"/>
      <c r="AE890" s="169"/>
      <c r="AF890" s="169"/>
      <c r="AG890" s="169"/>
      <c r="AH890" s="169"/>
      <c r="AI890" s="169"/>
      <c r="AJ890" s="169"/>
      <c r="AK890" s="169"/>
      <c r="AL890" s="169"/>
      <c r="AM890" s="169"/>
      <c r="AN890" s="169"/>
      <c r="AO890" s="169"/>
      <c r="AP890" s="169"/>
      <c r="AQ890" s="169"/>
      <c r="AR890" s="169"/>
    </row>
    <row r="891" spans="1:44" ht="12.5">
      <c r="A891" s="169"/>
      <c r="B891" s="186"/>
      <c r="C891" s="186"/>
      <c r="D891" s="187"/>
      <c r="E891" s="6"/>
      <c r="F891" s="6"/>
      <c r="G891" s="6"/>
      <c r="H891" s="169"/>
      <c r="I891" s="169"/>
      <c r="J891" s="6"/>
      <c r="K891" s="188"/>
      <c r="L891" s="189"/>
      <c r="M891" s="189"/>
      <c r="N891" s="6"/>
      <c r="O891" s="6"/>
      <c r="P891" s="6"/>
      <c r="Q891" s="169"/>
      <c r="R891" s="6"/>
      <c r="S891" s="6"/>
      <c r="T891" s="169"/>
      <c r="U891" s="6"/>
      <c r="V891" s="169"/>
      <c r="W891" s="169"/>
      <c r="X891" s="169"/>
      <c r="Y891" s="169"/>
      <c r="Z891" s="169"/>
      <c r="AA891" s="169"/>
      <c r="AB891" s="169"/>
      <c r="AC891" s="169"/>
      <c r="AD891" s="169"/>
      <c r="AE891" s="169"/>
      <c r="AF891" s="169"/>
      <c r="AG891" s="169"/>
      <c r="AH891" s="169"/>
      <c r="AI891" s="169"/>
      <c r="AJ891" s="169"/>
      <c r="AK891" s="169"/>
      <c r="AL891" s="169"/>
      <c r="AM891" s="169"/>
      <c r="AN891" s="169"/>
      <c r="AO891" s="169"/>
      <c r="AP891" s="169"/>
      <c r="AQ891" s="169"/>
      <c r="AR891" s="169"/>
    </row>
    <row r="892" spans="1:44" ht="12.5">
      <c r="A892" s="169"/>
      <c r="B892" s="186"/>
      <c r="C892" s="186"/>
      <c r="D892" s="187"/>
      <c r="E892" s="6"/>
      <c r="F892" s="6"/>
      <c r="G892" s="6"/>
      <c r="H892" s="169"/>
      <c r="I892" s="169"/>
      <c r="J892" s="6"/>
      <c r="K892" s="188"/>
      <c r="L892" s="189"/>
      <c r="M892" s="189"/>
      <c r="N892" s="6"/>
      <c r="O892" s="6"/>
      <c r="P892" s="6"/>
      <c r="Q892" s="169"/>
      <c r="R892" s="6"/>
      <c r="S892" s="6"/>
      <c r="T892" s="169"/>
      <c r="U892" s="6"/>
      <c r="V892" s="169"/>
      <c r="W892" s="169"/>
      <c r="X892" s="169"/>
      <c r="Y892" s="169"/>
      <c r="Z892" s="169"/>
      <c r="AA892" s="169"/>
      <c r="AB892" s="169"/>
      <c r="AC892" s="169"/>
      <c r="AD892" s="169"/>
      <c r="AE892" s="169"/>
      <c r="AF892" s="169"/>
      <c r="AG892" s="169"/>
      <c r="AH892" s="169"/>
      <c r="AI892" s="169"/>
      <c r="AJ892" s="169"/>
      <c r="AK892" s="169"/>
      <c r="AL892" s="169"/>
      <c r="AM892" s="169"/>
      <c r="AN892" s="169"/>
      <c r="AO892" s="169"/>
      <c r="AP892" s="169"/>
      <c r="AQ892" s="169"/>
      <c r="AR892" s="169"/>
    </row>
    <row r="893" spans="1:44" ht="12.5">
      <c r="A893" s="169"/>
      <c r="B893" s="186"/>
      <c r="C893" s="186"/>
      <c r="D893" s="187"/>
      <c r="E893" s="6"/>
      <c r="F893" s="6"/>
      <c r="G893" s="6"/>
      <c r="H893" s="169"/>
      <c r="I893" s="169"/>
      <c r="J893" s="6"/>
      <c r="K893" s="188"/>
      <c r="L893" s="189"/>
      <c r="M893" s="189"/>
      <c r="N893" s="6"/>
      <c r="O893" s="6"/>
      <c r="P893" s="6"/>
      <c r="Q893" s="169"/>
      <c r="R893" s="6"/>
      <c r="S893" s="6"/>
      <c r="T893" s="169"/>
      <c r="U893" s="6"/>
      <c r="V893" s="169"/>
      <c r="W893" s="169"/>
      <c r="X893" s="169"/>
      <c r="Y893" s="169"/>
      <c r="Z893" s="169"/>
      <c r="AA893" s="169"/>
      <c r="AB893" s="169"/>
      <c r="AC893" s="169"/>
      <c r="AD893" s="169"/>
      <c r="AE893" s="169"/>
      <c r="AF893" s="169"/>
      <c r="AG893" s="169"/>
      <c r="AH893" s="169"/>
      <c r="AI893" s="169"/>
      <c r="AJ893" s="169"/>
      <c r="AK893" s="169"/>
      <c r="AL893" s="169"/>
      <c r="AM893" s="169"/>
      <c r="AN893" s="169"/>
      <c r="AO893" s="169"/>
      <c r="AP893" s="169"/>
      <c r="AQ893" s="169"/>
      <c r="AR893" s="169"/>
    </row>
    <row r="894" spans="1:44" ht="12.5">
      <c r="A894" s="169"/>
      <c r="B894" s="186"/>
      <c r="C894" s="186"/>
      <c r="D894" s="187"/>
      <c r="E894" s="6"/>
      <c r="F894" s="6"/>
      <c r="G894" s="6"/>
      <c r="H894" s="169"/>
      <c r="I894" s="169"/>
      <c r="J894" s="6"/>
      <c r="K894" s="188"/>
      <c r="L894" s="189"/>
      <c r="M894" s="189"/>
      <c r="N894" s="6"/>
      <c r="O894" s="6"/>
      <c r="P894" s="6"/>
      <c r="Q894" s="169"/>
      <c r="R894" s="6"/>
      <c r="S894" s="6"/>
      <c r="T894" s="169"/>
      <c r="U894" s="6"/>
      <c r="V894" s="169"/>
      <c r="W894" s="169"/>
      <c r="X894" s="169"/>
      <c r="Y894" s="169"/>
      <c r="Z894" s="169"/>
      <c r="AA894" s="169"/>
      <c r="AB894" s="169"/>
      <c r="AC894" s="169"/>
      <c r="AD894" s="169"/>
      <c r="AE894" s="169"/>
      <c r="AF894" s="169"/>
      <c r="AG894" s="169"/>
      <c r="AH894" s="169"/>
      <c r="AI894" s="169"/>
      <c r="AJ894" s="169"/>
      <c r="AK894" s="169"/>
      <c r="AL894" s="169"/>
      <c r="AM894" s="169"/>
      <c r="AN894" s="169"/>
      <c r="AO894" s="169"/>
      <c r="AP894" s="169"/>
      <c r="AQ894" s="169"/>
      <c r="AR894" s="169"/>
    </row>
    <row r="895" spans="1:44" ht="12.5">
      <c r="A895" s="169"/>
      <c r="B895" s="186"/>
      <c r="C895" s="186"/>
      <c r="D895" s="187"/>
      <c r="E895" s="6"/>
      <c r="F895" s="6"/>
      <c r="G895" s="6"/>
      <c r="H895" s="169"/>
      <c r="I895" s="169"/>
      <c r="J895" s="6"/>
      <c r="K895" s="188"/>
      <c r="L895" s="189"/>
      <c r="M895" s="189"/>
      <c r="N895" s="6"/>
      <c r="O895" s="6"/>
      <c r="P895" s="6"/>
      <c r="Q895" s="169"/>
      <c r="R895" s="6"/>
      <c r="S895" s="6"/>
      <c r="T895" s="169"/>
      <c r="U895" s="6"/>
      <c r="V895" s="169"/>
      <c r="W895" s="169"/>
      <c r="X895" s="169"/>
      <c r="Y895" s="169"/>
      <c r="Z895" s="169"/>
      <c r="AA895" s="169"/>
      <c r="AB895" s="169"/>
      <c r="AC895" s="169"/>
      <c r="AD895" s="169"/>
      <c r="AE895" s="169"/>
      <c r="AF895" s="169"/>
      <c r="AG895" s="169"/>
      <c r="AH895" s="169"/>
      <c r="AI895" s="169"/>
      <c r="AJ895" s="169"/>
      <c r="AK895" s="169"/>
      <c r="AL895" s="169"/>
      <c r="AM895" s="169"/>
      <c r="AN895" s="169"/>
      <c r="AO895" s="169"/>
      <c r="AP895" s="169"/>
      <c r="AQ895" s="169"/>
      <c r="AR895" s="169"/>
    </row>
    <row r="896" spans="1:44" ht="12.5">
      <c r="A896" s="169"/>
      <c r="B896" s="186"/>
      <c r="C896" s="186"/>
      <c r="D896" s="187"/>
      <c r="E896" s="6"/>
      <c r="F896" s="6"/>
      <c r="G896" s="6"/>
      <c r="H896" s="169"/>
      <c r="I896" s="169"/>
      <c r="J896" s="6"/>
      <c r="K896" s="188"/>
      <c r="L896" s="189"/>
      <c r="M896" s="189"/>
      <c r="N896" s="6"/>
      <c r="O896" s="6"/>
      <c r="P896" s="6"/>
      <c r="Q896" s="169"/>
      <c r="R896" s="6"/>
      <c r="S896" s="6"/>
      <c r="T896" s="169"/>
      <c r="U896" s="6"/>
      <c r="V896" s="169"/>
      <c r="W896" s="169"/>
      <c r="X896" s="169"/>
      <c r="Y896" s="169"/>
      <c r="Z896" s="169"/>
      <c r="AA896" s="169"/>
      <c r="AB896" s="169"/>
      <c r="AC896" s="169"/>
      <c r="AD896" s="169"/>
      <c r="AE896" s="169"/>
      <c r="AF896" s="169"/>
      <c r="AG896" s="169"/>
      <c r="AH896" s="169"/>
      <c r="AI896" s="169"/>
      <c r="AJ896" s="169"/>
      <c r="AK896" s="169"/>
      <c r="AL896" s="169"/>
      <c r="AM896" s="169"/>
      <c r="AN896" s="169"/>
      <c r="AO896" s="169"/>
      <c r="AP896" s="169"/>
      <c r="AQ896" s="169"/>
      <c r="AR896" s="169"/>
    </row>
    <row r="897" spans="1:44" ht="12.5">
      <c r="A897" s="169"/>
      <c r="B897" s="186"/>
      <c r="C897" s="186"/>
      <c r="D897" s="187"/>
      <c r="E897" s="6"/>
      <c r="F897" s="6"/>
      <c r="G897" s="6"/>
      <c r="H897" s="169"/>
      <c r="I897" s="169"/>
      <c r="J897" s="6"/>
      <c r="K897" s="188"/>
      <c r="L897" s="189"/>
      <c r="M897" s="189"/>
      <c r="N897" s="6"/>
      <c r="O897" s="6"/>
      <c r="P897" s="6"/>
      <c r="Q897" s="169"/>
      <c r="R897" s="6"/>
      <c r="S897" s="6"/>
      <c r="T897" s="169"/>
      <c r="U897" s="6"/>
      <c r="V897" s="169"/>
      <c r="W897" s="169"/>
      <c r="X897" s="169"/>
      <c r="Y897" s="169"/>
      <c r="Z897" s="169"/>
      <c r="AA897" s="169"/>
      <c r="AB897" s="169"/>
      <c r="AC897" s="169"/>
      <c r="AD897" s="169"/>
      <c r="AE897" s="169"/>
      <c r="AF897" s="169"/>
      <c r="AG897" s="169"/>
      <c r="AH897" s="169"/>
      <c r="AI897" s="169"/>
      <c r="AJ897" s="169"/>
      <c r="AK897" s="169"/>
      <c r="AL897" s="169"/>
      <c r="AM897" s="169"/>
      <c r="AN897" s="169"/>
      <c r="AO897" s="169"/>
      <c r="AP897" s="169"/>
      <c r="AQ897" s="169"/>
      <c r="AR897" s="169"/>
    </row>
    <row r="898" spans="1:44" ht="12.5">
      <c r="A898" s="169"/>
      <c r="B898" s="186"/>
      <c r="C898" s="186"/>
      <c r="D898" s="187"/>
      <c r="E898" s="6"/>
      <c r="F898" s="6"/>
      <c r="G898" s="6"/>
      <c r="H898" s="169"/>
      <c r="I898" s="169"/>
      <c r="J898" s="6"/>
      <c r="K898" s="188"/>
      <c r="L898" s="189"/>
      <c r="M898" s="189"/>
      <c r="N898" s="6"/>
      <c r="O898" s="6"/>
      <c r="P898" s="6"/>
      <c r="Q898" s="169"/>
      <c r="R898" s="6"/>
      <c r="S898" s="6"/>
      <c r="T898" s="169"/>
      <c r="U898" s="6"/>
      <c r="V898" s="169"/>
      <c r="W898" s="169"/>
      <c r="X898" s="169"/>
      <c r="Y898" s="169"/>
      <c r="Z898" s="169"/>
      <c r="AA898" s="169"/>
      <c r="AB898" s="169"/>
      <c r="AC898" s="169"/>
      <c r="AD898" s="169"/>
      <c r="AE898" s="169"/>
      <c r="AF898" s="169"/>
      <c r="AG898" s="169"/>
      <c r="AH898" s="169"/>
      <c r="AI898" s="169"/>
      <c r="AJ898" s="169"/>
      <c r="AK898" s="169"/>
      <c r="AL898" s="169"/>
      <c r="AM898" s="169"/>
      <c r="AN898" s="169"/>
      <c r="AO898" s="169"/>
      <c r="AP898" s="169"/>
      <c r="AQ898" s="169"/>
      <c r="AR898" s="169"/>
    </row>
    <row r="899" spans="1:44" ht="12.5">
      <c r="A899" s="169"/>
      <c r="B899" s="186"/>
      <c r="C899" s="186"/>
      <c r="D899" s="187"/>
      <c r="E899" s="6"/>
      <c r="F899" s="6"/>
      <c r="G899" s="6"/>
      <c r="H899" s="169"/>
      <c r="I899" s="169"/>
      <c r="J899" s="6"/>
      <c r="K899" s="188"/>
      <c r="L899" s="189"/>
      <c r="M899" s="189"/>
      <c r="N899" s="6"/>
      <c r="O899" s="6"/>
      <c r="P899" s="6"/>
      <c r="Q899" s="169"/>
      <c r="R899" s="6"/>
      <c r="S899" s="6"/>
      <c r="T899" s="169"/>
      <c r="U899" s="6"/>
      <c r="V899" s="169"/>
      <c r="W899" s="169"/>
      <c r="X899" s="169"/>
      <c r="Y899" s="169"/>
      <c r="Z899" s="169"/>
      <c r="AA899" s="169"/>
      <c r="AB899" s="169"/>
      <c r="AC899" s="169"/>
      <c r="AD899" s="169"/>
      <c r="AE899" s="169"/>
      <c r="AF899" s="169"/>
      <c r="AG899" s="169"/>
      <c r="AH899" s="169"/>
      <c r="AI899" s="169"/>
      <c r="AJ899" s="169"/>
      <c r="AK899" s="169"/>
      <c r="AL899" s="169"/>
      <c r="AM899" s="169"/>
      <c r="AN899" s="169"/>
      <c r="AO899" s="169"/>
      <c r="AP899" s="169"/>
      <c r="AQ899" s="169"/>
      <c r="AR899" s="169"/>
    </row>
    <row r="900" spans="1:44" ht="12.5">
      <c r="A900" s="169"/>
      <c r="B900" s="186"/>
      <c r="C900" s="186"/>
      <c r="D900" s="187"/>
      <c r="E900" s="6"/>
      <c r="F900" s="6"/>
      <c r="G900" s="6"/>
      <c r="H900" s="169"/>
      <c r="I900" s="169"/>
      <c r="J900" s="6"/>
      <c r="K900" s="188"/>
      <c r="L900" s="189"/>
      <c r="M900" s="189"/>
      <c r="N900" s="6"/>
      <c r="O900" s="6"/>
      <c r="P900" s="6"/>
      <c r="Q900" s="169"/>
      <c r="R900" s="6"/>
      <c r="S900" s="6"/>
      <c r="T900" s="169"/>
      <c r="U900" s="6"/>
      <c r="V900" s="169"/>
      <c r="W900" s="169"/>
      <c r="X900" s="169"/>
      <c r="Y900" s="169"/>
      <c r="Z900" s="169"/>
      <c r="AA900" s="169"/>
      <c r="AB900" s="169"/>
      <c r="AC900" s="169"/>
      <c r="AD900" s="169"/>
      <c r="AE900" s="169"/>
      <c r="AF900" s="169"/>
      <c r="AG900" s="169"/>
      <c r="AH900" s="169"/>
      <c r="AI900" s="169"/>
      <c r="AJ900" s="169"/>
      <c r="AK900" s="169"/>
      <c r="AL900" s="169"/>
      <c r="AM900" s="169"/>
      <c r="AN900" s="169"/>
      <c r="AO900" s="169"/>
      <c r="AP900" s="169"/>
      <c r="AQ900" s="169"/>
      <c r="AR900" s="169"/>
    </row>
    <row r="901" spans="1:44" ht="12.5">
      <c r="A901" s="169"/>
      <c r="B901" s="186"/>
      <c r="C901" s="186"/>
      <c r="D901" s="187"/>
      <c r="E901" s="6"/>
      <c r="F901" s="6"/>
      <c r="G901" s="6"/>
      <c r="H901" s="169"/>
      <c r="I901" s="169"/>
      <c r="J901" s="6"/>
      <c r="K901" s="188"/>
      <c r="L901" s="189"/>
      <c r="M901" s="189"/>
      <c r="N901" s="6"/>
      <c r="O901" s="6"/>
      <c r="P901" s="6"/>
      <c r="Q901" s="169"/>
      <c r="R901" s="6"/>
      <c r="S901" s="6"/>
      <c r="T901" s="169"/>
      <c r="U901" s="6"/>
      <c r="V901" s="169"/>
      <c r="W901" s="169"/>
      <c r="X901" s="169"/>
      <c r="Y901" s="169"/>
      <c r="Z901" s="169"/>
      <c r="AA901" s="169"/>
      <c r="AB901" s="169"/>
      <c r="AC901" s="169"/>
      <c r="AD901" s="169"/>
      <c r="AE901" s="169"/>
      <c r="AF901" s="169"/>
      <c r="AG901" s="169"/>
      <c r="AH901" s="169"/>
      <c r="AI901" s="169"/>
      <c r="AJ901" s="169"/>
      <c r="AK901" s="169"/>
      <c r="AL901" s="169"/>
      <c r="AM901" s="169"/>
      <c r="AN901" s="169"/>
      <c r="AO901" s="169"/>
      <c r="AP901" s="169"/>
      <c r="AQ901" s="169"/>
      <c r="AR901" s="169"/>
    </row>
    <row r="902" spans="1:44" ht="12.5">
      <c r="A902" s="169"/>
      <c r="B902" s="186"/>
      <c r="C902" s="186"/>
      <c r="D902" s="187"/>
      <c r="E902" s="6"/>
      <c r="F902" s="6"/>
      <c r="G902" s="6"/>
      <c r="H902" s="169"/>
      <c r="I902" s="169"/>
      <c r="J902" s="6"/>
      <c r="K902" s="188"/>
      <c r="L902" s="189"/>
      <c r="M902" s="189"/>
      <c r="N902" s="6"/>
      <c r="O902" s="6"/>
      <c r="P902" s="6"/>
      <c r="Q902" s="169"/>
      <c r="R902" s="6"/>
      <c r="S902" s="6"/>
      <c r="T902" s="169"/>
      <c r="U902" s="6"/>
      <c r="V902" s="169"/>
      <c r="W902" s="169"/>
      <c r="X902" s="169"/>
      <c r="Y902" s="169"/>
      <c r="Z902" s="169"/>
      <c r="AA902" s="169"/>
      <c r="AB902" s="169"/>
      <c r="AC902" s="169"/>
      <c r="AD902" s="169"/>
      <c r="AE902" s="169"/>
      <c r="AF902" s="169"/>
      <c r="AG902" s="169"/>
      <c r="AH902" s="169"/>
      <c r="AI902" s="169"/>
      <c r="AJ902" s="169"/>
      <c r="AK902" s="169"/>
      <c r="AL902" s="169"/>
      <c r="AM902" s="169"/>
      <c r="AN902" s="169"/>
      <c r="AO902" s="169"/>
      <c r="AP902" s="169"/>
      <c r="AQ902" s="169"/>
      <c r="AR902" s="169"/>
    </row>
    <row r="903" spans="1:44" ht="12.5">
      <c r="A903" s="169"/>
      <c r="B903" s="186"/>
      <c r="C903" s="186"/>
      <c r="D903" s="187"/>
      <c r="E903" s="6"/>
      <c r="F903" s="6"/>
      <c r="G903" s="6"/>
      <c r="H903" s="169"/>
      <c r="I903" s="169"/>
      <c r="J903" s="6"/>
      <c r="K903" s="188"/>
      <c r="L903" s="189"/>
      <c r="M903" s="189"/>
      <c r="N903" s="6"/>
      <c r="O903" s="6"/>
      <c r="P903" s="6"/>
      <c r="Q903" s="169"/>
      <c r="R903" s="6"/>
      <c r="S903" s="6"/>
      <c r="T903" s="169"/>
      <c r="U903" s="6"/>
      <c r="V903" s="169"/>
      <c r="W903" s="169"/>
      <c r="X903" s="169"/>
      <c r="Y903" s="169"/>
      <c r="Z903" s="169"/>
      <c r="AA903" s="169"/>
      <c r="AB903" s="169"/>
      <c r="AC903" s="169"/>
      <c r="AD903" s="169"/>
      <c r="AE903" s="169"/>
      <c r="AF903" s="169"/>
      <c r="AG903" s="169"/>
      <c r="AH903" s="169"/>
      <c r="AI903" s="169"/>
      <c r="AJ903" s="169"/>
      <c r="AK903" s="169"/>
      <c r="AL903" s="169"/>
      <c r="AM903" s="169"/>
      <c r="AN903" s="169"/>
      <c r="AO903" s="169"/>
      <c r="AP903" s="169"/>
      <c r="AQ903" s="169"/>
      <c r="AR903" s="169"/>
    </row>
    <row r="904" spans="1:44" ht="12.5">
      <c r="A904" s="169"/>
      <c r="B904" s="186"/>
      <c r="C904" s="186"/>
      <c r="D904" s="187"/>
      <c r="E904" s="6"/>
      <c r="F904" s="6"/>
      <c r="G904" s="6"/>
      <c r="H904" s="169"/>
      <c r="I904" s="169"/>
      <c r="J904" s="6"/>
      <c r="K904" s="188"/>
      <c r="L904" s="189"/>
      <c r="M904" s="189"/>
      <c r="N904" s="6"/>
      <c r="O904" s="6"/>
      <c r="P904" s="6"/>
      <c r="Q904" s="169"/>
      <c r="R904" s="6"/>
      <c r="S904" s="6"/>
      <c r="T904" s="169"/>
      <c r="U904" s="6"/>
      <c r="V904" s="169"/>
      <c r="W904" s="169"/>
      <c r="X904" s="169"/>
      <c r="Y904" s="169"/>
      <c r="Z904" s="169"/>
      <c r="AA904" s="169"/>
      <c r="AB904" s="169"/>
      <c r="AC904" s="169"/>
      <c r="AD904" s="169"/>
      <c r="AE904" s="169"/>
      <c r="AF904" s="169"/>
      <c r="AG904" s="169"/>
      <c r="AH904" s="169"/>
      <c r="AI904" s="169"/>
      <c r="AJ904" s="169"/>
      <c r="AK904" s="169"/>
      <c r="AL904" s="169"/>
      <c r="AM904" s="169"/>
      <c r="AN904" s="169"/>
      <c r="AO904" s="169"/>
      <c r="AP904" s="169"/>
      <c r="AQ904" s="169"/>
      <c r="AR904" s="169"/>
    </row>
    <row r="905" spans="1:44" ht="12.5">
      <c r="A905" s="169"/>
      <c r="B905" s="186"/>
      <c r="C905" s="186"/>
      <c r="D905" s="187"/>
      <c r="E905" s="6"/>
      <c r="F905" s="6"/>
      <c r="G905" s="6"/>
      <c r="H905" s="169"/>
      <c r="I905" s="169"/>
      <c r="J905" s="6"/>
      <c r="K905" s="188"/>
      <c r="L905" s="189"/>
      <c r="M905" s="189"/>
      <c r="N905" s="6"/>
      <c r="O905" s="6"/>
      <c r="P905" s="6"/>
      <c r="Q905" s="169"/>
      <c r="R905" s="6"/>
      <c r="S905" s="6"/>
      <c r="T905" s="169"/>
      <c r="U905" s="6"/>
      <c r="V905" s="169"/>
      <c r="W905" s="169"/>
      <c r="X905" s="169"/>
      <c r="Y905" s="169"/>
      <c r="Z905" s="169"/>
      <c r="AA905" s="169"/>
      <c r="AB905" s="169"/>
      <c r="AC905" s="169"/>
      <c r="AD905" s="169"/>
      <c r="AE905" s="169"/>
      <c r="AF905" s="169"/>
      <c r="AG905" s="169"/>
      <c r="AH905" s="169"/>
      <c r="AI905" s="169"/>
      <c r="AJ905" s="169"/>
      <c r="AK905" s="169"/>
      <c r="AL905" s="169"/>
      <c r="AM905" s="169"/>
      <c r="AN905" s="169"/>
      <c r="AO905" s="169"/>
      <c r="AP905" s="169"/>
      <c r="AQ905" s="169"/>
      <c r="AR905" s="169"/>
    </row>
    <row r="906" spans="1:44" ht="12.5">
      <c r="A906" s="169"/>
      <c r="B906" s="186"/>
      <c r="C906" s="186"/>
      <c r="D906" s="187"/>
      <c r="E906" s="6"/>
      <c r="F906" s="6"/>
      <c r="G906" s="6"/>
      <c r="H906" s="169"/>
      <c r="I906" s="169"/>
      <c r="J906" s="6"/>
      <c r="K906" s="188"/>
      <c r="L906" s="189"/>
      <c r="M906" s="189"/>
      <c r="N906" s="6"/>
      <c r="O906" s="6"/>
      <c r="P906" s="6"/>
      <c r="Q906" s="169"/>
      <c r="R906" s="6"/>
      <c r="S906" s="6"/>
      <c r="T906" s="169"/>
      <c r="U906" s="6"/>
      <c r="V906" s="169"/>
      <c r="W906" s="169"/>
      <c r="X906" s="169"/>
      <c r="Y906" s="169"/>
      <c r="Z906" s="169"/>
      <c r="AA906" s="169"/>
      <c r="AB906" s="169"/>
      <c r="AC906" s="169"/>
      <c r="AD906" s="169"/>
      <c r="AE906" s="169"/>
      <c r="AF906" s="169"/>
      <c r="AG906" s="169"/>
      <c r="AH906" s="169"/>
      <c r="AI906" s="169"/>
      <c r="AJ906" s="169"/>
      <c r="AK906" s="169"/>
      <c r="AL906" s="169"/>
      <c r="AM906" s="169"/>
      <c r="AN906" s="169"/>
      <c r="AO906" s="169"/>
      <c r="AP906" s="169"/>
      <c r="AQ906" s="169"/>
      <c r="AR906" s="169"/>
    </row>
    <row r="907" spans="1:44" ht="12.5">
      <c r="A907" s="169"/>
      <c r="B907" s="186"/>
      <c r="C907" s="186"/>
      <c r="D907" s="187"/>
      <c r="E907" s="6"/>
      <c r="F907" s="6"/>
      <c r="G907" s="6"/>
      <c r="H907" s="169"/>
      <c r="I907" s="169"/>
      <c r="J907" s="6"/>
      <c r="K907" s="188"/>
      <c r="L907" s="189"/>
      <c r="M907" s="189"/>
      <c r="N907" s="6"/>
      <c r="O907" s="6"/>
      <c r="P907" s="6"/>
      <c r="Q907" s="169"/>
      <c r="R907" s="6"/>
      <c r="S907" s="6"/>
      <c r="T907" s="169"/>
      <c r="U907" s="6"/>
      <c r="V907" s="169"/>
      <c r="W907" s="169"/>
      <c r="X907" s="169"/>
      <c r="Y907" s="169"/>
      <c r="Z907" s="169"/>
      <c r="AA907" s="169"/>
      <c r="AB907" s="169"/>
      <c r="AC907" s="169"/>
      <c r="AD907" s="169"/>
      <c r="AE907" s="169"/>
      <c r="AF907" s="169"/>
      <c r="AG907" s="169"/>
      <c r="AH907" s="169"/>
      <c r="AI907" s="169"/>
      <c r="AJ907" s="169"/>
      <c r="AK907" s="169"/>
      <c r="AL907" s="169"/>
      <c r="AM907" s="169"/>
      <c r="AN907" s="169"/>
      <c r="AO907" s="169"/>
      <c r="AP907" s="169"/>
      <c r="AQ907" s="169"/>
      <c r="AR907" s="169"/>
    </row>
    <row r="908" spans="1:44" ht="12.5">
      <c r="A908" s="169"/>
      <c r="B908" s="186"/>
      <c r="C908" s="186"/>
      <c r="D908" s="187"/>
      <c r="E908" s="6"/>
      <c r="F908" s="6"/>
      <c r="G908" s="6"/>
      <c r="H908" s="169"/>
      <c r="I908" s="169"/>
      <c r="J908" s="6"/>
      <c r="K908" s="188"/>
      <c r="L908" s="189"/>
      <c r="M908" s="189"/>
      <c r="N908" s="6"/>
      <c r="O908" s="6"/>
      <c r="P908" s="6"/>
      <c r="Q908" s="169"/>
      <c r="R908" s="6"/>
      <c r="S908" s="6"/>
      <c r="T908" s="169"/>
      <c r="U908" s="6"/>
      <c r="V908" s="169"/>
      <c r="W908" s="169"/>
      <c r="X908" s="169"/>
      <c r="Y908" s="169"/>
      <c r="Z908" s="169"/>
      <c r="AA908" s="169"/>
      <c r="AB908" s="169"/>
      <c r="AC908" s="169"/>
      <c r="AD908" s="169"/>
      <c r="AE908" s="169"/>
      <c r="AF908" s="169"/>
      <c r="AG908" s="169"/>
      <c r="AH908" s="169"/>
      <c r="AI908" s="169"/>
      <c r="AJ908" s="169"/>
      <c r="AK908" s="169"/>
      <c r="AL908" s="169"/>
      <c r="AM908" s="169"/>
      <c r="AN908" s="169"/>
      <c r="AO908" s="169"/>
      <c r="AP908" s="169"/>
      <c r="AQ908" s="169"/>
      <c r="AR908" s="169"/>
    </row>
    <row r="909" spans="1:44" ht="12.5">
      <c r="A909" s="169"/>
      <c r="B909" s="186"/>
      <c r="C909" s="186"/>
      <c r="D909" s="187"/>
      <c r="E909" s="6"/>
      <c r="F909" s="6"/>
      <c r="G909" s="6"/>
      <c r="H909" s="169"/>
      <c r="I909" s="169"/>
      <c r="J909" s="6"/>
      <c r="K909" s="188"/>
      <c r="L909" s="189"/>
      <c r="M909" s="189"/>
      <c r="N909" s="6"/>
      <c r="O909" s="6"/>
      <c r="P909" s="6"/>
      <c r="Q909" s="169"/>
      <c r="R909" s="6"/>
      <c r="S909" s="6"/>
      <c r="T909" s="169"/>
      <c r="U909" s="6"/>
      <c r="V909" s="169"/>
      <c r="W909" s="169"/>
      <c r="X909" s="169"/>
      <c r="Y909" s="169"/>
      <c r="Z909" s="169"/>
      <c r="AA909" s="169"/>
      <c r="AB909" s="169"/>
      <c r="AC909" s="169"/>
      <c r="AD909" s="169"/>
      <c r="AE909" s="169"/>
      <c r="AF909" s="169"/>
      <c r="AG909" s="169"/>
      <c r="AH909" s="169"/>
      <c r="AI909" s="169"/>
      <c r="AJ909" s="169"/>
      <c r="AK909" s="169"/>
      <c r="AL909" s="169"/>
      <c r="AM909" s="169"/>
      <c r="AN909" s="169"/>
      <c r="AO909" s="169"/>
      <c r="AP909" s="169"/>
      <c r="AQ909" s="169"/>
      <c r="AR909" s="169"/>
    </row>
    <row r="910" spans="1:44" ht="12.5">
      <c r="A910" s="169"/>
      <c r="B910" s="186"/>
      <c r="C910" s="186"/>
      <c r="D910" s="187"/>
      <c r="E910" s="6"/>
      <c r="F910" s="6"/>
      <c r="G910" s="6"/>
      <c r="H910" s="169"/>
      <c r="I910" s="169"/>
      <c r="J910" s="6"/>
      <c r="K910" s="188"/>
      <c r="L910" s="189"/>
      <c r="M910" s="189"/>
      <c r="N910" s="6"/>
      <c r="O910" s="6"/>
      <c r="P910" s="6"/>
      <c r="Q910" s="169"/>
      <c r="R910" s="6"/>
      <c r="S910" s="6"/>
      <c r="T910" s="169"/>
      <c r="U910" s="6"/>
      <c r="V910" s="169"/>
      <c r="W910" s="169"/>
      <c r="X910" s="169"/>
      <c r="Y910" s="169"/>
      <c r="Z910" s="169"/>
      <c r="AA910" s="169"/>
      <c r="AB910" s="169"/>
      <c r="AC910" s="169"/>
      <c r="AD910" s="169"/>
      <c r="AE910" s="169"/>
      <c r="AF910" s="169"/>
      <c r="AG910" s="169"/>
      <c r="AH910" s="169"/>
      <c r="AI910" s="169"/>
      <c r="AJ910" s="169"/>
      <c r="AK910" s="169"/>
      <c r="AL910" s="169"/>
      <c r="AM910" s="169"/>
      <c r="AN910" s="169"/>
      <c r="AO910" s="169"/>
      <c r="AP910" s="169"/>
      <c r="AQ910" s="169"/>
      <c r="AR910" s="169"/>
    </row>
    <row r="911" spans="1:44" ht="12.5">
      <c r="A911" s="169"/>
      <c r="B911" s="186"/>
      <c r="C911" s="186"/>
      <c r="D911" s="187"/>
      <c r="E911" s="6"/>
      <c r="F911" s="6"/>
      <c r="G911" s="6"/>
      <c r="H911" s="169"/>
      <c r="I911" s="169"/>
      <c r="J911" s="6"/>
      <c r="K911" s="188"/>
      <c r="L911" s="189"/>
      <c r="M911" s="189"/>
      <c r="N911" s="6"/>
      <c r="O911" s="6"/>
      <c r="P911" s="6"/>
      <c r="Q911" s="169"/>
      <c r="R911" s="6"/>
      <c r="S911" s="6"/>
      <c r="T911" s="169"/>
      <c r="U911" s="6"/>
      <c r="V911" s="169"/>
      <c r="W911" s="169"/>
      <c r="X911" s="169"/>
      <c r="Y911" s="169"/>
      <c r="Z911" s="169"/>
      <c r="AA911" s="169"/>
      <c r="AB911" s="169"/>
      <c r="AC911" s="169"/>
      <c r="AD911" s="169"/>
      <c r="AE911" s="169"/>
      <c r="AF911" s="169"/>
      <c r="AG911" s="169"/>
      <c r="AH911" s="169"/>
      <c r="AI911" s="169"/>
      <c r="AJ911" s="169"/>
      <c r="AK911" s="169"/>
      <c r="AL911" s="169"/>
      <c r="AM911" s="169"/>
      <c r="AN911" s="169"/>
      <c r="AO911" s="169"/>
      <c r="AP911" s="169"/>
      <c r="AQ911" s="169"/>
      <c r="AR911" s="169"/>
    </row>
    <row r="912" spans="1:44" ht="12.5">
      <c r="A912" s="169"/>
      <c r="B912" s="186"/>
      <c r="C912" s="186"/>
      <c r="D912" s="187"/>
      <c r="E912" s="6"/>
      <c r="F912" s="6"/>
      <c r="G912" s="6"/>
      <c r="H912" s="169"/>
      <c r="I912" s="169"/>
      <c r="J912" s="6"/>
      <c r="K912" s="188"/>
      <c r="L912" s="189"/>
      <c r="M912" s="189"/>
      <c r="N912" s="6"/>
      <c r="O912" s="6"/>
      <c r="P912" s="6"/>
      <c r="Q912" s="169"/>
      <c r="R912" s="6"/>
      <c r="S912" s="6"/>
      <c r="T912" s="169"/>
      <c r="U912" s="6"/>
      <c r="V912" s="169"/>
      <c r="W912" s="169"/>
      <c r="X912" s="169"/>
      <c r="Y912" s="169"/>
      <c r="Z912" s="169"/>
      <c r="AA912" s="169"/>
      <c r="AB912" s="169"/>
      <c r="AC912" s="169"/>
      <c r="AD912" s="169"/>
      <c r="AE912" s="169"/>
      <c r="AF912" s="169"/>
      <c r="AG912" s="169"/>
      <c r="AH912" s="169"/>
      <c r="AI912" s="169"/>
      <c r="AJ912" s="169"/>
      <c r="AK912" s="169"/>
      <c r="AL912" s="169"/>
      <c r="AM912" s="169"/>
      <c r="AN912" s="169"/>
      <c r="AO912" s="169"/>
      <c r="AP912" s="169"/>
      <c r="AQ912" s="169"/>
      <c r="AR912" s="169"/>
    </row>
    <row r="913" spans="1:44" ht="12.5">
      <c r="A913" s="169"/>
      <c r="B913" s="186"/>
      <c r="C913" s="186"/>
      <c r="D913" s="187"/>
      <c r="E913" s="6"/>
      <c r="F913" s="6"/>
      <c r="G913" s="6"/>
      <c r="H913" s="169"/>
      <c r="I913" s="169"/>
      <c r="J913" s="6"/>
      <c r="K913" s="188"/>
      <c r="L913" s="189"/>
      <c r="M913" s="189"/>
      <c r="N913" s="6"/>
      <c r="O913" s="6"/>
      <c r="P913" s="6"/>
      <c r="Q913" s="169"/>
      <c r="R913" s="6"/>
      <c r="S913" s="6"/>
      <c r="T913" s="169"/>
      <c r="U913" s="6"/>
      <c r="V913" s="169"/>
      <c r="W913" s="169"/>
      <c r="X913" s="169"/>
      <c r="Y913" s="169"/>
      <c r="Z913" s="169"/>
      <c r="AA913" s="169"/>
      <c r="AB913" s="169"/>
      <c r="AC913" s="169"/>
      <c r="AD913" s="169"/>
      <c r="AE913" s="169"/>
      <c r="AF913" s="169"/>
      <c r="AG913" s="169"/>
      <c r="AH913" s="169"/>
      <c r="AI913" s="169"/>
      <c r="AJ913" s="169"/>
      <c r="AK913" s="169"/>
      <c r="AL913" s="169"/>
      <c r="AM913" s="169"/>
      <c r="AN913" s="169"/>
      <c r="AO913" s="169"/>
      <c r="AP913" s="169"/>
      <c r="AQ913" s="169"/>
      <c r="AR913" s="169"/>
    </row>
    <row r="914" spans="1:44" ht="12.5">
      <c r="A914" s="169"/>
      <c r="B914" s="186"/>
      <c r="C914" s="186"/>
      <c r="D914" s="187"/>
      <c r="E914" s="6"/>
      <c r="F914" s="6"/>
      <c r="G914" s="6"/>
      <c r="H914" s="169"/>
      <c r="I914" s="169"/>
      <c r="J914" s="6"/>
      <c r="K914" s="188"/>
      <c r="L914" s="189"/>
      <c r="M914" s="189"/>
      <c r="N914" s="6"/>
      <c r="O914" s="6"/>
      <c r="P914" s="6"/>
      <c r="Q914" s="169"/>
      <c r="R914" s="6"/>
      <c r="S914" s="6"/>
      <c r="T914" s="169"/>
      <c r="U914" s="6"/>
      <c r="V914" s="169"/>
      <c r="W914" s="169"/>
      <c r="X914" s="169"/>
      <c r="Y914" s="169"/>
      <c r="Z914" s="169"/>
      <c r="AA914" s="169"/>
      <c r="AB914" s="169"/>
      <c r="AC914" s="169"/>
      <c r="AD914" s="169"/>
      <c r="AE914" s="169"/>
      <c r="AF914" s="169"/>
      <c r="AG914" s="169"/>
      <c r="AH914" s="169"/>
      <c r="AI914" s="169"/>
      <c r="AJ914" s="169"/>
      <c r="AK914" s="169"/>
      <c r="AL914" s="169"/>
      <c r="AM914" s="169"/>
      <c r="AN914" s="169"/>
      <c r="AO914" s="169"/>
      <c r="AP914" s="169"/>
      <c r="AQ914" s="169"/>
      <c r="AR914" s="169"/>
    </row>
    <row r="915" spans="1:44" ht="12.5">
      <c r="A915" s="169"/>
      <c r="B915" s="186"/>
      <c r="C915" s="186"/>
      <c r="D915" s="187"/>
      <c r="E915" s="6"/>
      <c r="F915" s="6"/>
      <c r="G915" s="6"/>
      <c r="H915" s="169"/>
      <c r="I915" s="169"/>
      <c r="J915" s="6"/>
      <c r="K915" s="188"/>
      <c r="L915" s="189"/>
      <c r="M915" s="189"/>
      <c r="N915" s="6"/>
      <c r="O915" s="6"/>
      <c r="P915" s="6"/>
      <c r="Q915" s="169"/>
      <c r="R915" s="6"/>
      <c r="S915" s="6"/>
      <c r="T915" s="169"/>
      <c r="U915" s="6"/>
      <c r="V915" s="169"/>
      <c r="W915" s="169"/>
      <c r="X915" s="169"/>
      <c r="Y915" s="169"/>
      <c r="Z915" s="169"/>
      <c r="AA915" s="169"/>
      <c r="AB915" s="169"/>
      <c r="AC915" s="169"/>
      <c r="AD915" s="169"/>
      <c r="AE915" s="169"/>
      <c r="AF915" s="169"/>
      <c r="AG915" s="169"/>
      <c r="AH915" s="169"/>
      <c r="AI915" s="169"/>
      <c r="AJ915" s="169"/>
      <c r="AK915" s="169"/>
      <c r="AL915" s="169"/>
      <c r="AM915" s="169"/>
      <c r="AN915" s="169"/>
      <c r="AO915" s="169"/>
      <c r="AP915" s="169"/>
      <c r="AQ915" s="169"/>
      <c r="AR915" s="169"/>
    </row>
    <row r="916" spans="1:44" ht="12.5">
      <c r="A916" s="169"/>
      <c r="B916" s="186"/>
      <c r="C916" s="186"/>
      <c r="D916" s="187"/>
      <c r="E916" s="6"/>
      <c r="F916" s="6"/>
      <c r="G916" s="6"/>
      <c r="H916" s="169"/>
      <c r="I916" s="169"/>
      <c r="J916" s="6"/>
      <c r="K916" s="188"/>
      <c r="L916" s="189"/>
      <c r="M916" s="189"/>
      <c r="N916" s="6"/>
      <c r="O916" s="6"/>
      <c r="P916" s="6"/>
      <c r="Q916" s="169"/>
      <c r="R916" s="6"/>
      <c r="S916" s="6"/>
      <c r="T916" s="169"/>
      <c r="U916" s="6"/>
      <c r="V916" s="169"/>
      <c r="W916" s="169"/>
      <c r="X916" s="169"/>
      <c r="Y916" s="169"/>
      <c r="Z916" s="169"/>
      <c r="AA916" s="169"/>
      <c r="AB916" s="169"/>
      <c r="AC916" s="169"/>
      <c r="AD916" s="169"/>
      <c r="AE916" s="169"/>
      <c r="AF916" s="169"/>
      <c r="AG916" s="169"/>
      <c r="AH916" s="169"/>
      <c r="AI916" s="169"/>
      <c r="AJ916" s="169"/>
      <c r="AK916" s="169"/>
      <c r="AL916" s="169"/>
      <c r="AM916" s="169"/>
      <c r="AN916" s="169"/>
      <c r="AO916" s="169"/>
      <c r="AP916" s="169"/>
      <c r="AQ916" s="169"/>
      <c r="AR916" s="169"/>
    </row>
    <row r="917" spans="1:44" ht="12.5">
      <c r="A917" s="169"/>
      <c r="B917" s="186"/>
      <c r="C917" s="186"/>
      <c r="D917" s="187"/>
      <c r="E917" s="6"/>
      <c r="F917" s="6"/>
      <c r="G917" s="6"/>
      <c r="H917" s="169"/>
      <c r="I917" s="169"/>
      <c r="J917" s="6"/>
      <c r="K917" s="188"/>
      <c r="L917" s="189"/>
      <c r="M917" s="189"/>
      <c r="N917" s="6"/>
      <c r="O917" s="6"/>
      <c r="P917" s="6"/>
      <c r="Q917" s="169"/>
      <c r="R917" s="6"/>
      <c r="S917" s="6"/>
      <c r="T917" s="169"/>
      <c r="U917" s="6"/>
      <c r="V917" s="169"/>
      <c r="W917" s="169"/>
      <c r="X917" s="169"/>
      <c r="Y917" s="169"/>
      <c r="Z917" s="169"/>
      <c r="AA917" s="169"/>
      <c r="AB917" s="169"/>
      <c r="AC917" s="169"/>
      <c r="AD917" s="169"/>
      <c r="AE917" s="169"/>
      <c r="AF917" s="169"/>
      <c r="AG917" s="169"/>
      <c r="AH917" s="169"/>
      <c r="AI917" s="169"/>
      <c r="AJ917" s="169"/>
      <c r="AK917" s="169"/>
      <c r="AL917" s="169"/>
      <c r="AM917" s="169"/>
      <c r="AN917" s="169"/>
      <c r="AO917" s="169"/>
      <c r="AP917" s="169"/>
      <c r="AQ917" s="169"/>
      <c r="AR917" s="169"/>
    </row>
    <row r="918" spans="1:44" ht="12.5">
      <c r="A918" s="169"/>
      <c r="B918" s="186"/>
      <c r="C918" s="186"/>
      <c r="D918" s="187"/>
      <c r="E918" s="6"/>
      <c r="F918" s="6"/>
      <c r="G918" s="6"/>
      <c r="H918" s="169"/>
      <c r="I918" s="169"/>
      <c r="J918" s="6"/>
      <c r="K918" s="188"/>
      <c r="L918" s="189"/>
      <c r="M918" s="189"/>
      <c r="N918" s="6"/>
      <c r="O918" s="6"/>
      <c r="P918" s="6"/>
      <c r="Q918" s="169"/>
      <c r="R918" s="6"/>
      <c r="S918" s="6"/>
      <c r="T918" s="169"/>
      <c r="U918" s="6"/>
      <c r="V918" s="169"/>
      <c r="W918" s="169"/>
      <c r="X918" s="169"/>
      <c r="Y918" s="169"/>
      <c r="Z918" s="169"/>
      <c r="AA918" s="169"/>
      <c r="AB918" s="169"/>
      <c r="AC918" s="169"/>
      <c r="AD918" s="169"/>
      <c r="AE918" s="169"/>
      <c r="AF918" s="169"/>
      <c r="AG918" s="169"/>
      <c r="AH918" s="169"/>
      <c r="AI918" s="169"/>
      <c r="AJ918" s="169"/>
      <c r="AK918" s="169"/>
      <c r="AL918" s="169"/>
      <c r="AM918" s="169"/>
      <c r="AN918" s="169"/>
      <c r="AO918" s="169"/>
      <c r="AP918" s="169"/>
      <c r="AQ918" s="169"/>
      <c r="AR918" s="169"/>
    </row>
    <row r="919" spans="1:44" ht="12.5">
      <c r="A919" s="169"/>
      <c r="B919" s="186"/>
      <c r="C919" s="186"/>
      <c r="D919" s="187"/>
      <c r="E919" s="6"/>
      <c r="F919" s="6"/>
      <c r="G919" s="6"/>
      <c r="H919" s="169"/>
      <c r="I919" s="169"/>
      <c r="J919" s="6"/>
      <c r="K919" s="188"/>
      <c r="L919" s="189"/>
      <c r="M919" s="189"/>
      <c r="N919" s="6"/>
      <c r="O919" s="6"/>
      <c r="P919" s="6"/>
      <c r="Q919" s="169"/>
      <c r="R919" s="6"/>
      <c r="S919" s="6"/>
      <c r="T919" s="169"/>
      <c r="U919" s="6"/>
      <c r="V919" s="169"/>
      <c r="W919" s="169"/>
      <c r="X919" s="169"/>
      <c r="Y919" s="169"/>
      <c r="Z919" s="169"/>
      <c r="AA919" s="169"/>
      <c r="AB919" s="169"/>
      <c r="AC919" s="169"/>
      <c r="AD919" s="169"/>
      <c r="AE919" s="169"/>
      <c r="AF919" s="169"/>
      <c r="AG919" s="169"/>
      <c r="AH919" s="169"/>
      <c r="AI919" s="169"/>
      <c r="AJ919" s="169"/>
      <c r="AK919" s="169"/>
      <c r="AL919" s="169"/>
      <c r="AM919" s="169"/>
      <c r="AN919" s="169"/>
      <c r="AO919" s="169"/>
      <c r="AP919" s="169"/>
      <c r="AQ919" s="169"/>
      <c r="AR919" s="169"/>
    </row>
    <row r="920" spans="1:44" ht="12.5">
      <c r="A920" s="169"/>
      <c r="B920" s="186"/>
      <c r="C920" s="186"/>
      <c r="D920" s="187"/>
      <c r="E920" s="6"/>
      <c r="F920" s="6"/>
      <c r="G920" s="6"/>
      <c r="H920" s="169"/>
      <c r="I920" s="169"/>
      <c r="J920" s="6"/>
      <c r="K920" s="188"/>
      <c r="L920" s="189"/>
      <c r="M920" s="189"/>
      <c r="N920" s="6"/>
      <c r="O920" s="6"/>
      <c r="P920" s="6"/>
      <c r="Q920" s="169"/>
      <c r="R920" s="6"/>
      <c r="S920" s="6"/>
      <c r="T920" s="169"/>
      <c r="U920" s="6"/>
      <c r="V920" s="169"/>
      <c r="W920" s="169"/>
      <c r="X920" s="169"/>
      <c r="Y920" s="169"/>
      <c r="Z920" s="169"/>
      <c r="AA920" s="169"/>
      <c r="AB920" s="169"/>
      <c r="AC920" s="169"/>
      <c r="AD920" s="169"/>
      <c r="AE920" s="169"/>
      <c r="AF920" s="169"/>
      <c r="AG920" s="169"/>
      <c r="AH920" s="169"/>
      <c r="AI920" s="169"/>
      <c r="AJ920" s="169"/>
      <c r="AK920" s="169"/>
      <c r="AL920" s="169"/>
      <c r="AM920" s="169"/>
      <c r="AN920" s="169"/>
      <c r="AO920" s="169"/>
      <c r="AP920" s="169"/>
      <c r="AQ920" s="169"/>
      <c r="AR920" s="169"/>
    </row>
    <row r="921" spans="1:44" ht="12.5">
      <c r="A921" s="169"/>
      <c r="B921" s="186"/>
      <c r="C921" s="186"/>
      <c r="D921" s="187"/>
      <c r="E921" s="6"/>
      <c r="F921" s="6"/>
      <c r="G921" s="6"/>
      <c r="H921" s="169"/>
      <c r="I921" s="169"/>
      <c r="J921" s="6"/>
      <c r="K921" s="188"/>
      <c r="L921" s="189"/>
      <c r="M921" s="189"/>
      <c r="N921" s="6"/>
      <c r="O921" s="6"/>
      <c r="P921" s="6"/>
      <c r="Q921" s="169"/>
      <c r="R921" s="6"/>
      <c r="S921" s="6"/>
      <c r="T921" s="169"/>
      <c r="U921" s="6"/>
      <c r="V921" s="169"/>
      <c r="W921" s="169"/>
      <c r="X921" s="169"/>
      <c r="Y921" s="169"/>
      <c r="Z921" s="169"/>
      <c r="AA921" s="169"/>
      <c r="AB921" s="169"/>
      <c r="AC921" s="169"/>
      <c r="AD921" s="169"/>
      <c r="AE921" s="169"/>
      <c r="AF921" s="169"/>
      <c r="AG921" s="169"/>
      <c r="AH921" s="169"/>
      <c r="AI921" s="169"/>
      <c r="AJ921" s="169"/>
      <c r="AK921" s="169"/>
      <c r="AL921" s="169"/>
      <c r="AM921" s="169"/>
      <c r="AN921" s="169"/>
      <c r="AO921" s="169"/>
      <c r="AP921" s="169"/>
      <c r="AQ921" s="169"/>
      <c r="AR921" s="169"/>
    </row>
    <row r="922" spans="1:44" ht="12.5">
      <c r="A922" s="169"/>
      <c r="B922" s="186"/>
      <c r="C922" s="186"/>
      <c r="D922" s="187"/>
      <c r="E922" s="6"/>
      <c r="F922" s="6"/>
      <c r="G922" s="6"/>
      <c r="H922" s="169"/>
      <c r="I922" s="169"/>
      <c r="J922" s="6"/>
      <c r="K922" s="188"/>
      <c r="L922" s="189"/>
      <c r="M922" s="189"/>
      <c r="N922" s="6"/>
      <c r="O922" s="6"/>
      <c r="P922" s="6"/>
      <c r="Q922" s="169"/>
      <c r="R922" s="6"/>
      <c r="S922" s="6"/>
      <c r="T922" s="169"/>
      <c r="U922" s="6"/>
      <c r="V922" s="169"/>
      <c r="W922" s="169"/>
      <c r="X922" s="169"/>
      <c r="Y922" s="169"/>
      <c r="Z922" s="169"/>
      <c r="AA922" s="169"/>
      <c r="AB922" s="169"/>
      <c r="AC922" s="169"/>
      <c r="AD922" s="169"/>
      <c r="AE922" s="169"/>
      <c r="AF922" s="169"/>
      <c r="AG922" s="169"/>
      <c r="AH922" s="169"/>
      <c r="AI922" s="169"/>
      <c r="AJ922" s="169"/>
      <c r="AK922" s="169"/>
      <c r="AL922" s="169"/>
      <c r="AM922" s="169"/>
      <c r="AN922" s="169"/>
      <c r="AO922" s="169"/>
      <c r="AP922" s="169"/>
      <c r="AQ922" s="169"/>
      <c r="AR922" s="169"/>
    </row>
    <row r="923" spans="1:44" ht="12.5">
      <c r="A923" s="169"/>
      <c r="B923" s="186"/>
      <c r="C923" s="186"/>
      <c r="D923" s="187"/>
      <c r="E923" s="6"/>
      <c r="F923" s="6"/>
      <c r="G923" s="6"/>
      <c r="H923" s="169"/>
      <c r="I923" s="169"/>
      <c r="J923" s="6"/>
      <c r="K923" s="188"/>
      <c r="L923" s="189"/>
      <c r="M923" s="189"/>
      <c r="N923" s="6"/>
      <c r="O923" s="6"/>
      <c r="P923" s="6"/>
      <c r="Q923" s="169"/>
      <c r="R923" s="6"/>
      <c r="S923" s="6"/>
      <c r="T923" s="169"/>
      <c r="U923" s="6"/>
      <c r="V923" s="169"/>
      <c r="W923" s="169"/>
      <c r="X923" s="169"/>
      <c r="Y923" s="169"/>
      <c r="Z923" s="169"/>
      <c r="AA923" s="169"/>
      <c r="AB923" s="169"/>
      <c r="AC923" s="169"/>
      <c r="AD923" s="169"/>
      <c r="AE923" s="169"/>
      <c r="AF923" s="169"/>
      <c r="AG923" s="169"/>
      <c r="AH923" s="169"/>
      <c r="AI923" s="169"/>
      <c r="AJ923" s="169"/>
      <c r="AK923" s="169"/>
      <c r="AL923" s="169"/>
      <c r="AM923" s="169"/>
      <c r="AN923" s="169"/>
      <c r="AO923" s="169"/>
      <c r="AP923" s="169"/>
      <c r="AQ923" s="169"/>
      <c r="AR923" s="169"/>
    </row>
    <row r="924" spans="1:44" ht="12.5">
      <c r="A924" s="169"/>
      <c r="B924" s="186"/>
      <c r="C924" s="186"/>
      <c r="D924" s="187"/>
      <c r="E924" s="6"/>
      <c r="F924" s="6"/>
      <c r="G924" s="6"/>
      <c r="H924" s="169"/>
      <c r="I924" s="169"/>
      <c r="J924" s="6"/>
      <c r="K924" s="188"/>
      <c r="L924" s="189"/>
      <c r="M924" s="189"/>
      <c r="N924" s="6"/>
      <c r="O924" s="6"/>
      <c r="P924" s="6"/>
      <c r="Q924" s="169"/>
      <c r="R924" s="6"/>
      <c r="S924" s="6"/>
      <c r="T924" s="169"/>
      <c r="U924" s="6"/>
      <c r="V924" s="169"/>
      <c r="W924" s="169"/>
      <c r="X924" s="169"/>
      <c r="Y924" s="169"/>
      <c r="Z924" s="169"/>
      <c r="AA924" s="169"/>
      <c r="AB924" s="169"/>
      <c r="AC924" s="169"/>
      <c r="AD924" s="169"/>
      <c r="AE924" s="169"/>
      <c r="AF924" s="169"/>
      <c r="AG924" s="169"/>
      <c r="AH924" s="169"/>
      <c r="AI924" s="169"/>
      <c r="AJ924" s="169"/>
      <c r="AK924" s="169"/>
      <c r="AL924" s="169"/>
      <c r="AM924" s="169"/>
      <c r="AN924" s="169"/>
      <c r="AO924" s="169"/>
      <c r="AP924" s="169"/>
      <c r="AQ924" s="169"/>
      <c r="AR924" s="169"/>
    </row>
    <row r="925" spans="1:44" ht="12.5">
      <c r="A925" s="169"/>
      <c r="B925" s="186"/>
      <c r="C925" s="186"/>
      <c r="D925" s="187"/>
      <c r="E925" s="6"/>
      <c r="F925" s="6"/>
      <c r="G925" s="6"/>
      <c r="H925" s="169"/>
      <c r="I925" s="169"/>
      <c r="J925" s="6"/>
      <c r="K925" s="188"/>
      <c r="L925" s="189"/>
      <c r="M925" s="189"/>
      <c r="N925" s="6"/>
      <c r="O925" s="6"/>
      <c r="P925" s="6"/>
      <c r="Q925" s="169"/>
      <c r="R925" s="6"/>
      <c r="S925" s="6"/>
      <c r="T925" s="169"/>
      <c r="U925" s="6"/>
      <c r="V925" s="169"/>
      <c r="W925" s="169"/>
      <c r="X925" s="169"/>
      <c r="Y925" s="169"/>
      <c r="Z925" s="169"/>
      <c r="AA925" s="169"/>
      <c r="AB925" s="169"/>
      <c r="AC925" s="169"/>
      <c r="AD925" s="169"/>
      <c r="AE925" s="169"/>
      <c r="AF925" s="169"/>
      <c r="AG925" s="169"/>
      <c r="AH925" s="169"/>
      <c r="AI925" s="169"/>
      <c r="AJ925" s="169"/>
      <c r="AK925" s="169"/>
      <c r="AL925" s="169"/>
      <c r="AM925" s="169"/>
      <c r="AN925" s="169"/>
      <c r="AO925" s="169"/>
      <c r="AP925" s="169"/>
      <c r="AQ925" s="169"/>
      <c r="AR925" s="169"/>
    </row>
    <row r="926" spans="1:44" ht="12.5">
      <c r="A926" s="169"/>
      <c r="B926" s="186"/>
      <c r="C926" s="186"/>
      <c r="D926" s="187"/>
      <c r="E926" s="6"/>
      <c r="F926" s="6"/>
      <c r="G926" s="6"/>
      <c r="H926" s="169"/>
      <c r="I926" s="169"/>
      <c r="J926" s="6"/>
      <c r="K926" s="188"/>
      <c r="L926" s="189"/>
      <c r="M926" s="189"/>
      <c r="N926" s="6"/>
      <c r="O926" s="6"/>
      <c r="P926" s="6"/>
      <c r="Q926" s="169"/>
      <c r="R926" s="6"/>
      <c r="S926" s="6"/>
      <c r="T926" s="169"/>
      <c r="U926" s="6"/>
      <c r="V926" s="169"/>
      <c r="W926" s="169"/>
      <c r="X926" s="169"/>
      <c r="Y926" s="169"/>
      <c r="Z926" s="169"/>
      <c r="AA926" s="169"/>
      <c r="AB926" s="169"/>
      <c r="AC926" s="169"/>
      <c r="AD926" s="169"/>
      <c r="AE926" s="169"/>
      <c r="AF926" s="169"/>
      <c r="AG926" s="169"/>
      <c r="AH926" s="169"/>
      <c r="AI926" s="169"/>
      <c r="AJ926" s="169"/>
      <c r="AK926" s="169"/>
      <c r="AL926" s="169"/>
      <c r="AM926" s="169"/>
      <c r="AN926" s="169"/>
      <c r="AO926" s="169"/>
      <c r="AP926" s="169"/>
      <c r="AQ926" s="169"/>
      <c r="AR926" s="169"/>
    </row>
    <row r="927" spans="1:44" ht="12.5">
      <c r="A927" s="169"/>
      <c r="B927" s="186"/>
      <c r="C927" s="186"/>
      <c r="D927" s="187"/>
      <c r="E927" s="6"/>
      <c r="F927" s="6"/>
      <c r="G927" s="6"/>
      <c r="H927" s="169"/>
      <c r="I927" s="169"/>
      <c r="J927" s="6"/>
      <c r="K927" s="188"/>
      <c r="L927" s="189"/>
      <c r="M927" s="189"/>
      <c r="N927" s="6"/>
      <c r="O927" s="6"/>
      <c r="P927" s="6"/>
      <c r="Q927" s="169"/>
      <c r="R927" s="6"/>
      <c r="S927" s="6"/>
      <c r="T927" s="169"/>
      <c r="U927" s="6"/>
      <c r="V927" s="169"/>
      <c r="W927" s="169"/>
      <c r="X927" s="169"/>
      <c r="Y927" s="169"/>
      <c r="Z927" s="169"/>
      <c r="AA927" s="169"/>
      <c r="AB927" s="169"/>
      <c r="AC927" s="169"/>
      <c r="AD927" s="169"/>
      <c r="AE927" s="169"/>
      <c r="AF927" s="169"/>
      <c r="AG927" s="169"/>
      <c r="AH927" s="169"/>
      <c r="AI927" s="169"/>
      <c r="AJ927" s="169"/>
      <c r="AK927" s="169"/>
      <c r="AL927" s="169"/>
      <c r="AM927" s="169"/>
      <c r="AN927" s="169"/>
      <c r="AO927" s="169"/>
      <c r="AP927" s="169"/>
      <c r="AQ927" s="169"/>
      <c r="AR927" s="169"/>
    </row>
    <row r="928" spans="1:44" ht="12.5">
      <c r="A928" s="169"/>
      <c r="B928" s="186"/>
      <c r="C928" s="186"/>
      <c r="D928" s="187"/>
      <c r="E928" s="6"/>
      <c r="F928" s="6"/>
      <c r="G928" s="6"/>
      <c r="H928" s="169"/>
      <c r="I928" s="169"/>
      <c r="J928" s="6"/>
      <c r="K928" s="188"/>
      <c r="L928" s="189"/>
      <c r="M928" s="189"/>
      <c r="N928" s="6"/>
      <c r="O928" s="6"/>
      <c r="P928" s="6"/>
      <c r="Q928" s="169"/>
      <c r="R928" s="6"/>
      <c r="S928" s="6"/>
      <c r="T928" s="169"/>
      <c r="U928" s="6"/>
      <c r="V928" s="169"/>
      <c r="W928" s="169"/>
      <c r="X928" s="169"/>
      <c r="Y928" s="169"/>
      <c r="Z928" s="169"/>
      <c r="AA928" s="169"/>
      <c r="AB928" s="169"/>
      <c r="AC928" s="169"/>
      <c r="AD928" s="169"/>
      <c r="AE928" s="169"/>
      <c r="AF928" s="169"/>
      <c r="AG928" s="169"/>
      <c r="AH928" s="169"/>
      <c r="AI928" s="169"/>
      <c r="AJ928" s="169"/>
      <c r="AK928" s="169"/>
      <c r="AL928" s="169"/>
      <c r="AM928" s="169"/>
      <c r="AN928" s="169"/>
      <c r="AO928" s="169"/>
      <c r="AP928" s="169"/>
      <c r="AQ928" s="169"/>
      <c r="AR928" s="169"/>
    </row>
    <row r="929" spans="1:44" ht="12.5">
      <c r="A929" s="169"/>
      <c r="B929" s="186"/>
      <c r="C929" s="186"/>
      <c r="D929" s="187"/>
      <c r="E929" s="6"/>
      <c r="F929" s="6"/>
      <c r="G929" s="6"/>
      <c r="H929" s="169"/>
      <c r="I929" s="169"/>
      <c r="J929" s="6"/>
      <c r="K929" s="188"/>
      <c r="L929" s="189"/>
      <c r="M929" s="189"/>
      <c r="N929" s="6"/>
      <c r="O929" s="6"/>
      <c r="P929" s="6"/>
      <c r="Q929" s="169"/>
      <c r="R929" s="6"/>
      <c r="S929" s="6"/>
      <c r="T929" s="169"/>
      <c r="U929" s="6"/>
      <c r="V929" s="169"/>
      <c r="W929" s="169"/>
      <c r="X929" s="169"/>
      <c r="Y929" s="169"/>
      <c r="Z929" s="169"/>
      <c r="AA929" s="169"/>
      <c r="AB929" s="169"/>
      <c r="AC929" s="169"/>
      <c r="AD929" s="169"/>
      <c r="AE929" s="169"/>
      <c r="AF929" s="169"/>
      <c r="AG929" s="169"/>
      <c r="AH929" s="169"/>
      <c r="AI929" s="169"/>
      <c r="AJ929" s="169"/>
      <c r="AK929" s="169"/>
      <c r="AL929" s="169"/>
      <c r="AM929" s="169"/>
      <c r="AN929" s="169"/>
      <c r="AO929" s="169"/>
      <c r="AP929" s="169"/>
      <c r="AQ929" s="169"/>
      <c r="AR929" s="169"/>
    </row>
    <row r="930" spans="1:44" ht="12.5">
      <c r="A930" s="169"/>
      <c r="B930" s="186"/>
      <c r="C930" s="186"/>
      <c r="D930" s="187"/>
      <c r="E930" s="6"/>
      <c r="F930" s="6"/>
      <c r="G930" s="6"/>
      <c r="H930" s="169"/>
      <c r="I930" s="169"/>
      <c r="J930" s="6"/>
      <c r="K930" s="188"/>
      <c r="L930" s="189"/>
      <c r="M930" s="189"/>
      <c r="N930" s="6"/>
      <c r="O930" s="6"/>
      <c r="P930" s="6"/>
      <c r="Q930" s="169"/>
      <c r="R930" s="6"/>
      <c r="S930" s="6"/>
      <c r="T930" s="169"/>
      <c r="U930" s="6"/>
      <c r="V930" s="169"/>
      <c r="W930" s="169"/>
      <c r="X930" s="169"/>
      <c r="Y930" s="169"/>
      <c r="Z930" s="169"/>
      <c r="AA930" s="169"/>
      <c r="AB930" s="169"/>
      <c r="AC930" s="169"/>
      <c r="AD930" s="169"/>
      <c r="AE930" s="169"/>
      <c r="AF930" s="169"/>
      <c r="AG930" s="169"/>
      <c r="AH930" s="169"/>
      <c r="AI930" s="169"/>
      <c r="AJ930" s="169"/>
      <c r="AK930" s="169"/>
      <c r="AL930" s="169"/>
      <c r="AM930" s="169"/>
      <c r="AN930" s="169"/>
      <c r="AO930" s="169"/>
      <c r="AP930" s="169"/>
      <c r="AQ930" s="169"/>
      <c r="AR930" s="169"/>
    </row>
    <row r="931" spans="1:44" ht="12.5">
      <c r="A931" s="169"/>
      <c r="B931" s="186"/>
      <c r="C931" s="186"/>
      <c r="D931" s="187"/>
      <c r="E931" s="6"/>
      <c r="F931" s="6"/>
      <c r="G931" s="6"/>
      <c r="H931" s="169"/>
      <c r="I931" s="169"/>
      <c r="J931" s="6"/>
      <c r="K931" s="188"/>
      <c r="L931" s="189"/>
      <c r="M931" s="189"/>
      <c r="N931" s="6"/>
      <c r="O931" s="6"/>
      <c r="P931" s="6"/>
      <c r="Q931" s="169"/>
      <c r="R931" s="6"/>
      <c r="S931" s="6"/>
      <c r="T931" s="169"/>
      <c r="U931" s="6"/>
      <c r="V931" s="169"/>
      <c r="W931" s="169"/>
      <c r="X931" s="169"/>
      <c r="Y931" s="169"/>
      <c r="Z931" s="169"/>
      <c r="AA931" s="169"/>
      <c r="AB931" s="169"/>
      <c r="AC931" s="169"/>
      <c r="AD931" s="169"/>
      <c r="AE931" s="169"/>
      <c r="AF931" s="169"/>
      <c r="AG931" s="169"/>
      <c r="AH931" s="169"/>
      <c r="AI931" s="169"/>
      <c r="AJ931" s="169"/>
      <c r="AK931" s="169"/>
      <c r="AL931" s="169"/>
      <c r="AM931" s="169"/>
      <c r="AN931" s="169"/>
      <c r="AO931" s="169"/>
      <c r="AP931" s="169"/>
      <c r="AQ931" s="169"/>
      <c r="AR931" s="169"/>
    </row>
    <row r="932" spans="1:44" ht="12.5">
      <c r="A932" s="169"/>
      <c r="B932" s="186"/>
      <c r="C932" s="186"/>
      <c r="D932" s="187"/>
      <c r="E932" s="6"/>
      <c r="F932" s="6"/>
      <c r="G932" s="6"/>
      <c r="H932" s="169"/>
      <c r="I932" s="169"/>
      <c r="J932" s="6"/>
      <c r="K932" s="188"/>
      <c r="L932" s="189"/>
      <c r="M932" s="189"/>
      <c r="N932" s="6"/>
      <c r="O932" s="6"/>
      <c r="P932" s="6"/>
      <c r="Q932" s="169"/>
      <c r="R932" s="6"/>
      <c r="S932" s="6"/>
      <c r="T932" s="169"/>
      <c r="U932" s="6"/>
      <c r="V932" s="169"/>
      <c r="W932" s="169"/>
      <c r="X932" s="169"/>
      <c r="Y932" s="169"/>
      <c r="Z932" s="169"/>
      <c r="AA932" s="169"/>
      <c r="AB932" s="169"/>
      <c r="AC932" s="169"/>
      <c r="AD932" s="169"/>
      <c r="AE932" s="169"/>
      <c r="AF932" s="169"/>
      <c r="AG932" s="169"/>
      <c r="AH932" s="169"/>
      <c r="AI932" s="169"/>
      <c r="AJ932" s="169"/>
      <c r="AK932" s="169"/>
      <c r="AL932" s="169"/>
      <c r="AM932" s="169"/>
      <c r="AN932" s="169"/>
      <c r="AO932" s="169"/>
      <c r="AP932" s="169"/>
      <c r="AQ932" s="169"/>
      <c r="AR932" s="169"/>
    </row>
    <row r="933" spans="1:44" ht="12.5">
      <c r="A933" s="169"/>
      <c r="B933" s="186"/>
      <c r="C933" s="186"/>
      <c r="D933" s="187"/>
      <c r="E933" s="6"/>
      <c r="F933" s="6"/>
      <c r="G933" s="6"/>
      <c r="H933" s="169"/>
      <c r="I933" s="169"/>
      <c r="J933" s="6"/>
      <c r="K933" s="188"/>
      <c r="L933" s="189"/>
      <c r="M933" s="189"/>
      <c r="N933" s="6"/>
      <c r="O933" s="6"/>
      <c r="P933" s="6"/>
      <c r="Q933" s="169"/>
      <c r="R933" s="6"/>
      <c r="S933" s="6"/>
      <c r="T933" s="169"/>
      <c r="U933" s="6"/>
      <c r="V933" s="169"/>
      <c r="W933" s="169"/>
      <c r="X933" s="169"/>
      <c r="Y933" s="169"/>
      <c r="Z933" s="169"/>
      <c r="AA933" s="169"/>
      <c r="AB933" s="169"/>
      <c r="AC933" s="169"/>
      <c r="AD933" s="169"/>
      <c r="AE933" s="169"/>
      <c r="AF933" s="169"/>
      <c r="AG933" s="169"/>
      <c r="AH933" s="169"/>
      <c r="AI933" s="169"/>
      <c r="AJ933" s="169"/>
      <c r="AK933" s="169"/>
      <c r="AL933" s="169"/>
      <c r="AM933" s="169"/>
      <c r="AN933" s="169"/>
      <c r="AO933" s="169"/>
      <c r="AP933" s="169"/>
      <c r="AQ933" s="169"/>
      <c r="AR933" s="169"/>
    </row>
    <row r="934" spans="1:44" ht="12.5">
      <c r="A934" s="169"/>
      <c r="B934" s="186"/>
      <c r="C934" s="186"/>
      <c r="D934" s="187"/>
      <c r="E934" s="6"/>
      <c r="F934" s="6"/>
      <c r="G934" s="6"/>
      <c r="H934" s="169"/>
      <c r="I934" s="169"/>
      <c r="J934" s="6"/>
      <c r="K934" s="188"/>
      <c r="L934" s="189"/>
      <c r="M934" s="189"/>
      <c r="N934" s="6"/>
      <c r="O934" s="6"/>
      <c r="P934" s="6"/>
      <c r="Q934" s="169"/>
      <c r="R934" s="6"/>
      <c r="S934" s="6"/>
      <c r="T934" s="169"/>
      <c r="U934" s="6"/>
      <c r="V934" s="169"/>
      <c r="W934" s="169"/>
      <c r="X934" s="169"/>
      <c r="Y934" s="169"/>
      <c r="Z934" s="169"/>
      <c r="AA934" s="169"/>
      <c r="AB934" s="169"/>
      <c r="AC934" s="169"/>
      <c r="AD934" s="169"/>
      <c r="AE934" s="169"/>
      <c r="AF934" s="169"/>
      <c r="AG934" s="169"/>
      <c r="AH934" s="169"/>
      <c r="AI934" s="169"/>
      <c r="AJ934" s="169"/>
      <c r="AK934" s="169"/>
      <c r="AL934" s="169"/>
      <c r="AM934" s="169"/>
      <c r="AN934" s="169"/>
      <c r="AO934" s="169"/>
      <c r="AP934" s="169"/>
      <c r="AQ934" s="169"/>
      <c r="AR934" s="169"/>
    </row>
    <row r="935" spans="1:44" ht="12.5">
      <c r="A935" s="169"/>
      <c r="B935" s="186"/>
      <c r="C935" s="186"/>
      <c r="D935" s="187"/>
      <c r="E935" s="6"/>
      <c r="F935" s="6"/>
      <c r="G935" s="6"/>
      <c r="H935" s="169"/>
      <c r="I935" s="169"/>
      <c r="J935" s="6"/>
      <c r="K935" s="188"/>
      <c r="L935" s="189"/>
      <c r="M935" s="189"/>
      <c r="N935" s="6"/>
      <c r="O935" s="6"/>
      <c r="P935" s="6"/>
      <c r="Q935" s="169"/>
      <c r="R935" s="6"/>
      <c r="S935" s="6"/>
      <c r="T935" s="169"/>
      <c r="U935" s="6"/>
      <c r="V935" s="169"/>
      <c r="W935" s="169"/>
      <c r="X935" s="169"/>
      <c r="Y935" s="169"/>
      <c r="Z935" s="169"/>
      <c r="AA935" s="169"/>
      <c r="AB935" s="169"/>
      <c r="AC935" s="169"/>
      <c r="AD935" s="169"/>
      <c r="AE935" s="169"/>
      <c r="AF935" s="169"/>
      <c r="AG935" s="169"/>
      <c r="AH935" s="169"/>
      <c r="AI935" s="169"/>
      <c r="AJ935" s="169"/>
      <c r="AK935" s="169"/>
      <c r="AL935" s="169"/>
      <c r="AM935" s="169"/>
      <c r="AN935" s="169"/>
      <c r="AO935" s="169"/>
      <c r="AP935" s="169"/>
      <c r="AQ935" s="169"/>
      <c r="AR935" s="169"/>
    </row>
    <row r="936" spans="1:44" ht="12.5">
      <c r="A936" s="169"/>
      <c r="B936" s="186"/>
      <c r="C936" s="186"/>
      <c r="D936" s="187"/>
      <c r="E936" s="6"/>
      <c r="F936" s="6"/>
      <c r="G936" s="6"/>
      <c r="H936" s="169"/>
      <c r="I936" s="169"/>
      <c r="J936" s="6"/>
      <c r="K936" s="188"/>
      <c r="L936" s="189"/>
      <c r="M936" s="189"/>
      <c r="N936" s="6"/>
      <c r="O936" s="6"/>
      <c r="P936" s="6"/>
      <c r="Q936" s="169"/>
      <c r="R936" s="6"/>
      <c r="S936" s="6"/>
      <c r="T936" s="169"/>
      <c r="U936" s="6"/>
      <c r="V936" s="169"/>
      <c r="W936" s="169"/>
      <c r="X936" s="169"/>
      <c r="Y936" s="169"/>
      <c r="Z936" s="169"/>
      <c r="AA936" s="169"/>
      <c r="AB936" s="169"/>
      <c r="AC936" s="169"/>
      <c r="AD936" s="169"/>
      <c r="AE936" s="169"/>
      <c r="AF936" s="169"/>
      <c r="AG936" s="169"/>
      <c r="AH936" s="169"/>
      <c r="AI936" s="169"/>
      <c r="AJ936" s="169"/>
      <c r="AK936" s="169"/>
      <c r="AL936" s="169"/>
      <c r="AM936" s="169"/>
      <c r="AN936" s="169"/>
      <c r="AO936" s="169"/>
      <c r="AP936" s="169"/>
      <c r="AQ936" s="169"/>
      <c r="AR936" s="169"/>
    </row>
    <row r="937" spans="1:44" ht="12.5">
      <c r="A937" s="169"/>
      <c r="B937" s="186"/>
      <c r="C937" s="186"/>
      <c r="D937" s="187"/>
      <c r="E937" s="6"/>
      <c r="F937" s="6"/>
      <c r="G937" s="6"/>
      <c r="H937" s="169"/>
      <c r="I937" s="169"/>
      <c r="J937" s="6"/>
      <c r="K937" s="188"/>
      <c r="L937" s="189"/>
      <c r="M937" s="189"/>
      <c r="N937" s="6"/>
      <c r="O937" s="6"/>
      <c r="P937" s="6"/>
      <c r="Q937" s="169"/>
      <c r="R937" s="6"/>
      <c r="S937" s="6"/>
      <c r="T937" s="169"/>
      <c r="U937" s="6"/>
      <c r="V937" s="169"/>
      <c r="W937" s="169"/>
      <c r="X937" s="169"/>
      <c r="Y937" s="169"/>
      <c r="Z937" s="169"/>
      <c r="AA937" s="169"/>
      <c r="AB937" s="169"/>
      <c r="AC937" s="169"/>
      <c r="AD937" s="169"/>
      <c r="AE937" s="169"/>
      <c r="AF937" s="169"/>
      <c r="AG937" s="169"/>
      <c r="AH937" s="169"/>
      <c r="AI937" s="169"/>
      <c r="AJ937" s="169"/>
      <c r="AK937" s="169"/>
      <c r="AL937" s="169"/>
      <c r="AM937" s="169"/>
      <c r="AN937" s="169"/>
      <c r="AO937" s="169"/>
      <c r="AP937" s="169"/>
      <c r="AQ937" s="169"/>
      <c r="AR937" s="169"/>
    </row>
    <row r="938" spans="1:44" ht="12.5">
      <c r="A938" s="169"/>
      <c r="B938" s="186"/>
      <c r="C938" s="186"/>
      <c r="D938" s="187"/>
      <c r="E938" s="6"/>
      <c r="F938" s="6"/>
      <c r="G938" s="6"/>
      <c r="H938" s="169"/>
      <c r="I938" s="169"/>
      <c r="J938" s="6"/>
      <c r="K938" s="188"/>
      <c r="L938" s="189"/>
      <c r="M938" s="189"/>
      <c r="N938" s="6"/>
      <c r="O938" s="6"/>
      <c r="P938" s="6"/>
      <c r="Q938" s="169"/>
      <c r="R938" s="6"/>
      <c r="S938" s="6"/>
      <c r="T938" s="169"/>
      <c r="U938" s="6"/>
      <c r="V938" s="169"/>
      <c r="W938" s="169"/>
      <c r="X938" s="169"/>
      <c r="Y938" s="169"/>
      <c r="Z938" s="169"/>
      <c r="AA938" s="169"/>
      <c r="AB938" s="169"/>
      <c r="AC938" s="169"/>
      <c r="AD938" s="169"/>
      <c r="AE938" s="169"/>
      <c r="AF938" s="169"/>
      <c r="AG938" s="169"/>
      <c r="AH938" s="169"/>
      <c r="AI938" s="169"/>
      <c r="AJ938" s="169"/>
      <c r="AK938" s="169"/>
      <c r="AL938" s="169"/>
      <c r="AM938" s="169"/>
      <c r="AN938" s="169"/>
      <c r="AO938" s="169"/>
      <c r="AP938" s="169"/>
      <c r="AQ938" s="169"/>
      <c r="AR938" s="169"/>
    </row>
    <row r="939" spans="1:44" ht="12.5">
      <c r="A939" s="169"/>
      <c r="B939" s="186"/>
      <c r="C939" s="186"/>
      <c r="D939" s="187"/>
      <c r="E939" s="6"/>
      <c r="F939" s="6"/>
      <c r="G939" s="6"/>
      <c r="H939" s="169"/>
      <c r="I939" s="169"/>
      <c r="J939" s="6"/>
      <c r="K939" s="188"/>
      <c r="L939" s="189"/>
      <c r="M939" s="189"/>
      <c r="N939" s="6"/>
      <c r="O939" s="6"/>
      <c r="P939" s="6"/>
      <c r="Q939" s="169"/>
      <c r="R939" s="6"/>
      <c r="S939" s="6"/>
      <c r="T939" s="169"/>
      <c r="U939" s="6"/>
      <c r="V939" s="169"/>
      <c r="W939" s="169"/>
      <c r="X939" s="169"/>
      <c r="Y939" s="169"/>
      <c r="Z939" s="169"/>
      <c r="AA939" s="169"/>
      <c r="AB939" s="169"/>
      <c r="AC939" s="169"/>
      <c r="AD939" s="169"/>
      <c r="AE939" s="169"/>
      <c r="AF939" s="169"/>
      <c r="AG939" s="169"/>
      <c r="AH939" s="169"/>
      <c r="AI939" s="169"/>
      <c r="AJ939" s="169"/>
      <c r="AK939" s="169"/>
      <c r="AL939" s="169"/>
      <c r="AM939" s="169"/>
      <c r="AN939" s="169"/>
      <c r="AO939" s="169"/>
      <c r="AP939" s="169"/>
      <c r="AQ939" s="169"/>
      <c r="AR939" s="169"/>
    </row>
    <row r="940" spans="1:44" ht="12.5">
      <c r="A940" s="169"/>
      <c r="B940" s="186"/>
      <c r="C940" s="186"/>
      <c r="D940" s="187"/>
      <c r="E940" s="6"/>
      <c r="F940" s="6"/>
      <c r="G940" s="6"/>
      <c r="H940" s="169"/>
      <c r="I940" s="169"/>
      <c r="J940" s="6"/>
      <c r="K940" s="188"/>
      <c r="L940" s="189"/>
      <c r="M940" s="189"/>
      <c r="N940" s="6"/>
      <c r="O940" s="6"/>
      <c r="P940" s="6"/>
      <c r="Q940" s="169"/>
      <c r="R940" s="6"/>
      <c r="S940" s="6"/>
      <c r="T940" s="169"/>
      <c r="U940" s="6"/>
      <c r="V940" s="169"/>
      <c r="W940" s="169"/>
      <c r="X940" s="169"/>
      <c r="Y940" s="169"/>
      <c r="Z940" s="169"/>
      <c r="AA940" s="169"/>
      <c r="AB940" s="169"/>
      <c r="AC940" s="169"/>
      <c r="AD940" s="169"/>
      <c r="AE940" s="169"/>
      <c r="AF940" s="169"/>
      <c r="AG940" s="169"/>
      <c r="AH940" s="169"/>
      <c r="AI940" s="169"/>
      <c r="AJ940" s="169"/>
      <c r="AK940" s="169"/>
      <c r="AL940" s="169"/>
      <c r="AM940" s="169"/>
      <c r="AN940" s="169"/>
      <c r="AO940" s="169"/>
      <c r="AP940" s="169"/>
      <c r="AQ940" s="169"/>
      <c r="AR940" s="169"/>
    </row>
    <row r="941" spans="1:44" ht="12.5">
      <c r="A941" s="169"/>
      <c r="B941" s="186"/>
      <c r="C941" s="186"/>
      <c r="D941" s="187"/>
      <c r="E941" s="6"/>
      <c r="F941" s="6"/>
      <c r="G941" s="6"/>
      <c r="H941" s="169"/>
      <c r="I941" s="169"/>
      <c r="J941" s="6"/>
      <c r="K941" s="188"/>
      <c r="L941" s="189"/>
      <c r="M941" s="189"/>
      <c r="N941" s="6"/>
      <c r="O941" s="6"/>
      <c r="P941" s="6"/>
      <c r="Q941" s="169"/>
      <c r="R941" s="6"/>
      <c r="S941" s="6"/>
      <c r="T941" s="169"/>
      <c r="U941" s="6"/>
      <c r="V941" s="169"/>
      <c r="W941" s="169"/>
      <c r="X941" s="169"/>
      <c r="Y941" s="169"/>
      <c r="Z941" s="169"/>
      <c r="AA941" s="169"/>
      <c r="AB941" s="169"/>
      <c r="AC941" s="169"/>
      <c r="AD941" s="169"/>
      <c r="AE941" s="169"/>
      <c r="AF941" s="169"/>
      <c r="AG941" s="169"/>
      <c r="AH941" s="169"/>
      <c r="AI941" s="169"/>
      <c r="AJ941" s="169"/>
      <c r="AK941" s="169"/>
      <c r="AL941" s="169"/>
      <c r="AM941" s="169"/>
      <c r="AN941" s="169"/>
      <c r="AO941" s="169"/>
      <c r="AP941" s="169"/>
      <c r="AQ941" s="169"/>
      <c r="AR941" s="169"/>
    </row>
    <row r="942" spans="1:44" ht="12.5">
      <c r="A942" s="169"/>
      <c r="B942" s="186"/>
      <c r="C942" s="186"/>
      <c r="D942" s="187"/>
      <c r="E942" s="6"/>
      <c r="F942" s="6"/>
      <c r="G942" s="6"/>
      <c r="H942" s="169"/>
      <c r="I942" s="169"/>
      <c r="J942" s="6"/>
      <c r="K942" s="188"/>
      <c r="L942" s="189"/>
      <c r="M942" s="189"/>
      <c r="N942" s="6"/>
      <c r="O942" s="6"/>
      <c r="P942" s="6"/>
      <c r="Q942" s="169"/>
      <c r="R942" s="6"/>
      <c r="S942" s="6"/>
      <c r="T942" s="169"/>
      <c r="U942" s="6"/>
      <c r="V942" s="169"/>
      <c r="W942" s="169"/>
      <c r="X942" s="169"/>
      <c r="Y942" s="169"/>
      <c r="Z942" s="169"/>
      <c r="AA942" s="169"/>
      <c r="AB942" s="169"/>
      <c r="AC942" s="169"/>
      <c r="AD942" s="169"/>
      <c r="AE942" s="169"/>
      <c r="AF942" s="169"/>
      <c r="AG942" s="169"/>
      <c r="AH942" s="169"/>
      <c r="AI942" s="169"/>
      <c r="AJ942" s="169"/>
      <c r="AK942" s="169"/>
      <c r="AL942" s="169"/>
      <c r="AM942" s="169"/>
      <c r="AN942" s="169"/>
      <c r="AO942" s="169"/>
      <c r="AP942" s="169"/>
      <c r="AQ942" s="169"/>
      <c r="AR942" s="169"/>
    </row>
    <row r="943" spans="1:44" ht="12.5">
      <c r="A943" s="169"/>
      <c r="B943" s="186"/>
      <c r="C943" s="186"/>
      <c r="D943" s="187"/>
      <c r="E943" s="6"/>
      <c r="F943" s="6"/>
      <c r="G943" s="6"/>
      <c r="H943" s="169"/>
      <c r="I943" s="169"/>
      <c r="J943" s="6"/>
      <c r="K943" s="188"/>
      <c r="L943" s="189"/>
      <c r="M943" s="189"/>
      <c r="N943" s="6"/>
      <c r="O943" s="6"/>
      <c r="P943" s="6"/>
      <c r="Q943" s="169"/>
      <c r="R943" s="6"/>
      <c r="S943" s="6"/>
      <c r="T943" s="169"/>
      <c r="U943" s="6"/>
      <c r="V943" s="169"/>
      <c r="W943" s="169"/>
      <c r="X943" s="169"/>
      <c r="Y943" s="169"/>
      <c r="Z943" s="169"/>
      <c r="AA943" s="169"/>
      <c r="AB943" s="169"/>
      <c r="AC943" s="169"/>
      <c r="AD943" s="169"/>
      <c r="AE943" s="169"/>
      <c r="AF943" s="169"/>
      <c r="AG943" s="169"/>
      <c r="AH943" s="169"/>
      <c r="AI943" s="169"/>
      <c r="AJ943" s="169"/>
      <c r="AK943" s="169"/>
      <c r="AL943" s="169"/>
      <c r="AM943" s="169"/>
      <c r="AN943" s="169"/>
      <c r="AO943" s="169"/>
      <c r="AP943" s="169"/>
      <c r="AQ943" s="169"/>
      <c r="AR943" s="169"/>
    </row>
    <row r="944" spans="1:44" ht="12.5">
      <c r="A944" s="169"/>
      <c r="B944" s="186"/>
      <c r="C944" s="186"/>
      <c r="D944" s="187"/>
      <c r="E944" s="6"/>
      <c r="F944" s="6"/>
      <c r="G944" s="6"/>
      <c r="H944" s="169"/>
      <c r="I944" s="169"/>
      <c r="J944" s="6"/>
      <c r="K944" s="188"/>
      <c r="L944" s="189"/>
      <c r="M944" s="189"/>
      <c r="N944" s="6"/>
      <c r="O944" s="6"/>
      <c r="P944" s="6"/>
      <c r="Q944" s="169"/>
      <c r="R944" s="6"/>
      <c r="S944" s="6"/>
      <c r="T944" s="169"/>
      <c r="U944" s="6"/>
      <c r="V944" s="169"/>
      <c r="W944" s="169"/>
      <c r="X944" s="169"/>
      <c r="Y944" s="169"/>
      <c r="Z944" s="169"/>
      <c r="AA944" s="169"/>
      <c r="AB944" s="169"/>
      <c r="AC944" s="169"/>
      <c r="AD944" s="169"/>
      <c r="AE944" s="169"/>
      <c r="AF944" s="169"/>
      <c r="AG944" s="169"/>
      <c r="AH944" s="169"/>
      <c r="AI944" s="169"/>
      <c r="AJ944" s="169"/>
      <c r="AK944" s="169"/>
      <c r="AL944" s="169"/>
      <c r="AM944" s="169"/>
      <c r="AN944" s="169"/>
      <c r="AO944" s="169"/>
      <c r="AP944" s="169"/>
      <c r="AQ944" s="169"/>
      <c r="AR944" s="169"/>
    </row>
    <row r="945" spans="1:44" ht="12.5">
      <c r="A945" s="169"/>
      <c r="B945" s="186"/>
      <c r="C945" s="186"/>
      <c r="D945" s="187"/>
      <c r="E945" s="6"/>
      <c r="F945" s="6"/>
      <c r="G945" s="6"/>
      <c r="H945" s="169"/>
      <c r="I945" s="169"/>
      <c r="J945" s="6"/>
      <c r="K945" s="188"/>
      <c r="L945" s="189"/>
      <c r="M945" s="189"/>
      <c r="N945" s="6"/>
      <c r="O945" s="6"/>
      <c r="P945" s="6"/>
      <c r="Q945" s="169"/>
      <c r="R945" s="6"/>
      <c r="S945" s="6"/>
      <c r="T945" s="169"/>
      <c r="U945" s="6"/>
      <c r="V945" s="169"/>
      <c r="W945" s="169"/>
      <c r="X945" s="169"/>
      <c r="Y945" s="169"/>
      <c r="Z945" s="169"/>
      <c r="AA945" s="169"/>
      <c r="AB945" s="169"/>
      <c r="AC945" s="169"/>
      <c r="AD945" s="169"/>
      <c r="AE945" s="169"/>
      <c r="AF945" s="169"/>
      <c r="AG945" s="169"/>
      <c r="AH945" s="169"/>
      <c r="AI945" s="169"/>
      <c r="AJ945" s="169"/>
      <c r="AK945" s="169"/>
      <c r="AL945" s="169"/>
      <c r="AM945" s="169"/>
      <c r="AN945" s="169"/>
      <c r="AO945" s="169"/>
      <c r="AP945" s="169"/>
      <c r="AQ945" s="169"/>
      <c r="AR945" s="169"/>
    </row>
    <row r="946" spans="1:44" ht="12.5">
      <c r="A946" s="169"/>
      <c r="B946" s="186"/>
      <c r="C946" s="186"/>
      <c r="D946" s="187"/>
      <c r="E946" s="6"/>
      <c r="F946" s="6"/>
      <c r="G946" s="6"/>
      <c r="H946" s="169"/>
      <c r="I946" s="169"/>
      <c r="J946" s="6"/>
      <c r="K946" s="188"/>
      <c r="L946" s="189"/>
      <c r="M946" s="189"/>
      <c r="N946" s="6"/>
      <c r="O946" s="6"/>
      <c r="P946" s="6"/>
      <c r="Q946" s="169"/>
      <c r="R946" s="6"/>
      <c r="S946" s="6"/>
      <c r="T946" s="169"/>
      <c r="U946" s="6"/>
      <c r="V946" s="169"/>
      <c r="W946" s="169"/>
      <c r="X946" s="169"/>
      <c r="Y946" s="169"/>
      <c r="Z946" s="169"/>
      <c r="AA946" s="169"/>
      <c r="AB946" s="169"/>
      <c r="AC946" s="169"/>
      <c r="AD946" s="169"/>
      <c r="AE946" s="169"/>
      <c r="AF946" s="169"/>
      <c r="AG946" s="169"/>
      <c r="AH946" s="169"/>
      <c r="AI946" s="169"/>
      <c r="AJ946" s="169"/>
      <c r="AK946" s="169"/>
      <c r="AL946" s="169"/>
      <c r="AM946" s="169"/>
      <c r="AN946" s="169"/>
      <c r="AO946" s="169"/>
      <c r="AP946" s="169"/>
      <c r="AQ946" s="169"/>
      <c r="AR946" s="169"/>
    </row>
    <row r="947" spans="1:44" ht="12.5">
      <c r="A947" s="169"/>
      <c r="B947" s="186"/>
      <c r="C947" s="186"/>
      <c r="D947" s="187"/>
      <c r="E947" s="6"/>
      <c r="F947" s="6"/>
      <c r="G947" s="6"/>
      <c r="H947" s="169"/>
      <c r="I947" s="169"/>
      <c r="J947" s="6"/>
      <c r="K947" s="188"/>
      <c r="L947" s="189"/>
      <c r="M947" s="189"/>
      <c r="N947" s="6"/>
      <c r="O947" s="6"/>
      <c r="P947" s="6"/>
      <c r="Q947" s="169"/>
      <c r="R947" s="6"/>
      <c r="S947" s="6"/>
      <c r="T947" s="169"/>
      <c r="U947" s="6"/>
      <c r="V947" s="169"/>
      <c r="W947" s="169"/>
      <c r="X947" s="169"/>
      <c r="Y947" s="169"/>
      <c r="Z947" s="169"/>
      <c r="AA947" s="169"/>
      <c r="AB947" s="169"/>
      <c r="AC947" s="169"/>
      <c r="AD947" s="169"/>
      <c r="AE947" s="169"/>
      <c r="AF947" s="169"/>
      <c r="AG947" s="169"/>
      <c r="AH947" s="169"/>
      <c r="AI947" s="169"/>
      <c r="AJ947" s="169"/>
      <c r="AK947" s="169"/>
      <c r="AL947" s="169"/>
      <c r="AM947" s="169"/>
      <c r="AN947" s="169"/>
      <c r="AO947" s="169"/>
      <c r="AP947" s="169"/>
      <c r="AQ947" s="169"/>
      <c r="AR947" s="169"/>
    </row>
    <row r="948" spans="1:44" ht="12.5">
      <c r="A948" s="169"/>
      <c r="B948" s="186"/>
      <c r="C948" s="186"/>
      <c r="D948" s="187"/>
      <c r="E948" s="6"/>
      <c r="F948" s="6"/>
      <c r="G948" s="6"/>
      <c r="H948" s="169"/>
      <c r="I948" s="169"/>
      <c r="J948" s="6"/>
      <c r="K948" s="188"/>
      <c r="L948" s="189"/>
      <c r="M948" s="189"/>
      <c r="N948" s="6"/>
      <c r="O948" s="6"/>
      <c r="P948" s="6"/>
      <c r="Q948" s="169"/>
      <c r="R948" s="6"/>
      <c r="S948" s="6"/>
      <c r="T948" s="169"/>
      <c r="U948" s="6"/>
      <c r="V948" s="169"/>
      <c r="W948" s="169"/>
      <c r="X948" s="169"/>
      <c r="Y948" s="169"/>
      <c r="Z948" s="169"/>
      <c r="AA948" s="169"/>
      <c r="AB948" s="169"/>
      <c r="AC948" s="169"/>
      <c r="AD948" s="169"/>
      <c r="AE948" s="169"/>
      <c r="AF948" s="169"/>
      <c r="AG948" s="169"/>
      <c r="AH948" s="169"/>
      <c r="AI948" s="169"/>
      <c r="AJ948" s="169"/>
      <c r="AK948" s="169"/>
      <c r="AL948" s="169"/>
      <c r="AM948" s="169"/>
      <c r="AN948" s="169"/>
      <c r="AO948" s="169"/>
      <c r="AP948" s="169"/>
      <c r="AQ948" s="169"/>
      <c r="AR948" s="169"/>
    </row>
    <row r="949" spans="1:44" ht="12.5">
      <c r="A949" s="169"/>
      <c r="B949" s="186"/>
      <c r="C949" s="186"/>
      <c r="D949" s="187"/>
      <c r="E949" s="6"/>
      <c r="F949" s="6"/>
      <c r="G949" s="6"/>
      <c r="H949" s="169"/>
      <c r="I949" s="169"/>
      <c r="J949" s="6"/>
      <c r="K949" s="188"/>
      <c r="L949" s="189"/>
      <c r="M949" s="189"/>
      <c r="N949" s="6"/>
      <c r="O949" s="6"/>
      <c r="P949" s="6"/>
      <c r="Q949" s="169"/>
      <c r="R949" s="6"/>
      <c r="S949" s="6"/>
      <c r="T949" s="169"/>
      <c r="U949" s="6"/>
      <c r="V949" s="169"/>
      <c r="W949" s="169"/>
      <c r="X949" s="169"/>
      <c r="Y949" s="169"/>
      <c r="Z949" s="169"/>
      <c r="AA949" s="169"/>
      <c r="AB949" s="169"/>
      <c r="AC949" s="169"/>
      <c r="AD949" s="169"/>
      <c r="AE949" s="169"/>
      <c r="AF949" s="169"/>
      <c r="AG949" s="169"/>
      <c r="AH949" s="169"/>
      <c r="AI949" s="169"/>
      <c r="AJ949" s="169"/>
      <c r="AK949" s="169"/>
      <c r="AL949" s="169"/>
      <c r="AM949" s="169"/>
      <c r="AN949" s="169"/>
      <c r="AO949" s="169"/>
      <c r="AP949" s="169"/>
      <c r="AQ949" s="169"/>
      <c r="AR949" s="169"/>
    </row>
    <row r="950" spans="1:44" ht="12.5">
      <c r="A950" s="169"/>
      <c r="B950" s="186"/>
      <c r="C950" s="186"/>
      <c r="D950" s="187"/>
      <c r="E950" s="6"/>
      <c r="F950" s="6"/>
      <c r="G950" s="6"/>
      <c r="H950" s="169"/>
      <c r="I950" s="169"/>
      <c r="J950" s="6"/>
      <c r="K950" s="188"/>
      <c r="L950" s="189"/>
      <c r="M950" s="189"/>
      <c r="N950" s="6"/>
      <c r="O950" s="6"/>
      <c r="P950" s="6"/>
      <c r="Q950" s="169"/>
      <c r="R950" s="6"/>
      <c r="S950" s="6"/>
      <c r="T950" s="169"/>
      <c r="U950" s="6"/>
      <c r="V950" s="169"/>
      <c r="W950" s="169"/>
      <c r="X950" s="169"/>
      <c r="Y950" s="169"/>
      <c r="Z950" s="169"/>
      <c r="AA950" s="169"/>
      <c r="AB950" s="169"/>
      <c r="AC950" s="169"/>
      <c r="AD950" s="169"/>
      <c r="AE950" s="169"/>
      <c r="AF950" s="169"/>
      <c r="AG950" s="169"/>
      <c r="AH950" s="169"/>
      <c r="AI950" s="169"/>
      <c r="AJ950" s="169"/>
      <c r="AK950" s="169"/>
      <c r="AL950" s="169"/>
      <c r="AM950" s="169"/>
      <c r="AN950" s="169"/>
      <c r="AO950" s="169"/>
      <c r="AP950" s="169"/>
      <c r="AQ950" s="169"/>
      <c r="AR950" s="169"/>
    </row>
    <row r="951" spans="1:44" ht="12.5">
      <c r="A951" s="169"/>
      <c r="B951" s="186"/>
      <c r="C951" s="186"/>
      <c r="D951" s="187"/>
      <c r="E951" s="6"/>
      <c r="F951" s="6"/>
      <c r="G951" s="6"/>
      <c r="H951" s="169"/>
      <c r="I951" s="169"/>
      <c r="J951" s="6"/>
      <c r="K951" s="188"/>
      <c r="L951" s="189"/>
      <c r="M951" s="189"/>
      <c r="N951" s="6"/>
      <c r="O951" s="6"/>
      <c r="P951" s="6"/>
      <c r="Q951" s="169"/>
      <c r="R951" s="6"/>
      <c r="S951" s="6"/>
      <c r="T951" s="169"/>
      <c r="U951" s="6"/>
      <c r="V951" s="169"/>
      <c r="W951" s="169"/>
      <c r="X951" s="169"/>
      <c r="Y951" s="169"/>
      <c r="Z951" s="169"/>
      <c r="AA951" s="169"/>
      <c r="AB951" s="169"/>
      <c r="AC951" s="169"/>
      <c r="AD951" s="169"/>
      <c r="AE951" s="169"/>
      <c r="AF951" s="169"/>
      <c r="AG951" s="169"/>
      <c r="AH951" s="169"/>
      <c r="AI951" s="169"/>
      <c r="AJ951" s="169"/>
      <c r="AK951" s="169"/>
      <c r="AL951" s="169"/>
      <c r="AM951" s="169"/>
      <c r="AN951" s="169"/>
      <c r="AO951" s="169"/>
      <c r="AP951" s="169"/>
      <c r="AQ951" s="169"/>
      <c r="AR951" s="169"/>
    </row>
    <row r="952" spans="1:44" ht="12.5">
      <c r="A952" s="169"/>
      <c r="B952" s="186"/>
      <c r="C952" s="186"/>
      <c r="D952" s="187"/>
      <c r="E952" s="6"/>
      <c r="F952" s="6"/>
      <c r="G952" s="6"/>
      <c r="H952" s="169"/>
      <c r="I952" s="169"/>
      <c r="J952" s="6"/>
      <c r="K952" s="188"/>
      <c r="L952" s="189"/>
      <c r="M952" s="189"/>
      <c r="N952" s="6"/>
      <c r="O952" s="6"/>
      <c r="P952" s="6"/>
      <c r="Q952" s="169"/>
      <c r="R952" s="6"/>
      <c r="S952" s="6"/>
      <c r="T952" s="169"/>
      <c r="U952" s="6"/>
      <c r="V952" s="169"/>
      <c r="W952" s="169"/>
      <c r="X952" s="169"/>
      <c r="Y952" s="169"/>
      <c r="Z952" s="169"/>
      <c r="AA952" s="169"/>
      <c r="AB952" s="169"/>
      <c r="AC952" s="169"/>
      <c r="AD952" s="169"/>
      <c r="AE952" s="169"/>
      <c r="AF952" s="169"/>
      <c r="AG952" s="169"/>
      <c r="AH952" s="169"/>
      <c r="AI952" s="169"/>
      <c r="AJ952" s="169"/>
      <c r="AK952" s="169"/>
      <c r="AL952" s="169"/>
      <c r="AM952" s="169"/>
      <c r="AN952" s="169"/>
      <c r="AO952" s="169"/>
      <c r="AP952" s="169"/>
      <c r="AQ952" s="169"/>
      <c r="AR952" s="169"/>
    </row>
    <row r="953" spans="1:44" ht="12.5">
      <c r="A953" s="169"/>
      <c r="B953" s="186"/>
      <c r="C953" s="186"/>
      <c r="D953" s="187"/>
      <c r="E953" s="6"/>
      <c r="F953" s="6"/>
      <c r="G953" s="6"/>
      <c r="H953" s="169"/>
      <c r="I953" s="169"/>
      <c r="J953" s="6"/>
      <c r="K953" s="188"/>
      <c r="L953" s="189"/>
      <c r="M953" s="189"/>
      <c r="N953" s="6"/>
      <c r="O953" s="6"/>
      <c r="P953" s="6"/>
      <c r="Q953" s="169"/>
      <c r="R953" s="6"/>
      <c r="S953" s="6"/>
      <c r="T953" s="169"/>
      <c r="U953" s="6"/>
      <c r="V953" s="169"/>
      <c r="W953" s="169"/>
      <c r="X953" s="169"/>
      <c r="Y953" s="169"/>
      <c r="Z953" s="169"/>
      <c r="AA953" s="169"/>
      <c r="AB953" s="169"/>
      <c r="AC953" s="169"/>
      <c r="AD953" s="169"/>
      <c r="AE953" s="169"/>
      <c r="AF953" s="169"/>
      <c r="AG953" s="169"/>
      <c r="AH953" s="169"/>
      <c r="AI953" s="169"/>
      <c r="AJ953" s="169"/>
      <c r="AK953" s="169"/>
      <c r="AL953" s="169"/>
      <c r="AM953" s="169"/>
      <c r="AN953" s="169"/>
      <c r="AO953" s="169"/>
      <c r="AP953" s="169"/>
      <c r="AQ953" s="169"/>
      <c r="AR953" s="169"/>
    </row>
    <row r="954" spans="1:44" ht="12.5">
      <c r="A954" s="169"/>
      <c r="B954" s="186"/>
      <c r="C954" s="186"/>
      <c r="D954" s="187"/>
      <c r="E954" s="6"/>
      <c r="F954" s="6"/>
      <c r="G954" s="6"/>
      <c r="H954" s="169"/>
      <c r="I954" s="169"/>
      <c r="J954" s="6"/>
      <c r="K954" s="188"/>
      <c r="L954" s="189"/>
      <c r="M954" s="189"/>
      <c r="N954" s="6"/>
      <c r="O954" s="6"/>
      <c r="P954" s="6"/>
      <c r="Q954" s="169"/>
      <c r="R954" s="6"/>
      <c r="S954" s="6"/>
      <c r="T954" s="169"/>
      <c r="U954" s="6"/>
      <c r="V954" s="169"/>
      <c r="W954" s="169"/>
      <c r="X954" s="169"/>
      <c r="Y954" s="169"/>
      <c r="Z954" s="169"/>
      <c r="AA954" s="169"/>
      <c r="AB954" s="169"/>
      <c r="AC954" s="169"/>
      <c r="AD954" s="169"/>
      <c r="AE954" s="169"/>
      <c r="AF954" s="169"/>
      <c r="AG954" s="169"/>
      <c r="AH954" s="169"/>
      <c r="AI954" s="169"/>
      <c r="AJ954" s="169"/>
      <c r="AK954" s="169"/>
      <c r="AL954" s="169"/>
      <c r="AM954" s="169"/>
      <c r="AN954" s="169"/>
      <c r="AO954" s="169"/>
      <c r="AP954" s="169"/>
      <c r="AQ954" s="169"/>
      <c r="AR954" s="169"/>
    </row>
    <row r="955" spans="1:44" ht="12.5">
      <c r="A955" s="169"/>
      <c r="B955" s="186"/>
      <c r="C955" s="186"/>
      <c r="D955" s="187"/>
      <c r="E955" s="6"/>
      <c r="F955" s="6"/>
      <c r="G955" s="6"/>
      <c r="H955" s="169"/>
      <c r="I955" s="169"/>
      <c r="J955" s="6"/>
      <c r="K955" s="188"/>
      <c r="L955" s="189"/>
      <c r="M955" s="189"/>
      <c r="N955" s="6"/>
      <c r="O955" s="6"/>
      <c r="P955" s="6"/>
      <c r="Q955" s="169"/>
      <c r="R955" s="6"/>
      <c r="S955" s="6"/>
      <c r="T955" s="169"/>
      <c r="U955" s="6"/>
      <c r="V955" s="169"/>
      <c r="W955" s="169"/>
      <c r="X955" s="169"/>
      <c r="Y955" s="169"/>
      <c r="Z955" s="169"/>
      <c r="AA955" s="169"/>
      <c r="AB955" s="169"/>
      <c r="AC955" s="169"/>
      <c r="AD955" s="169"/>
      <c r="AE955" s="169"/>
      <c r="AF955" s="169"/>
      <c r="AG955" s="169"/>
      <c r="AH955" s="169"/>
      <c r="AI955" s="169"/>
      <c r="AJ955" s="169"/>
      <c r="AK955" s="169"/>
      <c r="AL955" s="169"/>
      <c r="AM955" s="169"/>
      <c r="AN955" s="169"/>
      <c r="AO955" s="169"/>
      <c r="AP955" s="169"/>
      <c r="AQ955" s="169"/>
      <c r="AR955" s="169"/>
    </row>
    <row r="956" spans="1:44" ht="12.5">
      <c r="A956" s="169"/>
      <c r="B956" s="186"/>
      <c r="C956" s="186"/>
      <c r="D956" s="187"/>
      <c r="E956" s="6"/>
      <c r="F956" s="6"/>
      <c r="G956" s="6"/>
      <c r="H956" s="169"/>
      <c r="I956" s="169"/>
      <c r="J956" s="6"/>
      <c r="K956" s="188"/>
      <c r="L956" s="189"/>
      <c r="M956" s="189"/>
      <c r="N956" s="6"/>
      <c r="O956" s="6"/>
      <c r="P956" s="6"/>
      <c r="Q956" s="169"/>
      <c r="R956" s="6"/>
      <c r="S956" s="6"/>
      <c r="T956" s="169"/>
      <c r="U956" s="6"/>
      <c r="V956" s="169"/>
      <c r="W956" s="169"/>
      <c r="X956" s="169"/>
      <c r="Y956" s="169"/>
      <c r="Z956" s="169"/>
      <c r="AA956" s="169"/>
      <c r="AB956" s="169"/>
      <c r="AC956" s="169"/>
      <c r="AD956" s="169"/>
      <c r="AE956" s="169"/>
      <c r="AF956" s="169"/>
      <c r="AG956" s="169"/>
      <c r="AH956" s="169"/>
      <c r="AI956" s="169"/>
      <c r="AJ956" s="169"/>
      <c r="AK956" s="169"/>
      <c r="AL956" s="169"/>
      <c r="AM956" s="169"/>
      <c r="AN956" s="169"/>
      <c r="AO956" s="169"/>
      <c r="AP956" s="169"/>
      <c r="AQ956" s="169"/>
      <c r="AR956" s="169"/>
    </row>
    <row r="957" spans="1:44" ht="12.5">
      <c r="A957" s="169"/>
      <c r="B957" s="186"/>
      <c r="C957" s="186"/>
      <c r="D957" s="187"/>
      <c r="E957" s="6"/>
      <c r="F957" s="6"/>
      <c r="G957" s="6"/>
      <c r="H957" s="169"/>
      <c r="I957" s="169"/>
      <c r="J957" s="6"/>
      <c r="K957" s="188"/>
      <c r="L957" s="189"/>
      <c r="M957" s="189"/>
      <c r="N957" s="6"/>
      <c r="O957" s="6"/>
      <c r="P957" s="6"/>
      <c r="Q957" s="169"/>
      <c r="R957" s="6"/>
      <c r="S957" s="6"/>
      <c r="T957" s="169"/>
      <c r="U957" s="6"/>
      <c r="V957" s="169"/>
      <c r="W957" s="169"/>
      <c r="X957" s="169"/>
      <c r="Y957" s="169"/>
      <c r="Z957" s="169"/>
      <c r="AA957" s="169"/>
      <c r="AB957" s="169"/>
      <c r="AC957" s="169"/>
      <c r="AD957" s="169"/>
      <c r="AE957" s="169"/>
      <c r="AF957" s="169"/>
      <c r="AG957" s="169"/>
      <c r="AH957" s="169"/>
      <c r="AI957" s="169"/>
      <c r="AJ957" s="169"/>
      <c r="AK957" s="169"/>
      <c r="AL957" s="169"/>
      <c r="AM957" s="169"/>
      <c r="AN957" s="169"/>
      <c r="AO957" s="169"/>
      <c r="AP957" s="169"/>
      <c r="AQ957" s="169"/>
      <c r="AR957" s="169"/>
    </row>
    <row r="958" spans="1:44" ht="12.5">
      <c r="A958" s="169"/>
      <c r="B958" s="186"/>
      <c r="C958" s="186"/>
      <c r="D958" s="187"/>
      <c r="E958" s="6"/>
      <c r="F958" s="6"/>
      <c r="G958" s="6"/>
      <c r="H958" s="169"/>
      <c r="I958" s="169"/>
      <c r="J958" s="6"/>
      <c r="K958" s="188"/>
      <c r="L958" s="189"/>
      <c r="M958" s="189"/>
      <c r="N958" s="6"/>
      <c r="O958" s="6"/>
      <c r="P958" s="6"/>
      <c r="Q958" s="169"/>
      <c r="R958" s="6"/>
      <c r="S958" s="6"/>
      <c r="T958" s="169"/>
      <c r="U958" s="6"/>
      <c r="V958" s="169"/>
      <c r="W958" s="169"/>
      <c r="X958" s="169"/>
      <c r="Y958" s="169"/>
      <c r="Z958" s="169"/>
      <c r="AA958" s="169"/>
      <c r="AB958" s="169"/>
      <c r="AC958" s="169"/>
      <c r="AD958" s="169"/>
      <c r="AE958" s="169"/>
      <c r="AF958" s="169"/>
      <c r="AG958" s="169"/>
      <c r="AH958" s="169"/>
      <c r="AI958" s="169"/>
      <c r="AJ958" s="169"/>
      <c r="AK958" s="169"/>
      <c r="AL958" s="169"/>
      <c r="AM958" s="169"/>
      <c r="AN958" s="169"/>
      <c r="AO958" s="169"/>
      <c r="AP958" s="169"/>
      <c r="AQ958" s="169"/>
      <c r="AR958" s="169"/>
    </row>
    <row r="959" spans="1:44" ht="12.5">
      <c r="A959" s="169"/>
      <c r="B959" s="186"/>
      <c r="C959" s="186"/>
      <c r="D959" s="187"/>
      <c r="E959" s="6"/>
      <c r="F959" s="6"/>
      <c r="G959" s="6"/>
      <c r="H959" s="169"/>
      <c r="I959" s="169"/>
      <c r="J959" s="6"/>
      <c r="K959" s="188"/>
      <c r="L959" s="189"/>
      <c r="M959" s="189"/>
      <c r="N959" s="6"/>
      <c r="O959" s="6"/>
      <c r="P959" s="6"/>
      <c r="Q959" s="169"/>
      <c r="R959" s="6"/>
      <c r="S959" s="6"/>
      <c r="T959" s="169"/>
      <c r="U959" s="6"/>
      <c r="V959" s="169"/>
      <c r="W959" s="169"/>
      <c r="X959" s="169"/>
      <c r="Y959" s="169"/>
      <c r="Z959" s="169"/>
      <c r="AA959" s="169"/>
      <c r="AB959" s="169"/>
      <c r="AC959" s="169"/>
      <c r="AD959" s="169"/>
      <c r="AE959" s="169"/>
      <c r="AF959" s="169"/>
      <c r="AG959" s="169"/>
      <c r="AH959" s="169"/>
      <c r="AI959" s="169"/>
      <c r="AJ959" s="169"/>
      <c r="AK959" s="169"/>
      <c r="AL959" s="169"/>
      <c r="AM959" s="169"/>
      <c r="AN959" s="169"/>
      <c r="AO959" s="169"/>
      <c r="AP959" s="169"/>
      <c r="AQ959" s="169"/>
      <c r="AR959" s="169"/>
    </row>
    <row r="960" spans="1:44" ht="12.5">
      <c r="A960" s="169"/>
      <c r="B960" s="186"/>
      <c r="C960" s="186"/>
      <c r="D960" s="187"/>
      <c r="E960" s="6"/>
      <c r="F960" s="6"/>
      <c r="G960" s="6"/>
      <c r="H960" s="169"/>
      <c r="I960" s="169"/>
      <c r="J960" s="6"/>
      <c r="K960" s="188"/>
      <c r="L960" s="189"/>
      <c r="M960" s="189"/>
      <c r="N960" s="6"/>
      <c r="O960" s="6"/>
      <c r="P960" s="6"/>
      <c r="Q960" s="169"/>
      <c r="R960" s="6"/>
      <c r="S960" s="6"/>
      <c r="T960" s="169"/>
      <c r="U960" s="6"/>
      <c r="V960" s="169"/>
      <c r="W960" s="169"/>
      <c r="X960" s="169"/>
      <c r="Y960" s="169"/>
      <c r="Z960" s="169"/>
      <c r="AA960" s="169"/>
      <c r="AB960" s="169"/>
      <c r="AC960" s="169"/>
      <c r="AD960" s="169"/>
      <c r="AE960" s="169"/>
      <c r="AF960" s="169"/>
      <c r="AG960" s="169"/>
      <c r="AH960" s="169"/>
      <c r="AI960" s="169"/>
      <c r="AJ960" s="169"/>
      <c r="AK960" s="169"/>
      <c r="AL960" s="169"/>
      <c r="AM960" s="169"/>
      <c r="AN960" s="169"/>
      <c r="AO960" s="169"/>
      <c r="AP960" s="169"/>
      <c r="AQ960" s="169"/>
      <c r="AR960" s="169"/>
    </row>
    <row r="961" spans="1:44" ht="12.5">
      <c r="A961" s="169"/>
      <c r="B961" s="186"/>
      <c r="C961" s="186"/>
      <c r="D961" s="187"/>
      <c r="E961" s="6"/>
      <c r="F961" s="6"/>
      <c r="G961" s="6"/>
      <c r="H961" s="169"/>
      <c r="I961" s="169"/>
      <c r="J961" s="6"/>
      <c r="K961" s="188"/>
      <c r="L961" s="189"/>
      <c r="M961" s="189"/>
      <c r="N961" s="6"/>
      <c r="O961" s="6"/>
      <c r="P961" s="6"/>
      <c r="Q961" s="169"/>
      <c r="R961" s="6"/>
      <c r="S961" s="6"/>
      <c r="T961" s="169"/>
      <c r="U961" s="6"/>
      <c r="V961" s="169"/>
      <c r="W961" s="169"/>
      <c r="X961" s="169"/>
      <c r="Y961" s="169"/>
      <c r="Z961" s="169"/>
      <c r="AA961" s="169"/>
      <c r="AB961" s="169"/>
      <c r="AC961" s="169"/>
      <c r="AD961" s="169"/>
      <c r="AE961" s="169"/>
      <c r="AF961" s="169"/>
      <c r="AG961" s="169"/>
      <c r="AH961" s="169"/>
      <c r="AI961" s="169"/>
      <c r="AJ961" s="169"/>
      <c r="AK961" s="169"/>
      <c r="AL961" s="169"/>
      <c r="AM961" s="169"/>
      <c r="AN961" s="169"/>
      <c r="AO961" s="169"/>
      <c r="AP961" s="169"/>
      <c r="AQ961" s="169"/>
      <c r="AR961" s="169"/>
    </row>
    <row r="962" spans="1:44" ht="12.5">
      <c r="A962" s="169"/>
      <c r="B962" s="186"/>
      <c r="C962" s="186"/>
      <c r="D962" s="187"/>
      <c r="E962" s="6"/>
      <c r="F962" s="6"/>
      <c r="G962" s="6"/>
      <c r="H962" s="169"/>
      <c r="I962" s="169"/>
      <c r="J962" s="6"/>
      <c r="K962" s="188"/>
      <c r="L962" s="189"/>
      <c r="M962" s="189"/>
      <c r="N962" s="6"/>
      <c r="O962" s="6"/>
      <c r="P962" s="6"/>
      <c r="Q962" s="169"/>
      <c r="R962" s="6"/>
      <c r="S962" s="6"/>
      <c r="T962" s="169"/>
      <c r="U962" s="6"/>
      <c r="V962" s="169"/>
      <c r="W962" s="169"/>
      <c r="X962" s="169"/>
      <c r="Y962" s="169"/>
      <c r="Z962" s="169"/>
      <c r="AA962" s="169"/>
      <c r="AB962" s="169"/>
      <c r="AC962" s="169"/>
      <c r="AD962" s="169"/>
      <c r="AE962" s="169"/>
      <c r="AF962" s="169"/>
      <c r="AG962" s="169"/>
      <c r="AH962" s="169"/>
      <c r="AI962" s="169"/>
      <c r="AJ962" s="169"/>
      <c r="AK962" s="169"/>
      <c r="AL962" s="169"/>
      <c r="AM962" s="169"/>
      <c r="AN962" s="169"/>
      <c r="AO962" s="169"/>
      <c r="AP962" s="169"/>
      <c r="AQ962" s="169"/>
      <c r="AR962" s="169"/>
    </row>
    <row r="963" spans="1:44" ht="12.5">
      <c r="A963" s="169"/>
      <c r="B963" s="186"/>
      <c r="C963" s="186"/>
      <c r="D963" s="187"/>
      <c r="E963" s="6"/>
      <c r="F963" s="6"/>
      <c r="G963" s="6"/>
      <c r="H963" s="169"/>
      <c r="I963" s="169"/>
      <c r="J963" s="6"/>
      <c r="K963" s="188"/>
      <c r="L963" s="189"/>
      <c r="M963" s="189"/>
      <c r="N963" s="6"/>
      <c r="O963" s="6"/>
      <c r="P963" s="6"/>
      <c r="Q963" s="169"/>
      <c r="R963" s="6"/>
      <c r="S963" s="6"/>
      <c r="T963" s="169"/>
      <c r="U963" s="6"/>
      <c r="V963" s="169"/>
      <c r="W963" s="169"/>
      <c r="X963" s="169"/>
      <c r="Y963" s="169"/>
      <c r="Z963" s="169"/>
      <c r="AA963" s="169"/>
      <c r="AB963" s="169"/>
      <c r="AC963" s="169"/>
      <c r="AD963" s="169"/>
      <c r="AE963" s="169"/>
      <c r="AF963" s="169"/>
      <c r="AG963" s="169"/>
      <c r="AH963" s="169"/>
      <c r="AI963" s="169"/>
      <c r="AJ963" s="169"/>
      <c r="AK963" s="169"/>
      <c r="AL963" s="169"/>
      <c r="AM963" s="169"/>
      <c r="AN963" s="169"/>
      <c r="AO963" s="169"/>
      <c r="AP963" s="169"/>
      <c r="AQ963" s="169"/>
      <c r="AR963" s="169"/>
    </row>
    <row r="964" spans="1:44" ht="12.5">
      <c r="A964" s="169"/>
      <c r="B964" s="186"/>
      <c r="C964" s="186"/>
      <c r="D964" s="187"/>
      <c r="E964" s="6"/>
      <c r="F964" s="6"/>
      <c r="G964" s="6"/>
      <c r="H964" s="169"/>
      <c r="I964" s="169"/>
      <c r="J964" s="6"/>
      <c r="K964" s="188"/>
      <c r="L964" s="189"/>
      <c r="M964" s="189"/>
      <c r="N964" s="6"/>
      <c r="O964" s="6"/>
      <c r="P964" s="6"/>
      <c r="Q964" s="169"/>
      <c r="R964" s="6"/>
      <c r="S964" s="6"/>
      <c r="T964" s="169"/>
      <c r="U964" s="6"/>
      <c r="V964" s="169"/>
      <c r="W964" s="169"/>
      <c r="X964" s="169"/>
      <c r="Y964" s="169"/>
      <c r="Z964" s="169"/>
      <c r="AA964" s="169"/>
      <c r="AB964" s="169"/>
      <c r="AC964" s="169"/>
      <c r="AD964" s="169"/>
      <c r="AE964" s="169"/>
      <c r="AF964" s="169"/>
      <c r="AG964" s="169"/>
      <c r="AH964" s="169"/>
      <c r="AI964" s="169"/>
      <c r="AJ964" s="169"/>
      <c r="AK964" s="169"/>
      <c r="AL964" s="169"/>
      <c r="AM964" s="169"/>
      <c r="AN964" s="169"/>
      <c r="AO964" s="169"/>
      <c r="AP964" s="169"/>
      <c r="AQ964" s="169"/>
      <c r="AR964" s="169"/>
    </row>
    <row r="965" spans="1:44" ht="12.5">
      <c r="A965" s="169"/>
      <c r="B965" s="186"/>
      <c r="C965" s="186"/>
      <c r="D965" s="187"/>
      <c r="E965" s="6"/>
      <c r="F965" s="6"/>
      <c r="G965" s="6"/>
      <c r="H965" s="169"/>
      <c r="I965" s="169"/>
      <c r="J965" s="6"/>
      <c r="K965" s="188"/>
      <c r="L965" s="189"/>
      <c r="M965" s="189"/>
      <c r="N965" s="6"/>
      <c r="O965" s="6"/>
      <c r="P965" s="6"/>
      <c r="Q965" s="169"/>
      <c r="R965" s="6"/>
      <c r="S965" s="6"/>
      <c r="T965" s="169"/>
      <c r="U965" s="6"/>
      <c r="V965" s="169"/>
      <c r="W965" s="169"/>
      <c r="X965" s="169"/>
      <c r="Y965" s="169"/>
      <c r="Z965" s="169"/>
      <c r="AA965" s="169"/>
      <c r="AB965" s="169"/>
      <c r="AC965" s="169"/>
      <c r="AD965" s="169"/>
      <c r="AE965" s="169"/>
      <c r="AF965" s="169"/>
      <c r="AG965" s="169"/>
      <c r="AH965" s="169"/>
      <c r="AI965" s="169"/>
      <c r="AJ965" s="169"/>
      <c r="AK965" s="169"/>
      <c r="AL965" s="169"/>
      <c r="AM965" s="169"/>
      <c r="AN965" s="169"/>
      <c r="AO965" s="169"/>
      <c r="AP965" s="169"/>
      <c r="AQ965" s="169"/>
      <c r="AR965" s="169"/>
    </row>
    <row r="966" spans="1:44" ht="12.5">
      <c r="A966" s="169"/>
      <c r="B966" s="186"/>
      <c r="C966" s="186"/>
      <c r="D966" s="187"/>
      <c r="E966" s="6"/>
      <c r="F966" s="6"/>
      <c r="G966" s="6"/>
      <c r="H966" s="169"/>
      <c r="I966" s="169"/>
      <c r="J966" s="6"/>
      <c r="K966" s="188"/>
      <c r="L966" s="189"/>
      <c r="M966" s="189"/>
      <c r="N966" s="6"/>
      <c r="O966" s="6"/>
      <c r="P966" s="6"/>
      <c r="Q966" s="169"/>
      <c r="R966" s="6"/>
      <c r="S966" s="6"/>
      <c r="T966" s="169"/>
      <c r="U966" s="6"/>
      <c r="V966" s="169"/>
      <c r="W966" s="169"/>
      <c r="X966" s="169"/>
      <c r="Y966" s="169"/>
      <c r="Z966" s="169"/>
      <c r="AA966" s="169"/>
      <c r="AB966" s="169"/>
      <c r="AC966" s="169"/>
      <c r="AD966" s="169"/>
      <c r="AE966" s="169"/>
      <c r="AF966" s="169"/>
      <c r="AG966" s="169"/>
      <c r="AH966" s="169"/>
      <c r="AI966" s="169"/>
      <c r="AJ966" s="169"/>
      <c r="AK966" s="169"/>
      <c r="AL966" s="169"/>
      <c r="AM966" s="169"/>
      <c r="AN966" s="169"/>
      <c r="AO966" s="169"/>
      <c r="AP966" s="169"/>
      <c r="AQ966" s="169"/>
      <c r="AR966" s="169"/>
    </row>
    <row r="967" spans="1:44" ht="12.5">
      <c r="A967" s="169"/>
      <c r="B967" s="186"/>
      <c r="C967" s="186"/>
      <c r="D967" s="187"/>
      <c r="E967" s="6"/>
      <c r="F967" s="6"/>
      <c r="G967" s="6"/>
      <c r="H967" s="169"/>
      <c r="I967" s="169"/>
      <c r="J967" s="6"/>
      <c r="K967" s="188"/>
      <c r="L967" s="189"/>
      <c r="M967" s="189"/>
      <c r="N967" s="6"/>
      <c r="O967" s="6"/>
      <c r="P967" s="6"/>
      <c r="Q967" s="169"/>
      <c r="R967" s="6"/>
      <c r="S967" s="6"/>
      <c r="T967" s="169"/>
      <c r="U967" s="6"/>
      <c r="V967" s="169"/>
      <c r="W967" s="169"/>
      <c r="X967" s="169"/>
      <c r="Y967" s="169"/>
      <c r="Z967" s="169"/>
      <c r="AA967" s="169"/>
      <c r="AB967" s="169"/>
      <c r="AC967" s="169"/>
      <c r="AD967" s="169"/>
      <c r="AE967" s="169"/>
      <c r="AF967" s="169"/>
      <c r="AG967" s="169"/>
      <c r="AH967" s="169"/>
      <c r="AI967" s="169"/>
      <c r="AJ967" s="169"/>
      <c r="AK967" s="169"/>
      <c r="AL967" s="169"/>
      <c r="AM967" s="169"/>
      <c r="AN967" s="169"/>
      <c r="AO967" s="169"/>
      <c r="AP967" s="169"/>
      <c r="AQ967" s="169"/>
      <c r="AR967" s="169"/>
    </row>
    <row r="968" spans="1:44" ht="12.5">
      <c r="A968" s="169"/>
      <c r="B968" s="186"/>
      <c r="C968" s="186"/>
      <c r="D968" s="187"/>
      <c r="E968" s="6"/>
      <c r="F968" s="6"/>
      <c r="G968" s="6"/>
      <c r="H968" s="169"/>
      <c r="I968" s="169"/>
      <c r="J968" s="6"/>
      <c r="K968" s="188"/>
      <c r="L968" s="189"/>
      <c r="M968" s="189"/>
      <c r="N968" s="6"/>
      <c r="O968" s="6"/>
      <c r="P968" s="6"/>
      <c r="Q968" s="169"/>
      <c r="R968" s="6"/>
      <c r="S968" s="6"/>
      <c r="T968" s="169"/>
      <c r="U968" s="6"/>
      <c r="V968" s="169"/>
      <c r="W968" s="169"/>
      <c r="X968" s="169"/>
      <c r="Y968" s="169"/>
      <c r="Z968" s="169"/>
      <c r="AA968" s="169"/>
      <c r="AB968" s="169"/>
      <c r="AC968" s="169"/>
      <c r="AD968" s="169"/>
      <c r="AE968" s="169"/>
      <c r="AF968" s="169"/>
      <c r="AG968" s="169"/>
      <c r="AH968" s="169"/>
      <c r="AI968" s="169"/>
      <c r="AJ968" s="169"/>
      <c r="AK968" s="169"/>
      <c r="AL968" s="169"/>
      <c r="AM968" s="169"/>
      <c r="AN968" s="169"/>
      <c r="AO968" s="169"/>
      <c r="AP968" s="169"/>
      <c r="AQ968" s="169"/>
      <c r="AR968" s="169"/>
    </row>
    <row r="969" spans="1:44" ht="12.5">
      <c r="A969" s="169"/>
      <c r="B969" s="186"/>
      <c r="C969" s="186"/>
      <c r="D969" s="187"/>
      <c r="E969" s="6"/>
      <c r="F969" s="6"/>
      <c r="G969" s="6"/>
      <c r="H969" s="169"/>
      <c r="I969" s="169"/>
      <c r="J969" s="6"/>
      <c r="K969" s="188"/>
      <c r="L969" s="189"/>
      <c r="M969" s="189"/>
      <c r="N969" s="6"/>
      <c r="O969" s="6"/>
      <c r="P969" s="6"/>
      <c r="Q969" s="169"/>
      <c r="R969" s="6"/>
      <c r="S969" s="6"/>
      <c r="T969" s="169"/>
      <c r="U969" s="6"/>
      <c r="V969" s="169"/>
      <c r="W969" s="169"/>
      <c r="X969" s="169"/>
      <c r="Y969" s="169"/>
      <c r="Z969" s="169"/>
      <c r="AA969" s="169"/>
      <c r="AB969" s="169"/>
      <c r="AC969" s="169"/>
      <c r="AD969" s="169"/>
      <c r="AE969" s="169"/>
      <c r="AF969" s="169"/>
      <c r="AG969" s="169"/>
      <c r="AH969" s="169"/>
      <c r="AI969" s="169"/>
      <c r="AJ969" s="169"/>
      <c r="AK969" s="169"/>
      <c r="AL969" s="169"/>
      <c r="AM969" s="169"/>
      <c r="AN969" s="169"/>
      <c r="AO969" s="169"/>
      <c r="AP969" s="169"/>
      <c r="AQ969" s="169"/>
      <c r="AR969" s="169"/>
    </row>
    <row r="970" spans="1:44" ht="12.5">
      <c r="A970" s="169"/>
      <c r="B970" s="186"/>
      <c r="C970" s="186"/>
      <c r="D970" s="187"/>
      <c r="E970" s="6"/>
      <c r="F970" s="6"/>
      <c r="G970" s="6"/>
      <c r="H970" s="169"/>
      <c r="I970" s="169"/>
      <c r="J970" s="6"/>
      <c r="K970" s="188"/>
      <c r="L970" s="189"/>
      <c r="M970" s="189"/>
      <c r="N970" s="6"/>
      <c r="O970" s="6"/>
      <c r="P970" s="6"/>
      <c r="Q970" s="169"/>
      <c r="R970" s="6"/>
      <c r="S970" s="6"/>
      <c r="T970" s="169"/>
      <c r="U970" s="6"/>
      <c r="V970" s="169"/>
      <c r="W970" s="169"/>
      <c r="X970" s="169"/>
      <c r="Y970" s="169"/>
      <c r="Z970" s="169"/>
      <c r="AA970" s="169"/>
      <c r="AB970" s="169"/>
      <c r="AC970" s="169"/>
      <c r="AD970" s="169"/>
      <c r="AE970" s="169"/>
      <c r="AF970" s="169"/>
      <c r="AG970" s="169"/>
      <c r="AH970" s="169"/>
      <c r="AI970" s="169"/>
      <c r="AJ970" s="169"/>
      <c r="AK970" s="169"/>
      <c r="AL970" s="169"/>
      <c r="AM970" s="169"/>
      <c r="AN970" s="169"/>
      <c r="AO970" s="169"/>
      <c r="AP970" s="169"/>
      <c r="AQ970" s="169"/>
      <c r="AR970" s="169"/>
    </row>
    <row r="971" spans="1:44" ht="12.5">
      <c r="A971" s="169"/>
      <c r="B971" s="186"/>
      <c r="C971" s="186"/>
      <c r="D971" s="187"/>
      <c r="E971" s="6"/>
      <c r="F971" s="6"/>
      <c r="G971" s="6"/>
      <c r="H971" s="169"/>
      <c r="I971" s="169"/>
      <c r="J971" s="6"/>
      <c r="K971" s="188"/>
      <c r="L971" s="189"/>
      <c r="M971" s="189"/>
      <c r="N971" s="6"/>
      <c r="O971" s="6"/>
      <c r="P971" s="6"/>
      <c r="Q971" s="169"/>
      <c r="R971" s="6"/>
      <c r="S971" s="6"/>
      <c r="T971" s="169"/>
      <c r="U971" s="6"/>
      <c r="V971" s="169"/>
      <c r="W971" s="169"/>
      <c r="X971" s="169"/>
      <c r="Y971" s="169"/>
      <c r="Z971" s="169"/>
      <c r="AA971" s="169"/>
      <c r="AB971" s="169"/>
      <c r="AC971" s="169"/>
      <c r="AD971" s="169"/>
      <c r="AE971" s="169"/>
      <c r="AF971" s="169"/>
      <c r="AG971" s="169"/>
      <c r="AH971" s="169"/>
      <c r="AI971" s="169"/>
      <c r="AJ971" s="169"/>
      <c r="AK971" s="169"/>
      <c r="AL971" s="169"/>
      <c r="AM971" s="169"/>
      <c r="AN971" s="169"/>
      <c r="AO971" s="169"/>
      <c r="AP971" s="169"/>
      <c r="AQ971" s="169"/>
      <c r="AR971" s="169"/>
    </row>
    <row r="972" spans="1:44" ht="12.5">
      <c r="A972" s="169"/>
      <c r="B972" s="186"/>
      <c r="C972" s="186"/>
      <c r="D972" s="187"/>
      <c r="E972" s="6"/>
      <c r="F972" s="6"/>
      <c r="G972" s="6"/>
      <c r="H972" s="169"/>
      <c r="I972" s="169"/>
      <c r="J972" s="6"/>
      <c r="K972" s="188"/>
      <c r="L972" s="189"/>
      <c r="M972" s="189"/>
      <c r="N972" s="6"/>
      <c r="O972" s="6"/>
      <c r="P972" s="6"/>
      <c r="Q972" s="169"/>
      <c r="R972" s="6"/>
      <c r="S972" s="6"/>
      <c r="T972" s="169"/>
      <c r="U972" s="6"/>
      <c r="V972" s="169"/>
      <c r="W972" s="169"/>
      <c r="X972" s="169"/>
      <c r="Y972" s="169"/>
      <c r="Z972" s="169"/>
      <c r="AA972" s="169"/>
      <c r="AB972" s="169"/>
      <c r="AC972" s="169"/>
      <c r="AD972" s="169"/>
      <c r="AE972" s="169"/>
      <c r="AF972" s="169"/>
      <c r="AG972" s="169"/>
      <c r="AH972" s="169"/>
      <c r="AI972" s="169"/>
      <c r="AJ972" s="169"/>
      <c r="AK972" s="169"/>
      <c r="AL972" s="169"/>
      <c r="AM972" s="169"/>
      <c r="AN972" s="169"/>
      <c r="AO972" s="169"/>
      <c r="AP972" s="169"/>
      <c r="AQ972" s="169"/>
      <c r="AR972" s="169"/>
    </row>
    <row r="973" spans="1:44" ht="12.5">
      <c r="A973" s="169"/>
      <c r="B973" s="186"/>
      <c r="C973" s="186"/>
      <c r="D973" s="187"/>
      <c r="E973" s="6"/>
      <c r="F973" s="6"/>
      <c r="G973" s="6"/>
      <c r="H973" s="169"/>
      <c r="I973" s="169"/>
      <c r="J973" s="6"/>
      <c r="K973" s="188"/>
      <c r="L973" s="189"/>
      <c r="M973" s="189"/>
      <c r="N973" s="6"/>
      <c r="O973" s="6"/>
      <c r="P973" s="6"/>
      <c r="Q973" s="169"/>
      <c r="R973" s="6"/>
      <c r="S973" s="6"/>
      <c r="T973" s="169"/>
      <c r="U973" s="6"/>
      <c r="V973" s="169"/>
      <c r="W973" s="169"/>
      <c r="X973" s="169"/>
      <c r="Y973" s="169"/>
      <c r="Z973" s="169"/>
      <c r="AA973" s="169"/>
      <c r="AB973" s="169"/>
      <c r="AC973" s="169"/>
      <c r="AD973" s="169"/>
      <c r="AE973" s="169"/>
      <c r="AF973" s="169"/>
      <c r="AG973" s="169"/>
      <c r="AH973" s="169"/>
      <c r="AI973" s="169"/>
      <c r="AJ973" s="169"/>
      <c r="AK973" s="169"/>
      <c r="AL973" s="169"/>
      <c r="AM973" s="169"/>
      <c r="AN973" s="169"/>
      <c r="AO973" s="169"/>
      <c r="AP973" s="169"/>
      <c r="AQ973" s="169"/>
      <c r="AR973" s="169"/>
    </row>
    <row r="974" spans="1:44" ht="12.5">
      <c r="A974" s="169"/>
      <c r="B974" s="186"/>
      <c r="C974" s="186"/>
      <c r="D974" s="187"/>
      <c r="E974" s="6"/>
      <c r="F974" s="6"/>
      <c r="G974" s="6"/>
      <c r="H974" s="169"/>
      <c r="I974" s="169"/>
      <c r="J974" s="6"/>
      <c r="K974" s="188"/>
      <c r="L974" s="189"/>
      <c r="M974" s="189"/>
      <c r="N974" s="6"/>
      <c r="O974" s="6"/>
      <c r="P974" s="6"/>
      <c r="Q974" s="169"/>
      <c r="R974" s="6"/>
      <c r="S974" s="6"/>
      <c r="T974" s="169"/>
      <c r="U974" s="6"/>
      <c r="V974" s="169"/>
      <c r="W974" s="169"/>
      <c r="X974" s="169"/>
      <c r="Y974" s="169"/>
      <c r="Z974" s="169"/>
      <c r="AA974" s="169"/>
      <c r="AB974" s="169"/>
      <c r="AC974" s="169"/>
      <c r="AD974" s="169"/>
      <c r="AE974" s="169"/>
      <c r="AF974" s="169"/>
      <c r="AG974" s="169"/>
      <c r="AH974" s="169"/>
      <c r="AI974" s="169"/>
      <c r="AJ974" s="169"/>
      <c r="AK974" s="169"/>
      <c r="AL974" s="169"/>
      <c r="AM974" s="169"/>
      <c r="AN974" s="169"/>
      <c r="AO974" s="169"/>
      <c r="AP974" s="169"/>
      <c r="AQ974" s="169"/>
      <c r="AR974" s="169"/>
    </row>
    <row r="975" spans="1:44" ht="12.5">
      <c r="A975" s="169"/>
      <c r="B975" s="186"/>
      <c r="C975" s="186"/>
      <c r="D975" s="187"/>
      <c r="E975" s="6"/>
      <c r="F975" s="6"/>
      <c r="G975" s="6"/>
      <c r="H975" s="169"/>
      <c r="I975" s="169"/>
      <c r="J975" s="6"/>
      <c r="K975" s="188"/>
      <c r="L975" s="189"/>
      <c r="M975" s="189"/>
      <c r="N975" s="6"/>
      <c r="O975" s="6"/>
      <c r="P975" s="6"/>
      <c r="Q975" s="169"/>
      <c r="R975" s="6"/>
      <c r="S975" s="6"/>
      <c r="T975" s="169"/>
      <c r="U975" s="6"/>
      <c r="V975" s="169"/>
      <c r="W975" s="169"/>
      <c r="X975" s="169"/>
      <c r="Y975" s="169"/>
      <c r="Z975" s="169"/>
      <c r="AA975" s="169"/>
      <c r="AB975" s="169"/>
      <c r="AC975" s="169"/>
      <c r="AD975" s="169"/>
      <c r="AE975" s="169"/>
      <c r="AF975" s="169"/>
      <c r="AG975" s="169"/>
      <c r="AH975" s="169"/>
      <c r="AI975" s="169"/>
      <c r="AJ975" s="169"/>
      <c r="AK975" s="169"/>
      <c r="AL975" s="169"/>
      <c r="AM975" s="169"/>
      <c r="AN975" s="169"/>
      <c r="AO975" s="169"/>
      <c r="AP975" s="169"/>
      <c r="AQ975" s="169"/>
      <c r="AR975" s="169"/>
    </row>
    <row r="976" spans="1:44" ht="12.5">
      <c r="A976" s="169"/>
      <c r="B976" s="186"/>
      <c r="C976" s="186"/>
      <c r="D976" s="187"/>
      <c r="E976" s="6"/>
      <c r="F976" s="6"/>
      <c r="G976" s="6"/>
      <c r="H976" s="169"/>
      <c r="I976" s="169"/>
      <c r="J976" s="6"/>
      <c r="K976" s="188"/>
      <c r="L976" s="189"/>
      <c r="M976" s="189"/>
      <c r="N976" s="6"/>
      <c r="O976" s="6"/>
      <c r="P976" s="6"/>
      <c r="Q976" s="169"/>
      <c r="R976" s="6"/>
      <c r="S976" s="6"/>
      <c r="T976" s="169"/>
      <c r="U976" s="6"/>
      <c r="V976" s="169"/>
      <c r="W976" s="169"/>
      <c r="X976" s="169"/>
      <c r="Y976" s="169"/>
      <c r="Z976" s="169"/>
      <c r="AA976" s="169"/>
      <c r="AB976" s="169"/>
      <c r="AC976" s="169"/>
      <c r="AD976" s="169"/>
      <c r="AE976" s="169"/>
      <c r="AF976" s="169"/>
      <c r="AG976" s="169"/>
      <c r="AH976" s="169"/>
      <c r="AI976" s="169"/>
      <c r="AJ976" s="169"/>
      <c r="AK976" s="169"/>
      <c r="AL976" s="169"/>
      <c r="AM976" s="169"/>
      <c r="AN976" s="169"/>
      <c r="AO976" s="169"/>
      <c r="AP976" s="169"/>
      <c r="AQ976" s="169"/>
      <c r="AR976" s="169"/>
    </row>
    <row r="977" spans="1:44" ht="12.5">
      <c r="A977" s="169"/>
      <c r="B977" s="186"/>
      <c r="C977" s="186"/>
      <c r="D977" s="187"/>
      <c r="E977" s="6"/>
      <c r="F977" s="6"/>
      <c r="G977" s="6"/>
      <c r="H977" s="169"/>
      <c r="I977" s="169"/>
      <c r="J977" s="6"/>
      <c r="K977" s="188"/>
      <c r="L977" s="189"/>
      <c r="M977" s="189"/>
      <c r="N977" s="6"/>
      <c r="O977" s="6"/>
      <c r="P977" s="6"/>
      <c r="Q977" s="169"/>
      <c r="R977" s="6"/>
      <c r="S977" s="6"/>
      <c r="T977" s="169"/>
      <c r="U977" s="6"/>
      <c r="V977" s="169"/>
      <c r="W977" s="169"/>
      <c r="X977" s="169"/>
      <c r="Y977" s="169"/>
      <c r="Z977" s="169"/>
      <c r="AA977" s="169"/>
      <c r="AB977" s="169"/>
      <c r="AC977" s="169"/>
      <c r="AD977" s="169"/>
      <c r="AE977" s="169"/>
      <c r="AF977" s="169"/>
      <c r="AG977" s="169"/>
      <c r="AH977" s="169"/>
      <c r="AI977" s="169"/>
      <c r="AJ977" s="169"/>
      <c r="AK977" s="169"/>
      <c r="AL977" s="169"/>
      <c r="AM977" s="169"/>
      <c r="AN977" s="169"/>
      <c r="AO977" s="169"/>
      <c r="AP977" s="169"/>
      <c r="AQ977" s="169"/>
      <c r="AR977" s="169"/>
    </row>
    <row r="978" spans="1:44" ht="12.5">
      <c r="A978" s="169"/>
      <c r="B978" s="186"/>
      <c r="C978" s="186"/>
      <c r="D978" s="187"/>
      <c r="E978" s="6"/>
      <c r="F978" s="6"/>
      <c r="G978" s="6"/>
      <c r="H978" s="169"/>
      <c r="I978" s="169"/>
      <c r="J978" s="6"/>
      <c r="K978" s="188"/>
      <c r="L978" s="189"/>
      <c r="M978" s="189"/>
      <c r="N978" s="6"/>
      <c r="O978" s="6"/>
      <c r="P978" s="6"/>
      <c r="Q978" s="169"/>
      <c r="R978" s="6"/>
      <c r="S978" s="6"/>
      <c r="T978" s="169"/>
      <c r="U978" s="6"/>
      <c r="V978" s="169"/>
      <c r="W978" s="169"/>
      <c r="X978" s="169"/>
      <c r="Y978" s="169"/>
      <c r="Z978" s="169"/>
      <c r="AA978" s="169"/>
      <c r="AB978" s="169"/>
      <c r="AC978" s="169"/>
      <c r="AD978" s="169"/>
      <c r="AE978" s="169"/>
      <c r="AF978" s="169"/>
      <c r="AG978" s="169"/>
      <c r="AH978" s="169"/>
      <c r="AI978" s="169"/>
      <c r="AJ978" s="169"/>
      <c r="AK978" s="169"/>
      <c r="AL978" s="169"/>
      <c r="AM978" s="169"/>
      <c r="AN978" s="169"/>
      <c r="AO978" s="169"/>
      <c r="AP978" s="169"/>
      <c r="AQ978" s="169"/>
      <c r="AR978" s="169"/>
    </row>
    <row r="979" spans="1:44" ht="12.5">
      <c r="A979" s="169"/>
      <c r="B979" s="186"/>
      <c r="C979" s="186"/>
      <c r="D979" s="187"/>
      <c r="E979" s="6"/>
      <c r="F979" s="6"/>
      <c r="G979" s="6"/>
      <c r="H979" s="169"/>
      <c r="I979" s="169"/>
      <c r="J979" s="6"/>
      <c r="K979" s="188"/>
      <c r="L979" s="189"/>
      <c r="M979" s="189"/>
      <c r="N979" s="6"/>
      <c r="O979" s="6"/>
      <c r="P979" s="6"/>
      <c r="Q979" s="169"/>
      <c r="R979" s="6"/>
      <c r="S979" s="6"/>
      <c r="T979" s="169"/>
      <c r="U979" s="6"/>
      <c r="V979" s="169"/>
      <c r="W979" s="169"/>
      <c r="X979" s="169"/>
      <c r="Y979" s="169"/>
      <c r="Z979" s="169"/>
      <c r="AA979" s="169"/>
      <c r="AB979" s="169"/>
      <c r="AC979" s="169"/>
      <c r="AD979" s="169"/>
      <c r="AE979" s="169"/>
      <c r="AF979" s="169"/>
      <c r="AG979" s="169"/>
      <c r="AH979" s="169"/>
      <c r="AI979" s="169"/>
      <c r="AJ979" s="169"/>
      <c r="AK979" s="169"/>
      <c r="AL979" s="169"/>
      <c r="AM979" s="169"/>
      <c r="AN979" s="169"/>
      <c r="AO979" s="169"/>
      <c r="AP979" s="169"/>
      <c r="AQ979" s="169"/>
      <c r="AR979" s="169"/>
    </row>
    <row r="980" spans="1:44" ht="12.5">
      <c r="A980" s="169"/>
      <c r="B980" s="186"/>
      <c r="C980" s="186"/>
      <c r="D980" s="187"/>
      <c r="E980" s="6"/>
      <c r="F980" s="6"/>
      <c r="G980" s="6"/>
      <c r="H980" s="169"/>
      <c r="I980" s="169"/>
      <c r="J980" s="6"/>
      <c r="K980" s="188"/>
      <c r="L980" s="189"/>
      <c r="M980" s="189"/>
      <c r="N980" s="6"/>
      <c r="O980" s="6"/>
      <c r="P980" s="6"/>
      <c r="Q980" s="169"/>
      <c r="R980" s="6"/>
      <c r="S980" s="6"/>
      <c r="T980" s="169"/>
      <c r="U980" s="6"/>
      <c r="V980" s="169"/>
      <c r="W980" s="169"/>
      <c r="X980" s="169"/>
      <c r="Y980" s="169"/>
      <c r="Z980" s="169"/>
      <c r="AA980" s="169"/>
      <c r="AB980" s="169"/>
      <c r="AC980" s="169"/>
      <c r="AD980" s="169"/>
      <c r="AE980" s="169"/>
      <c r="AF980" s="169"/>
      <c r="AG980" s="169"/>
      <c r="AH980" s="169"/>
      <c r="AI980" s="169"/>
      <c r="AJ980" s="169"/>
      <c r="AK980" s="169"/>
      <c r="AL980" s="169"/>
      <c r="AM980" s="169"/>
      <c r="AN980" s="169"/>
      <c r="AO980" s="169"/>
      <c r="AP980" s="169"/>
      <c r="AQ980" s="169"/>
      <c r="AR980" s="169"/>
    </row>
    <row r="981" spans="1:44" ht="12.5">
      <c r="A981" s="169"/>
      <c r="B981" s="186"/>
      <c r="C981" s="186"/>
      <c r="D981" s="187"/>
      <c r="E981" s="6"/>
      <c r="F981" s="6"/>
      <c r="G981" s="6"/>
      <c r="H981" s="169"/>
      <c r="I981" s="169"/>
      <c r="J981" s="6"/>
      <c r="K981" s="188"/>
      <c r="L981" s="189"/>
      <c r="M981" s="189"/>
      <c r="N981" s="6"/>
      <c r="O981" s="6"/>
      <c r="P981" s="6"/>
      <c r="Q981" s="169"/>
      <c r="R981" s="6"/>
      <c r="S981" s="6"/>
      <c r="T981" s="169"/>
      <c r="U981" s="6"/>
      <c r="V981" s="169"/>
      <c r="W981" s="169"/>
      <c r="X981" s="169"/>
      <c r="Y981" s="169"/>
      <c r="Z981" s="169"/>
      <c r="AA981" s="169"/>
      <c r="AB981" s="169"/>
      <c r="AC981" s="169"/>
      <c r="AD981" s="169"/>
      <c r="AE981" s="169"/>
      <c r="AF981" s="169"/>
      <c r="AG981" s="169"/>
      <c r="AH981" s="169"/>
      <c r="AI981" s="169"/>
      <c r="AJ981" s="169"/>
      <c r="AK981" s="169"/>
      <c r="AL981" s="169"/>
      <c r="AM981" s="169"/>
      <c r="AN981" s="169"/>
      <c r="AO981" s="169"/>
      <c r="AP981" s="169"/>
      <c r="AQ981" s="169"/>
      <c r="AR981" s="169"/>
    </row>
    <row r="982" spans="1:44" ht="12.5">
      <c r="A982" s="169"/>
      <c r="B982" s="186"/>
      <c r="C982" s="186"/>
      <c r="D982" s="187"/>
      <c r="E982" s="6"/>
      <c r="F982" s="6"/>
      <c r="G982" s="6"/>
      <c r="H982" s="169"/>
      <c r="I982" s="169"/>
      <c r="J982" s="6"/>
      <c r="K982" s="188"/>
      <c r="L982" s="189"/>
      <c r="M982" s="189"/>
      <c r="N982" s="6"/>
      <c r="O982" s="6"/>
      <c r="P982" s="6"/>
      <c r="Q982" s="169"/>
      <c r="R982" s="6"/>
      <c r="S982" s="6"/>
      <c r="T982" s="169"/>
      <c r="U982" s="6"/>
      <c r="V982" s="169"/>
      <c r="W982" s="169"/>
      <c r="X982" s="169"/>
      <c r="Y982" s="169"/>
      <c r="Z982" s="169"/>
      <c r="AA982" s="169"/>
      <c r="AB982" s="169"/>
      <c r="AC982" s="169"/>
      <c r="AD982" s="169"/>
      <c r="AE982" s="169"/>
      <c r="AF982" s="169"/>
      <c r="AG982" s="169"/>
      <c r="AH982" s="169"/>
      <c r="AI982" s="169"/>
      <c r="AJ982" s="169"/>
      <c r="AK982" s="169"/>
      <c r="AL982" s="169"/>
      <c r="AM982" s="169"/>
      <c r="AN982" s="169"/>
      <c r="AO982" s="169"/>
      <c r="AP982" s="169"/>
      <c r="AQ982" s="169"/>
      <c r="AR982" s="169"/>
    </row>
    <row r="983" spans="1:44" ht="12.5">
      <c r="A983" s="169"/>
      <c r="B983" s="186"/>
      <c r="C983" s="186"/>
      <c r="D983" s="187"/>
      <c r="E983" s="6"/>
      <c r="F983" s="6"/>
      <c r="G983" s="6"/>
      <c r="H983" s="169"/>
      <c r="I983" s="169"/>
      <c r="J983" s="6"/>
      <c r="K983" s="188"/>
      <c r="L983" s="189"/>
      <c r="M983" s="189"/>
      <c r="N983" s="6"/>
      <c r="O983" s="6"/>
      <c r="P983" s="6"/>
      <c r="Q983" s="169"/>
      <c r="R983" s="6"/>
      <c r="S983" s="6"/>
      <c r="T983" s="169"/>
      <c r="U983" s="6"/>
      <c r="V983" s="169"/>
      <c r="W983" s="169"/>
      <c r="X983" s="169"/>
      <c r="Y983" s="169"/>
      <c r="Z983" s="169"/>
      <c r="AA983" s="169"/>
      <c r="AB983" s="169"/>
      <c r="AC983" s="169"/>
      <c r="AD983" s="169"/>
      <c r="AE983" s="169"/>
      <c r="AF983" s="169"/>
      <c r="AG983" s="169"/>
      <c r="AH983" s="169"/>
      <c r="AI983" s="169"/>
      <c r="AJ983" s="169"/>
      <c r="AK983" s="169"/>
      <c r="AL983" s="169"/>
      <c r="AM983" s="169"/>
      <c r="AN983" s="169"/>
      <c r="AO983" s="169"/>
      <c r="AP983" s="169"/>
      <c r="AQ983" s="169"/>
      <c r="AR983" s="169"/>
    </row>
    <row r="984" spans="1:44" ht="12.5">
      <c r="A984" s="169"/>
      <c r="B984" s="186"/>
      <c r="C984" s="186"/>
      <c r="D984" s="187"/>
      <c r="E984" s="6"/>
      <c r="F984" s="6"/>
      <c r="G984" s="6"/>
      <c r="H984" s="169"/>
      <c r="I984" s="169"/>
      <c r="J984" s="6"/>
      <c r="K984" s="188"/>
      <c r="L984" s="189"/>
      <c r="M984" s="189"/>
      <c r="N984" s="6"/>
      <c r="O984" s="6"/>
      <c r="P984" s="6"/>
      <c r="Q984" s="169"/>
      <c r="R984" s="6"/>
      <c r="S984" s="6"/>
      <c r="T984" s="169"/>
      <c r="U984" s="6"/>
      <c r="V984" s="169"/>
      <c r="W984" s="169"/>
      <c r="X984" s="169"/>
      <c r="Y984" s="169"/>
      <c r="Z984" s="169"/>
      <c r="AA984" s="169"/>
      <c r="AB984" s="169"/>
      <c r="AC984" s="169"/>
      <c r="AD984" s="169"/>
      <c r="AE984" s="169"/>
      <c r="AF984" s="169"/>
      <c r="AG984" s="169"/>
      <c r="AH984" s="169"/>
      <c r="AI984" s="169"/>
      <c r="AJ984" s="169"/>
      <c r="AK984" s="169"/>
      <c r="AL984" s="169"/>
      <c r="AM984" s="169"/>
      <c r="AN984" s="169"/>
      <c r="AO984" s="169"/>
      <c r="AP984" s="169"/>
      <c r="AQ984" s="169"/>
      <c r="AR984" s="169"/>
    </row>
    <row r="985" spans="1:44" ht="12.5">
      <c r="A985" s="169"/>
      <c r="B985" s="186"/>
      <c r="C985" s="186"/>
      <c r="D985" s="187"/>
      <c r="E985" s="6"/>
      <c r="F985" s="6"/>
      <c r="G985" s="6"/>
      <c r="H985" s="169"/>
      <c r="I985" s="169"/>
      <c r="J985" s="6"/>
      <c r="K985" s="188"/>
      <c r="L985" s="189"/>
      <c r="M985" s="189"/>
      <c r="N985" s="6"/>
      <c r="O985" s="6"/>
      <c r="P985" s="6"/>
      <c r="Q985" s="169"/>
      <c r="R985" s="6"/>
      <c r="S985" s="6"/>
      <c r="T985" s="169"/>
      <c r="U985" s="6"/>
      <c r="V985" s="169"/>
      <c r="W985" s="169"/>
      <c r="X985" s="169"/>
      <c r="Y985" s="169"/>
      <c r="Z985" s="169"/>
      <c r="AA985" s="169"/>
      <c r="AB985" s="169"/>
      <c r="AC985" s="169"/>
      <c r="AD985" s="169"/>
      <c r="AE985" s="169"/>
      <c r="AF985" s="169"/>
      <c r="AG985" s="169"/>
      <c r="AH985" s="169"/>
      <c r="AI985" s="169"/>
      <c r="AJ985" s="169"/>
      <c r="AK985" s="169"/>
      <c r="AL985" s="169"/>
      <c r="AM985" s="169"/>
      <c r="AN985" s="169"/>
      <c r="AO985" s="169"/>
      <c r="AP985" s="169"/>
      <c r="AQ985" s="169"/>
      <c r="AR985" s="169"/>
    </row>
    <row r="986" spans="1:44" ht="12.5">
      <c r="A986" s="169"/>
      <c r="B986" s="186"/>
      <c r="C986" s="186"/>
      <c r="D986" s="187"/>
      <c r="E986" s="6"/>
      <c r="F986" s="6"/>
      <c r="G986" s="6"/>
      <c r="H986" s="169"/>
      <c r="I986" s="169"/>
      <c r="J986" s="6"/>
      <c r="K986" s="188"/>
      <c r="L986" s="189"/>
      <c r="M986" s="189"/>
      <c r="N986" s="6"/>
      <c r="O986" s="6"/>
      <c r="P986" s="6"/>
      <c r="Q986" s="169"/>
      <c r="R986" s="6"/>
      <c r="S986" s="6"/>
      <c r="T986" s="169"/>
      <c r="U986" s="6"/>
      <c r="V986" s="169"/>
      <c r="W986" s="169"/>
      <c r="X986" s="169"/>
      <c r="Y986" s="169"/>
      <c r="Z986" s="169"/>
      <c r="AA986" s="169"/>
      <c r="AB986" s="169"/>
      <c r="AC986" s="169"/>
      <c r="AD986" s="169"/>
      <c r="AE986" s="169"/>
      <c r="AF986" s="169"/>
      <c r="AG986" s="169"/>
      <c r="AH986" s="169"/>
      <c r="AI986" s="169"/>
      <c r="AJ986" s="169"/>
      <c r="AK986" s="169"/>
      <c r="AL986" s="169"/>
      <c r="AM986" s="169"/>
      <c r="AN986" s="169"/>
      <c r="AO986" s="169"/>
      <c r="AP986" s="169"/>
      <c r="AQ986" s="169"/>
      <c r="AR986" s="169"/>
    </row>
    <row r="987" spans="1:44" ht="12.5">
      <c r="A987" s="169"/>
      <c r="B987" s="186"/>
      <c r="C987" s="186"/>
      <c r="D987" s="187"/>
      <c r="E987" s="6"/>
      <c r="F987" s="6"/>
      <c r="G987" s="6"/>
      <c r="H987" s="169"/>
      <c r="I987" s="169"/>
      <c r="J987" s="6"/>
      <c r="K987" s="188"/>
      <c r="L987" s="189"/>
      <c r="M987" s="189"/>
      <c r="N987" s="6"/>
      <c r="O987" s="6"/>
      <c r="P987" s="6"/>
      <c r="Q987" s="169"/>
      <c r="R987" s="6"/>
      <c r="S987" s="6"/>
      <c r="T987" s="169"/>
      <c r="U987" s="6"/>
      <c r="V987" s="169"/>
      <c r="W987" s="169"/>
      <c r="X987" s="169"/>
      <c r="Y987" s="169"/>
      <c r="Z987" s="169"/>
      <c r="AA987" s="169"/>
      <c r="AB987" s="169"/>
      <c r="AC987" s="169"/>
      <c r="AD987" s="169"/>
      <c r="AE987" s="169"/>
      <c r="AF987" s="169"/>
      <c r="AG987" s="169"/>
      <c r="AH987" s="169"/>
      <c r="AI987" s="169"/>
      <c r="AJ987" s="169"/>
      <c r="AK987" s="169"/>
      <c r="AL987" s="169"/>
      <c r="AM987" s="169"/>
      <c r="AN987" s="169"/>
      <c r="AO987" s="169"/>
      <c r="AP987" s="169"/>
      <c r="AQ987" s="169"/>
      <c r="AR987" s="169"/>
    </row>
    <row r="988" spans="1:44" ht="12.5">
      <c r="A988" s="169"/>
      <c r="B988" s="186"/>
      <c r="C988" s="186"/>
      <c r="D988" s="187"/>
      <c r="E988" s="6"/>
      <c r="F988" s="6"/>
      <c r="G988" s="6"/>
      <c r="H988" s="169"/>
      <c r="I988" s="169"/>
      <c r="J988" s="6"/>
      <c r="K988" s="188"/>
      <c r="L988" s="189"/>
      <c r="M988" s="189"/>
      <c r="N988" s="6"/>
      <c r="O988" s="6"/>
      <c r="P988" s="6"/>
      <c r="Q988" s="169"/>
      <c r="R988" s="6"/>
      <c r="S988" s="6"/>
      <c r="T988" s="169"/>
      <c r="U988" s="6"/>
      <c r="V988" s="169"/>
      <c r="W988" s="169"/>
      <c r="X988" s="169"/>
      <c r="Y988" s="169"/>
      <c r="Z988" s="169"/>
      <c r="AA988" s="169"/>
      <c r="AB988" s="169"/>
      <c r="AC988" s="169"/>
      <c r="AD988" s="169"/>
      <c r="AE988" s="169"/>
      <c r="AF988" s="169"/>
      <c r="AG988" s="169"/>
      <c r="AH988" s="169"/>
      <c r="AI988" s="169"/>
      <c r="AJ988" s="169"/>
      <c r="AK988" s="169"/>
      <c r="AL988" s="169"/>
      <c r="AM988" s="169"/>
      <c r="AN988" s="169"/>
      <c r="AO988" s="169"/>
      <c r="AP988" s="169"/>
      <c r="AQ988" s="169"/>
      <c r="AR988" s="169"/>
    </row>
    <row r="989" spans="1:44" ht="12.5">
      <c r="A989" s="169"/>
      <c r="B989" s="186"/>
      <c r="C989" s="186"/>
      <c r="D989" s="187"/>
      <c r="E989" s="6"/>
      <c r="F989" s="6"/>
      <c r="G989" s="6"/>
      <c r="H989" s="169"/>
      <c r="I989" s="169"/>
      <c r="J989" s="6"/>
      <c r="K989" s="188"/>
      <c r="L989" s="189"/>
      <c r="M989" s="189"/>
      <c r="N989" s="6"/>
      <c r="O989" s="6"/>
      <c r="P989" s="6"/>
      <c r="Q989" s="169"/>
      <c r="R989" s="6"/>
      <c r="S989" s="6"/>
      <c r="T989" s="169"/>
      <c r="U989" s="6"/>
      <c r="V989" s="169"/>
      <c r="W989" s="169"/>
      <c r="X989" s="169"/>
      <c r="Y989" s="169"/>
      <c r="Z989" s="169"/>
      <c r="AA989" s="169"/>
      <c r="AB989" s="169"/>
      <c r="AC989" s="169"/>
      <c r="AD989" s="169"/>
      <c r="AE989" s="169"/>
      <c r="AF989" s="169"/>
      <c r="AG989" s="169"/>
      <c r="AH989" s="169"/>
      <c r="AI989" s="169"/>
      <c r="AJ989" s="169"/>
      <c r="AK989" s="169"/>
      <c r="AL989" s="169"/>
      <c r="AM989" s="169"/>
      <c r="AN989" s="169"/>
      <c r="AO989" s="169"/>
      <c r="AP989" s="169"/>
      <c r="AQ989" s="169"/>
      <c r="AR989" s="169"/>
    </row>
    <row r="990" spans="1:44" ht="12.5">
      <c r="A990" s="169"/>
      <c r="B990" s="186"/>
      <c r="C990" s="186"/>
      <c r="D990" s="187"/>
      <c r="E990" s="6"/>
      <c r="F990" s="6"/>
      <c r="G990" s="6"/>
      <c r="H990" s="169"/>
      <c r="I990" s="169"/>
      <c r="J990" s="6"/>
      <c r="K990" s="188"/>
      <c r="L990" s="189"/>
      <c r="M990" s="189"/>
      <c r="N990" s="6"/>
      <c r="O990" s="6"/>
      <c r="P990" s="6"/>
      <c r="Q990" s="169"/>
      <c r="R990" s="6"/>
      <c r="S990" s="6"/>
      <c r="T990" s="169"/>
      <c r="U990" s="6"/>
      <c r="V990" s="169"/>
      <c r="W990" s="169"/>
      <c r="X990" s="169"/>
      <c r="Y990" s="169"/>
      <c r="Z990" s="169"/>
      <c r="AA990" s="169"/>
      <c r="AB990" s="169"/>
      <c r="AC990" s="169"/>
      <c r="AD990" s="169"/>
      <c r="AE990" s="169"/>
      <c r="AF990" s="169"/>
      <c r="AG990" s="169"/>
      <c r="AH990" s="169"/>
      <c r="AI990" s="169"/>
      <c r="AJ990" s="169"/>
      <c r="AK990" s="169"/>
      <c r="AL990" s="169"/>
      <c r="AM990" s="169"/>
      <c r="AN990" s="169"/>
      <c r="AO990" s="169"/>
      <c r="AP990" s="169"/>
      <c r="AQ990" s="169"/>
      <c r="AR990" s="169"/>
    </row>
    <row r="991" spans="1:44" ht="12.5">
      <c r="A991" s="169"/>
      <c r="B991" s="186"/>
      <c r="C991" s="186"/>
      <c r="D991" s="187"/>
      <c r="E991" s="6"/>
      <c r="F991" s="6"/>
      <c r="G991" s="6"/>
      <c r="H991" s="169"/>
      <c r="I991" s="169"/>
      <c r="J991" s="6"/>
      <c r="K991" s="188"/>
      <c r="L991" s="189"/>
      <c r="M991" s="189"/>
      <c r="N991" s="6"/>
      <c r="O991" s="6"/>
      <c r="P991" s="6"/>
      <c r="Q991" s="169"/>
      <c r="R991" s="6"/>
      <c r="S991" s="6"/>
      <c r="T991" s="169"/>
      <c r="U991" s="6"/>
      <c r="V991" s="169"/>
      <c r="W991" s="169"/>
      <c r="X991" s="169"/>
      <c r="Y991" s="169"/>
      <c r="Z991" s="169"/>
      <c r="AA991" s="169"/>
      <c r="AB991" s="169"/>
      <c r="AC991" s="169"/>
      <c r="AD991" s="169"/>
      <c r="AE991" s="169"/>
      <c r="AF991" s="169"/>
      <c r="AG991" s="169"/>
      <c r="AH991" s="169"/>
      <c r="AI991" s="169"/>
      <c r="AJ991" s="169"/>
      <c r="AK991" s="169"/>
      <c r="AL991" s="169"/>
      <c r="AM991" s="169"/>
      <c r="AN991" s="169"/>
      <c r="AO991" s="169"/>
      <c r="AP991" s="169"/>
      <c r="AQ991" s="169"/>
      <c r="AR991" s="169"/>
    </row>
    <row r="992" spans="1:44" ht="12.5">
      <c r="A992" s="169"/>
      <c r="B992" s="186"/>
      <c r="C992" s="186"/>
      <c r="D992" s="187"/>
      <c r="E992" s="6"/>
      <c r="F992" s="6"/>
      <c r="G992" s="6"/>
      <c r="H992" s="169"/>
      <c r="I992" s="169"/>
      <c r="J992" s="6"/>
      <c r="K992" s="188"/>
      <c r="L992" s="189"/>
      <c r="M992" s="189"/>
      <c r="N992" s="6"/>
      <c r="O992" s="6"/>
      <c r="P992" s="6"/>
      <c r="Q992" s="169"/>
      <c r="R992" s="6"/>
      <c r="S992" s="6"/>
      <c r="T992" s="169"/>
      <c r="U992" s="6"/>
      <c r="V992" s="169"/>
      <c r="W992" s="169"/>
      <c r="X992" s="169"/>
      <c r="Y992" s="169"/>
      <c r="Z992" s="169"/>
      <c r="AA992" s="169"/>
      <c r="AB992" s="169"/>
      <c r="AC992" s="169"/>
      <c r="AD992" s="169"/>
      <c r="AE992" s="169"/>
      <c r="AF992" s="169"/>
      <c r="AG992" s="169"/>
      <c r="AH992" s="169"/>
      <c r="AI992" s="169"/>
      <c r="AJ992" s="169"/>
      <c r="AK992" s="169"/>
      <c r="AL992" s="169"/>
      <c r="AM992" s="169"/>
      <c r="AN992" s="169"/>
      <c r="AO992" s="169"/>
      <c r="AP992" s="169"/>
      <c r="AQ992" s="169"/>
      <c r="AR992" s="169"/>
    </row>
    <row r="993" spans="1:44" ht="12.5">
      <c r="A993" s="169"/>
      <c r="B993" s="186"/>
      <c r="C993" s="186"/>
      <c r="D993" s="187"/>
      <c r="E993" s="6"/>
      <c r="F993" s="6"/>
      <c r="G993" s="6"/>
      <c r="H993" s="169"/>
      <c r="I993" s="169"/>
      <c r="J993" s="6"/>
      <c r="K993" s="188"/>
      <c r="L993" s="189"/>
      <c r="M993" s="189"/>
      <c r="N993" s="6"/>
      <c r="O993" s="6"/>
      <c r="P993" s="6"/>
      <c r="Q993" s="169"/>
      <c r="R993" s="6"/>
      <c r="S993" s="6"/>
      <c r="T993" s="169"/>
      <c r="U993" s="6"/>
      <c r="V993" s="169"/>
      <c r="W993" s="169"/>
      <c r="X993" s="169"/>
      <c r="Y993" s="169"/>
      <c r="Z993" s="169"/>
      <c r="AA993" s="169"/>
      <c r="AB993" s="169"/>
      <c r="AC993" s="169"/>
      <c r="AD993" s="169"/>
      <c r="AE993" s="169"/>
      <c r="AF993" s="169"/>
      <c r="AG993" s="169"/>
      <c r="AH993" s="169"/>
      <c r="AI993" s="169"/>
      <c r="AJ993" s="169"/>
      <c r="AK993" s="169"/>
      <c r="AL993" s="169"/>
      <c r="AM993" s="169"/>
      <c r="AN993" s="169"/>
      <c r="AO993" s="169"/>
      <c r="AP993" s="169"/>
      <c r="AQ993" s="169"/>
      <c r="AR993" s="169"/>
    </row>
    <row r="994" spans="1:44" ht="12.5">
      <c r="A994" s="169"/>
      <c r="B994" s="186"/>
      <c r="C994" s="186"/>
      <c r="D994" s="187"/>
      <c r="E994" s="6"/>
      <c r="F994" s="6"/>
      <c r="G994" s="6"/>
      <c r="H994" s="169"/>
      <c r="I994" s="169"/>
      <c r="J994" s="6"/>
      <c r="K994" s="188"/>
      <c r="L994" s="189"/>
      <c r="M994" s="189"/>
      <c r="N994" s="6"/>
      <c r="O994" s="6"/>
      <c r="P994" s="6"/>
      <c r="Q994" s="169"/>
      <c r="R994" s="6"/>
      <c r="S994" s="6"/>
      <c r="T994" s="169"/>
      <c r="U994" s="6"/>
      <c r="V994" s="169"/>
      <c r="W994" s="169"/>
      <c r="X994" s="169"/>
      <c r="Y994" s="169"/>
      <c r="Z994" s="169"/>
      <c r="AA994" s="169"/>
      <c r="AB994" s="169"/>
      <c r="AC994" s="169"/>
      <c r="AD994" s="169"/>
      <c r="AE994" s="169"/>
      <c r="AF994" s="169"/>
      <c r="AG994" s="169"/>
      <c r="AH994" s="169"/>
      <c r="AI994" s="169"/>
      <c r="AJ994" s="169"/>
      <c r="AK994" s="169"/>
      <c r="AL994" s="169"/>
      <c r="AM994" s="169"/>
      <c r="AN994" s="169"/>
      <c r="AO994" s="169"/>
      <c r="AP994" s="169"/>
      <c r="AQ994" s="169"/>
      <c r="AR994" s="169"/>
    </row>
    <row r="995" spans="1:44" ht="12.5">
      <c r="A995" s="169"/>
      <c r="B995" s="186"/>
      <c r="C995" s="186"/>
      <c r="D995" s="187"/>
      <c r="E995" s="6"/>
      <c r="F995" s="6"/>
      <c r="G995" s="6"/>
      <c r="H995" s="169"/>
      <c r="I995" s="169"/>
      <c r="J995" s="6"/>
      <c r="K995" s="188"/>
      <c r="L995" s="189"/>
      <c r="M995" s="189"/>
      <c r="N995" s="6"/>
      <c r="O995" s="6"/>
      <c r="P995" s="6"/>
      <c r="Q995" s="169"/>
      <c r="R995" s="6"/>
      <c r="S995" s="6"/>
      <c r="T995" s="169"/>
      <c r="U995" s="6"/>
      <c r="V995" s="169"/>
      <c r="W995" s="169"/>
      <c r="X995" s="169"/>
      <c r="Y995" s="169"/>
      <c r="Z995" s="169"/>
      <c r="AA995" s="169"/>
      <c r="AB995" s="169"/>
      <c r="AC995" s="169"/>
      <c r="AD995" s="169"/>
      <c r="AE995" s="169"/>
      <c r="AF995" s="169"/>
      <c r="AG995" s="169"/>
      <c r="AH995" s="169"/>
      <c r="AI995" s="169"/>
      <c r="AJ995" s="169"/>
      <c r="AK995" s="169"/>
      <c r="AL995" s="169"/>
      <c r="AM995" s="169"/>
      <c r="AN995" s="169"/>
      <c r="AO995" s="169"/>
      <c r="AP995" s="169"/>
      <c r="AQ995" s="169"/>
      <c r="AR995" s="169"/>
    </row>
    <row r="996" spans="1:44" ht="12.5">
      <c r="A996" s="169"/>
      <c r="B996" s="186"/>
      <c r="C996" s="186"/>
      <c r="D996" s="187"/>
      <c r="E996" s="6"/>
      <c r="F996" s="6"/>
      <c r="G996" s="6"/>
      <c r="H996" s="169"/>
      <c r="I996" s="169"/>
      <c r="J996" s="6"/>
      <c r="K996" s="188"/>
      <c r="L996" s="189"/>
      <c r="M996" s="189"/>
      <c r="N996" s="6"/>
      <c r="O996" s="6"/>
      <c r="P996" s="6"/>
      <c r="Q996" s="169"/>
      <c r="R996" s="6"/>
      <c r="S996" s="6"/>
      <c r="T996" s="169"/>
      <c r="U996" s="6"/>
      <c r="V996" s="169"/>
      <c r="W996" s="169"/>
      <c r="X996" s="169"/>
      <c r="Y996" s="169"/>
      <c r="Z996" s="169"/>
      <c r="AA996" s="169"/>
      <c r="AB996" s="169"/>
      <c r="AC996" s="169"/>
      <c r="AD996" s="169"/>
      <c r="AE996" s="169"/>
      <c r="AF996" s="169"/>
      <c r="AG996" s="169"/>
      <c r="AH996" s="169"/>
      <c r="AI996" s="169"/>
      <c r="AJ996" s="169"/>
      <c r="AK996" s="169"/>
      <c r="AL996" s="169"/>
      <c r="AM996" s="169"/>
      <c r="AN996" s="169"/>
      <c r="AO996" s="169"/>
      <c r="AP996" s="169"/>
      <c r="AQ996" s="169"/>
      <c r="AR996" s="169"/>
    </row>
    <row r="997" spans="1:44" ht="12.5">
      <c r="A997" s="169"/>
      <c r="B997" s="186"/>
      <c r="C997" s="186"/>
      <c r="D997" s="187"/>
      <c r="E997" s="6"/>
      <c r="F997" s="6"/>
      <c r="G997" s="6"/>
      <c r="H997" s="169"/>
      <c r="I997" s="169"/>
      <c r="J997" s="6"/>
      <c r="K997" s="188"/>
      <c r="L997" s="189"/>
      <c r="M997" s="189"/>
      <c r="N997" s="6"/>
      <c r="O997" s="6"/>
      <c r="P997" s="6"/>
      <c r="Q997" s="169"/>
      <c r="R997" s="6"/>
      <c r="S997" s="6"/>
      <c r="T997" s="169"/>
      <c r="U997" s="6"/>
      <c r="V997" s="169"/>
      <c r="W997" s="169"/>
      <c r="X997" s="169"/>
      <c r="Y997" s="169"/>
      <c r="Z997" s="169"/>
      <c r="AA997" s="169"/>
      <c r="AB997" s="169"/>
      <c r="AC997" s="169"/>
      <c r="AD997" s="169"/>
      <c r="AE997" s="169"/>
      <c r="AF997" s="169"/>
      <c r="AG997" s="169"/>
      <c r="AH997" s="169"/>
      <c r="AI997" s="169"/>
      <c r="AJ997" s="169"/>
      <c r="AK997" s="169"/>
      <c r="AL997" s="169"/>
      <c r="AM997" s="169"/>
      <c r="AN997" s="169"/>
      <c r="AO997" s="169"/>
      <c r="AP997" s="169"/>
      <c r="AQ997" s="169"/>
      <c r="AR997" s="169"/>
    </row>
    <row r="998" spans="1:44" ht="12.5">
      <c r="A998" s="169"/>
      <c r="B998" s="186"/>
      <c r="C998" s="186"/>
      <c r="D998" s="187"/>
      <c r="E998" s="6"/>
      <c r="F998" s="6"/>
      <c r="G998" s="6"/>
      <c r="H998" s="169"/>
      <c r="I998" s="169"/>
      <c r="J998" s="6"/>
      <c r="K998" s="188"/>
      <c r="L998" s="189"/>
      <c r="M998" s="189"/>
      <c r="N998" s="6"/>
      <c r="O998" s="6"/>
      <c r="P998" s="6"/>
      <c r="Q998" s="169"/>
      <c r="R998" s="6"/>
      <c r="S998" s="6"/>
      <c r="T998" s="169"/>
      <c r="U998" s="6"/>
      <c r="V998" s="169"/>
      <c r="W998" s="169"/>
      <c r="X998" s="169"/>
      <c r="Y998" s="169"/>
      <c r="Z998" s="169"/>
      <c r="AA998" s="169"/>
      <c r="AB998" s="169"/>
      <c r="AC998" s="169"/>
      <c r="AD998" s="169"/>
      <c r="AE998" s="169"/>
      <c r="AF998" s="169"/>
      <c r="AG998" s="169"/>
      <c r="AH998" s="169"/>
      <c r="AI998" s="169"/>
      <c r="AJ998" s="169"/>
      <c r="AK998" s="169"/>
      <c r="AL998" s="169"/>
      <c r="AM998" s="169"/>
      <c r="AN998" s="169"/>
      <c r="AO998" s="169"/>
      <c r="AP998" s="169"/>
      <c r="AQ998" s="169"/>
      <c r="AR998" s="169"/>
    </row>
    <row r="999" spans="1:44" ht="12.5">
      <c r="A999" s="169"/>
      <c r="B999" s="186"/>
      <c r="C999" s="186"/>
      <c r="D999" s="187"/>
      <c r="E999" s="6"/>
      <c r="F999" s="6"/>
      <c r="G999" s="6"/>
      <c r="H999" s="169"/>
      <c r="I999" s="169"/>
      <c r="J999" s="6"/>
      <c r="K999" s="188"/>
      <c r="L999" s="189"/>
      <c r="M999" s="189"/>
      <c r="N999" s="6"/>
      <c r="O999" s="6"/>
      <c r="P999" s="6"/>
      <c r="Q999" s="169"/>
      <c r="R999" s="6"/>
      <c r="S999" s="6"/>
      <c r="T999" s="169"/>
      <c r="U999" s="6"/>
      <c r="V999" s="169"/>
      <c r="W999" s="169"/>
      <c r="X999" s="169"/>
      <c r="Y999" s="169"/>
      <c r="Z999" s="169"/>
      <c r="AA999" s="169"/>
      <c r="AB999" s="169"/>
      <c r="AC999" s="169"/>
      <c r="AD999" s="169"/>
      <c r="AE999" s="169"/>
      <c r="AF999" s="169"/>
      <c r="AG999" s="169"/>
      <c r="AH999" s="169"/>
      <c r="AI999" s="169"/>
      <c r="AJ999" s="169"/>
      <c r="AK999" s="169"/>
      <c r="AL999" s="169"/>
      <c r="AM999" s="169"/>
      <c r="AN999" s="169"/>
      <c r="AO999" s="169"/>
      <c r="AP999" s="169"/>
      <c r="AQ999" s="169"/>
      <c r="AR999" s="169"/>
    </row>
    <row r="1000" spans="1:44" ht="12.5">
      <c r="A1000" s="169"/>
      <c r="B1000" s="186"/>
      <c r="C1000" s="186"/>
      <c r="D1000" s="187"/>
      <c r="E1000" s="6"/>
      <c r="F1000" s="6"/>
      <c r="G1000" s="6"/>
      <c r="H1000" s="169"/>
      <c r="I1000" s="169"/>
      <c r="J1000" s="6"/>
      <c r="K1000" s="188"/>
      <c r="L1000" s="189"/>
      <c r="M1000" s="189"/>
      <c r="N1000" s="6"/>
      <c r="O1000" s="6"/>
      <c r="P1000" s="6"/>
      <c r="Q1000" s="169"/>
      <c r="R1000" s="6"/>
      <c r="S1000" s="6"/>
      <c r="T1000" s="169"/>
      <c r="U1000" s="6"/>
      <c r="V1000" s="169"/>
      <c r="W1000" s="169"/>
      <c r="X1000" s="169"/>
      <c r="Y1000" s="169"/>
      <c r="Z1000" s="169"/>
      <c r="AA1000" s="169"/>
      <c r="AB1000" s="169"/>
      <c r="AC1000" s="169"/>
      <c r="AD1000" s="169"/>
      <c r="AE1000" s="169"/>
      <c r="AF1000" s="169"/>
      <c r="AG1000" s="169"/>
      <c r="AH1000" s="169"/>
      <c r="AI1000" s="169"/>
      <c r="AJ1000" s="169"/>
      <c r="AK1000" s="169"/>
      <c r="AL1000" s="169"/>
      <c r="AM1000" s="169"/>
      <c r="AN1000" s="169"/>
      <c r="AO1000" s="169"/>
      <c r="AP1000" s="169"/>
      <c r="AQ1000" s="169"/>
      <c r="AR1000" s="169"/>
    </row>
  </sheetData>
  <conditionalFormatting sqref="A2:G900">
    <cfRule type="expression" dxfId="176" priority="1">
      <formula>IF(IFERROR($D2,TRUE)=TRUE,TRUE)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22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10.54296875" customWidth="1"/>
    <col min="2" max="2" width="8.453125" customWidth="1"/>
    <col min="3" max="3" width="8.1796875" customWidth="1"/>
    <col min="4" max="4" width="36" customWidth="1"/>
    <col min="5" max="7" width="8.1796875" customWidth="1"/>
    <col min="8" max="9" width="7.1796875" customWidth="1"/>
    <col min="10" max="10" width="8" customWidth="1"/>
    <col min="11" max="11" width="8.7265625" customWidth="1"/>
    <col min="12" max="12" width="7.26953125" bestFit="1" customWidth="1"/>
    <col min="13" max="13" width="6.26953125" customWidth="1"/>
    <col min="14" max="14" width="8.26953125" customWidth="1"/>
    <col min="15" max="15" width="32.1796875" customWidth="1"/>
    <col min="16" max="23" width="6.26953125" customWidth="1"/>
    <col min="24" max="26" width="7.7265625" customWidth="1"/>
    <col min="27" max="27" width="7" customWidth="1"/>
    <col min="28" max="28" width="33.26953125" customWidth="1"/>
    <col min="29" max="29" width="6.453125" customWidth="1"/>
    <col min="30" max="31" width="7.7265625" customWidth="1"/>
    <col min="32" max="35" width="8.453125" customWidth="1"/>
    <col min="36" max="36" width="16.26953125" customWidth="1"/>
    <col min="37" max="37" width="16.1796875" customWidth="1"/>
    <col min="38" max="38" width="8.453125" customWidth="1"/>
  </cols>
  <sheetData>
    <row r="1" spans="1:38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201" t="s">
        <v>1336</v>
      </c>
      <c r="O1" s="201" t="s">
        <v>1337</v>
      </c>
      <c r="P1" s="202" t="s">
        <v>184</v>
      </c>
      <c r="Q1" s="201" t="s">
        <v>185</v>
      </c>
      <c r="R1" s="203" t="s">
        <v>186</v>
      </c>
      <c r="S1" s="203" t="s">
        <v>187</v>
      </c>
      <c r="T1" s="204" t="s">
        <v>188</v>
      </c>
      <c r="U1" s="204" t="s">
        <v>189</v>
      </c>
      <c r="V1" s="204" t="s">
        <v>190</v>
      </c>
      <c r="W1" s="204" t="s">
        <v>191</v>
      </c>
      <c r="X1" s="198" t="s">
        <v>192</v>
      </c>
      <c r="Y1" s="198" t="s">
        <v>193</v>
      </c>
      <c r="Z1" s="205" t="s">
        <v>194</v>
      </c>
      <c r="AA1" s="206" t="s">
        <v>171</v>
      </c>
      <c r="AB1" s="204" t="s">
        <v>195</v>
      </c>
      <c r="AC1" s="204" t="s">
        <v>181</v>
      </c>
      <c r="AD1" s="204" t="s">
        <v>196</v>
      </c>
      <c r="AE1" s="204" t="s">
        <v>197</v>
      </c>
      <c r="AF1" s="204" t="s">
        <v>198</v>
      </c>
      <c r="AG1" s="204" t="s">
        <v>1338</v>
      </c>
      <c r="AH1" s="204" t="s">
        <v>200</v>
      </c>
      <c r="AI1" s="207" t="s">
        <v>201</v>
      </c>
      <c r="AJ1" s="208" t="s">
        <v>202</v>
      </c>
      <c r="AK1" s="209" t="s">
        <v>203</v>
      </c>
      <c r="AL1" s="210" t="s">
        <v>1339</v>
      </c>
    </row>
    <row r="2" spans="1:38" ht="15" customHeight="1">
      <c r="A2" s="211">
        <v>45535</v>
      </c>
      <c r="B2" s="212" t="s">
        <v>428</v>
      </c>
      <c r="C2" s="212" t="s">
        <v>205</v>
      </c>
      <c r="D2" s="173" t="s">
        <v>1302</v>
      </c>
      <c r="E2" s="100">
        <v>11</v>
      </c>
      <c r="F2" s="101">
        <v>11</v>
      </c>
      <c r="G2" s="101">
        <v>4</v>
      </c>
      <c r="H2" s="213">
        <f t="shared" ref="H2:H17" si="0">SUM(E2:G2)</f>
        <v>26</v>
      </c>
      <c r="I2" s="213">
        <f>$E$3+$F$4+$G$5</f>
        <v>23</v>
      </c>
      <c r="J2" s="213">
        <f t="shared" ref="J2:J17" si="1">SUM(H2:I2)</f>
        <v>49</v>
      </c>
      <c r="K2" s="214">
        <f t="shared" ref="K2:K17" si="2">IFERROR(H2/J2,"")</f>
        <v>0.53061224489795922</v>
      </c>
      <c r="L2" s="215">
        <f t="shared" ref="L2:L17" si="3">IF(J2&gt;0,K2-(33-H2),)</f>
        <v>-6.4693877551020407</v>
      </c>
      <c r="M2" s="216">
        <f t="shared" ref="M2:M17" ca="1" si="4">IFERROR(RANK(L2, OFFSET(L$2, 0, 0, COUNTA(L$2:L$17), 1)) + COUNTIF($L$2:L2, L2) - 1, "")</f>
        <v>9</v>
      </c>
      <c r="N2" s="217">
        <v>1</v>
      </c>
      <c r="O2" s="218" t="str">
        <f t="shared" ref="O2:O17" ca="1" si="5">IFERROR(INDEX($A$2:$AI$17,MATCH(N2,$M$2:$M$17,0),4),)</f>
        <v>Debbie Davis &amp; Randy Burgess</v>
      </c>
      <c r="P2" s="217">
        <v>11</v>
      </c>
      <c r="Q2" s="219">
        <v>6</v>
      </c>
      <c r="R2" s="220">
        <v>11</v>
      </c>
      <c r="S2" s="221">
        <v>3</v>
      </c>
      <c r="T2" s="217">
        <v>11</v>
      </c>
      <c r="U2" s="219">
        <v>8</v>
      </c>
      <c r="V2" s="222">
        <v>11</v>
      </c>
      <c r="W2" s="221">
        <v>7</v>
      </c>
      <c r="X2" s="223">
        <f t="shared" ref="X2:Y2" si="6">(P2+R2+T2+V2)</f>
        <v>44</v>
      </c>
      <c r="Y2" s="223">
        <f t="shared" si="6"/>
        <v>24</v>
      </c>
      <c r="Z2" s="224">
        <f t="shared" ref="Z2:Z17" si="7">X2+Y2</f>
        <v>68</v>
      </c>
      <c r="AA2" s="225" t="s">
        <v>205</v>
      </c>
      <c r="AB2" s="226" t="str">
        <f t="shared" ref="AB2:AB17" si="8">INDEX($A$2:$D$17,MATCH(AA2,C$2:C$17,0),4)</f>
        <v>Kerri Brocker &amp; Joe Rishmany</v>
      </c>
      <c r="AC2" s="227">
        <f t="shared" ref="AC2:AC17" ca="1" si="9">IFERROR(INDEX($D$2:$M$17, MATCH($AB2,$D$2:$D$17,0),10),)</f>
        <v>9</v>
      </c>
      <c r="AD2" s="227">
        <f t="shared" ref="AD2:AD17" ca="1" si="10">INDEX($A$2:$AI$17,MATCH($AB2,$D$2:$D$17,0),8)+INDEX($O$2:$Z$17,MATCH($AB2,$O$2:$O$17,0),10)</f>
        <v>40</v>
      </c>
      <c r="AE2" s="227">
        <f t="shared" ref="AE2:AE17" ca="1" si="11">INDEX($A$2:$AI$17,MATCH($AB2,$D$2:$D$17,0),9)+INDEX($O$2:$Z$17,MATCH($AB2,$O$2:$O$17,0),11)</f>
        <v>43</v>
      </c>
      <c r="AF2" s="227">
        <f t="shared" ref="AF2:AF17" ca="1" si="12">SUM(AD2:AE2)</f>
        <v>83</v>
      </c>
      <c r="AG2" s="228">
        <f t="shared" ref="AG2:AG17" ca="1" si="13">IFERROR(AD2/AF2,)</f>
        <v>0.48192771084337349</v>
      </c>
      <c r="AH2" s="229">
        <f t="shared" ref="AH2:AH17" ca="1" si="14">AG2-(77-AD2)</f>
        <v>-36.518072289156628</v>
      </c>
      <c r="AI2" s="230">
        <f t="shared" ref="AI2:AI17" ca="1" si="15">IFERROR(RANK(AH2,OFFSET($AH$2,0,0,COUNTA($AH$2:$AH$17),1)),)</f>
        <v>7</v>
      </c>
      <c r="AJ2" s="231" t="s">
        <v>1228</v>
      </c>
      <c r="AK2" s="232" t="s">
        <v>889</v>
      </c>
      <c r="AL2" s="233"/>
    </row>
    <row r="3" spans="1:38" ht="15" customHeight="1">
      <c r="A3" s="234">
        <f t="shared" ref="A3:A17" si="16">A$2</f>
        <v>45535</v>
      </c>
      <c r="B3" s="212" t="s">
        <v>428</v>
      </c>
      <c r="C3" s="212" t="s">
        <v>211</v>
      </c>
      <c r="D3" s="173" t="s">
        <v>1303</v>
      </c>
      <c r="E3" s="105">
        <v>9</v>
      </c>
      <c r="F3" s="106">
        <v>11</v>
      </c>
      <c r="G3" s="106">
        <v>11</v>
      </c>
      <c r="H3" s="235">
        <f t="shared" si="0"/>
        <v>31</v>
      </c>
      <c r="I3" s="235">
        <f>$E$2+$F$5+$G$4</f>
        <v>22</v>
      </c>
      <c r="J3" s="235">
        <f t="shared" si="1"/>
        <v>53</v>
      </c>
      <c r="K3" s="236">
        <f t="shared" si="2"/>
        <v>0.58490566037735847</v>
      </c>
      <c r="L3" s="237">
        <f t="shared" si="3"/>
        <v>-1.4150943396226414</v>
      </c>
      <c r="M3" s="238">
        <f t="shared" ca="1" si="4"/>
        <v>5</v>
      </c>
      <c r="N3" s="239">
        <v>16</v>
      </c>
      <c r="O3" s="240" t="str">
        <f t="shared" ca="1" si="5"/>
        <v>Amelia Birchfield &amp; Sam Madison</v>
      </c>
      <c r="P3" s="239">
        <v>6</v>
      </c>
      <c r="Q3" s="241">
        <v>11</v>
      </c>
      <c r="R3" s="242"/>
      <c r="S3" s="243"/>
      <c r="T3" s="244"/>
      <c r="U3" s="245"/>
      <c r="V3" s="246"/>
      <c r="W3" s="243"/>
      <c r="X3" s="223">
        <f t="shared" ref="X3:Y3" si="17">(P3+R3+T3+V3)</f>
        <v>6</v>
      </c>
      <c r="Y3" s="223">
        <f t="shared" si="17"/>
        <v>11</v>
      </c>
      <c r="Z3" s="224">
        <f t="shared" si="7"/>
        <v>17</v>
      </c>
      <c r="AA3" s="225" t="s">
        <v>211</v>
      </c>
      <c r="AB3" s="226" t="str">
        <f t="shared" si="8"/>
        <v>Tiffany Blackwell &amp; Mike Magel</v>
      </c>
      <c r="AC3" s="227">
        <f t="shared" ca="1" si="9"/>
        <v>5</v>
      </c>
      <c r="AD3" s="227">
        <f t="shared" ca="1" si="10"/>
        <v>38</v>
      </c>
      <c r="AE3" s="227">
        <f t="shared" ca="1" si="11"/>
        <v>33</v>
      </c>
      <c r="AF3" s="227">
        <f t="shared" ca="1" si="12"/>
        <v>71</v>
      </c>
      <c r="AG3" s="228">
        <f t="shared" ca="1" si="13"/>
        <v>0.53521126760563376</v>
      </c>
      <c r="AH3" s="229">
        <f t="shared" ca="1" si="14"/>
        <v>-38.464788732394368</v>
      </c>
      <c r="AI3" s="230">
        <f t="shared" ca="1" si="15"/>
        <v>9</v>
      </c>
      <c r="AJ3" s="247" t="s">
        <v>780</v>
      </c>
      <c r="AK3" s="248" t="s">
        <v>1129</v>
      </c>
    </row>
    <row r="4" spans="1:38" ht="15" customHeight="1">
      <c r="A4" s="234">
        <f t="shared" si="16"/>
        <v>45535</v>
      </c>
      <c r="B4" s="212" t="s">
        <v>428</v>
      </c>
      <c r="C4" s="212" t="s">
        <v>216</v>
      </c>
      <c r="D4" s="173" t="s">
        <v>1304</v>
      </c>
      <c r="E4" s="107">
        <v>2</v>
      </c>
      <c r="F4" s="108">
        <v>3</v>
      </c>
      <c r="G4" s="106">
        <v>4</v>
      </c>
      <c r="H4" s="235">
        <f t="shared" si="0"/>
        <v>9</v>
      </c>
      <c r="I4" s="235">
        <f>$E$5+$F$2+$G$3</f>
        <v>33</v>
      </c>
      <c r="J4" s="235">
        <f t="shared" si="1"/>
        <v>42</v>
      </c>
      <c r="K4" s="236">
        <f t="shared" si="2"/>
        <v>0.21428571428571427</v>
      </c>
      <c r="L4" s="237">
        <f t="shared" si="3"/>
        <v>-23.785714285714285</v>
      </c>
      <c r="M4" s="238">
        <f t="shared" ca="1" si="4"/>
        <v>16</v>
      </c>
      <c r="N4" s="217">
        <v>9</v>
      </c>
      <c r="O4" s="218" t="str">
        <f t="shared" ca="1" si="5"/>
        <v>Kerri Brocker &amp; Joe Rishmany</v>
      </c>
      <c r="P4" s="217">
        <v>11</v>
      </c>
      <c r="Q4" s="219">
        <v>9</v>
      </c>
      <c r="R4" s="242">
        <v>3</v>
      </c>
      <c r="S4" s="243">
        <v>11</v>
      </c>
      <c r="T4" s="244"/>
      <c r="U4" s="245"/>
      <c r="V4" s="246"/>
      <c r="W4" s="243"/>
      <c r="X4" s="223">
        <f t="shared" ref="X4:Y4" si="18">(P4+R4+T4+V4)</f>
        <v>14</v>
      </c>
      <c r="Y4" s="223">
        <f t="shared" si="18"/>
        <v>20</v>
      </c>
      <c r="Z4" s="224">
        <f t="shared" si="7"/>
        <v>34</v>
      </c>
      <c r="AA4" s="225" t="s">
        <v>216</v>
      </c>
      <c r="AB4" s="226" t="str">
        <f t="shared" si="8"/>
        <v>Amelia Birchfield &amp; Sam Madison</v>
      </c>
      <c r="AC4" s="227">
        <f t="shared" ca="1" si="9"/>
        <v>16</v>
      </c>
      <c r="AD4" s="227">
        <f t="shared" ca="1" si="10"/>
        <v>15</v>
      </c>
      <c r="AE4" s="227">
        <f t="shared" ca="1" si="11"/>
        <v>44</v>
      </c>
      <c r="AF4" s="227">
        <f t="shared" ca="1" si="12"/>
        <v>59</v>
      </c>
      <c r="AG4" s="228">
        <f t="shared" ca="1" si="13"/>
        <v>0.25423728813559321</v>
      </c>
      <c r="AH4" s="229">
        <f t="shared" ca="1" si="14"/>
        <v>-61.745762711864408</v>
      </c>
      <c r="AI4" s="230">
        <f t="shared" ca="1" si="15"/>
        <v>16</v>
      </c>
      <c r="AJ4" s="231" t="s">
        <v>1305</v>
      </c>
      <c r="AK4" s="232" t="s">
        <v>584</v>
      </c>
      <c r="AL4" s="233"/>
    </row>
    <row r="5" spans="1:38" ht="15" customHeight="1">
      <c r="A5" s="249">
        <f t="shared" si="16"/>
        <v>45535</v>
      </c>
      <c r="B5" s="250" t="s">
        <v>428</v>
      </c>
      <c r="C5" s="250" t="s">
        <v>221</v>
      </c>
      <c r="D5" s="251" t="s">
        <v>1306</v>
      </c>
      <c r="E5" s="109">
        <v>11</v>
      </c>
      <c r="F5" s="110">
        <v>7</v>
      </c>
      <c r="G5" s="111">
        <v>11</v>
      </c>
      <c r="H5" s="252">
        <f t="shared" si="0"/>
        <v>29</v>
      </c>
      <c r="I5" s="252">
        <f>$E$4+$F$3+$G$2</f>
        <v>17</v>
      </c>
      <c r="J5" s="252">
        <f t="shared" si="1"/>
        <v>46</v>
      </c>
      <c r="K5" s="253">
        <f t="shared" si="2"/>
        <v>0.63043478260869568</v>
      </c>
      <c r="L5" s="254">
        <f t="shared" si="3"/>
        <v>-3.3695652173913042</v>
      </c>
      <c r="M5" s="255">
        <f t="shared" ca="1" si="4"/>
        <v>6</v>
      </c>
      <c r="N5" s="239">
        <v>8</v>
      </c>
      <c r="O5" s="240" t="str">
        <f t="shared" ca="1" si="5"/>
        <v>Betsy Norberg &amp; Stephen Limpic</v>
      </c>
      <c r="P5" s="239">
        <v>9</v>
      </c>
      <c r="Q5" s="241">
        <v>11</v>
      </c>
      <c r="R5" s="256"/>
      <c r="S5" s="257"/>
      <c r="T5" s="244"/>
      <c r="U5" s="245"/>
      <c r="V5" s="246"/>
      <c r="W5" s="243"/>
      <c r="X5" s="223">
        <f t="shared" ref="X5:Y5" si="19">(P5+R5+T5+V5)</f>
        <v>9</v>
      </c>
      <c r="Y5" s="223">
        <f t="shared" si="19"/>
        <v>11</v>
      </c>
      <c r="Z5" s="224">
        <f t="shared" si="7"/>
        <v>20</v>
      </c>
      <c r="AA5" s="225" t="s">
        <v>221</v>
      </c>
      <c r="AB5" s="226" t="str">
        <f t="shared" si="8"/>
        <v>Carrie Davidson &amp; Patrick Blackwell</v>
      </c>
      <c r="AC5" s="227">
        <f t="shared" ca="1" si="9"/>
        <v>6</v>
      </c>
      <c r="AD5" s="227">
        <f t="shared" ca="1" si="10"/>
        <v>43</v>
      </c>
      <c r="AE5" s="227">
        <f t="shared" ca="1" si="11"/>
        <v>36</v>
      </c>
      <c r="AF5" s="227">
        <f t="shared" ca="1" si="12"/>
        <v>79</v>
      </c>
      <c r="AG5" s="228">
        <f t="shared" ca="1" si="13"/>
        <v>0.54430379746835444</v>
      </c>
      <c r="AH5" s="229">
        <f t="shared" ca="1" si="14"/>
        <v>-33.455696202531648</v>
      </c>
      <c r="AI5" s="230">
        <f t="shared" ca="1" si="15"/>
        <v>6</v>
      </c>
      <c r="AJ5" s="231" t="s">
        <v>1308</v>
      </c>
      <c r="AK5" s="232" t="s">
        <v>1074</v>
      </c>
      <c r="AL5" s="233"/>
    </row>
    <row r="6" spans="1:38" ht="15" customHeight="1">
      <c r="A6" s="211">
        <f t="shared" si="16"/>
        <v>45535</v>
      </c>
      <c r="B6" s="212" t="s">
        <v>428</v>
      </c>
      <c r="C6" s="212" t="s">
        <v>224</v>
      </c>
      <c r="D6" s="173" t="s">
        <v>1309</v>
      </c>
      <c r="E6" s="100">
        <v>2</v>
      </c>
      <c r="F6" s="101">
        <v>11</v>
      </c>
      <c r="G6" s="101">
        <v>3</v>
      </c>
      <c r="H6" s="213">
        <f t="shared" si="0"/>
        <v>16</v>
      </c>
      <c r="I6" s="213">
        <f>$E$7+$F$8+$G$9</f>
        <v>27</v>
      </c>
      <c r="J6" s="213">
        <f t="shared" si="1"/>
        <v>43</v>
      </c>
      <c r="K6" s="214">
        <f t="shared" si="2"/>
        <v>0.37209302325581395</v>
      </c>
      <c r="L6" s="258">
        <f t="shared" si="3"/>
        <v>-16.627906976744185</v>
      </c>
      <c r="M6" s="238">
        <f t="shared" ca="1" si="4"/>
        <v>15</v>
      </c>
      <c r="N6" s="217">
        <v>5</v>
      </c>
      <c r="O6" s="218" t="str">
        <f t="shared" ca="1" si="5"/>
        <v>Tiffany Blackwell &amp; Mike Magel</v>
      </c>
      <c r="P6" s="217">
        <v>7</v>
      </c>
      <c r="Q6" s="219">
        <v>11</v>
      </c>
      <c r="R6" s="220"/>
      <c r="S6" s="221"/>
      <c r="T6" s="244"/>
      <c r="U6" s="245"/>
      <c r="V6" s="246"/>
      <c r="W6" s="243"/>
      <c r="X6" s="223">
        <f t="shared" ref="X6:Y6" si="20">(P6+R6+T6+V6)</f>
        <v>7</v>
      </c>
      <c r="Y6" s="223">
        <f t="shared" si="20"/>
        <v>11</v>
      </c>
      <c r="Z6" s="224">
        <f t="shared" si="7"/>
        <v>18</v>
      </c>
      <c r="AA6" s="225" t="s">
        <v>224</v>
      </c>
      <c r="AB6" s="226" t="str">
        <f t="shared" si="8"/>
        <v>Susan Mitts &amp; Jordan Watts</v>
      </c>
      <c r="AC6" s="227">
        <f t="shared" ca="1" si="9"/>
        <v>15</v>
      </c>
      <c r="AD6" s="227">
        <f t="shared" ca="1" si="10"/>
        <v>19</v>
      </c>
      <c r="AE6" s="227">
        <f t="shared" ca="1" si="11"/>
        <v>38</v>
      </c>
      <c r="AF6" s="227">
        <f t="shared" ca="1" si="12"/>
        <v>57</v>
      </c>
      <c r="AG6" s="228">
        <f t="shared" ca="1" si="13"/>
        <v>0.33333333333333331</v>
      </c>
      <c r="AH6" s="229">
        <f t="shared" ca="1" si="14"/>
        <v>-57.666666666666664</v>
      </c>
      <c r="AI6" s="230">
        <f t="shared" ca="1" si="15"/>
        <v>15</v>
      </c>
      <c r="AJ6" s="231" t="s">
        <v>753</v>
      </c>
      <c r="AK6" s="232" t="s">
        <v>1272</v>
      </c>
      <c r="AL6" s="233"/>
    </row>
    <row r="7" spans="1:38" ht="15" customHeight="1">
      <c r="A7" s="234">
        <f t="shared" si="16"/>
        <v>45535</v>
      </c>
      <c r="B7" s="212" t="s">
        <v>428</v>
      </c>
      <c r="C7" s="212" t="s">
        <v>228</v>
      </c>
      <c r="D7" s="173" t="s">
        <v>1310</v>
      </c>
      <c r="E7" s="105">
        <v>11</v>
      </c>
      <c r="F7" s="106">
        <v>9</v>
      </c>
      <c r="G7" s="106">
        <v>11</v>
      </c>
      <c r="H7" s="235">
        <f t="shared" si="0"/>
        <v>31</v>
      </c>
      <c r="I7" s="235">
        <f>$E$6+$F$9+$G$8</f>
        <v>18</v>
      </c>
      <c r="J7" s="235">
        <f t="shared" si="1"/>
        <v>49</v>
      </c>
      <c r="K7" s="236">
        <f t="shared" si="2"/>
        <v>0.63265306122448983</v>
      </c>
      <c r="L7" s="237">
        <f t="shared" si="3"/>
        <v>-1.3673469387755102</v>
      </c>
      <c r="M7" s="238">
        <f t="shared" ca="1" si="4"/>
        <v>4</v>
      </c>
      <c r="N7" s="239">
        <v>12</v>
      </c>
      <c r="O7" s="240" t="str">
        <f t="shared" ca="1" si="5"/>
        <v>Elizabeth Hagedorn &amp; Eric Santon</v>
      </c>
      <c r="P7" s="239">
        <v>11</v>
      </c>
      <c r="Q7" s="241">
        <v>7</v>
      </c>
      <c r="R7" s="242">
        <v>9</v>
      </c>
      <c r="S7" s="243">
        <v>11</v>
      </c>
      <c r="T7" s="244"/>
      <c r="U7" s="245"/>
      <c r="V7" s="246"/>
      <c r="W7" s="243"/>
      <c r="X7" s="223">
        <f t="shared" ref="X7:Y7" si="21">(P7+R7+T7+V7)</f>
        <v>20</v>
      </c>
      <c r="Y7" s="223">
        <f t="shared" si="21"/>
        <v>18</v>
      </c>
      <c r="Z7" s="224">
        <f t="shared" si="7"/>
        <v>38</v>
      </c>
      <c r="AA7" s="225" t="s">
        <v>228</v>
      </c>
      <c r="AB7" s="226" t="str">
        <f t="shared" si="8"/>
        <v>Shannon Lyon &amp; Andy Lockard</v>
      </c>
      <c r="AC7" s="227">
        <f t="shared" ca="1" si="9"/>
        <v>4</v>
      </c>
      <c r="AD7" s="227">
        <f t="shared" ca="1" si="10"/>
        <v>61</v>
      </c>
      <c r="AE7" s="227">
        <f t="shared" ca="1" si="11"/>
        <v>44</v>
      </c>
      <c r="AF7" s="227">
        <f t="shared" ca="1" si="12"/>
        <v>105</v>
      </c>
      <c r="AG7" s="228">
        <f t="shared" ca="1" si="13"/>
        <v>0.580952380952381</v>
      </c>
      <c r="AH7" s="229">
        <f t="shared" ca="1" si="14"/>
        <v>-15.419047619047619</v>
      </c>
      <c r="AI7" s="230">
        <f t="shared" ca="1" si="15"/>
        <v>3</v>
      </c>
      <c r="AJ7" s="231" t="s">
        <v>1161</v>
      </c>
      <c r="AK7" s="232" t="s">
        <v>983</v>
      </c>
      <c r="AL7" s="233"/>
    </row>
    <row r="8" spans="1:38" ht="15" customHeight="1">
      <c r="A8" s="234">
        <f t="shared" si="16"/>
        <v>45535</v>
      </c>
      <c r="B8" s="212" t="s">
        <v>428</v>
      </c>
      <c r="C8" s="212" t="s">
        <v>232</v>
      </c>
      <c r="D8" s="173" t="s">
        <v>1311</v>
      </c>
      <c r="E8" s="107">
        <v>9</v>
      </c>
      <c r="F8" s="108">
        <v>5</v>
      </c>
      <c r="G8" s="106">
        <v>5</v>
      </c>
      <c r="H8" s="235">
        <f t="shared" si="0"/>
        <v>19</v>
      </c>
      <c r="I8" s="235">
        <f>$E$9+$F$6+$G$7</f>
        <v>33</v>
      </c>
      <c r="J8" s="235">
        <f t="shared" si="1"/>
        <v>52</v>
      </c>
      <c r="K8" s="236">
        <f t="shared" si="2"/>
        <v>0.36538461538461536</v>
      </c>
      <c r="L8" s="237">
        <f t="shared" si="3"/>
        <v>-13.634615384615385</v>
      </c>
      <c r="M8" s="238">
        <f t="shared" ca="1" si="4"/>
        <v>12</v>
      </c>
      <c r="N8" s="217">
        <v>13</v>
      </c>
      <c r="O8" s="218" t="str">
        <f t="shared" ca="1" si="5"/>
        <v>Emma Lockard &amp; Will Polese</v>
      </c>
      <c r="P8" s="217">
        <v>6</v>
      </c>
      <c r="Q8" s="219">
        <v>11</v>
      </c>
      <c r="R8" s="242"/>
      <c r="S8" s="243"/>
      <c r="T8" s="244"/>
      <c r="U8" s="245"/>
      <c r="V8" s="246"/>
      <c r="W8" s="243"/>
      <c r="X8" s="223">
        <f t="shared" ref="X8:Y8" si="22">(P8+R8+T8+V8)</f>
        <v>6</v>
      </c>
      <c r="Y8" s="223">
        <f t="shared" si="22"/>
        <v>11</v>
      </c>
      <c r="Z8" s="224">
        <f t="shared" si="7"/>
        <v>17</v>
      </c>
      <c r="AA8" s="225" t="s">
        <v>232</v>
      </c>
      <c r="AB8" s="226" t="str">
        <f t="shared" si="8"/>
        <v>Elizabeth Hagedorn &amp; Eric Santon</v>
      </c>
      <c r="AC8" s="227">
        <f t="shared" ca="1" si="9"/>
        <v>12</v>
      </c>
      <c r="AD8" s="227">
        <f t="shared" ca="1" si="10"/>
        <v>39</v>
      </c>
      <c r="AE8" s="227">
        <f t="shared" ca="1" si="11"/>
        <v>51</v>
      </c>
      <c r="AF8" s="227">
        <f t="shared" ca="1" si="12"/>
        <v>90</v>
      </c>
      <c r="AG8" s="228">
        <f t="shared" ca="1" si="13"/>
        <v>0.43333333333333335</v>
      </c>
      <c r="AH8" s="229">
        <f t="shared" ca="1" si="14"/>
        <v>-37.56666666666667</v>
      </c>
      <c r="AI8" s="230">
        <f t="shared" ca="1" si="15"/>
        <v>8</v>
      </c>
      <c r="AJ8" s="231" t="s">
        <v>1143</v>
      </c>
      <c r="AK8" s="232" t="s">
        <v>866</v>
      </c>
      <c r="AL8" s="233"/>
    </row>
    <row r="9" spans="1:38" ht="15" customHeight="1">
      <c r="A9" s="249">
        <f t="shared" si="16"/>
        <v>45535</v>
      </c>
      <c r="B9" s="250" t="s">
        <v>428</v>
      </c>
      <c r="C9" s="250" t="s">
        <v>237</v>
      </c>
      <c r="D9" s="251" t="s">
        <v>168</v>
      </c>
      <c r="E9" s="109">
        <v>11</v>
      </c>
      <c r="F9" s="110">
        <v>11</v>
      </c>
      <c r="G9" s="111">
        <v>11</v>
      </c>
      <c r="H9" s="252">
        <f t="shared" si="0"/>
        <v>33</v>
      </c>
      <c r="I9" s="252">
        <f>$E$8+$F$7+$G$6</f>
        <v>21</v>
      </c>
      <c r="J9" s="252">
        <f t="shared" si="1"/>
        <v>54</v>
      </c>
      <c r="K9" s="253">
        <f t="shared" si="2"/>
        <v>0.61111111111111116</v>
      </c>
      <c r="L9" s="254">
        <f t="shared" si="3"/>
        <v>0.61111111111111116</v>
      </c>
      <c r="M9" s="255">
        <f t="shared" ca="1" si="4"/>
        <v>3</v>
      </c>
      <c r="N9" s="239">
        <v>4</v>
      </c>
      <c r="O9" s="240" t="str">
        <f t="shared" ca="1" si="5"/>
        <v>Shannon Lyon &amp; Andy Lockard</v>
      </c>
      <c r="P9" s="239">
        <v>11</v>
      </c>
      <c r="Q9" s="241">
        <v>6</v>
      </c>
      <c r="R9" s="256">
        <v>11</v>
      </c>
      <c r="S9" s="257">
        <v>9</v>
      </c>
      <c r="T9" s="239">
        <v>8</v>
      </c>
      <c r="U9" s="241">
        <v>11</v>
      </c>
      <c r="V9" s="246"/>
      <c r="W9" s="243"/>
      <c r="X9" s="223">
        <f t="shared" ref="X9:Y9" si="23">(P9+R9+T9+V9)</f>
        <v>30</v>
      </c>
      <c r="Y9" s="223">
        <f t="shared" si="23"/>
        <v>26</v>
      </c>
      <c r="Z9" s="224">
        <f t="shared" si="7"/>
        <v>56</v>
      </c>
      <c r="AA9" s="225" t="s">
        <v>237</v>
      </c>
      <c r="AB9" s="226" t="str">
        <f t="shared" si="8"/>
        <v>Cori Cunningham &amp; Thomas Rosewicz</v>
      </c>
      <c r="AC9" s="227">
        <f t="shared" ca="1" si="9"/>
        <v>3</v>
      </c>
      <c r="AD9" s="227">
        <f t="shared" ca="1" si="10"/>
        <v>73</v>
      </c>
      <c r="AE9" s="227">
        <f t="shared" ca="1" si="11"/>
        <v>48</v>
      </c>
      <c r="AF9" s="227">
        <f t="shared" ca="1" si="12"/>
        <v>121</v>
      </c>
      <c r="AG9" s="228">
        <f t="shared" ca="1" si="13"/>
        <v>0.60330578512396693</v>
      </c>
      <c r="AH9" s="229">
        <f t="shared" ca="1" si="14"/>
        <v>-3.3966942148760331</v>
      </c>
      <c r="AI9" s="230">
        <f t="shared" ca="1" si="15"/>
        <v>2</v>
      </c>
      <c r="AJ9" s="231" t="s">
        <v>1296</v>
      </c>
      <c r="AK9" s="232" t="s">
        <v>1266</v>
      </c>
      <c r="AL9" s="233"/>
    </row>
    <row r="10" spans="1:38" ht="15" customHeight="1">
      <c r="A10" s="211">
        <f t="shared" si="16"/>
        <v>45535</v>
      </c>
      <c r="B10" s="212" t="s">
        <v>428</v>
      </c>
      <c r="C10" s="212" t="s">
        <v>241</v>
      </c>
      <c r="D10" s="173" t="s">
        <v>1313</v>
      </c>
      <c r="E10" s="100">
        <v>1</v>
      </c>
      <c r="F10" s="101">
        <v>11</v>
      </c>
      <c r="G10" s="101">
        <v>6</v>
      </c>
      <c r="H10" s="213">
        <f t="shared" si="0"/>
        <v>18</v>
      </c>
      <c r="I10" s="213">
        <f>$E$11+$F$12+$G$13</f>
        <v>29</v>
      </c>
      <c r="J10" s="213">
        <f t="shared" si="1"/>
        <v>47</v>
      </c>
      <c r="K10" s="214">
        <f t="shared" si="2"/>
        <v>0.38297872340425532</v>
      </c>
      <c r="L10" s="258">
        <f t="shared" si="3"/>
        <v>-14.617021276595745</v>
      </c>
      <c r="M10" s="238">
        <f t="shared" ca="1" si="4"/>
        <v>14</v>
      </c>
      <c r="N10" s="217">
        <v>3</v>
      </c>
      <c r="O10" s="218" t="str">
        <f t="shared" ca="1" si="5"/>
        <v>Cori Cunningham &amp; Thomas Rosewicz</v>
      </c>
      <c r="P10" s="217">
        <v>11</v>
      </c>
      <c r="Q10" s="219">
        <v>4</v>
      </c>
      <c r="R10" s="220">
        <v>11</v>
      </c>
      <c r="S10" s="221">
        <v>3</v>
      </c>
      <c r="T10" s="217">
        <v>11</v>
      </c>
      <c r="U10" s="219">
        <v>9</v>
      </c>
      <c r="V10" s="246">
        <v>7</v>
      </c>
      <c r="W10" s="243">
        <v>11</v>
      </c>
      <c r="X10" s="223">
        <f t="shared" ref="X10:Y10" si="24">(P10+R10+T10+V10)</f>
        <v>40</v>
      </c>
      <c r="Y10" s="223">
        <f t="shared" si="24"/>
        <v>27</v>
      </c>
      <c r="Z10" s="224">
        <f t="shared" si="7"/>
        <v>67</v>
      </c>
      <c r="AA10" s="225" t="s">
        <v>241</v>
      </c>
      <c r="AB10" s="226" t="str">
        <f t="shared" si="8"/>
        <v>Valerie Dubois &amp; Loren Ginden</v>
      </c>
      <c r="AC10" s="227">
        <f t="shared" ca="1" si="9"/>
        <v>14</v>
      </c>
      <c r="AD10" s="227">
        <f t="shared" ca="1" si="10"/>
        <v>22</v>
      </c>
      <c r="AE10" s="227">
        <f t="shared" ca="1" si="11"/>
        <v>40</v>
      </c>
      <c r="AF10" s="227">
        <f t="shared" ca="1" si="12"/>
        <v>62</v>
      </c>
      <c r="AG10" s="228">
        <f t="shared" ca="1" si="13"/>
        <v>0.35483870967741937</v>
      </c>
      <c r="AH10" s="229">
        <f t="shared" ca="1" si="14"/>
        <v>-54.645161290322584</v>
      </c>
      <c r="AI10" s="230">
        <f t="shared" ca="1" si="15"/>
        <v>14</v>
      </c>
      <c r="AJ10" s="231" t="s">
        <v>1052</v>
      </c>
      <c r="AK10" s="232" t="s">
        <v>1268</v>
      </c>
      <c r="AL10" s="233"/>
    </row>
    <row r="11" spans="1:38" ht="15" customHeight="1">
      <c r="A11" s="234">
        <f t="shared" si="16"/>
        <v>45535</v>
      </c>
      <c r="B11" s="212" t="s">
        <v>428</v>
      </c>
      <c r="C11" s="212" t="s">
        <v>246</v>
      </c>
      <c r="D11" s="173" t="s">
        <v>167</v>
      </c>
      <c r="E11" s="105">
        <v>11</v>
      </c>
      <c r="F11" s="106">
        <v>11</v>
      </c>
      <c r="G11" s="106">
        <v>11</v>
      </c>
      <c r="H11" s="235">
        <f t="shared" si="0"/>
        <v>33</v>
      </c>
      <c r="I11" s="235">
        <f>$E$10+$F$13+$G$12</f>
        <v>12</v>
      </c>
      <c r="J11" s="235">
        <f t="shared" si="1"/>
        <v>45</v>
      </c>
      <c r="K11" s="236">
        <f t="shared" si="2"/>
        <v>0.73333333333333328</v>
      </c>
      <c r="L11" s="237">
        <f t="shared" si="3"/>
        <v>0.73333333333333328</v>
      </c>
      <c r="M11" s="238">
        <f t="shared" ca="1" si="4"/>
        <v>1</v>
      </c>
      <c r="N11" s="239">
        <v>14</v>
      </c>
      <c r="O11" s="240" t="str">
        <f t="shared" ca="1" si="5"/>
        <v>Valerie Dubois &amp; Loren Ginden</v>
      </c>
      <c r="P11" s="239">
        <v>4</v>
      </c>
      <c r="Q11" s="241">
        <v>11</v>
      </c>
      <c r="R11" s="242"/>
      <c r="S11" s="243"/>
      <c r="T11" s="244"/>
      <c r="U11" s="245"/>
      <c r="V11" s="246"/>
      <c r="W11" s="243"/>
      <c r="X11" s="223">
        <f t="shared" ref="X11:Y11" si="25">(P11+R11+T11+V11)</f>
        <v>4</v>
      </c>
      <c r="Y11" s="223">
        <f t="shared" si="25"/>
        <v>11</v>
      </c>
      <c r="Z11" s="224">
        <f t="shared" si="7"/>
        <v>15</v>
      </c>
      <c r="AA11" s="225" t="s">
        <v>246</v>
      </c>
      <c r="AB11" s="226" t="str">
        <f t="shared" si="8"/>
        <v>Debbie Davis &amp; Randy Burgess</v>
      </c>
      <c r="AC11" s="227">
        <f t="shared" ca="1" si="9"/>
        <v>1</v>
      </c>
      <c r="AD11" s="227">
        <f t="shared" ca="1" si="10"/>
        <v>77</v>
      </c>
      <c r="AE11" s="227">
        <f t="shared" ca="1" si="11"/>
        <v>36</v>
      </c>
      <c r="AF11" s="227">
        <f t="shared" ca="1" si="12"/>
        <v>113</v>
      </c>
      <c r="AG11" s="228">
        <f t="shared" ca="1" si="13"/>
        <v>0.68141592920353977</v>
      </c>
      <c r="AH11" s="229">
        <f t="shared" ca="1" si="14"/>
        <v>0.68141592920353977</v>
      </c>
      <c r="AI11" s="230">
        <f t="shared" ca="1" si="15"/>
        <v>1</v>
      </c>
      <c r="AJ11" s="231" t="s">
        <v>792</v>
      </c>
      <c r="AK11" s="232" t="s">
        <v>1209</v>
      </c>
      <c r="AL11" s="233"/>
    </row>
    <row r="12" spans="1:38" ht="15" customHeight="1">
      <c r="A12" s="234">
        <f t="shared" si="16"/>
        <v>45535</v>
      </c>
      <c r="B12" s="212" t="s">
        <v>428</v>
      </c>
      <c r="C12" s="212" t="s">
        <v>251</v>
      </c>
      <c r="D12" s="173" t="s">
        <v>1314</v>
      </c>
      <c r="E12" s="107">
        <v>8</v>
      </c>
      <c r="F12" s="108">
        <v>7</v>
      </c>
      <c r="G12" s="106">
        <v>7</v>
      </c>
      <c r="H12" s="235">
        <f t="shared" si="0"/>
        <v>22</v>
      </c>
      <c r="I12" s="235">
        <f>$E$13+$F$10+$G$11</f>
        <v>33</v>
      </c>
      <c r="J12" s="235">
        <f t="shared" si="1"/>
        <v>55</v>
      </c>
      <c r="K12" s="236">
        <f t="shared" si="2"/>
        <v>0.4</v>
      </c>
      <c r="L12" s="237">
        <f t="shared" si="3"/>
        <v>-10.6</v>
      </c>
      <c r="M12" s="238">
        <f t="shared" ca="1" si="4"/>
        <v>11</v>
      </c>
      <c r="N12" s="217">
        <v>11</v>
      </c>
      <c r="O12" s="218" t="str">
        <f t="shared" ca="1" si="5"/>
        <v>Susanne Jantsch &amp; Justin Hoffman</v>
      </c>
      <c r="P12" s="217">
        <v>8</v>
      </c>
      <c r="Q12" s="219">
        <v>11</v>
      </c>
      <c r="R12" s="242"/>
      <c r="S12" s="243"/>
      <c r="T12" s="244"/>
      <c r="U12" s="245"/>
      <c r="V12" s="246"/>
      <c r="W12" s="243"/>
      <c r="X12" s="223">
        <f t="shared" ref="X12:Y12" si="26">(P12+R12+T12+V12)</f>
        <v>8</v>
      </c>
      <c r="Y12" s="223">
        <f t="shared" si="26"/>
        <v>11</v>
      </c>
      <c r="Z12" s="224">
        <f t="shared" si="7"/>
        <v>19</v>
      </c>
      <c r="AA12" s="225" t="s">
        <v>251</v>
      </c>
      <c r="AB12" s="226" t="str">
        <f t="shared" si="8"/>
        <v>Susanne Jantsch &amp; Justin Hoffman</v>
      </c>
      <c r="AC12" s="227">
        <f t="shared" ca="1" si="9"/>
        <v>11</v>
      </c>
      <c r="AD12" s="227">
        <f t="shared" ca="1" si="10"/>
        <v>30</v>
      </c>
      <c r="AE12" s="227">
        <f t="shared" ca="1" si="11"/>
        <v>44</v>
      </c>
      <c r="AF12" s="227">
        <f t="shared" ca="1" si="12"/>
        <v>74</v>
      </c>
      <c r="AG12" s="228">
        <f t="shared" ca="1" si="13"/>
        <v>0.40540540540540543</v>
      </c>
      <c r="AH12" s="229">
        <f t="shared" ca="1" si="14"/>
        <v>-46.594594594594597</v>
      </c>
      <c r="AI12" s="230">
        <f t="shared" ca="1" si="15"/>
        <v>12</v>
      </c>
      <c r="AJ12" s="231" t="s">
        <v>1315</v>
      </c>
      <c r="AK12" s="232" t="s">
        <v>715</v>
      </c>
      <c r="AL12" s="233"/>
    </row>
    <row r="13" spans="1:38" ht="15" customHeight="1">
      <c r="A13" s="249">
        <f t="shared" si="16"/>
        <v>45535</v>
      </c>
      <c r="B13" s="250" t="s">
        <v>428</v>
      </c>
      <c r="C13" s="250" t="s">
        <v>256</v>
      </c>
      <c r="D13" s="251" t="s">
        <v>1316</v>
      </c>
      <c r="E13" s="109">
        <v>11</v>
      </c>
      <c r="F13" s="110">
        <v>4</v>
      </c>
      <c r="G13" s="111">
        <v>11</v>
      </c>
      <c r="H13" s="252">
        <f t="shared" si="0"/>
        <v>26</v>
      </c>
      <c r="I13" s="252">
        <f>$E$12+$F$11+$G$10</f>
        <v>25</v>
      </c>
      <c r="J13" s="252">
        <f t="shared" si="1"/>
        <v>51</v>
      </c>
      <c r="K13" s="253">
        <f t="shared" si="2"/>
        <v>0.50980392156862742</v>
      </c>
      <c r="L13" s="254">
        <f t="shared" si="3"/>
        <v>-6.4901960784313726</v>
      </c>
      <c r="M13" s="255">
        <f t="shared" ca="1" si="4"/>
        <v>10</v>
      </c>
      <c r="N13" s="239">
        <v>6</v>
      </c>
      <c r="O13" s="240" t="str">
        <f t="shared" ca="1" si="5"/>
        <v>Carrie Davidson &amp; Patrick Blackwell</v>
      </c>
      <c r="P13" s="239">
        <v>11</v>
      </c>
      <c r="Q13" s="241">
        <v>8</v>
      </c>
      <c r="R13" s="256">
        <v>3</v>
      </c>
      <c r="S13" s="257">
        <v>11</v>
      </c>
      <c r="T13" s="244"/>
      <c r="U13" s="245"/>
      <c r="V13" s="246"/>
      <c r="W13" s="243"/>
      <c r="X13" s="223">
        <f t="shared" ref="X13:Y13" si="27">(P13+R13+T13+V13)</f>
        <v>14</v>
      </c>
      <c r="Y13" s="223">
        <f t="shared" si="27"/>
        <v>19</v>
      </c>
      <c r="Z13" s="224">
        <f t="shared" si="7"/>
        <v>33</v>
      </c>
      <c r="AA13" s="225" t="s">
        <v>256</v>
      </c>
      <c r="AB13" s="226" t="str">
        <f t="shared" si="8"/>
        <v>Alyson Bollinger &amp; Mike Klender</v>
      </c>
      <c r="AC13" s="227">
        <f t="shared" ca="1" si="9"/>
        <v>10</v>
      </c>
      <c r="AD13" s="227">
        <f t="shared" ca="1" si="10"/>
        <v>57</v>
      </c>
      <c r="AE13" s="227">
        <f t="shared" ca="1" si="11"/>
        <v>50</v>
      </c>
      <c r="AF13" s="227">
        <f t="shared" ca="1" si="12"/>
        <v>107</v>
      </c>
      <c r="AG13" s="228">
        <f t="shared" ca="1" si="13"/>
        <v>0.53271028037383172</v>
      </c>
      <c r="AH13" s="229">
        <f t="shared" ca="1" si="14"/>
        <v>-19.467289719626169</v>
      </c>
      <c r="AI13" s="230">
        <f t="shared" ca="1" si="15"/>
        <v>4</v>
      </c>
      <c r="AJ13" s="231" t="s">
        <v>1317</v>
      </c>
      <c r="AK13" s="232" t="s">
        <v>716</v>
      </c>
      <c r="AL13" s="233"/>
    </row>
    <row r="14" spans="1:38" ht="15" customHeight="1">
      <c r="A14" s="211">
        <f t="shared" si="16"/>
        <v>45535</v>
      </c>
      <c r="B14" s="212" t="s">
        <v>428</v>
      </c>
      <c r="C14" s="212" t="s">
        <v>261</v>
      </c>
      <c r="D14" s="173" t="s">
        <v>1318</v>
      </c>
      <c r="E14" s="100">
        <v>6</v>
      </c>
      <c r="F14" s="101">
        <v>11</v>
      </c>
      <c r="G14" s="101">
        <v>11</v>
      </c>
      <c r="H14" s="213">
        <f t="shared" si="0"/>
        <v>28</v>
      </c>
      <c r="I14" s="213">
        <f>$E$15+$F$16+$G$17</f>
        <v>29</v>
      </c>
      <c r="J14" s="213">
        <f t="shared" si="1"/>
        <v>57</v>
      </c>
      <c r="K14" s="214">
        <f t="shared" si="2"/>
        <v>0.49122807017543857</v>
      </c>
      <c r="L14" s="258">
        <f t="shared" si="3"/>
        <v>-4.5087719298245617</v>
      </c>
      <c r="M14" s="238">
        <f t="shared" ca="1" si="4"/>
        <v>7</v>
      </c>
      <c r="N14" s="217">
        <v>7</v>
      </c>
      <c r="O14" s="218" t="str">
        <f t="shared" ca="1" si="5"/>
        <v>Annie Brown &amp; Ben Hemmen</v>
      </c>
      <c r="P14" s="217">
        <v>8</v>
      </c>
      <c r="Q14" s="219">
        <v>11</v>
      </c>
      <c r="R14" s="220"/>
      <c r="S14" s="221"/>
      <c r="T14" s="244"/>
      <c r="U14" s="245"/>
      <c r="V14" s="246"/>
      <c r="W14" s="243"/>
      <c r="X14" s="223">
        <f t="shared" ref="X14:Y14" si="28">(P14+R14+T14+V14)</f>
        <v>8</v>
      </c>
      <c r="Y14" s="223">
        <f t="shared" si="28"/>
        <v>11</v>
      </c>
      <c r="Z14" s="224">
        <f t="shared" si="7"/>
        <v>19</v>
      </c>
      <c r="AA14" s="225" t="s">
        <v>261</v>
      </c>
      <c r="AB14" s="226" t="str">
        <f t="shared" si="8"/>
        <v>Annie Brown &amp; Ben Hemmen</v>
      </c>
      <c r="AC14" s="227">
        <f t="shared" ca="1" si="9"/>
        <v>7</v>
      </c>
      <c r="AD14" s="227">
        <f t="shared" ca="1" si="10"/>
        <v>36</v>
      </c>
      <c r="AE14" s="227">
        <f t="shared" ca="1" si="11"/>
        <v>40</v>
      </c>
      <c r="AF14" s="227">
        <f t="shared" ca="1" si="12"/>
        <v>76</v>
      </c>
      <c r="AG14" s="228">
        <f t="shared" ca="1" si="13"/>
        <v>0.47368421052631576</v>
      </c>
      <c r="AH14" s="229">
        <f t="shared" ca="1" si="14"/>
        <v>-40.526315789473685</v>
      </c>
      <c r="AI14" s="230">
        <f t="shared" ca="1" si="15"/>
        <v>11</v>
      </c>
      <c r="AJ14" s="231" t="s">
        <v>1221</v>
      </c>
      <c r="AK14" s="232" t="s">
        <v>1319</v>
      </c>
      <c r="AL14" s="233"/>
    </row>
    <row r="15" spans="1:38" ht="15" customHeight="1">
      <c r="A15" s="234">
        <f t="shared" si="16"/>
        <v>45535</v>
      </c>
      <c r="B15" s="212" t="s">
        <v>428</v>
      </c>
      <c r="C15" s="212" t="s">
        <v>268</v>
      </c>
      <c r="D15" s="173" t="s">
        <v>1320</v>
      </c>
      <c r="E15" s="105">
        <v>11</v>
      </c>
      <c r="F15" s="106">
        <v>11</v>
      </c>
      <c r="G15" s="106">
        <v>11</v>
      </c>
      <c r="H15" s="235">
        <f t="shared" si="0"/>
        <v>33</v>
      </c>
      <c r="I15" s="235">
        <f>$E$14+$F$17+$G$16</f>
        <v>20</v>
      </c>
      <c r="J15" s="235">
        <f t="shared" si="1"/>
        <v>53</v>
      </c>
      <c r="K15" s="236">
        <f t="shared" si="2"/>
        <v>0.62264150943396224</v>
      </c>
      <c r="L15" s="237">
        <f t="shared" si="3"/>
        <v>0.62264150943396224</v>
      </c>
      <c r="M15" s="238">
        <f t="shared" ca="1" si="4"/>
        <v>2</v>
      </c>
      <c r="N15" s="239">
        <v>10</v>
      </c>
      <c r="O15" s="240" t="str">
        <f t="shared" ca="1" si="5"/>
        <v>Alyson Bollinger &amp; Mike Klender</v>
      </c>
      <c r="P15" s="239">
        <v>11</v>
      </c>
      <c r="Q15" s="241">
        <v>8</v>
      </c>
      <c r="R15" s="242">
        <v>11</v>
      </c>
      <c r="S15" s="243">
        <v>6</v>
      </c>
      <c r="T15" s="244">
        <v>9</v>
      </c>
      <c r="U15" s="245">
        <v>11</v>
      </c>
      <c r="V15" s="246"/>
      <c r="W15" s="243"/>
      <c r="X15" s="223">
        <f t="shared" ref="X15:Y15" si="29">(P15+R15+T15+V15)</f>
        <v>31</v>
      </c>
      <c r="Y15" s="223">
        <f t="shared" si="29"/>
        <v>25</v>
      </c>
      <c r="Z15" s="224">
        <f t="shared" si="7"/>
        <v>56</v>
      </c>
      <c r="AA15" s="225" t="s">
        <v>268</v>
      </c>
      <c r="AB15" s="226" t="str">
        <f t="shared" si="8"/>
        <v>Stephanie Patterson &amp; Chris Lyon</v>
      </c>
      <c r="AC15" s="227">
        <f t="shared" ca="1" si="9"/>
        <v>2</v>
      </c>
      <c r="AD15" s="227">
        <f t="shared" ca="1" si="10"/>
        <v>50</v>
      </c>
      <c r="AE15" s="227">
        <f t="shared" ca="1" si="11"/>
        <v>34</v>
      </c>
      <c r="AF15" s="227">
        <f t="shared" ca="1" si="12"/>
        <v>84</v>
      </c>
      <c r="AG15" s="228">
        <f t="shared" ca="1" si="13"/>
        <v>0.59523809523809523</v>
      </c>
      <c r="AH15" s="229">
        <f t="shared" ca="1" si="14"/>
        <v>-26.404761904761905</v>
      </c>
      <c r="AI15" s="230">
        <f t="shared" ca="1" si="15"/>
        <v>5</v>
      </c>
      <c r="AJ15" s="231" t="s">
        <v>929</v>
      </c>
      <c r="AK15" s="232" t="s">
        <v>1131</v>
      </c>
      <c r="AL15" s="233"/>
    </row>
    <row r="16" spans="1:38" ht="15" customHeight="1">
      <c r="A16" s="234">
        <f t="shared" si="16"/>
        <v>45535</v>
      </c>
      <c r="B16" s="212" t="s">
        <v>428</v>
      </c>
      <c r="C16" s="212" t="s">
        <v>271</v>
      </c>
      <c r="D16" s="173" t="s">
        <v>1307</v>
      </c>
      <c r="E16" s="107">
        <v>11</v>
      </c>
      <c r="F16" s="108">
        <v>9</v>
      </c>
      <c r="G16" s="106">
        <v>7</v>
      </c>
      <c r="H16" s="235">
        <f t="shared" si="0"/>
        <v>27</v>
      </c>
      <c r="I16" s="235">
        <f>$E$17+$F$14+$G$15</f>
        <v>25</v>
      </c>
      <c r="J16" s="235">
        <f t="shared" si="1"/>
        <v>52</v>
      </c>
      <c r="K16" s="236">
        <f t="shared" si="2"/>
        <v>0.51923076923076927</v>
      </c>
      <c r="L16" s="237">
        <f t="shared" si="3"/>
        <v>-5.4807692307692308</v>
      </c>
      <c r="M16" s="238">
        <f t="shared" ca="1" si="4"/>
        <v>8</v>
      </c>
      <c r="N16" s="217">
        <v>15</v>
      </c>
      <c r="O16" s="218" t="str">
        <f t="shared" ca="1" si="5"/>
        <v>Susan Mitts &amp; Jordan Watts</v>
      </c>
      <c r="P16" s="217">
        <v>3</v>
      </c>
      <c r="Q16" s="219">
        <v>11</v>
      </c>
      <c r="R16" s="242"/>
      <c r="S16" s="243"/>
      <c r="T16" s="244"/>
      <c r="U16" s="245"/>
      <c r="V16" s="246"/>
      <c r="W16" s="243"/>
      <c r="X16" s="223">
        <f t="shared" ref="X16:Y16" si="30">(P16+R16+T16+V16)</f>
        <v>3</v>
      </c>
      <c r="Y16" s="223">
        <f t="shared" si="30"/>
        <v>11</v>
      </c>
      <c r="Z16" s="224">
        <f t="shared" si="7"/>
        <v>14</v>
      </c>
      <c r="AA16" s="225" t="s">
        <v>271</v>
      </c>
      <c r="AB16" s="226" t="str">
        <f t="shared" si="8"/>
        <v>Betsy Norberg &amp; Stephen Limpic</v>
      </c>
      <c r="AC16" s="227">
        <f t="shared" ca="1" si="9"/>
        <v>8</v>
      </c>
      <c r="AD16" s="227">
        <f t="shared" ca="1" si="10"/>
        <v>36</v>
      </c>
      <c r="AE16" s="227">
        <f t="shared" ca="1" si="11"/>
        <v>36</v>
      </c>
      <c r="AF16" s="227">
        <f t="shared" ca="1" si="12"/>
        <v>72</v>
      </c>
      <c r="AG16" s="228">
        <f t="shared" ca="1" si="13"/>
        <v>0.5</v>
      </c>
      <c r="AH16" s="229">
        <f t="shared" ca="1" si="14"/>
        <v>-40.5</v>
      </c>
      <c r="AI16" s="230">
        <f t="shared" ca="1" si="15"/>
        <v>10</v>
      </c>
      <c r="AJ16" s="231" t="s">
        <v>1148</v>
      </c>
      <c r="AK16" s="232" t="s">
        <v>1086</v>
      </c>
      <c r="AL16" s="233"/>
    </row>
    <row r="17" spans="1:38" ht="15" customHeight="1">
      <c r="A17" s="259">
        <f t="shared" si="16"/>
        <v>45535</v>
      </c>
      <c r="B17" s="260" t="s">
        <v>428</v>
      </c>
      <c r="C17" s="260" t="s">
        <v>276</v>
      </c>
      <c r="D17" s="261" t="s">
        <v>1312</v>
      </c>
      <c r="E17" s="262">
        <v>3</v>
      </c>
      <c r="F17" s="263">
        <v>7</v>
      </c>
      <c r="G17" s="264">
        <v>9</v>
      </c>
      <c r="H17" s="265">
        <f t="shared" si="0"/>
        <v>19</v>
      </c>
      <c r="I17" s="265">
        <f>$E$16+$F$15+$G$14</f>
        <v>33</v>
      </c>
      <c r="J17" s="265">
        <f t="shared" si="1"/>
        <v>52</v>
      </c>
      <c r="K17" s="266">
        <f t="shared" si="2"/>
        <v>0.36538461538461536</v>
      </c>
      <c r="L17" s="267">
        <f t="shared" si="3"/>
        <v>-13.634615384615385</v>
      </c>
      <c r="M17" s="268">
        <f t="shared" ca="1" si="4"/>
        <v>13</v>
      </c>
      <c r="N17" s="269">
        <v>2</v>
      </c>
      <c r="O17" s="270" t="str">
        <f t="shared" ca="1" si="5"/>
        <v>Stephanie Patterson &amp; Chris Lyon</v>
      </c>
      <c r="P17" s="269">
        <v>11</v>
      </c>
      <c r="Q17" s="271">
        <v>3</v>
      </c>
      <c r="R17" s="272">
        <v>6</v>
      </c>
      <c r="S17" s="273">
        <v>11</v>
      </c>
      <c r="T17" s="274"/>
      <c r="U17" s="275"/>
      <c r="V17" s="276"/>
      <c r="W17" s="273"/>
      <c r="X17" s="277">
        <f t="shared" ref="X17:Y17" si="31">(P17+R17+T17+V17)</f>
        <v>17</v>
      </c>
      <c r="Y17" s="277">
        <f t="shared" si="31"/>
        <v>14</v>
      </c>
      <c r="Z17" s="278">
        <f t="shared" si="7"/>
        <v>31</v>
      </c>
      <c r="AA17" s="279" t="s">
        <v>276</v>
      </c>
      <c r="AB17" s="280" t="str">
        <f t="shared" si="8"/>
        <v>Emma Lockard &amp; Will Polese</v>
      </c>
      <c r="AC17" s="281">
        <f t="shared" ca="1" si="9"/>
        <v>13</v>
      </c>
      <c r="AD17" s="281">
        <f t="shared" ca="1" si="10"/>
        <v>25</v>
      </c>
      <c r="AE17" s="281">
        <f t="shared" ca="1" si="11"/>
        <v>44</v>
      </c>
      <c r="AF17" s="281">
        <f t="shared" ca="1" si="12"/>
        <v>69</v>
      </c>
      <c r="AG17" s="282">
        <f t="shared" ca="1" si="13"/>
        <v>0.36231884057971014</v>
      </c>
      <c r="AH17" s="283">
        <f t="shared" ca="1" si="14"/>
        <v>-51.637681159420289</v>
      </c>
      <c r="AI17" s="284">
        <f t="shared" ca="1" si="15"/>
        <v>13</v>
      </c>
      <c r="AJ17" s="285" t="s">
        <v>1283</v>
      </c>
      <c r="AK17" s="286" t="s">
        <v>1189</v>
      </c>
      <c r="AL17" s="233"/>
    </row>
    <row r="18" spans="1:38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</row>
    <row r="19" spans="1:38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128</v>
      </c>
      <c r="F19" s="287">
        <f t="shared" si="32"/>
        <v>139</v>
      </c>
      <c r="G19" s="287">
        <f>SUM(G2:G18)</f>
        <v>133</v>
      </c>
      <c r="H19" s="287">
        <f t="shared" ref="H19:I19" si="33">SUM(H2:H17)</f>
        <v>400</v>
      </c>
      <c r="I19" s="287">
        <f t="shared" si="33"/>
        <v>400</v>
      </c>
      <c r="J19" s="292">
        <f>SUM(J2:J17)/2</f>
        <v>400</v>
      </c>
      <c r="K19" s="293" t="s">
        <v>1340</v>
      </c>
      <c r="L19" s="291"/>
      <c r="M19" s="287"/>
      <c r="N19" s="287"/>
      <c r="O19" s="287"/>
      <c r="P19" s="287">
        <f t="shared" ref="P19:Y19" si="34">SUM(P2:P17)</f>
        <v>139</v>
      </c>
      <c r="Q19" s="287">
        <f t="shared" si="34"/>
        <v>139</v>
      </c>
      <c r="R19" s="287">
        <f t="shared" si="34"/>
        <v>65</v>
      </c>
      <c r="S19" s="287">
        <f t="shared" si="34"/>
        <v>65</v>
      </c>
      <c r="T19" s="287">
        <f t="shared" si="34"/>
        <v>39</v>
      </c>
      <c r="U19" s="287">
        <f t="shared" si="34"/>
        <v>39</v>
      </c>
      <c r="V19" s="287">
        <f t="shared" si="34"/>
        <v>18</v>
      </c>
      <c r="W19" s="287">
        <f t="shared" si="34"/>
        <v>18</v>
      </c>
      <c r="X19" s="287">
        <f t="shared" si="34"/>
        <v>261</v>
      </c>
      <c r="Y19" s="287">
        <f t="shared" si="34"/>
        <v>261</v>
      </c>
      <c r="Z19" s="287">
        <f>SUM(Z2:Z17)/2</f>
        <v>261</v>
      </c>
      <c r="AA19" s="287"/>
      <c r="AB19" s="287"/>
      <c r="AC19" s="287"/>
      <c r="AD19" s="287">
        <f t="shared" ref="AD19:AE19" ca="1" si="35">SUM(AD2:AD17)</f>
        <v>661</v>
      </c>
      <c r="AE19" s="287">
        <f t="shared" ca="1" si="35"/>
        <v>661</v>
      </c>
      <c r="AF19" s="287">
        <f ca="1">SUM(AF2:AF17)/2</f>
        <v>661</v>
      </c>
      <c r="AG19" s="287"/>
      <c r="AH19" s="287"/>
      <c r="AI19" s="287"/>
      <c r="AJ19" s="287"/>
      <c r="AK19" s="287"/>
      <c r="AL19" s="287"/>
    </row>
    <row r="20" spans="1:38" ht="15" customHeight="1">
      <c r="A20" s="287"/>
      <c r="B20" s="294"/>
      <c r="C20" s="294"/>
      <c r="D20" s="295" t="s">
        <v>15</v>
      </c>
      <c r="E20" s="295">
        <f t="shared" ref="E20:G20" si="36">COUNTIF(E2:E17, 10)</f>
        <v>0</v>
      </c>
      <c r="F20" s="295">
        <f t="shared" si="36"/>
        <v>0</v>
      </c>
      <c r="G20" s="295">
        <f t="shared" si="36"/>
        <v>0</v>
      </c>
      <c r="H20" s="296"/>
      <c r="I20" s="296"/>
      <c r="J20" s="297">
        <f>AVERAGE(J2:J17)</f>
        <v>50</v>
      </c>
      <c r="K20" s="293" t="s">
        <v>1341</v>
      </c>
      <c r="L20" s="291"/>
      <c r="M20" s="287"/>
      <c r="N20" s="287"/>
      <c r="O20" s="287"/>
      <c r="P20" s="287"/>
      <c r="Q20" s="295">
        <f>COUNTIF(Q2:Q17, 10)</f>
        <v>0</v>
      </c>
      <c r="R20" s="287"/>
      <c r="S20" s="295">
        <f>COUNTIF(S2:S17, 10)</f>
        <v>0</v>
      </c>
      <c r="T20" s="287"/>
      <c r="U20" s="295">
        <f>COUNTIF(U2:U17, 10)</f>
        <v>0</v>
      </c>
      <c r="V20" s="287"/>
      <c r="W20" s="295">
        <f>COUNTIF(W2:W17, 10)</f>
        <v>0</v>
      </c>
      <c r="X20" s="287"/>
      <c r="Y20" s="296"/>
      <c r="Z20" s="295">
        <f>SUM(E20:G20,Q20,S20,U20,W20)</f>
        <v>0</v>
      </c>
      <c r="AA20" s="296"/>
      <c r="AB20" s="296"/>
      <c r="AC20" s="296"/>
      <c r="AD20" s="296"/>
      <c r="AE20" s="287" t="s">
        <v>1342</v>
      </c>
      <c r="AF20" s="298">
        <f ca="1">AVERAGE(AF2:AF17)</f>
        <v>82.625</v>
      </c>
      <c r="AG20" s="287"/>
      <c r="AH20" s="287"/>
      <c r="AI20" s="287"/>
      <c r="AJ20" s="287"/>
      <c r="AK20" s="287"/>
      <c r="AL20" s="287"/>
    </row>
    <row r="21" spans="1:38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96"/>
      <c r="Z21" s="287"/>
      <c r="AA21" s="296"/>
      <c r="AB21" s="296"/>
      <c r="AC21" s="296"/>
      <c r="AD21" s="296"/>
      <c r="AE21" s="296"/>
      <c r="AF21" s="287"/>
      <c r="AG21" s="287"/>
      <c r="AH21" s="287"/>
      <c r="AI21" s="287"/>
      <c r="AJ21" s="287"/>
      <c r="AK21" s="287"/>
      <c r="AL21" s="287"/>
    </row>
    <row r="22" spans="1:38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96"/>
      <c r="Z22" s="287"/>
      <c r="AA22" s="296"/>
      <c r="AB22" s="296"/>
      <c r="AC22" s="296"/>
      <c r="AD22" s="296"/>
      <c r="AE22" s="296"/>
      <c r="AF22" s="287"/>
      <c r="AG22" s="287"/>
      <c r="AH22" s="287"/>
      <c r="AI22" s="287"/>
      <c r="AJ22" s="287"/>
      <c r="AK22" s="287"/>
      <c r="AL22" s="287"/>
    </row>
  </sheetData>
  <conditionalFormatting sqref="H2:H17">
    <cfRule type="cellIs" dxfId="175" priority="5" operator="equal">
      <formula>33</formula>
    </cfRule>
  </conditionalFormatting>
  <conditionalFormatting sqref="O2:Z17">
    <cfRule type="expression" dxfId="174" priority="1">
      <formula>$V2=11</formula>
    </cfRule>
  </conditionalFormatting>
  <conditionalFormatting sqref="P2:Q17">
    <cfRule type="expression" dxfId="173" priority="2">
      <formula>$P2=11</formula>
    </cfRule>
  </conditionalFormatting>
  <conditionalFormatting sqref="R2:S17">
    <cfRule type="expression" dxfId="172" priority="3">
      <formula>$R2=11</formula>
    </cfRule>
  </conditionalFormatting>
  <conditionalFormatting sqref="T2:U17">
    <cfRule type="expression" dxfId="171" priority="4">
      <formula>$T2=11</formula>
    </cfRule>
  </conditionalFormatting>
  <conditionalFormatting sqref="AA2:AI17">
    <cfRule type="expression" dxfId="170" priority="6">
      <formula>$AI2=1</formula>
    </cfRule>
    <cfRule type="expression" dxfId="169" priority="8">
      <formula>$AI2=2</formula>
    </cfRule>
  </conditionalFormatting>
  <conditionalFormatting sqref="AI2:AI17">
    <cfRule type="expression" dxfId="168" priority="7">
      <formula>COUNTIF(AI$2:AI$17,$AI2)&gt;1</formula>
    </cfRule>
  </conditionalFormatting>
  <hyperlinks>
    <hyperlink ref="AL1" location="Champions!A1" display="Home" xr:uid="{00000000-0004-0000-0300-000000000000}"/>
    <hyperlink ref="A19" location="Champions!A1" display="Home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22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10.54296875" customWidth="1"/>
    <col min="2" max="2" width="8" customWidth="1"/>
    <col min="3" max="3" width="8.1796875" customWidth="1"/>
    <col min="4" max="4" width="36" customWidth="1"/>
    <col min="5" max="7" width="8.1796875" customWidth="1"/>
    <col min="8" max="9" width="7.1796875" customWidth="1"/>
    <col min="10" max="10" width="8" customWidth="1"/>
    <col min="11" max="11" width="8.7265625" customWidth="1"/>
    <col min="12" max="12" width="6.54296875" customWidth="1"/>
    <col min="13" max="13" width="6.26953125" customWidth="1"/>
    <col min="14" max="14" width="8.26953125" customWidth="1"/>
    <col min="15" max="15" width="32.1796875" customWidth="1"/>
    <col min="16" max="23" width="6.26953125" customWidth="1"/>
    <col min="24" max="26" width="7.7265625" customWidth="1"/>
    <col min="27" max="27" width="7" customWidth="1"/>
    <col min="28" max="28" width="33.26953125" customWidth="1"/>
    <col min="29" max="29" width="6.453125" customWidth="1"/>
    <col min="30" max="31" width="7.7265625" customWidth="1"/>
    <col min="32" max="35" width="8.453125" customWidth="1"/>
    <col min="36" max="36" width="16.26953125" customWidth="1"/>
    <col min="37" max="37" width="16.1796875" customWidth="1"/>
    <col min="38" max="38" width="8.453125" customWidth="1"/>
  </cols>
  <sheetData>
    <row r="1" spans="1:38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201" t="s">
        <v>1336</v>
      </c>
      <c r="O1" s="201" t="s">
        <v>1337</v>
      </c>
      <c r="P1" s="202" t="s">
        <v>184</v>
      </c>
      <c r="Q1" s="201" t="s">
        <v>185</v>
      </c>
      <c r="R1" s="203" t="s">
        <v>186</v>
      </c>
      <c r="S1" s="203" t="s">
        <v>187</v>
      </c>
      <c r="T1" s="204" t="s">
        <v>188</v>
      </c>
      <c r="U1" s="204" t="s">
        <v>189</v>
      </c>
      <c r="V1" s="204" t="s">
        <v>190</v>
      </c>
      <c r="W1" s="204" t="s">
        <v>191</v>
      </c>
      <c r="X1" s="198" t="s">
        <v>192</v>
      </c>
      <c r="Y1" s="198" t="s">
        <v>193</v>
      </c>
      <c r="Z1" s="205" t="s">
        <v>194</v>
      </c>
      <c r="AA1" s="206" t="s">
        <v>171</v>
      </c>
      <c r="AB1" s="204" t="s">
        <v>195</v>
      </c>
      <c r="AC1" s="204" t="s">
        <v>181</v>
      </c>
      <c r="AD1" s="204" t="s">
        <v>196</v>
      </c>
      <c r="AE1" s="204" t="s">
        <v>197</v>
      </c>
      <c r="AF1" s="204" t="s">
        <v>198</v>
      </c>
      <c r="AG1" s="204" t="s">
        <v>1338</v>
      </c>
      <c r="AH1" s="204" t="s">
        <v>200</v>
      </c>
      <c r="AI1" s="207" t="s">
        <v>201</v>
      </c>
      <c r="AJ1" s="208" t="s">
        <v>202</v>
      </c>
      <c r="AK1" s="209" t="s">
        <v>203</v>
      </c>
      <c r="AL1" s="210" t="s">
        <v>1339</v>
      </c>
    </row>
    <row r="2" spans="1:38" ht="15" customHeight="1">
      <c r="A2" s="211">
        <v>45514</v>
      </c>
      <c r="B2" s="212" t="s">
        <v>615</v>
      </c>
      <c r="C2" s="212" t="s">
        <v>205</v>
      </c>
      <c r="D2" s="173" t="s">
        <v>1276</v>
      </c>
      <c r="E2" s="100">
        <v>11</v>
      </c>
      <c r="F2" s="101">
        <v>11</v>
      </c>
      <c r="G2" s="101">
        <v>11</v>
      </c>
      <c r="H2" s="213">
        <f t="shared" ref="H2:H17" si="0">SUM(E2:G2)</f>
        <v>33</v>
      </c>
      <c r="I2" s="213">
        <f>$E$3+$F$4+$G$5</f>
        <v>18</v>
      </c>
      <c r="J2" s="213">
        <f t="shared" ref="J2:J17" si="1">SUM(H2:I2)</f>
        <v>51</v>
      </c>
      <c r="K2" s="214">
        <f t="shared" ref="K2:K17" si="2">IFERROR(H2/J2,"")</f>
        <v>0.6470588235294118</v>
      </c>
      <c r="L2" s="215">
        <f t="shared" ref="L2:L17" si="3">IF(J2&gt;0,K2-(33-H2),)</f>
        <v>0.6470588235294118</v>
      </c>
      <c r="M2" s="216">
        <f t="shared" ref="M2:M17" ca="1" si="4">IFERROR(RANK(L2, OFFSET(L$2, 0, 0, COUNTA(L$2:L$17), 1)) + COUNTIF($L$2:L2, L2) - 1, "")</f>
        <v>2</v>
      </c>
      <c r="N2" s="217">
        <v>1</v>
      </c>
      <c r="O2" s="218" t="str">
        <f t="shared" ref="O2:O17" ca="1" si="5">IFERROR(INDEX($A$2:$AI$17,MATCH(N2,$M$2:$M$17,0),4),)</f>
        <v>Nicolle Ratliff &amp; Olivia Haney</v>
      </c>
      <c r="P2" s="217">
        <v>11</v>
      </c>
      <c r="Q2" s="219">
        <v>4</v>
      </c>
      <c r="R2" s="220">
        <v>11</v>
      </c>
      <c r="S2" s="221">
        <v>10</v>
      </c>
      <c r="T2" s="217">
        <v>11</v>
      </c>
      <c r="U2" s="219">
        <v>9</v>
      </c>
      <c r="V2" s="222">
        <v>11</v>
      </c>
      <c r="W2" s="221">
        <v>7</v>
      </c>
      <c r="X2" s="223">
        <f t="shared" ref="X2:Y2" si="6">(P2+R2+T2+V2)</f>
        <v>44</v>
      </c>
      <c r="Y2" s="223">
        <f t="shared" si="6"/>
        <v>30</v>
      </c>
      <c r="Z2" s="224">
        <f t="shared" ref="Z2:Z17" si="7">X2+Y2</f>
        <v>74</v>
      </c>
      <c r="AA2" s="225" t="s">
        <v>205</v>
      </c>
      <c r="AB2" s="226" t="str">
        <f t="shared" ref="AB2:AB17" si="8">INDEX($A$2:$D$17,MATCH(AA2,C$2:C$17,0),4)</f>
        <v>Erinn Metcalf &amp; Shannon Maize</v>
      </c>
      <c r="AC2" s="227">
        <f t="shared" ref="AC2:AC17" ca="1" si="9">IFERROR(INDEX($D$2:$M$17, MATCH($AB2,$D$2:$D$17,0),10),)</f>
        <v>2</v>
      </c>
      <c r="AD2" s="227">
        <f t="shared" ref="AD2:AD17" ca="1" si="10">INDEX($A$2:$AI$17,MATCH($AB2,$D$2:$D$17,0),8)+INDEX($O$2:$Z$17,MATCH($AB2,$O$2:$O$17,0),10)</f>
        <v>62</v>
      </c>
      <c r="AE2" s="227">
        <f t="shared" ref="AE2:AE17" ca="1" si="11">INDEX($A$2:$AI$17,MATCH($AB2,$D$2:$D$17,0),9)+INDEX($O$2:$Z$17,MATCH($AB2,$O$2:$O$17,0),11)</f>
        <v>40</v>
      </c>
      <c r="AF2" s="227">
        <f t="shared" ref="AF2:AF17" ca="1" si="12">SUM(AD2:AE2)</f>
        <v>102</v>
      </c>
      <c r="AG2" s="228">
        <f t="shared" ref="AG2:AG17" ca="1" si="13">IFERROR(AD2/AF2,)</f>
        <v>0.60784313725490191</v>
      </c>
      <c r="AH2" s="229">
        <f t="shared" ref="AH2:AH17" ca="1" si="14">AG2-(77-AD2)</f>
        <v>-14.392156862745098</v>
      </c>
      <c r="AI2" s="230">
        <f t="shared" ref="AI2:AI17" ca="1" si="15">IFERROR(RANK(AH2,OFFSET($AH$2,0,0,COUNTA($AH$2:$AH$17),1)),)</f>
        <v>3</v>
      </c>
      <c r="AJ2" s="231" t="s">
        <v>525</v>
      </c>
      <c r="AK2" s="232" t="s">
        <v>1277</v>
      </c>
      <c r="AL2" s="233"/>
    </row>
    <row r="3" spans="1:38" ht="15" customHeight="1">
      <c r="A3" s="234">
        <f t="shared" ref="A3:A17" si="16">A$2</f>
        <v>45514</v>
      </c>
      <c r="B3" s="212" t="s">
        <v>615</v>
      </c>
      <c r="C3" s="212" t="s">
        <v>211</v>
      </c>
      <c r="D3" s="173" t="s">
        <v>1278</v>
      </c>
      <c r="E3" s="105">
        <v>2</v>
      </c>
      <c r="F3" s="106">
        <v>9</v>
      </c>
      <c r="G3" s="106">
        <v>5</v>
      </c>
      <c r="H3" s="235">
        <f t="shared" si="0"/>
        <v>16</v>
      </c>
      <c r="I3" s="235">
        <f>$E$2+$F$5+$G$4</f>
        <v>33</v>
      </c>
      <c r="J3" s="235">
        <f t="shared" si="1"/>
        <v>49</v>
      </c>
      <c r="K3" s="236">
        <f t="shared" si="2"/>
        <v>0.32653061224489793</v>
      </c>
      <c r="L3" s="237">
        <f t="shared" si="3"/>
        <v>-16.673469387755102</v>
      </c>
      <c r="M3" s="238">
        <f t="shared" ca="1" si="4"/>
        <v>14</v>
      </c>
      <c r="N3" s="239">
        <v>16</v>
      </c>
      <c r="O3" s="240" t="str">
        <f t="shared" ca="1" si="5"/>
        <v>Bree Ginden &amp; Stephanie Theut</v>
      </c>
      <c r="P3" s="239">
        <v>4</v>
      </c>
      <c r="Q3" s="241">
        <v>11</v>
      </c>
      <c r="R3" s="242"/>
      <c r="S3" s="243"/>
      <c r="T3" s="244"/>
      <c r="U3" s="245"/>
      <c r="V3" s="246"/>
      <c r="W3" s="243"/>
      <c r="X3" s="223">
        <f t="shared" ref="X3:Y3" si="17">(P3+R3+T3+V3)</f>
        <v>4</v>
      </c>
      <c r="Y3" s="223">
        <f t="shared" si="17"/>
        <v>11</v>
      </c>
      <c r="Z3" s="224">
        <f t="shared" si="7"/>
        <v>15</v>
      </c>
      <c r="AA3" s="225" t="s">
        <v>211</v>
      </c>
      <c r="AB3" s="226" t="str">
        <f t="shared" si="8"/>
        <v>Susan Murphy &amp; Kristy Ecton</v>
      </c>
      <c r="AC3" s="227">
        <f t="shared" ca="1" si="9"/>
        <v>14</v>
      </c>
      <c r="AD3" s="227">
        <f t="shared" ca="1" si="10"/>
        <v>20</v>
      </c>
      <c r="AE3" s="227">
        <f t="shared" ca="1" si="11"/>
        <v>44</v>
      </c>
      <c r="AF3" s="227">
        <f t="shared" ca="1" si="12"/>
        <v>64</v>
      </c>
      <c r="AG3" s="228">
        <f t="shared" ca="1" si="13"/>
        <v>0.3125</v>
      </c>
      <c r="AH3" s="229">
        <f t="shared" ca="1" si="14"/>
        <v>-56.6875</v>
      </c>
      <c r="AI3" s="230">
        <f t="shared" ca="1" si="15"/>
        <v>14</v>
      </c>
      <c r="AJ3" s="247" t="s">
        <v>791</v>
      </c>
      <c r="AK3" s="248" t="s">
        <v>1001</v>
      </c>
    </row>
    <row r="4" spans="1:38" ht="15" customHeight="1">
      <c r="A4" s="234">
        <f t="shared" si="16"/>
        <v>45514</v>
      </c>
      <c r="B4" s="212" t="s">
        <v>615</v>
      </c>
      <c r="C4" s="212" t="s">
        <v>216</v>
      </c>
      <c r="D4" s="173" t="s">
        <v>1279</v>
      </c>
      <c r="E4" s="107">
        <v>8</v>
      </c>
      <c r="F4" s="108">
        <v>9</v>
      </c>
      <c r="G4" s="106">
        <v>11</v>
      </c>
      <c r="H4" s="235">
        <f t="shared" si="0"/>
        <v>28</v>
      </c>
      <c r="I4" s="235">
        <f>$E$5+$F$2+$G$3</f>
        <v>27</v>
      </c>
      <c r="J4" s="235">
        <f t="shared" si="1"/>
        <v>55</v>
      </c>
      <c r="K4" s="236">
        <f t="shared" si="2"/>
        <v>0.50909090909090904</v>
      </c>
      <c r="L4" s="237">
        <f t="shared" si="3"/>
        <v>-4.4909090909090912</v>
      </c>
      <c r="M4" s="238">
        <f t="shared" ca="1" si="4"/>
        <v>8</v>
      </c>
      <c r="N4" s="217">
        <v>9</v>
      </c>
      <c r="O4" s="218" t="str">
        <f t="shared" ca="1" si="5"/>
        <v>Amy Ellzey &amp; Cassandra Schneeberger</v>
      </c>
      <c r="P4" s="217">
        <v>9</v>
      </c>
      <c r="Q4" s="219">
        <v>11</v>
      </c>
      <c r="R4" s="242"/>
      <c r="S4" s="243"/>
      <c r="T4" s="244"/>
      <c r="U4" s="245"/>
      <c r="V4" s="246"/>
      <c r="W4" s="243"/>
      <c r="X4" s="223">
        <f t="shared" ref="X4:Y4" si="18">(P4+R4+T4+V4)</f>
        <v>9</v>
      </c>
      <c r="Y4" s="223">
        <f t="shared" si="18"/>
        <v>11</v>
      </c>
      <c r="Z4" s="224">
        <f t="shared" si="7"/>
        <v>20</v>
      </c>
      <c r="AA4" s="225" t="s">
        <v>216</v>
      </c>
      <c r="AB4" s="226" t="str">
        <f t="shared" si="8"/>
        <v>Julie Cecil &amp; Michelle Coffey</v>
      </c>
      <c r="AC4" s="227">
        <f t="shared" ca="1" si="9"/>
        <v>8</v>
      </c>
      <c r="AD4" s="227">
        <f t="shared" ca="1" si="10"/>
        <v>49</v>
      </c>
      <c r="AE4" s="227">
        <f t="shared" ca="1" si="11"/>
        <v>47</v>
      </c>
      <c r="AF4" s="227">
        <f t="shared" ca="1" si="12"/>
        <v>96</v>
      </c>
      <c r="AG4" s="228">
        <f t="shared" ca="1" si="13"/>
        <v>0.51041666666666663</v>
      </c>
      <c r="AH4" s="229">
        <f t="shared" ca="1" si="14"/>
        <v>-27.489583333333332</v>
      </c>
      <c r="AI4" s="230">
        <f t="shared" ca="1" si="15"/>
        <v>7</v>
      </c>
      <c r="AJ4" s="231" t="s">
        <v>1280</v>
      </c>
      <c r="AK4" s="232" t="s">
        <v>1281</v>
      </c>
      <c r="AL4" s="233"/>
    </row>
    <row r="5" spans="1:38" ht="15" customHeight="1">
      <c r="A5" s="249">
        <f t="shared" si="16"/>
        <v>45514</v>
      </c>
      <c r="B5" s="250" t="s">
        <v>615</v>
      </c>
      <c r="C5" s="250" t="s">
        <v>221</v>
      </c>
      <c r="D5" s="251" t="s">
        <v>1282</v>
      </c>
      <c r="E5" s="109">
        <v>11</v>
      </c>
      <c r="F5" s="110">
        <v>11</v>
      </c>
      <c r="G5" s="111">
        <v>7</v>
      </c>
      <c r="H5" s="252">
        <f t="shared" si="0"/>
        <v>29</v>
      </c>
      <c r="I5" s="252">
        <f>$E$4+$F$3+$G$2</f>
        <v>28</v>
      </c>
      <c r="J5" s="252">
        <f t="shared" si="1"/>
        <v>57</v>
      </c>
      <c r="K5" s="253">
        <f t="shared" si="2"/>
        <v>0.50877192982456143</v>
      </c>
      <c r="L5" s="254">
        <f t="shared" si="3"/>
        <v>-3.4912280701754383</v>
      </c>
      <c r="M5" s="255">
        <f t="shared" ca="1" si="4"/>
        <v>6</v>
      </c>
      <c r="N5" s="239">
        <v>8</v>
      </c>
      <c r="O5" s="240" t="str">
        <f t="shared" ca="1" si="5"/>
        <v>Julie Cecil &amp; Michelle Coffey</v>
      </c>
      <c r="P5" s="239">
        <v>11</v>
      </c>
      <c r="Q5" s="241">
        <v>9</v>
      </c>
      <c r="R5" s="256">
        <v>10</v>
      </c>
      <c r="S5" s="257">
        <v>11</v>
      </c>
      <c r="T5" s="244"/>
      <c r="U5" s="245"/>
      <c r="V5" s="246"/>
      <c r="W5" s="243"/>
      <c r="X5" s="223">
        <f t="shared" ref="X5:Y5" si="19">(P5+R5+T5+V5)</f>
        <v>21</v>
      </c>
      <c r="Y5" s="223">
        <f t="shared" si="19"/>
        <v>20</v>
      </c>
      <c r="Z5" s="224">
        <f t="shared" si="7"/>
        <v>41</v>
      </c>
      <c r="AA5" s="225" t="s">
        <v>221</v>
      </c>
      <c r="AB5" s="226" t="str">
        <f t="shared" si="8"/>
        <v>Stephanie Campbell &amp; Emma Lockard</v>
      </c>
      <c r="AC5" s="227">
        <f t="shared" ca="1" si="9"/>
        <v>6</v>
      </c>
      <c r="AD5" s="227">
        <f t="shared" ca="1" si="10"/>
        <v>50</v>
      </c>
      <c r="AE5" s="227">
        <f t="shared" ca="1" si="11"/>
        <v>48</v>
      </c>
      <c r="AF5" s="227">
        <f t="shared" ca="1" si="12"/>
        <v>98</v>
      </c>
      <c r="AG5" s="228">
        <f t="shared" ca="1" si="13"/>
        <v>0.51020408163265307</v>
      </c>
      <c r="AH5" s="229">
        <f t="shared" ca="1" si="14"/>
        <v>-26.489795918367346</v>
      </c>
      <c r="AI5" s="230">
        <f t="shared" ca="1" si="15"/>
        <v>6</v>
      </c>
      <c r="AJ5" s="231" t="s">
        <v>940</v>
      </c>
      <c r="AK5" s="232" t="s">
        <v>1283</v>
      </c>
      <c r="AL5" s="233"/>
    </row>
    <row r="6" spans="1:38" ht="15" customHeight="1">
      <c r="A6" s="211">
        <f t="shared" si="16"/>
        <v>45514</v>
      </c>
      <c r="B6" s="212" t="s">
        <v>615</v>
      </c>
      <c r="C6" s="212" t="s">
        <v>224</v>
      </c>
      <c r="D6" s="173" t="s">
        <v>1284</v>
      </c>
      <c r="E6" s="100">
        <v>11</v>
      </c>
      <c r="F6" s="101">
        <v>1</v>
      </c>
      <c r="G6" s="101">
        <v>11</v>
      </c>
      <c r="H6" s="213">
        <f t="shared" si="0"/>
        <v>23</v>
      </c>
      <c r="I6" s="213">
        <f>$E$7+$F$8+$G$9</f>
        <v>17</v>
      </c>
      <c r="J6" s="213">
        <f t="shared" si="1"/>
        <v>40</v>
      </c>
      <c r="K6" s="214">
        <f t="shared" si="2"/>
        <v>0.57499999999999996</v>
      </c>
      <c r="L6" s="258">
        <f t="shared" si="3"/>
        <v>-9.4250000000000007</v>
      </c>
      <c r="M6" s="238">
        <f t="shared" ca="1" si="4"/>
        <v>11</v>
      </c>
      <c r="N6" s="217">
        <v>5</v>
      </c>
      <c r="O6" s="218" t="str">
        <f t="shared" ca="1" si="5"/>
        <v>Ola Vaughn &amp; Thu Nguyen</v>
      </c>
      <c r="P6" s="217">
        <v>11</v>
      </c>
      <c r="Q6" s="219">
        <v>6</v>
      </c>
      <c r="R6" s="220">
        <v>11</v>
      </c>
      <c r="S6" s="221">
        <v>9</v>
      </c>
      <c r="T6" s="244">
        <v>9</v>
      </c>
      <c r="U6" s="245">
        <v>11</v>
      </c>
      <c r="V6" s="246"/>
      <c r="W6" s="243"/>
      <c r="X6" s="223">
        <f t="shared" ref="X6:Y6" si="20">(P6+R6+T6+V6)</f>
        <v>31</v>
      </c>
      <c r="Y6" s="223">
        <f t="shared" si="20"/>
        <v>26</v>
      </c>
      <c r="Z6" s="224">
        <f t="shared" si="7"/>
        <v>57</v>
      </c>
      <c r="AA6" s="225" t="s">
        <v>224</v>
      </c>
      <c r="AB6" s="226" t="str">
        <f t="shared" si="8"/>
        <v>Shannon Lyon &amp; Mallory Daniels</v>
      </c>
      <c r="AC6" s="227">
        <f t="shared" ca="1" si="9"/>
        <v>11</v>
      </c>
      <c r="AD6" s="227">
        <f t="shared" ca="1" si="10"/>
        <v>32</v>
      </c>
      <c r="AE6" s="227">
        <f t="shared" ca="1" si="11"/>
        <v>28</v>
      </c>
      <c r="AF6" s="227">
        <f t="shared" ca="1" si="12"/>
        <v>60</v>
      </c>
      <c r="AG6" s="228">
        <f t="shared" ca="1" si="13"/>
        <v>0.53333333333333333</v>
      </c>
      <c r="AH6" s="229">
        <f t="shared" ca="1" si="14"/>
        <v>-44.466666666666669</v>
      </c>
      <c r="AI6" s="230">
        <f t="shared" ca="1" si="15"/>
        <v>11</v>
      </c>
      <c r="AJ6" s="231" t="s">
        <v>1161</v>
      </c>
      <c r="AK6" s="232" t="s">
        <v>1152</v>
      </c>
      <c r="AL6" s="233"/>
    </row>
    <row r="7" spans="1:38" ht="15" customHeight="1">
      <c r="A7" s="234">
        <f t="shared" si="16"/>
        <v>45514</v>
      </c>
      <c r="B7" s="212" t="s">
        <v>615</v>
      </c>
      <c r="C7" s="212" t="s">
        <v>228</v>
      </c>
      <c r="D7" s="173" t="s">
        <v>1285</v>
      </c>
      <c r="E7" s="105">
        <v>3</v>
      </c>
      <c r="F7" s="106">
        <v>7</v>
      </c>
      <c r="G7" s="106">
        <v>2</v>
      </c>
      <c r="H7" s="235">
        <f t="shared" si="0"/>
        <v>12</v>
      </c>
      <c r="I7" s="235">
        <f>$E$6+$F$9+$G$8</f>
        <v>33</v>
      </c>
      <c r="J7" s="235">
        <f t="shared" si="1"/>
        <v>45</v>
      </c>
      <c r="K7" s="236">
        <f t="shared" si="2"/>
        <v>0.26666666666666666</v>
      </c>
      <c r="L7" s="237">
        <f t="shared" si="3"/>
        <v>-20.733333333333334</v>
      </c>
      <c r="M7" s="238">
        <f t="shared" ca="1" si="4"/>
        <v>16</v>
      </c>
      <c r="N7" s="239">
        <v>12</v>
      </c>
      <c r="O7" s="240" t="str">
        <f t="shared" ca="1" si="5"/>
        <v>Cara Lonergan &amp; Anne Lamberti</v>
      </c>
      <c r="P7" s="239">
        <v>6</v>
      </c>
      <c r="Q7" s="241">
        <v>11</v>
      </c>
      <c r="R7" s="242"/>
      <c r="S7" s="243"/>
      <c r="T7" s="244"/>
      <c r="U7" s="245"/>
      <c r="V7" s="246"/>
      <c r="W7" s="243"/>
      <c r="X7" s="223">
        <f t="shared" ref="X7:Y7" si="21">(P7+R7+T7+V7)</f>
        <v>6</v>
      </c>
      <c r="Y7" s="223">
        <f t="shared" si="21"/>
        <v>11</v>
      </c>
      <c r="Z7" s="224">
        <f t="shared" si="7"/>
        <v>17</v>
      </c>
      <c r="AA7" s="225" t="s">
        <v>228</v>
      </c>
      <c r="AB7" s="226" t="str">
        <f t="shared" si="8"/>
        <v>Bree Ginden &amp; Stephanie Theut</v>
      </c>
      <c r="AC7" s="227">
        <f t="shared" ca="1" si="9"/>
        <v>16</v>
      </c>
      <c r="AD7" s="227">
        <f t="shared" ca="1" si="10"/>
        <v>16</v>
      </c>
      <c r="AE7" s="227">
        <f t="shared" ca="1" si="11"/>
        <v>44</v>
      </c>
      <c r="AF7" s="227">
        <f t="shared" ca="1" si="12"/>
        <v>60</v>
      </c>
      <c r="AG7" s="228">
        <f t="shared" ca="1" si="13"/>
        <v>0.26666666666666666</v>
      </c>
      <c r="AH7" s="229">
        <f t="shared" ca="1" si="14"/>
        <v>-60.733333333333334</v>
      </c>
      <c r="AI7" s="230">
        <f t="shared" ca="1" si="15"/>
        <v>15</v>
      </c>
      <c r="AJ7" s="231" t="s">
        <v>1140</v>
      </c>
      <c r="AK7" s="232" t="s">
        <v>1286</v>
      </c>
      <c r="AL7" s="233"/>
    </row>
    <row r="8" spans="1:38" ht="15" customHeight="1">
      <c r="A8" s="234">
        <f t="shared" si="16"/>
        <v>45514</v>
      </c>
      <c r="B8" s="212" t="s">
        <v>615</v>
      </c>
      <c r="C8" s="212" t="s">
        <v>232</v>
      </c>
      <c r="D8" s="173" t="s">
        <v>164</v>
      </c>
      <c r="E8" s="107">
        <v>11</v>
      </c>
      <c r="F8" s="108">
        <v>11</v>
      </c>
      <c r="G8" s="106">
        <v>11</v>
      </c>
      <c r="H8" s="235">
        <f t="shared" si="0"/>
        <v>33</v>
      </c>
      <c r="I8" s="235">
        <f>$E$9+$F$6+$G$7</f>
        <v>7</v>
      </c>
      <c r="J8" s="235">
        <f t="shared" si="1"/>
        <v>40</v>
      </c>
      <c r="K8" s="236">
        <f t="shared" si="2"/>
        <v>0.82499999999999996</v>
      </c>
      <c r="L8" s="237">
        <f t="shared" si="3"/>
        <v>0.82499999999999996</v>
      </c>
      <c r="M8" s="238">
        <f t="shared" ca="1" si="4"/>
        <v>1</v>
      </c>
      <c r="N8" s="217">
        <v>13</v>
      </c>
      <c r="O8" s="218" t="str">
        <f t="shared" ca="1" si="5"/>
        <v>Maria Andrew &amp; Gina Cappuzzo</v>
      </c>
      <c r="P8" s="217">
        <v>8</v>
      </c>
      <c r="Q8" s="219">
        <v>11</v>
      </c>
      <c r="R8" s="242"/>
      <c r="S8" s="243"/>
      <c r="T8" s="244"/>
      <c r="U8" s="245"/>
      <c r="V8" s="246"/>
      <c r="W8" s="243"/>
      <c r="X8" s="223">
        <f t="shared" ref="X8:Y8" si="22">(P8+R8+T8+V8)</f>
        <v>8</v>
      </c>
      <c r="Y8" s="223">
        <f t="shared" si="22"/>
        <v>11</v>
      </c>
      <c r="Z8" s="224">
        <f t="shared" si="7"/>
        <v>19</v>
      </c>
      <c r="AA8" s="225" t="s">
        <v>232</v>
      </c>
      <c r="AB8" s="226" t="str">
        <f t="shared" si="8"/>
        <v>Nicolle Ratliff &amp; Olivia Haney</v>
      </c>
      <c r="AC8" s="227">
        <f t="shared" ca="1" si="9"/>
        <v>1</v>
      </c>
      <c r="AD8" s="227">
        <f t="shared" ca="1" si="10"/>
        <v>77</v>
      </c>
      <c r="AE8" s="227">
        <f t="shared" ca="1" si="11"/>
        <v>37</v>
      </c>
      <c r="AF8" s="227">
        <f t="shared" ca="1" si="12"/>
        <v>114</v>
      </c>
      <c r="AG8" s="228">
        <f t="shared" ca="1" si="13"/>
        <v>0.67543859649122806</v>
      </c>
      <c r="AH8" s="229">
        <f t="shared" ca="1" si="14"/>
        <v>0.67543859649122806</v>
      </c>
      <c r="AI8" s="230">
        <f t="shared" ca="1" si="15"/>
        <v>1</v>
      </c>
      <c r="AJ8" s="231" t="s">
        <v>876</v>
      </c>
      <c r="AK8" s="232" t="s">
        <v>1008</v>
      </c>
      <c r="AL8" s="233"/>
    </row>
    <row r="9" spans="1:38" ht="15" customHeight="1">
      <c r="A9" s="249">
        <f t="shared" si="16"/>
        <v>45514</v>
      </c>
      <c r="B9" s="250" t="s">
        <v>615</v>
      </c>
      <c r="C9" s="250" t="s">
        <v>237</v>
      </c>
      <c r="D9" s="251" t="s">
        <v>1287</v>
      </c>
      <c r="E9" s="109">
        <v>4</v>
      </c>
      <c r="F9" s="110">
        <v>11</v>
      </c>
      <c r="G9" s="111">
        <v>3</v>
      </c>
      <c r="H9" s="252">
        <f t="shared" si="0"/>
        <v>18</v>
      </c>
      <c r="I9" s="252">
        <f>$E$8+$F$7+$G$6</f>
        <v>29</v>
      </c>
      <c r="J9" s="252">
        <f t="shared" si="1"/>
        <v>47</v>
      </c>
      <c r="K9" s="253">
        <f t="shared" si="2"/>
        <v>0.38297872340425532</v>
      </c>
      <c r="L9" s="254">
        <f t="shared" si="3"/>
        <v>-14.617021276595745</v>
      </c>
      <c r="M9" s="255">
        <f t="shared" ca="1" si="4"/>
        <v>12</v>
      </c>
      <c r="N9" s="239">
        <v>4</v>
      </c>
      <c r="O9" s="240" t="str">
        <f t="shared" ca="1" si="5"/>
        <v>Cori Cunningham &amp; Rudi Karnchanasorn</v>
      </c>
      <c r="P9" s="239">
        <v>11</v>
      </c>
      <c r="Q9" s="241">
        <v>8</v>
      </c>
      <c r="R9" s="256">
        <v>9</v>
      </c>
      <c r="S9" s="257">
        <v>11</v>
      </c>
      <c r="T9" s="239"/>
      <c r="U9" s="241"/>
      <c r="V9" s="246"/>
      <c r="W9" s="243"/>
      <c r="X9" s="223">
        <f t="shared" ref="X9:Y9" si="23">(P9+R9+T9+V9)</f>
        <v>20</v>
      </c>
      <c r="Y9" s="223">
        <f t="shared" si="23"/>
        <v>19</v>
      </c>
      <c r="Z9" s="224">
        <f t="shared" si="7"/>
        <v>39</v>
      </c>
      <c r="AA9" s="225" t="s">
        <v>237</v>
      </c>
      <c r="AB9" s="226" t="str">
        <f t="shared" si="8"/>
        <v>Cara Lonergan &amp; Anne Lamberti</v>
      </c>
      <c r="AC9" s="227">
        <f t="shared" ca="1" si="9"/>
        <v>12</v>
      </c>
      <c r="AD9" s="227">
        <f t="shared" ca="1" si="10"/>
        <v>24</v>
      </c>
      <c r="AE9" s="227">
        <f t="shared" ca="1" si="11"/>
        <v>40</v>
      </c>
      <c r="AF9" s="227">
        <f t="shared" ca="1" si="12"/>
        <v>64</v>
      </c>
      <c r="AG9" s="228">
        <f t="shared" ca="1" si="13"/>
        <v>0.375</v>
      </c>
      <c r="AH9" s="229">
        <f t="shared" ca="1" si="14"/>
        <v>-52.625</v>
      </c>
      <c r="AI9" s="230">
        <f t="shared" ca="1" si="15"/>
        <v>13</v>
      </c>
      <c r="AJ9" s="231" t="s">
        <v>1288</v>
      </c>
      <c r="AK9" s="232" t="s">
        <v>1289</v>
      </c>
      <c r="AL9" s="233"/>
    </row>
    <row r="10" spans="1:38" ht="15" customHeight="1">
      <c r="A10" s="211">
        <f t="shared" si="16"/>
        <v>45514</v>
      </c>
      <c r="B10" s="212" t="s">
        <v>615</v>
      </c>
      <c r="C10" s="212" t="s">
        <v>241</v>
      </c>
      <c r="D10" s="173" t="s">
        <v>1290</v>
      </c>
      <c r="E10" s="100">
        <v>5</v>
      </c>
      <c r="F10" s="101">
        <v>3</v>
      </c>
      <c r="G10" s="101">
        <v>5</v>
      </c>
      <c r="H10" s="213">
        <f t="shared" si="0"/>
        <v>13</v>
      </c>
      <c r="I10" s="213">
        <f>$E$11+$F$12+$G$13</f>
        <v>33</v>
      </c>
      <c r="J10" s="213">
        <f t="shared" si="1"/>
        <v>46</v>
      </c>
      <c r="K10" s="214">
        <f t="shared" si="2"/>
        <v>0.28260869565217389</v>
      </c>
      <c r="L10" s="258">
        <f t="shared" si="3"/>
        <v>-19.717391304347824</v>
      </c>
      <c r="M10" s="238">
        <f t="shared" ca="1" si="4"/>
        <v>15</v>
      </c>
      <c r="N10" s="217">
        <v>3</v>
      </c>
      <c r="O10" s="218" t="str">
        <f t="shared" ca="1" si="5"/>
        <v>Jennifer Eckert &amp; Kristen Doherty</v>
      </c>
      <c r="P10" s="217">
        <v>11</v>
      </c>
      <c r="Q10" s="219">
        <v>4</v>
      </c>
      <c r="R10" s="220">
        <v>11</v>
      </c>
      <c r="S10" s="221">
        <v>10</v>
      </c>
      <c r="T10" s="217">
        <v>11</v>
      </c>
      <c r="U10" s="219">
        <v>7</v>
      </c>
      <c r="V10" s="246">
        <v>7</v>
      </c>
      <c r="W10" s="243">
        <v>11</v>
      </c>
      <c r="X10" s="223">
        <f t="shared" ref="X10:Y10" si="24">(P10+R10+T10+V10)</f>
        <v>40</v>
      </c>
      <c r="Y10" s="223">
        <f t="shared" si="24"/>
        <v>32</v>
      </c>
      <c r="Z10" s="224">
        <f t="shared" si="7"/>
        <v>72</v>
      </c>
      <c r="AA10" s="225" t="s">
        <v>241</v>
      </c>
      <c r="AB10" s="226" t="str">
        <f t="shared" si="8"/>
        <v>Kerri Brocker &amp; Julianna Norgren</v>
      </c>
      <c r="AC10" s="227">
        <f t="shared" ca="1" si="9"/>
        <v>15</v>
      </c>
      <c r="AD10" s="227">
        <f t="shared" ca="1" si="10"/>
        <v>16</v>
      </c>
      <c r="AE10" s="227">
        <f t="shared" ca="1" si="11"/>
        <v>44</v>
      </c>
      <c r="AF10" s="227">
        <f t="shared" ca="1" si="12"/>
        <v>60</v>
      </c>
      <c r="AG10" s="228">
        <f t="shared" ca="1" si="13"/>
        <v>0.26666666666666666</v>
      </c>
      <c r="AH10" s="229">
        <f t="shared" ca="1" si="14"/>
        <v>-60.733333333333334</v>
      </c>
      <c r="AI10" s="230">
        <f t="shared" ca="1" si="15"/>
        <v>15</v>
      </c>
      <c r="AJ10" s="231" t="s">
        <v>1228</v>
      </c>
      <c r="AK10" s="232" t="s">
        <v>1154</v>
      </c>
      <c r="AL10" s="233"/>
    </row>
    <row r="11" spans="1:38" ht="15" customHeight="1">
      <c r="A11" s="234">
        <f t="shared" si="16"/>
        <v>45514</v>
      </c>
      <c r="B11" s="212" t="s">
        <v>615</v>
      </c>
      <c r="C11" s="212" t="s">
        <v>246</v>
      </c>
      <c r="D11" s="173" t="s">
        <v>165</v>
      </c>
      <c r="E11" s="105">
        <v>11</v>
      </c>
      <c r="F11" s="106">
        <v>10</v>
      </c>
      <c r="G11" s="106">
        <v>11</v>
      </c>
      <c r="H11" s="235">
        <f t="shared" si="0"/>
        <v>32</v>
      </c>
      <c r="I11" s="235">
        <f>$E$10+$F$13+$G$12</f>
        <v>20</v>
      </c>
      <c r="J11" s="235">
        <f t="shared" si="1"/>
        <v>52</v>
      </c>
      <c r="K11" s="236">
        <f t="shared" si="2"/>
        <v>0.61538461538461542</v>
      </c>
      <c r="L11" s="237">
        <f t="shared" si="3"/>
        <v>-0.38461538461538458</v>
      </c>
      <c r="M11" s="238">
        <f t="shared" ca="1" si="4"/>
        <v>3</v>
      </c>
      <c r="N11" s="239">
        <v>14</v>
      </c>
      <c r="O11" s="240" t="str">
        <f t="shared" ca="1" si="5"/>
        <v>Susan Murphy &amp; Kristy Ecton</v>
      </c>
      <c r="P11" s="239">
        <v>4</v>
      </c>
      <c r="Q11" s="241">
        <v>11</v>
      </c>
      <c r="R11" s="242"/>
      <c r="S11" s="243"/>
      <c r="T11" s="244"/>
      <c r="U11" s="245"/>
      <c r="V11" s="246"/>
      <c r="W11" s="243"/>
      <c r="X11" s="223">
        <f t="shared" ref="X11:Y11" si="25">(P11+R11+T11+V11)</f>
        <v>4</v>
      </c>
      <c r="Y11" s="223">
        <f t="shared" si="25"/>
        <v>11</v>
      </c>
      <c r="Z11" s="224">
        <f t="shared" si="7"/>
        <v>15</v>
      </c>
      <c r="AA11" s="225" t="s">
        <v>246</v>
      </c>
      <c r="AB11" s="226" t="str">
        <f t="shared" si="8"/>
        <v>Jennifer Eckert &amp; Kristen Doherty</v>
      </c>
      <c r="AC11" s="227">
        <f t="shared" ca="1" si="9"/>
        <v>3</v>
      </c>
      <c r="AD11" s="227">
        <f t="shared" ca="1" si="10"/>
        <v>72</v>
      </c>
      <c r="AE11" s="227">
        <f t="shared" ca="1" si="11"/>
        <v>52</v>
      </c>
      <c r="AF11" s="227">
        <f t="shared" ca="1" si="12"/>
        <v>124</v>
      </c>
      <c r="AG11" s="228">
        <f t="shared" ca="1" si="13"/>
        <v>0.58064516129032262</v>
      </c>
      <c r="AH11" s="229">
        <f t="shared" ca="1" si="14"/>
        <v>-4.419354838709677</v>
      </c>
      <c r="AI11" s="230">
        <f t="shared" ca="1" si="15"/>
        <v>2</v>
      </c>
      <c r="AJ11" s="231" t="s">
        <v>1137</v>
      </c>
      <c r="AK11" s="232" t="s">
        <v>1291</v>
      </c>
      <c r="AL11" s="233"/>
    </row>
    <row r="12" spans="1:38" ht="15" customHeight="1">
      <c r="A12" s="234">
        <f t="shared" si="16"/>
        <v>45514</v>
      </c>
      <c r="B12" s="212" t="s">
        <v>615</v>
      </c>
      <c r="C12" s="212" t="s">
        <v>251</v>
      </c>
      <c r="D12" s="173" t="s">
        <v>1292</v>
      </c>
      <c r="E12" s="107">
        <v>11</v>
      </c>
      <c r="F12" s="108">
        <v>11</v>
      </c>
      <c r="G12" s="106">
        <v>4</v>
      </c>
      <c r="H12" s="235">
        <f t="shared" si="0"/>
        <v>26</v>
      </c>
      <c r="I12" s="235">
        <f>$E$13+$F$10+$G$11</f>
        <v>20</v>
      </c>
      <c r="J12" s="235">
        <f t="shared" si="1"/>
        <v>46</v>
      </c>
      <c r="K12" s="236">
        <f t="shared" si="2"/>
        <v>0.56521739130434778</v>
      </c>
      <c r="L12" s="237">
        <f t="shared" si="3"/>
        <v>-6.4347826086956523</v>
      </c>
      <c r="M12" s="238">
        <f t="shared" ca="1" si="4"/>
        <v>10</v>
      </c>
      <c r="N12" s="217">
        <v>11</v>
      </c>
      <c r="O12" s="218" t="str">
        <f t="shared" ca="1" si="5"/>
        <v>Shannon Lyon &amp; Mallory Daniels</v>
      </c>
      <c r="P12" s="217">
        <v>9</v>
      </c>
      <c r="Q12" s="219">
        <v>11</v>
      </c>
      <c r="R12" s="242"/>
      <c r="S12" s="243"/>
      <c r="T12" s="244"/>
      <c r="U12" s="245"/>
      <c r="V12" s="246"/>
      <c r="W12" s="243"/>
      <c r="X12" s="223">
        <f t="shared" ref="X12:Y12" si="26">(P12+R12+T12+V12)</f>
        <v>9</v>
      </c>
      <c r="Y12" s="223">
        <f t="shared" si="26"/>
        <v>11</v>
      </c>
      <c r="Z12" s="224">
        <f t="shared" si="7"/>
        <v>20</v>
      </c>
      <c r="AA12" s="225" t="s">
        <v>251</v>
      </c>
      <c r="AB12" s="226" t="str">
        <f t="shared" si="8"/>
        <v>Dina Mitchell &amp; Juli McGuire</v>
      </c>
      <c r="AC12" s="227">
        <f t="shared" ca="1" si="9"/>
        <v>10</v>
      </c>
      <c r="AD12" s="227">
        <f t="shared" ca="1" si="10"/>
        <v>45</v>
      </c>
      <c r="AE12" s="227">
        <f t="shared" ca="1" si="11"/>
        <v>38</v>
      </c>
      <c r="AF12" s="227">
        <f t="shared" ca="1" si="12"/>
        <v>83</v>
      </c>
      <c r="AG12" s="228">
        <f t="shared" ca="1" si="13"/>
        <v>0.54216867469879515</v>
      </c>
      <c r="AH12" s="229">
        <f t="shared" ca="1" si="14"/>
        <v>-31.457831325301203</v>
      </c>
      <c r="AI12" s="230">
        <f t="shared" ca="1" si="15"/>
        <v>8</v>
      </c>
      <c r="AJ12" s="231" t="s">
        <v>1049</v>
      </c>
      <c r="AK12" s="232" t="s">
        <v>1293</v>
      </c>
      <c r="AL12" s="233"/>
    </row>
    <row r="13" spans="1:38" ht="15" customHeight="1">
      <c r="A13" s="249">
        <f t="shared" si="16"/>
        <v>45514</v>
      </c>
      <c r="B13" s="250" t="s">
        <v>615</v>
      </c>
      <c r="C13" s="250" t="s">
        <v>256</v>
      </c>
      <c r="D13" s="251" t="s">
        <v>1294</v>
      </c>
      <c r="E13" s="109">
        <v>6</v>
      </c>
      <c r="F13" s="110">
        <v>11</v>
      </c>
      <c r="G13" s="111">
        <v>11</v>
      </c>
      <c r="H13" s="252">
        <f t="shared" si="0"/>
        <v>28</v>
      </c>
      <c r="I13" s="252">
        <f>$E$12+$F$11+$G$10</f>
        <v>26</v>
      </c>
      <c r="J13" s="252">
        <f t="shared" si="1"/>
        <v>54</v>
      </c>
      <c r="K13" s="253">
        <f t="shared" si="2"/>
        <v>0.51851851851851849</v>
      </c>
      <c r="L13" s="254">
        <f t="shared" si="3"/>
        <v>-4.4814814814814818</v>
      </c>
      <c r="M13" s="255">
        <f t="shared" ca="1" si="4"/>
        <v>7</v>
      </c>
      <c r="N13" s="239">
        <v>6</v>
      </c>
      <c r="O13" s="240" t="str">
        <f t="shared" ca="1" si="5"/>
        <v>Stephanie Campbell &amp; Emma Lockard</v>
      </c>
      <c r="P13" s="239">
        <v>11</v>
      </c>
      <c r="Q13" s="241">
        <v>9</v>
      </c>
      <c r="R13" s="256">
        <v>10</v>
      </c>
      <c r="S13" s="257">
        <v>11</v>
      </c>
      <c r="T13" s="244"/>
      <c r="U13" s="245"/>
      <c r="V13" s="246"/>
      <c r="W13" s="243"/>
      <c r="X13" s="223">
        <f t="shared" ref="X13:Y13" si="27">(P13+R13+T13+V13)</f>
        <v>21</v>
      </c>
      <c r="Y13" s="223">
        <f t="shared" si="27"/>
        <v>20</v>
      </c>
      <c r="Z13" s="224">
        <f t="shared" si="7"/>
        <v>41</v>
      </c>
      <c r="AA13" s="225" t="s">
        <v>256</v>
      </c>
      <c r="AB13" s="226" t="str">
        <f t="shared" si="8"/>
        <v>Betsy Norberg &amp; Bridget Pereira</v>
      </c>
      <c r="AC13" s="227">
        <f t="shared" ca="1" si="9"/>
        <v>7</v>
      </c>
      <c r="AD13" s="227">
        <f t="shared" ca="1" si="10"/>
        <v>35</v>
      </c>
      <c r="AE13" s="227">
        <f t="shared" ca="1" si="11"/>
        <v>37</v>
      </c>
      <c r="AF13" s="227">
        <f t="shared" ca="1" si="12"/>
        <v>72</v>
      </c>
      <c r="AG13" s="228">
        <f t="shared" ca="1" si="13"/>
        <v>0.4861111111111111</v>
      </c>
      <c r="AH13" s="229">
        <f t="shared" ca="1" si="14"/>
        <v>-41.513888888888886</v>
      </c>
      <c r="AI13" s="230">
        <f t="shared" ca="1" si="15"/>
        <v>10</v>
      </c>
      <c r="AJ13" s="231" t="s">
        <v>1148</v>
      </c>
      <c r="AK13" s="232" t="s">
        <v>1227</v>
      </c>
      <c r="AL13" s="233"/>
    </row>
    <row r="14" spans="1:38" ht="15" customHeight="1">
      <c r="A14" s="211">
        <f t="shared" si="16"/>
        <v>45514</v>
      </c>
      <c r="B14" s="212" t="s">
        <v>615</v>
      </c>
      <c r="C14" s="212" t="s">
        <v>261</v>
      </c>
      <c r="D14" s="173" t="s">
        <v>1295</v>
      </c>
      <c r="E14" s="100">
        <v>8</v>
      </c>
      <c r="F14" s="101">
        <v>11</v>
      </c>
      <c r="G14" s="101">
        <v>11</v>
      </c>
      <c r="H14" s="213">
        <f t="shared" si="0"/>
        <v>30</v>
      </c>
      <c r="I14" s="213">
        <f>$E$15+$F$16+$G$17</f>
        <v>24</v>
      </c>
      <c r="J14" s="213">
        <f t="shared" si="1"/>
        <v>54</v>
      </c>
      <c r="K14" s="214">
        <f t="shared" si="2"/>
        <v>0.55555555555555558</v>
      </c>
      <c r="L14" s="258">
        <f t="shared" si="3"/>
        <v>-2.4444444444444446</v>
      </c>
      <c r="M14" s="238">
        <f t="shared" ca="1" si="4"/>
        <v>4</v>
      </c>
      <c r="N14" s="217">
        <v>7</v>
      </c>
      <c r="O14" s="218" t="str">
        <f t="shared" ca="1" si="5"/>
        <v>Betsy Norberg &amp; Bridget Pereira</v>
      </c>
      <c r="P14" s="217">
        <v>7</v>
      </c>
      <c r="Q14" s="219">
        <v>11</v>
      </c>
      <c r="R14" s="220"/>
      <c r="S14" s="221"/>
      <c r="T14" s="244"/>
      <c r="U14" s="245"/>
      <c r="V14" s="246"/>
      <c r="W14" s="243"/>
      <c r="X14" s="223">
        <f t="shared" ref="X14:Y14" si="28">(P14+R14+T14+V14)</f>
        <v>7</v>
      </c>
      <c r="Y14" s="223">
        <f t="shared" si="28"/>
        <v>11</v>
      </c>
      <c r="Z14" s="224">
        <f t="shared" si="7"/>
        <v>18</v>
      </c>
      <c r="AA14" s="225" t="s">
        <v>261</v>
      </c>
      <c r="AB14" s="226" t="str">
        <f t="shared" si="8"/>
        <v>Cori Cunningham &amp; Rudi Karnchanasorn</v>
      </c>
      <c r="AC14" s="227">
        <f t="shared" ca="1" si="9"/>
        <v>4</v>
      </c>
      <c r="AD14" s="227">
        <f t="shared" ca="1" si="10"/>
        <v>50</v>
      </c>
      <c r="AE14" s="227">
        <f t="shared" ca="1" si="11"/>
        <v>43</v>
      </c>
      <c r="AF14" s="227">
        <f t="shared" ca="1" si="12"/>
        <v>93</v>
      </c>
      <c r="AG14" s="228">
        <f t="shared" ca="1" si="13"/>
        <v>0.5376344086021505</v>
      </c>
      <c r="AH14" s="229">
        <f t="shared" ca="1" si="14"/>
        <v>-26.462365591397848</v>
      </c>
      <c r="AI14" s="230">
        <f t="shared" ca="1" si="15"/>
        <v>5</v>
      </c>
      <c r="AJ14" s="231" t="s">
        <v>1296</v>
      </c>
      <c r="AK14" s="232" t="s">
        <v>1232</v>
      </c>
      <c r="AL14" s="233"/>
    </row>
    <row r="15" spans="1:38" ht="15" customHeight="1">
      <c r="A15" s="234">
        <f t="shared" si="16"/>
        <v>45514</v>
      </c>
      <c r="B15" s="212" t="s">
        <v>615</v>
      </c>
      <c r="C15" s="212" t="s">
        <v>268</v>
      </c>
      <c r="D15" s="173" t="s">
        <v>1297</v>
      </c>
      <c r="E15" s="105">
        <v>11</v>
      </c>
      <c r="F15" s="106">
        <v>5</v>
      </c>
      <c r="G15" s="106">
        <v>11</v>
      </c>
      <c r="H15" s="235">
        <f t="shared" si="0"/>
        <v>27</v>
      </c>
      <c r="I15" s="235">
        <f>$E$14+$F$17+$G$16</f>
        <v>29</v>
      </c>
      <c r="J15" s="235">
        <f t="shared" si="1"/>
        <v>56</v>
      </c>
      <c r="K15" s="236">
        <f t="shared" si="2"/>
        <v>0.48214285714285715</v>
      </c>
      <c r="L15" s="237">
        <f t="shared" si="3"/>
        <v>-5.5178571428571432</v>
      </c>
      <c r="M15" s="238">
        <f t="shared" ca="1" si="4"/>
        <v>9</v>
      </c>
      <c r="N15" s="239">
        <v>10</v>
      </c>
      <c r="O15" s="240" t="str">
        <f t="shared" ca="1" si="5"/>
        <v>Dina Mitchell &amp; Juli McGuire</v>
      </c>
      <c r="P15" s="239">
        <v>11</v>
      </c>
      <c r="Q15" s="241">
        <v>7</v>
      </c>
      <c r="R15" s="242">
        <v>8</v>
      </c>
      <c r="S15" s="243">
        <v>11</v>
      </c>
      <c r="T15" s="244"/>
      <c r="U15" s="245"/>
      <c r="V15" s="246"/>
      <c r="W15" s="243"/>
      <c r="X15" s="223">
        <f t="shared" ref="X15:Y15" si="29">(P15+R15+T15+V15)</f>
        <v>19</v>
      </c>
      <c r="Y15" s="223">
        <f t="shared" si="29"/>
        <v>18</v>
      </c>
      <c r="Z15" s="224">
        <f t="shared" si="7"/>
        <v>37</v>
      </c>
      <c r="AA15" s="225" t="s">
        <v>268</v>
      </c>
      <c r="AB15" s="226" t="str">
        <f t="shared" si="8"/>
        <v>Amy Ellzey &amp; Cassandra Schneeberger</v>
      </c>
      <c r="AC15" s="227">
        <f t="shared" ca="1" si="9"/>
        <v>9</v>
      </c>
      <c r="AD15" s="227">
        <f t="shared" ca="1" si="10"/>
        <v>36</v>
      </c>
      <c r="AE15" s="227">
        <f t="shared" ca="1" si="11"/>
        <v>40</v>
      </c>
      <c r="AF15" s="227">
        <f t="shared" ca="1" si="12"/>
        <v>76</v>
      </c>
      <c r="AG15" s="228">
        <f t="shared" ca="1" si="13"/>
        <v>0.47368421052631576</v>
      </c>
      <c r="AH15" s="229">
        <f t="shared" ca="1" si="14"/>
        <v>-40.526315789473685</v>
      </c>
      <c r="AI15" s="230">
        <f t="shared" ca="1" si="15"/>
        <v>9</v>
      </c>
      <c r="AJ15" s="231" t="s">
        <v>1298</v>
      </c>
      <c r="AK15" s="232" t="s">
        <v>1224</v>
      </c>
      <c r="AL15" s="233"/>
    </row>
    <row r="16" spans="1:38" ht="15" customHeight="1">
      <c r="A16" s="234">
        <f t="shared" si="16"/>
        <v>45514</v>
      </c>
      <c r="B16" s="212" t="s">
        <v>615</v>
      </c>
      <c r="C16" s="212" t="s">
        <v>271</v>
      </c>
      <c r="D16" s="173" t="s">
        <v>1299</v>
      </c>
      <c r="E16" s="107">
        <v>2</v>
      </c>
      <c r="F16" s="108">
        <v>6</v>
      </c>
      <c r="G16" s="106">
        <v>10</v>
      </c>
      <c r="H16" s="235">
        <f t="shared" si="0"/>
        <v>18</v>
      </c>
      <c r="I16" s="235">
        <f>$E$17+$F$14+$G$15</f>
        <v>33</v>
      </c>
      <c r="J16" s="235">
        <f t="shared" si="1"/>
        <v>51</v>
      </c>
      <c r="K16" s="236">
        <f t="shared" si="2"/>
        <v>0.35294117647058826</v>
      </c>
      <c r="L16" s="237">
        <f t="shared" si="3"/>
        <v>-14.647058823529411</v>
      </c>
      <c r="M16" s="238">
        <f t="shared" ca="1" si="4"/>
        <v>13</v>
      </c>
      <c r="N16" s="217">
        <v>15</v>
      </c>
      <c r="O16" s="218" t="str">
        <f t="shared" ca="1" si="5"/>
        <v>Kerri Brocker &amp; Julianna Norgren</v>
      </c>
      <c r="P16" s="217">
        <v>3</v>
      </c>
      <c r="Q16" s="219">
        <v>11</v>
      </c>
      <c r="R16" s="242"/>
      <c r="S16" s="243"/>
      <c r="T16" s="244"/>
      <c r="U16" s="245"/>
      <c r="V16" s="246"/>
      <c r="W16" s="243"/>
      <c r="X16" s="223">
        <f t="shared" ref="X16:Y16" si="30">(P16+R16+T16+V16)</f>
        <v>3</v>
      </c>
      <c r="Y16" s="223">
        <f t="shared" si="30"/>
        <v>11</v>
      </c>
      <c r="Z16" s="224">
        <f t="shared" si="7"/>
        <v>14</v>
      </c>
      <c r="AA16" s="225" t="s">
        <v>271</v>
      </c>
      <c r="AB16" s="226" t="str">
        <f t="shared" si="8"/>
        <v>Maria Andrew &amp; Gina Cappuzzo</v>
      </c>
      <c r="AC16" s="227">
        <f t="shared" ca="1" si="9"/>
        <v>13</v>
      </c>
      <c r="AD16" s="227">
        <f t="shared" ca="1" si="10"/>
        <v>26</v>
      </c>
      <c r="AE16" s="227">
        <f t="shared" ca="1" si="11"/>
        <v>44</v>
      </c>
      <c r="AF16" s="227">
        <f t="shared" ca="1" si="12"/>
        <v>70</v>
      </c>
      <c r="AG16" s="228">
        <f t="shared" ca="1" si="13"/>
        <v>0.37142857142857144</v>
      </c>
      <c r="AH16" s="229">
        <f t="shared" ca="1" si="14"/>
        <v>-50.628571428571426</v>
      </c>
      <c r="AI16" s="230">
        <f t="shared" ca="1" si="15"/>
        <v>12</v>
      </c>
      <c r="AJ16" s="231" t="s">
        <v>1055</v>
      </c>
      <c r="AK16" s="232" t="s">
        <v>1300</v>
      </c>
      <c r="AL16" s="233"/>
    </row>
    <row r="17" spans="1:38" ht="15" customHeight="1">
      <c r="A17" s="259">
        <f t="shared" si="16"/>
        <v>45514</v>
      </c>
      <c r="B17" s="260" t="s">
        <v>615</v>
      </c>
      <c r="C17" s="260" t="s">
        <v>276</v>
      </c>
      <c r="D17" s="261" t="s">
        <v>1301</v>
      </c>
      <c r="E17" s="262">
        <v>11</v>
      </c>
      <c r="F17" s="263">
        <v>11</v>
      </c>
      <c r="G17" s="264">
        <v>7</v>
      </c>
      <c r="H17" s="265">
        <f t="shared" si="0"/>
        <v>29</v>
      </c>
      <c r="I17" s="265">
        <f>$E$16+$F$15+$G$14</f>
        <v>18</v>
      </c>
      <c r="J17" s="265">
        <f t="shared" si="1"/>
        <v>47</v>
      </c>
      <c r="K17" s="266">
        <f t="shared" si="2"/>
        <v>0.61702127659574468</v>
      </c>
      <c r="L17" s="267">
        <f t="shared" si="3"/>
        <v>-3.3829787234042552</v>
      </c>
      <c r="M17" s="268">
        <f t="shared" ca="1" si="4"/>
        <v>5</v>
      </c>
      <c r="N17" s="269">
        <v>2</v>
      </c>
      <c r="O17" s="270" t="str">
        <f t="shared" ca="1" si="5"/>
        <v>Erinn Metcalf &amp; Shannon Maize</v>
      </c>
      <c r="P17" s="269">
        <v>11</v>
      </c>
      <c r="Q17" s="271">
        <v>3</v>
      </c>
      <c r="R17" s="272">
        <v>11</v>
      </c>
      <c r="S17" s="273">
        <v>8</v>
      </c>
      <c r="T17" s="274">
        <v>7</v>
      </c>
      <c r="U17" s="275">
        <v>11</v>
      </c>
      <c r="V17" s="276"/>
      <c r="W17" s="273"/>
      <c r="X17" s="277">
        <f t="shared" ref="X17:Y17" si="31">(P17+R17+T17+V17)</f>
        <v>29</v>
      </c>
      <c r="Y17" s="277">
        <f t="shared" si="31"/>
        <v>22</v>
      </c>
      <c r="Z17" s="278">
        <f t="shared" si="7"/>
        <v>51</v>
      </c>
      <c r="AA17" s="279" t="s">
        <v>276</v>
      </c>
      <c r="AB17" s="280" t="str">
        <f t="shared" si="8"/>
        <v>Ola Vaughn &amp; Thu Nguyen</v>
      </c>
      <c r="AC17" s="281">
        <f t="shared" ca="1" si="9"/>
        <v>5</v>
      </c>
      <c r="AD17" s="281">
        <f t="shared" ca="1" si="10"/>
        <v>60</v>
      </c>
      <c r="AE17" s="281">
        <f t="shared" ca="1" si="11"/>
        <v>44</v>
      </c>
      <c r="AF17" s="281">
        <f t="shared" ca="1" si="12"/>
        <v>104</v>
      </c>
      <c r="AG17" s="282">
        <f t="shared" ca="1" si="13"/>
        <v>0.57692307692307687</v>
      </c>
      <c r="AH17" s="283">
        <f t="shared" ca="1" si="14"/>
        <v>-16.423076923076923</v>
      </c>
      <c r="AI17" s="284">
        <f t="shared" ca="1" si="15"/>
        <v>4</v>
      </c>
      <c r="AJ17" s="285" t="s">
        <v>1160</v>
      </c>
      <c r="AK17" s="286" t="s">
        <v>512</v>
      </c>
      <c r="AL17" s="233"/>
    </row>
    <row r="18" spans="1:38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</row>
    <row r="19" spans="1:38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126</v>
      </c>
      <c r="F19" s="287">
        <f t="shared" si="32"/>
        <v>138</v>
      </c>
      <c r="G19" s="287">
        <f>SUM(G2:G18)</f>
        <v>131</v>
      </c>
      <c r="H19" s="287">
        <f t="shared" ref="H19:I19" si="33">SUM(H2:H17)</f>
        <v>395</v>
      </c>
      <c r="I19" s="287">
        <f t="shared" si="33"/>
        <v>395</v>
      </c>
      <c r="J19" s="292">
        <f>SUM(J2:J17)/2</f>
        <v>395</v>
      </c>
      <c r="K19" s="293" t="s">
        <v>1340</v>
      </c>
      <c r="L19" s="291"/>
      <c r="M19" s="287"/>
      <c r="N19" s="287"/>
      <c r="O19" s="287"/>
      <c r="P19" s="287">
        <f t="shared" ref="P19:Y19" si="34">SUM(P2:P17)</f>
        <v>138</v>
      </c>
      <c r="Q19" s="287">
        <f t="shared" si="34"/>
        <v>138</v>
      </c>
      <c r="R19" s="287">
        <f t="shared" si="34"/>
        <v>81</v>
      </c>
      <c r="S19" s="287">
        <f t="shared" si="34"/>
        <v>81</v>
      </c>
      <c r="T19" s="287">
        <f t="shared" si="34"/>
        <v>38</v>
      </c>
      <c r="U19" s="287">
        <f t="shared" si="34"/>
        <v>38</v>
      </c>
      <c r="V19" s="287">
        <f t="shared" si="34"/>
        <v>18</v>
      </c>
      <c r="W19" s="287">
        <f t="shared" si="34"/>
        <v>18</v>
      </c>
      <c r="X19" s="287">
        <f t="shared" si="34"/>
        <v>275</v>
      </c>
      <c r="Y19" s="287">
        <f t="shared" si="34"/>
        <v>275</v>
      </c>
      <c r="Z19" s="287">
        <f>SUM(Z2:Z17)/2</f>
        <v>275</v>
      </c>
      <c r="AA19" s="287"/>
      <c r="AB19" s="287"/>
      <c r="AC19" s="287"/>
      <c r="AD19" s="287">
        <f t="shared" ref="AD19:AE19" ca="1" si="35">SUM(AD2:AD17)</f>
        <v>670</v>
      </c>
      <c r="AE19" s="287">
        <f t="shared" ca="1" si="35"/>
        <v>670</v>
      </c>
      <c r="AF19" s="287">
        <f ca="1">SUM(AF2:AF17)/2</f>
        <v>670</v>
      </c>
      <c r="AG19" s="287"/>
      <c r="AH19" s="287"/>
      <c r="AI19" s="287"/>
      <c r="AJ19" s="287"/>
      <c r="AK19" s="287"/>
      <c r="AL19" s="287"/>
    </row>
    <row r="20" spans="1:38" ht="15" customHeight="1">
      <c r="A20" s="287"/>
      <c r="B20" s="294"/>
      <c r="C20" s="294"/>
      <c r="D20" s="295" t="s">
        <v>15</v>
      </c>
      <c r="E20" s="295">
        <f t="shared" ref="E20:G20" si="36">COUNTIF(E2:E17, 10)</f>
        <v>0</v>
      </c>
      <c r="F20" s="295">
        <f t="shared" si="36"/>
        <v>1</v>
      </c>
      <c r="G20" s="295">
        <f t="shared" si="36"/>
        <v>1</v>
      </c>
      <c r="H20" s="296"/>
      <c r="I20" s="296"/>
      <c r="J20" s="297">
        <f>AVERAGE(J2:J17)</f>
        <v>49.375</v>
      </c>
      <c r="K20" s="293" t="s">
        <v>1341</v>
      </c>
      <c r="L20" s="291"/>
      <c r="M20" s="287"/>
      <c r="N20" s="287"/>
      <c r="O20" s="287"/>
      <c r="P20" s="287"/>
      <c r="Q20" s="295">
        <f>COUNTIF(Q2:Q17, 10)</f>
        <v>0</v>
      </c>
      <c r="R20" s="287"/>
      <c r="S20" s="295">
        <f>COUNTIF(S2:S17, 10)</f>
        <v>2</v>
      </c>
      <c r="T20" s="287"/>
      <c r="U20" s="295">
        <f>COUNTIF(U2:U17, 10)</f>
        <v>0</v>
      </c>
      <c r="V20" s="287"/>
      <c r="W20" s="295">
        <f>COUNTIF(W2:W17, 10)</f>
        <v>0</v>
      </c>
      <c r="X20" s="287"/>
      <c r="Y20" s="296"/>
      <c r="Z20" s="295">
        <f>SUM(E20:G20,Q20,S20,U20,W20)</f>
        <v>4</v>
      </c>
      <c r="AA20" s="296"/>
      <c r="AB20" s="296"/>
      <c r="AC20" s="296"/>
      <c r="AD20" s="296"/>
      <c r="AE20" s="287" t="s">
        <v>1342</v>
      </c>
      <c r="AF20" s="298">
        <f ca="1">AVERAGE(AF2:AF17)</f>
        <v>83.75</v>
      </c>
      <c r="AG20" s="287"/>
      <c r="AH20" s="287"/>
      <c r="AI20" s="287"/>
      <c r="AJ20" s="287"/>
      <c r="AK20" s="287"/>
      <c r="AL20" s="287"/>
    </row>
    <row r="21" spans="1:38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96"/>
      <c r="Z21" s="287"/>
      <c r="AA21" s="296"/>
      <c r="AB21" s="296"/>
      <c r="AC21" s="296"/>
      <c r="AD21" s="296"/>
      <c r="AE21" s="296"/>
      <c r="AF21" s="287"/>
      <c r="AG21" s="287"/>
      <c r="AH21" s="287"/>
      <c r="AI21" s="287"/>
      <c r="AJ21" s="287"/>
      <c r="AK21" s="287"/>
      <c r="AL21" s="287"/>
    </row>
    <row r="22" spans="1:38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96"/>
      <c r="Z22" s="287"/>
      <c r="AA22" s="296"/>
      <c r="AB22" s="296"/>
      <c r="AC22" s="296"/>
      <c r="AD22" s="296"/>
      <c r="AE22" s="296"/>
      <c r="AF22" s="287"/>
      <c r="AG22" s="287"/>
      <c r="AH22" s="287"/>
      <c r="AI22" s="287"/>
      <c r="AJ22" s="287"/>
      <c r="AK22" s="287"/>
      <c r="AL22" s="287"/>
    </row>
  </sheetData>
  <conditionalFormatting sqref="H2:H17">
    <cfRule type="cellIs" dxfId="167" priority="5" operator="equal">
      <formula>33</formula>
    </cfRule>
  </conditionalFormatting>
  <conditionalFormatting sqref="O2:Z17">
    <cfRule type="expression" dxfId="166" priority="1">
      <formula>$V2=11</formula>
    </cfRule>
  </conditionalFormatting>
  <conditionalFormatting sqref="P2:Q17">
    <cfRule type="expression" dxfId="165" priority="2">
      <formula>$P2=11</formula>
    </cfRule>
  </conditionalFormatting>
  <conditionalFormatting sqref="R2:S17">
    <cfRule type="expression" dxfId="164" priority="3">
      <formula>$R2=11</formula>
    </cfRule>
  </conditionalFormatting>
  <conditionalFormatting sqref="T2:U17">
    <cfRule type="expression" dxfId="163" priority="4">
      <formula>$T2=11</formula>
    </cfRule>
  </conditionalFormatting>
  <conditionalFormatting sqref="AA2:AI17">
    <cfRule type="expression" dxfId="162" priority="6">
      <formula>$AI2=1</formula>
    </cfRule>
    <cfRule type="expression" dxfId="161" priority="8">
      <formula>$AI2=2</formula>
    </cfRule>
  </conditionalFormatting>
  <conditionalFormatting sqref="AI2:AI17">
    <cfRule type="expression" dxfId="160" priority="7">
      <formula>COUNTIF(AI$2:AI$17,$AI2)&gt;1</formula>
    </cfRule>
  </conditionalFormatting>
  <hyperlinks>
    <hyperlink ref="AL1" location="Champions!A1" display="Home" xr:uid="{00000000-0004-0000-0400-000000000000}"/>
    <hyperlink ref="A19" location="Champions!A1" display="Home" xr:uid="{00000000-0004-0000-0400-00000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22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10.54296875" customWidth="1"/>
    <col min="2" max="2" width="8.453125" customWidth="1"/>
    <col min="3" max="3" width="8.1796875" customWidth="1"/>
    <col min="4" max="4" width="36" customWidth="1"/>
    <col min="5" max="7" width="8.1796875" customWidth="1"/>
    <col min="8" max="9" width="7.1796875" customWidth="1"/>
    <col min="10" max="10" width="8" customWidth="1"/>
    <col min="11" max="11" width="8.7265625" customWidth="1"/>
    <col min="12" max="12" width="6.54296875" customWidth="1"/>
    <col min="13" max="13" width="6.26953125" customWidth="1"/>
    <col min="14" max="15" width="8.26953125" customWidth="1"/>
    <col min="16" max="16" width="32.1796875" customWidth="1"/>
    <col min="17" max="24" width="6.26953125" customWidth="1"/>
    <col min="25" max="27" width="7.7265625" customWidth="1"/>
    <col min="28" max="28" width="7" customWidth="1"/>
    <col min="29" max="29" width="33.26953125" customWidth="1"/>
    <col min="30" max="30" width="6.453125" customWidth="1"/>
    <col min="31" max="32" width="7.7265625" customWidth="1"/>
    <col min="33" max="36" width="8.453125" customWidth="1"/>
    <col min="37" max="37" width="16.26953125" customWidth="1"/>
    <col min="38" max="38" width="16.1796875" customWidth="1"/>
    <col min="39" max="39" width="8.453125" customWidth="1"/>
  </cols>
  <sheetData>
    <row r="1" spans="1:39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300" t="s">
        <v>1343</v>
      </c>
      <c r="O1" s="201" t="s">
        <v>1336</v>
      </c>
      <c r="P1" s="201" t="s">
        <v>1337</v>
      </c>
      <c r="Q1" s="202" t="s">
        <v>184</v>
      </c>
      <c r="R1" s="201" t="s">
        <v>185</v>
      </c>
      <c r="S1" s="203" t="s">
        <v>186</v>
      </c>
      <c r="T1" s="203" t="s">
        <v>187</v>
      </c>
      <c r="U1" s="204" t="s">
        <v>188</v>
      </c>
      <c r="V1" s="204" t="s">
        <v>189</v>
      </c>
      <c r="W1" s="204" t="s">
        <v>190</v>
      </c>
      <c r="X1" s="204" t="s">
        <v>191</v>
      </c>
      <c r="Y1" s="198" t="s">
        <v>192</v>
      </c>
      <c r="Z1" s="198" t="s">
        <v>193</v>
      </c>
      <c r="AA1" s="205" t="s">
        <v>194</v>
      </c>
      <c r="AB1" s="206" t="s">
        <v>171</v>
      </c>
      <c r="AC1" s="204" t="s">
        <v>195</v>
      </c>
      <c r="AD1" s="204" t="s">
        <v>181</v>
      </c>
      <c r="AE1" s="204" t="s">
        <v>196</v>
      </c>
      <c r="AF1" s="204" t="s">
        <v>197</v>
      </c>
      <c r="AG1" s="204" t="s">
        <v>198</v>
      </c>
      <c r="AH1" s="204" t="s">
        <v>1338</v>
      </c>
      <c r="AI1" s="204" t="s">
        <v>200</v>
      </c>
      <c r="AJ1" s="207" t="s">
        <v>201</v>
      </c>
      <c r="AK1" s="208" t="s">
        <v>202</v>
      </c>
      <c r="AL1" s="209" t="s">
        <v>203</v>
      </c>
      <c r="AM1" s="210" t="s">
        <v>1339</v>
      </c>
    </row>
    <row r="2" spans="1:39" ht="15" customHeight="1">
      <c r="A2" s="211">
        <v>45493</v>
      </c>
      <c r="B2" s="212" t="s">
        <v>204</v>
      </c>
      <c r="C2" s="212" t="s">
        <v>205</v>
      </c>
      <c r="D2" s="173" t="s">
        <v>161</v>
      </c>
      <c r="E2" s="100">
        <v>11</v>
      </c>
      <c r="F2" s="101">
        <v>11</v>
      </c>
      <c r="G2" s="101">
        <v>11</v>
      </c>
      <c r="H2" s="213">
        <f t="shared" ref="H2:H17" si="0">SUM(E2:G2)</f>
        <v>33</v>
      </c>
      <c r="I2" s="213">
        <f>$E$3+$F$4+$G$5</f>
        <v>19</v>
      </c>
      <c r="J2" s="213">
        <f t="shared" ref="J2:J17" si="1">SUM(H2:I2)</f>
        <v>52</v>
      </c>
      <c r="K2" s="214">
        <f t="shared" ref="K2:K17" si="2">IFERROR(H2/J2,"")</f>
        <v>0.63461538461538458</v>
      </c>
      <c r="L2" s="215">
        <f t="shared" ref="L2:L17" si="3">IF(J2&gt;0,K2-(33-H2),)</f>
        <v>0.63461538461538458</v>
      </c>
      <c r="M2" s="216">
        <f t="shared" ref="M2:M17" ca="1" si="4">IFERROR(RANK(L2, OFFSET(L$2, 0, 0, COUNTA(L$2:L$17), 1)) + COUNTIF($L$2:L2, L2) - 1, "")</f>
        <v>2</v>
      </c>
      <c r="N2" s="301"/>
      <c r="O2" s="217">
        <v>1</v>
      </c>
      <c r="P2" s="218" t="str">
        <f t="shared" ref="P2:P17" ca="1" si="5">IFERROR(INDEX($A$2:$AJ$17,MATCH(O2,$M$2:$M$17,0),4),)</f>
        <v>Curtis Stoneman &amp; Randy Burgess</v>
      </c>
      <c r="Q2" s="217">
        <v>11</v>
      </c>
      <c r="R2" s="219">
        <v>2</v>
      </c>
      <c r="S2" s="220">
        <v>11</v>
      </c>
      <c r="T2" s="221">
        <v>5</v>
      </c>
      <c r="U2" s="217">
        <v>11</v>
      </c>
      <c r="V2" s="219">
        <v>5</v>
      </c>
      <c r="W2" s="222">
        <v>9</v>
      </c>
      <c r="X2" s="221">
        <v>11</v>
      </c>
      <c r="Y2" s="223">
        <f t="shared" ref="Y2:Z2" si="6">(Q2+S2+U2+W2)</f>
        <v>42</v>
      </c>
      <c r="Z2" s="223">
        <f t="shared" si="6"/>
        <v>23</v>
      </c>
      <c r="AA2" s="224">
        <f t="shared" ref="AA2:AA17" si="7">Y2+Z2</f>
        <v>65</v>
      </c>
      <c r="AB2" s="225" t="s">
        <v>205</v>
      </c>
      <c r="AC2" s="226" t="str">
        <f t="shared" ref="AC2:AC17" si="8">INDEX($A$2:$D$17,MATCH(AB2,C$2:C$17,0),4)</f>
        <v>Dung Le &amp; Robert Madison</v>
      </c>
      <c r="AD2" s="227">
        <f t="shared" ref="AD2:AD17" ca="1" si="9">IFERROR(INDEX($D$2:$M$17, MATCH($AC2,$D$2:$D$17,0),10),)</f>
        <v>2</v>
      </c>
      <c r="AE2" s="227">
        <f t="shared" ref="AE2:AE17" ca="1" si="10">INDEX($A$2:$AJ$17,MATCH($AC2,$D$2:$D$17,0),8)+INDEX($P$2:$AA$17,MATCH($AC2,$P$2:$P$17,0),10)</f>
        <v>77</v>
      </c>
      <c r="AF2" s="227">
        <f t="shared" ref="AF2:AF17" ca="1" si="11">INDEX($A$2:$AJ$17,MATCH($AC2,$D$2:$D$17,0),9)+INDEX($P$2:$AA$17,MATCH($AC2,$P$2:$P$17,0),11)</f>
        <v>50</v>
      </c>
      <c r="AG2" s="227">
        <f t="shared" ref="AG2:AG17" ca="1" si="12">SUM(AE2:AF2)</f>
        <v>127</v>
      </c>
      <c r="AH2" s="228">
        <f t="shared" ref="AH2:AH17" ca="1" si="13">IFERROR(AE2/AG2,)</f>
        <v>0.60629921259842523</v>
      </c>
      <c r="AI2" s="229">
        <f t="shared" ref="AI2:AI17" ca="1" si="14">AH2-(77-AE2)</f>
        <v>0.60629921259842523</v>
      </c>
      <c r="AJ2" s="230">
        <f t="shared" ref="AJ2:AJ17" ca="1" si="15">IFERROR(RANK(AI2,OFFSET($AI$2,0,0,COUNTA($AI$2:$AI$17),1)),)</f>
        <v>1</v>
      </c>
      <c r="AK2" s="231" t="s">
        <v>408</v>
      </c>
      <c r="AL2" s="232" t="s">
        <v>23</v>
      </c>
      <c r="AM2" s="233"/>
    </row>
    <row r="3" spans="1:39" ht="15" customHeight="1">
      <c r="A3" s="234">
        <f t="shared" ref="A3:A17" si="16">A$2</f>
        <v>45493</v>
      </c>
      <c r="B3" s="212" t="s">
        <v>204</v>
      </c>
      <c r="C3" s="212" t="s">
        <v>211</v>
      </c>
      <c r="D3" s="173" t="s">
        <v>1255</v>
      </c>
      <c r="E3" s="105">
        <v>8</v>
      </c>
      <c r="F3" s="106">
        <v>11</v>
      </c>
      <c r="G3" s="106">
        <v>11</v>
      </c>
      <c r="H3" s="235">
        <f t="shared" si="0"/>
        <v>30</v>
      </c>
      <c r="I3" s="235">
        <f>$E$2+$F$5+$G$4</f>
        <v>22</v>
      </c>
      <c r="J3" s="235">
        <f t="shared" si="1"/>
        <v>52</v>
      </c>
      <c r="K3" s="236">
        <f t="shared" si="2"/>
        <v>0.57692307692307687</v>
      </c>
      <c r="L3" s="237">
        <f t="shared" si="3"/>
        <v>-2.4230769230769234</v>
      </c>
      <c r="M3" s="238">
        <f t="shared" ca="1" si="4"/>
        <v>7</v>
      </c>
      <c r="N3" s="302"/>
      <c r="O3" s="239">
        <v>16</v>
      </c>
      <c r="P3" s="240" t="str">
        <f t="shared" ca="1" si="5"/>
        <v>HyukJin Yun &amp; Jordan Watts</v>
      </c>
      <c r="Q3" s="239">
        <v>2</v>
      </c>
      <c r="R3" s="241">
        <v>11</v>
      </c>
      <c r="S3" s="242"/>
      <c r="T3" s="243"/>
      <c r="U3" s="244"/>
      <c r="V3" s="245"/>
      <c r="W3" s="246"/>
      <c r="X3" s="243"/>
      <c r="Y3" s="223">
        <f t="shared" ref="Y3:Z3" si="17">(Q3+S3+U3+W3)</f>
        <v>2</v>
      </c>
      <c r="Z3" s="223">
        <f t="shared" si="17"/>
        <v>11</v>
      </c>
      <c r="AA3" s="224">
        <f t="shared" si="7"/>
        <v>13</v>
      </c>
      <c r="AB3" s="225" t="s">
        <v>211</v>
      </c>
      <c r="AC3" s="226" t="str">
        <f t="shared" si="8"/>
        <v>Amir Mohammed &amp; Justin Hoffman</v>
      </c>
      <c r="AD3" s="227">
        <f t="shared" ca="1" si="9"/>
        <v>7</v>
      </c>
      <c r="AE3" s="227">
        <f t="shared" ca="1" si="10"/>
        <v>51</v>
      </c>
      <c r="AF3" s="227">
        <f t="shared" ca="1" si="11"/>
        <v>41</v>
      </c>
      <c r="AG3" s="227">
        <f t="shared" ca="1" si="12"/>
        <v>92</v>
      </c>
      <c r="AH3" s="228">
        <f t="shared" ca="1" si="13"/>
        <v>0.55434782608695654</v>
      </c>
      <c r="AI3" s="229">
        <f t="shared" ca="1" si="14"/>
        <v>-25.445652173913043</v>
      </c>
      <c r="AJ3" s="230">
        <f t="shared" ca="1" si="15"/>
        <v>4</v>
      </c>
      <c r="AK3" s="247" t="s">
        <v>1256</v>
      </c>
      <c r="AL3" s="248" t="s">
        <v>715</v>
      </c>
    </row>
    <row r="4" spans="1:39" ht="15" customHeight="1">
      <c r="A4" s="234">
        <f t="shared" si="16"/>
        <v>45493</v>
      </c>
      <c r="B4" s="212" t="s">
        <v>204</v>
      </c>
      <c r="C4" s="212" t="s">
        <v>216</v>
      </c>
      <c r="D4" s="173" t="s">
        <v>1257</v>
      </c>
      <c r="E4" s="107">
        <v>11</v>
      </c>
      <c r="F4" s="108">
        <v>2</v>
      </c>
      <c r="G4" s="106">
        <v>5</v>
      </c>
      <c r="H4" s="235">
        <f t="shared" si="0"/>
        <v>18</v>
      </c>
      <c r="I4" s="235">
        <f>$E$5+$F$2+$G$3</f>
        <v>30</v>
      </c>
      <c r="J4" s="235">
        <f t="shared" si="1"/>
        <v>48</v>
      </c>
      <c r="K4" s="236">
        <f t="shared" si="2"/>
        <v>0.375</v>
      </c>
      <c r="L4" s="237">
        <f t="shared" si="3"/>
        <v>-14.625</v>
      </c>
      <c r="M4" s="238">
        <f t="shared" ca="1" si="4"/>
        <v>14</v>
      </c>
      <c r="N4" s="301"/>
      <c r="O4" s="217">
        <v>8</v>
      </c>
      <c r="P4" s="218" t="str">
        <f t="shared" ca="1" si="5"/>
        <v>Mark McDonald &amp; Tom Spenceri</v>
      </c>
      <c r="Q4" s="217">
        <v>11</v>
      </c>
      <c r="R4" s="219">
        <v>5</v>
      </c>
      <c r="S4" s="242">
        <v>5</v>
      </c>
      <c r="T4" s="243">
        <v>11</v>
      </c>
      <c r="U4" s="244"/>
      <c r="V4" s="245"/>
      <c r="W4" s="246"/>
      <c r="X4" s="243"/>
      <c r="Y4" s="223">
        <f t="shared" ref="Y4:Z4" si="18">(Q4+S4+U4+W4)</f>
        <v>16</v>
      </c>
      <c r="Z4" s="223">
        <f t="shared" si="18"/>
        <v>16</v>
      </c>
      <c r="AA4" s="224">
        <f t="shared" si="7"/>
        <v>32</v>
      </c>
      <c r="AB4" s="225" t="s">
        <v>216</v>
      </c>
      <c r="AC4" s="226" t="str">
        <f t="shared" si="8"/>
        <v>Patrick Blackwell &amp; Joe Rishmany</v>
      </c>
      <c r="AD4" s="227">
        <f t="shared" ca="1" si="9"/>
        <v>14</v>
      </c>
      <c r="AE4" s="227">
        <f t="shared" ca="1" si="10"/>
        <v>38</v>
      </c>
      <c r="AF4" s="227">
        <f t="shared" ca="1" si="11"/>
        <v>43</v>
      </c>
      <c r="AG4" s="227">
        <f t="shared" ca="1" si="12"/>
        <v>81</v>
      </c>
      <c r="AH4" s="228">
        <f t="shared" ca="1" si="13"/>
        <v>0.46913580246913578</v>
      </c>
      <c r="AI4" s="229">
        <f t="shared" ca="1" si="14"/>
        <v>-38.530864197530867</v>
      </c>
      <c r="AJ4" s="230">
        <f t="shared" ca="1" si="15"/>
        <v>9</v>
      </c>
      <c r="AK4" s="231" t="s">
        <v>1074</v>
      </c>
      <c r="AL4" s="232" t="s">
        <v>889</v>
      </c>
      <c r="AM4" s="233"/>
    </row>
    <row r="5" spans="1:39" ht="15" customHeight="1">
      <c r="A5" s="249">
        <f t="shared" si="16"/>
        <v>45493</v>
      </c>
      <c r="B5" s="250" t="s">
        <v>204</v>
      </c>
      <c r="C5" s="250" t="s">
        <v>221</v>
      </c>
      <c r="D5" s="251" t="s">
        <v>1344</v>
      </c>
      <c r="E5" s="109">
        <v>8</v>
      </c>
      <c r="F5" s="110">
        <v>6</v>
      </c>
      <c r="G5" s="111">
        <v>9</v>
      </c>
      <c r="H5" s="252">
        <f t="shared" si="0"/>
        <v>23</v>
      </c>
      <c r="I5" s="252">
        <f>$E$4+$F$3+$G$2</f>
        <v>33</v>
      </c>
      <c r="J5" s="252">
        <f t="shared" si="1"/>
        <v>56</v>
      </c>
      <c r="K5" s="253">
        <f t="shared" si="2"/>
        <v>0.4107142857142857</v>
      </c>
      <c r="L5" s="254">
        <f t="shared" si="3"/>
        <v>-9.5892857142857135</v>
      </c>
      <c r="M5" s="255">
        <f t="shared" ca="1" si="4"/>
        <v>11</v>
      </c>
      <c r="N5" s="302"/>
      <c r="O5" s="239">
        <v>9</v>
      </c>
      <c r="P5" s="240" t="str">
        <f t="shared" ca="1" si="5"/>
        <v>Roy True &amp; Dan Gassel</v>
      </c>
      <c r="Q5" s="239">
        <v>5</v>
      </c>
      <c r="R5" s="241">
        <v>11</v>
      </c>
      <c r="S5" s="256"/>
      <c r="T5" s="257"/>
      <c r="U5" s="244"/>
      <c r="V5" s="245"/>
      <c r="W5" s="246"/>
      <c r="X5" s="243"/>
      <c r="Y5" s="223">
        <f t="shared" ref="Y5:Z5" si="19">(Q5+S5+U5+W5)</f>
        <v>5</v>
      </c>
      <c r="Z5" s="223">
        <f t="shared" si="19"/>
        <v>11</v>
      </c>
      <c r="AA5" s="224">
        <f t="shared" si="7"/>
        <v>16</v>
      </c>
      <c r="AB5" s="225" t="s">
        <v>221</v>
      </c>
      <c r="AC5" s="226" t="str">
        <f t="shared" si="8"/>
        <v>Jacob Beck &amp; Allen Meyer</v>
      </c>
      <c r="AD5" s="227">
        <f t="shared" ca="1" si="9"/>
        <v>11</v>
      </c>
      <c r="AE5" s="227">
        <f t="shared" ca="1" si="10"/>
        <v>52</v>
      </c>
      <c r="AF5" s="227">
        <f t="shared" ca="1" si="11"/>
        <v>60</v>
      </c>
      <c r="AG5" s="227">
        <f t="shared" ca="1" si="12"/>
        <v>112</v>
      </c>
      <c r="AH5" s="228">
        <f t="shared" ca="1" si="13"/>
        <v>0.4642857142857143</v>
      </c>
      <c r="AI5" s="229">
        <f t="shared" ca="1" si="14"/>
        <v>-24.535714285714285</v>
      </c>
      <c r="AJ5" s="230">
        <f t="shared" ca="1" si="15"/>
        <v>3</v>
      </c>
      <c r="AK5" s="231" t="s">
        <v>1084</v>
      </c>
      <c r="AL5" s="232" t="s">
        <v>267</v>
      </c>
      <c r="AM5" s="233"/>
    </row>
    <row r="6" spans="1:39" ht="15" customHeight="1">
      <c r="A6" s="211">
        <f t="shared" si="16"/>
        <v>45493</v>
      </c>
      <c r="B6" s="212" t="s">
        <v>204</v>
      </c>
      <c r="C6" s="212" t="s">
        <v>224</v>
      </c>
      <c r="D6" s="173" t="s">
        <v>1259</v>
      </c>
      <c r="E6" s="100">
        <v>11</v>
      </c>
      <c r="F6" s="101">
        <v>11</v>
      </c>
      <c r="G6" s="101">
        <v>4</v>
      </c>
      <c r="H6" s="213">
        <f t="shared" si="0"/>
        <v>26</v>
      </c>
      <c r="I6" s="213">
        <f>$E$7+$F$8+$G$9</f>
        <v>19</v>
      </c>
      <c r="J6" s="213">
        <f t="shared" si="1"/>
        <v>45</v>
      </c>
      <c r="K6" s="214">
        <f t="shared" si="2"/>
        <v>0.57777777777777772</v>
      </c>
      <c r="L6" s="258">
        <f t="shared" si="3"/>
        <v>-6.4222222222222225</v>
      </c>
      <c r="M6" s="238">
        <f t="shared" ca="1" si="4"/>
        <v>8</v>
      </c>
      <c r="N6" s="301"/>
      <c r="O6" s="217">
        <v>5</v>
      </c>
      <c r="P6" s="218" t="str">
        <f t="shared" ca="1" si="5"/>
        <v>Joe Thomas &amp; Dylan Lockwood</v>
      </c>
      <c r="Q6" s="217">
        <v>9</v>
      </c>
      <c r="R6" s="219">
        <v>11</v>
      </c>
      <c r="S6" s="220"/>
      <c r="T6" s="221"/>
      <c r="U6" s="244"/>
      <c r="V6" s="245"/>
      <c r="W6" s="246"/>
      <c r="X6" s="243"/>
      <c r="Y6" s="223">
        <f t="shared" ref="Y6:Z6" si="20">(Q6+S6+U6+W6)</f>
        <v>9</v>
      </c>
      <c r="Z6" s="223">
        <f t="shared" si="20"/>
        <v>11</v>
      </c>
      <c r="AA6" s="224">
        <f t="shared" si="7"/>
        <v>20</v>
      </c>
      <c r="AB6" s="225" t="s">
        <v>224</v>
      </c>
      <c r="AC6" s="226" t="str">
        <f t="shared" si="8"/>
        <v>Mark McDonald &amp; Tom Spenceri</v>
      </c>
      <c r="AD6" s="227">
        <f t="shared" ca="1" si="9"/>
        <v>8</v>
      </c>
      <c r="AE6" s="227">
        <f t="shared" ca="1" si="10"/>
        <v>42</v>
      </c>
      <c r="AF6" s="227">
        <f t="shared" ca="1" si="11"/>
        <v>35</v>
      </c>
      <c r="AG6" s="227">
        <f t="shared" ca="1" si="12"/>
        <v>77</v>
      </c>
      <c r="AH6" s="228">
        <f t="shared" ca="1" si="13"/>
        <v>0.54545454545454541</v>
      </c>
      <c r="AI6" s="229">
        <f t="shared" ca="1" si="14"/>
        <v>-34.454545454545453</v>
      </c>
      <c r="AJ6" s="230">
        <f t="shared" ca="1" si="15"/>
        <v>6</v>
      </c>
      <c r="AK6" s="231" t="s">
        <v>1180</v>
      </c>
      <c r="AL6" s="232" t="s">
        <v>29</v>
      </c>
      <c r="AM6" s="233"/>
    </row>
    <row r="7" spans="1:39" ht="15" customHeight="1">
      <c r="A7" s="234">
        <f t="shared" si="16"/>
        <v>45493</v>
      </c>
      <c r="B7" s="212" t="s">
        <v>204</v>
      </c>
      <c r="C7" s="212" t="s">
        <v>228</v>
      </c>
      <c r="D7" s="173" t="s">
        <v>1260</v>
      </c>
      <c r="E7" s="105">
        <v>7</v>
      </c>
      <c r="F7" s="106">
        <v>3</v>
      </c>
      <c r="G7" s="106">
        <v>11</v>
      </c>
      <c r="H7" s="235">
        <f t="shared" si="0"/>
        <v>21</v>
      </c>
      <c r="I7" s="235">
        <f>$E$6+$F$9+$G$8</f>
        <v>32</v>
      </c>
      <c r="J7" s="235">
        <f t="shared" si="1"/>
        <v>53</v>
      </c>
      <c r="K7" s="236">
        <f t="shared" si="2"/>
        <v>0.39622641509433965</v>
      </c>
      <c r="L7" s="237">
        <f t="shared" si="3"/>
        <v>-11.60377358490566</v>
      </c>
      <c r="M7" s="238">
        <f t="shared" ca="1" si="4"/>
        <v>12</v>
      </c>
      <c r="N7" s="302"/>
      <c r="O7" s="239">
        <v>12</v>
      </c>
      <c r="P7" s="240" t="str">
        <f t="shared" ca="1" si="5"/>
        <v>Grant Isom &amp; Chris Lyon</v>
      </c>
      <c r="Q7" s="239">
        <v>11</v>
      </c>
      <c r="R7" s="241">
        <v>9</v>
      </c>
      <c r="S7" s="242">
        <v>11</v>
      </c>
      <c r="T7" s="243">
        <v>2</v>
      </c>
      <c r="U7" s="244">
        <v>5</v>
      </c>
      <c r="V7" s="245">
        <v>11</v>
      </c>
      <c r="W7" s="246"/>
      <c r="X7" s="243"/>
      <c r="Y7" s="223">
        <f t="shared" ref="Y7:Z7" si="21">(Q7+S7+U7+W7)</f>
        <v>27</v>
      </c>
      <c r="Z7" s="223">
        <f t="shared" si="21"/>
        <v>22</v>
      </c>
      <c r="AA7" s="224">
        <f t="shared" si="7"/>
        <v>49</v>
      </c>
      <c r="AB7" s="225" t="s">
        <v>228</v>
      </c>
      <c r="AC7" s="226" t="str">
        <f t="shared" si="8"/>
        <v>Grant Isom &amp; Chris Lyon</v>
      </c>
      <c r="AD7" s="227">
        <f t="shared" ca="1" si="9"/>
        <v>12</v>
      </c>
      <c r="AE7" s="227">
        <f t="shared" ca="1" si="10"/>
        <v>48</v>
      </c>
      <c r="AF7" s="227">
        <f t="shared" ca="1" si="11"/>
        <v>54</v>
      </c>
      <c r="AG7" s="227">
        <f t="shared" ca="1" si="12"/>
        <v>102</v>
      </c>
      <c r="AH7" s="228">
        <f t="shared" ca="1" si="13"/>
        <v>0.47058823529411764</v>
      </c>
      <c r="AI7" s="229">
        <f t="shared" ca="1" si="14"/>
        <v>-28.529411764705884</v>
      </c>
      <c r="AJ7" s="230">
        <f t="shared" ca="1" si="15"/>
        <v>5</v>
      </c>
      <c r="AK7" s="231" t="s">
        <v>977</v>
      </c>
      <c r="AL7" s="232" t="s">
        <v>1131</v>
      </c>
      <c r="AM7" s="233"/>
    </row>
    <row r="8" spans="1:39" ht="15" customHeight="1">
      <c r="A8" s="234">
        <f t="shared" si="16"/>
        <v>45493</v>
      </c>
      <c r="B8" s="212" t="s">
        <v>204</v>
      </c>
      <c r="C8" s="212" t="s">
        <v>232</v>
      </c>
      <c r="D8" s="173" t="s">
        <v>1261</v>
      </c>
      <c r="E8" s="107">
        <v>4</v>
      </c>
      <c r="F8" s="108">
        <v>1</v>
      </c>
      <c r="G8" s="106">
        <v>10</v>
      </c>
      <c r="H8" s="235">
        <f t="shared" si="0"/>
        <v>15</v>
      </c>
      <c r="I8" s="235">
        <f>$E$9+$F$6+$G$7</f>
        <v>33</v>
      </c>
      <c r="J8" s="235">
        <f t="shared" si="1"/>
        <v>48</v>
      </c>
      <c r="K8" s="236">
        <f t="shared" si="2"/>
        <v>0.3125</v>
      </c>
      <c r="L8" s="237">
        <f t="shared" si="3"/>
        <v>-17.6875</v>
      </c>
      <c r="M8" s="238">
        <f t="shared" ca="1" si="4"/>
        <v>15</v>
      </c>
      <c r="N8" s="301"/>
      <c r="O8" s="217">
        <v>4</v>
      </c>
      <c r="P8" s="218" t="str">
        <f t="shared" ca="1" si="5"/>
        <v>Alex True &amp; Loren Ginden</v>
      </c>
      <c r="Q8" s="217">
        <v>6</v>
      </c>
      <c r="R8" s="219">
        <v>11</v>
      </c>
      <c r="S8" s="242"/>
      <c r="T8" s="243"/>
      <c r="U8" s="244"/>
      <c r="V8" s="245"/>
      <c r="W8" s="246"/>
      <c r="X8" s="243"/>
      <c r="Y8" s="223">
        <f t="shared" ref="Y8:Z8" si="22">(Q8+S8+U8+W8)</f>
        <v>6</v>
      </c>
      <c r="Z8" s="223">
        <f t="shared" si="22"/>
        <v>11</v>
      </c>
      <c r="AA8" s="224">
        <f t="shared" si="7"/>
        <v>17</v>
      </c>
      <c r="AB8" s="225" t="s">
        <v>232</v>
      </c>
      <c r="AC8" s="226" t="str">
        <f t="shared" si="8"/>
        <v>Grif Sims &amp; Stephen Limpic</v>
      </c>
      <c r="AD8" s="227">
        <f t="shared" ca="1" si="9"/>
        <v>15</v>
      </c>
      <c r="AE8" s="227">
        <f t="shared" ca="1" si="10"/>
        <v>20</v>
      </c>
      <c r="AF8" s="227">
        <f t="shared" ca="1" si="11"/>
        <v>44</v>
      </c>
      <c r="AG8" s="227">
        <f t="shared" ca="1" si="12"/>
        <v>64</v>
      </c>
      <c r="AH8" s="228">
        <f t="shared" ca="1" si="13"/>
        <v>0.3125</v>
      </c>
      <c r="AI8" s="229">
        <f t="shared" ca="1" si="14"/>
        <v>-56.6875</v>
      </c>
      <c r="AJ8" s="230">
        <f t="shared" ca="1" si="15"/>
        <v>15</v>
      </c>
      <c r="AK8" s="231" t="s">
        <v>984</v>
      </c>
      <c r="AL8" s="232" t="s">
        <v>1086</v>
      </c>
      <c r="AM8" s="233"/>
    </row>
    <row r="9" spans="1:39" ht="15" customHeight="1">
      <c r="A9" s="249">
        <f t="shared" si="16"/>
        <v>45493</v>
      </c>
      <c r="B9" s="250" t="s">
        <v>204</v>
      </c>
      <c r="C9" s="250" t="s">
        <v>237</v>
      </c>
      <c r="D9" s="251" t="s">
        <v>162</v>
      </c>
      <c r="E9" s="109">
        <v>11</v>
      </c>
      <c r="F9" s="110">
        <v>11</v>
      </c>
      <c r="G9" s="111">
        <v>11</v>
      </c>
      <c r="H9" s="252">
        <f t="shared" si="0"/>
        <v>33</v>
      </c>
      <c r="I9" s="252">
        <f>$E$8+$F$7+$G$6</f>
        <v>11</v>
      </c>
      <c r="J9" s="252">
        <f t="shared" si="1"/>
        <v>44</v>
      </c>
      <c r="K9" s="253">
        <f t="shared" si="2"/>
        <v>0.75</v>
      </c>
      <c r="L9" s="254">
        <f t="shared" si="3"/>
        <v>0.75</v>
      </c>
      <c r="M9" s="255">
        <f t="shared" ca="1" si="4"/>
        <v>1</v>
      </c>
      <c r="N9" s="302"/>
      <c r="O9" s="239">
        <v>13</v>
      </c>
      <c r="P9" s="240" t="str">
        <f t="shared" ca="1" si="5"/>
        <v>Jason Steliga &amp; Jeremie Wilson</v>
      </c>
      <c r="Q9" s="239">
        <v>11</v>
      </c>
      <c r="R9" s="241">
        <v>6</v>
      </c>
      <c r="S9" s="256">
        <v>2</v>
      </c>
      <c r="T9" s="257">
        <v>11</v>
      </c>
      <c r="U9" s="239"/>
      <c r="V9" s="241"/>
      <c r="W9" s="246"/>
      <c r="X9" s="243"/>
      <c r="Y9" s="223">
        <f t="shared" ref="Y9:Z9" si="23">(Q9+S9+U9+W9)</f>
        <v>13</v>
      </c>
      <c r="Z9" s="223">
        <f t="shared" si="23"/>
        <v>17</v>
      </c>
      <c r="AA9" s="224">
        <f t="shared" si="7"/>
        <v>30</v>
      </c>
      <c r="AB9" s="225" t="s">
        <v>237</v>
      </c>
      <c r="AC9" s="226" t="str">
        <f t="shared" si="8"/>
        <v>Curtis Stoneman &amp; Randy Burgess</v>
      </c>
      <c r="AD9" s="227">
        <f t="shared" ca="1" si="9"/>
        <v>1</v>
      </c>
      <c r="AE9" s="227">
        <f t="shared" ca="1" si="10"/>
        <v>75</v>
      </c>
      <c r="AF9" s="227">
        <f t="shared" ca="1" si="11"/>
        <v>34</v>
      </c>
      <c r="AG9" s="227">
        <f t="shared" ca="1" si="12"/>
        <v>109</v>
      </c>
      <c r="AH9" s="228">
        <f t="shared" ca="1" si="13"/>
        <v>0.68807339449541283</v>
      </c>
      <c r="AI9" s="229">
        <f t="shared" ca="1" si="14"/>
        <v>-1.3119266055045871</v>
      </c>
      <c r="AJ9" s="230">
        <f t="shared" ca="1" si="15"/>
        <v>2</v>
      </c>
      <c r="AK9" s="231" t="s">
        <v>858</v>
      </c>
      <c r="AL9" s="232" t="s">
        <v>1209</v>
      </c>
      <c r="AM9" s="233"/>
    </row>
    <row r="10" spans="1:39" ht="15" customHeight="1">
      <c r="A10" s="211">
        <f t="shared" si="16"/>
        <v>45493</v>
      </c>
      <c r="B10" s="212" t="s">
        <v>204</v>
      </c>
      <c r="C10" s="212" t="s">
        <v>241</v>
      </c>
      <c r="D10" s="173" t="s">
        <v>1262</v>
      </c>
      <c r="E10" s="100">
        <v>11</v>
      </c>
      <c r="F10" s="101">
        <v>10</v>
      </c>
      <c r="G10" s="101">
        <v>11</v>
      </c>
      <c r="H10" s="213">
        <f t="shared" si="0"/>
        <v>32</v>
      </c>
      <c r="I10" s="213">
        <f>$E$11+$F$12+$G$13</f>
        <v>24</v>
      </c>
      <c r="J10" s="213">
        <f t="shared" si="1"/>
        <v>56</v>
      </c>
      <c r="K10" s="214">
        <f t="shared" si="2"/>
        <v>0.5714285714285714</v>
      </c>
      <c r="L10" s="258">
        <f t="shared" si="3"/>
        <v>-0.4285714285714286</v>
      </c>
      <c r="M10" s="238">
        <f t="shared" ca="1" si="4"/>
        <v>5</v>
      </c>
      <c r="N10" s="301"/>
      <c r="O10" s="217">
        <v>6</v>
      </c>
      <c r="P10" s="218" t="str">
        <f t="shared" ca="1" si="5"/>
        <v>JD Asbell &amp; Will Polese</v>
      </c>
      <c r="Q10" s="217">
        <v>7</v>
      </c>
      <c r="R10" s="219">
        <v>11</v>
      </c>
      <c r="S10" s="220"/>
      <c r="T10" s="221"/>
      <c r="U10" s="217"/>
      <c r="V10" s="219"/>
      <c r="W10" s="246"/>
      <c r="X10" s="243"/>
      <c r="Y10" s="223">
        <f t="shared" ref="Y10:Z10" si="24">(Q10+S10+U10+W10)</f>
        <v>7</v>
      </c>
      <c r="Z10" s="223">
        <f t="shared" si="24"/>
        <v>11</v>
      </c>
      <c r="AA10" s="224">
        <f t="shared" si="7"/>
        <v>18</v>
      </c>
      <c r="AB10" s="225" t="s">
        <v>241</v>
      </c>
      <c r="AC10" s="226" t="str">
        <f t="shared" si="8"/>
        <v>Joe Thomas &amp; Dylan Lockwood</v>
      </c>
      <c r="AD10" s="227">
        <f t="shared" ca="1" si="9"/>
        <v>5</v>
      </c>
      <c r="AE10" s="227">
        <f t="shared" ca="1" si="10"/>
        <v>41</v>
      </c>
      <c r="AF10" s="227">
        <f t="shared" ca="1" si="11"/>
        <v>35</v>
      </c>
      <c r="AG10" s="227">
        <f t="shared" ca="1" si="12"/>
        <v>76</v>
      </c>
      <c r="AH10" s="228">
        <f t="shared" ca="1" si="13"/>
        <v>0.53947368421052633</v>
      </c>
      <c r="AI10" s="229">
        <f t="shared" ca="1" si="14"/>
        <v>-35.460526315789473</v>
      </c>
      <c r="AJ10" s="230">
        <f t="shared" ca="1" si="15"/>
        <v>7</v>
      </c>
      <c r="AK10" s="231" t="s">
        <v>1263</v>
      </c>
      <c r="AL10" s="232" t="s">
        <v>1107</v>
      </c>
      <c r="AM10" s="233"/>
    </row>
    <row r="11" spans="1:39" ht="15" customHeight="1">
      <c r="A11" s="234">
        <f t="shared" si="16"/>
        <v>45493</v>
      </c>
      <c r="B11" s="212" t="s">
        <v>204</v>
      </c>
      <c r="C11" s="212" t="s">
        <v>246</v>
      </c>
      <c r="D11" s="173" t="s">
        <v>1264</v>
      </c>
      <c r="E11" s="105">
        <v>6</v>
      </c>
      <c r="F11" s="106">
        <v>11</v>
      </c>
      <c r="G11" s="106">
        <v>9</v>
      </c>
      <c r="H11" s="235">
        <f t="shared" si="0"/>
        <v>26</v>
      </c>
      <c r="I11" s="235">
        <f>$E$10+$F$13+$G$12</f>
        <v>30</v>
      </c>
      <c r="J11" s="235">
        <f t="shared" si="1"/>
        <v>56</v>
      </c>
      <c r="K11" s="236">
        <f t="shared" si="2"/>
        <v>0.4642857142857143</v>
      </c>
      <c r="L11" s="237">
        <f t="shared" si="3"/>
        <v>-6.5357142857142856</v>
      </c>
      <c r="M11" s="238">
        <f t="shared" ca="1" si="4"/>
        <v>10</v>
      </c>
      <c r="N11" s="302"/>
      <c r="O11" s="239">
        <v>11</v>
      </c>
      <c r="P11" s="240" t="str">
        <f t="shared" ca="1" si="5"/>
        <v>Jacob Beck &amp; Allen Meyer</v>
      </c>
      <c r="Q11" s="239">
        <v>11</v>
      </c>
      <c r="R11" s="241">
        <v>7</v>
      </c>
      <c r="S11" s="242">
        <v>11</v>
      </c>
      <c r="T11" s="243">
        <v>9</v>
      </c>
      <c r="U11" s="244">
        <v>7</v>
      </c>
      <c r="V11" s="245">
        <v>11</v>
      </c>
      <c r="W11" s="246"/>
      <c r="X11" s="243"/>
      <c r="Y11" s="223">
        <f t="shared" ref="Y11:Z11" si="25">(Q11+S11+U11+W11)</f>
        <v>29</v>
      </c>
      <c r="Z11" s="223">
        <f t="shared" si="25"/>
        <v>27</v>
      </c>
      <c r="AA11" s="224">
        <f t="shared" si="7"/>
        <v>56</v>
      </c>
      <c r="AB11" s="225" t="s">
        <v>246</v>
      </c>
      <c r="AC11" s="226" t="str">
        <f t="shared" si="8"/>
        <v>Anthony Williams &amp; Thomas Rosewicz</v>
      </c>
      <c r="AD11" s="227">
        <f t="shared" ca="1" si="9"/>
        <v>10</v>
      </c>
      <c r="AE11" s="227">
        <f t="shared" ca="1" si="10"/>
        <v>34</v>
      </c>
      <c r="AF11" s="227">
        <f t="shared" ca="1" si="11"/>
        <v>41</v>
      </c>
      <c r="AG11" s="227">
        <f t="shared" ca="1" si="12"/>
        <v>75</v>
      </c>
      <c r="AH11" s="228">
        <f t="shared" ca="1" si="13"/>
        <v>0.45333333333333331</v>
      </c>
      <c r="AI11" s="229">
        <f t="shared" ca="1" si="14"/>
        <v>-42.546666666666667</v>
      </c>
      <c r="AJ11" s="230">
        <f t="shared" ca="1" si="15"/>
        <v>12</v>
      </c>
      <c r="AK11" s="231" t="s">
        <v>1265</v>
      </c>
      <c r="AL11" s="232" t="s">
        <v>1266</v>
      </c>
      <c r="AM11" s="233"/>
    </row>
    <row r="12" spans="1:39" ht="15" customHeight="1">
      <c r="A12" s="234">
        <f t="shared" si="16"/>
        <v>45493</v>
      </c>
      <c r="B12" s="212" t="s">
        <v>204</v>
      </c>
      <c r="C12" s="212" t="s">
        <v>251</v>
      </c>
      <c r="D12" s="173" t="s">
        <v>1267</v>
      </c>
      <c r="E12" s="107">
        <v>11</v>
      </c>
      <c r="F12" s="108">
        <v>11</v>
      </c>
      <c r="G12" s="106">
        <v>11</v>
      </c>
      <c r="H12" s="235">
        <f t="shared" si="0"/>
        <v>33</v>
      </c>
      <c r="I12" s="235">
        <f>$E$13+$F$10+$G$11</f>
        <v>25</v>
      </c>
      <c r="J12" s="235">
        <f t="shared" si="1"/>
        <v>58</v>
      </c>
      <c r="K12" s="236">
        <f t="shared" si="2"/>
        <v>0.56896551724137934</v>
      </c>
      <c r="L12" s="237">
        <f t="shared" si="3"/>
        <v>0.56896551724137934</v>
      </c>
      <c r="M12" s="238">
        <f t="shared" ca="1" si="4"/>
        <v>4</v>
      </c>
      <c r="N12" s="301"/>
      <c r="O12" s="217">
        <v>3</v>
      </c>
      <c r="P12" s="218" t="str">
        <f t="shared" ca="1" si="5"/>
        <v>Mark Schneeberger &amp; Nathan Gray</v>
      </c>
      <c r="Q12" s="217">
        <v>2</v>
      </c>
      <c r="R12" s="219">
        <v>11</v>
      </c>
      <c r="S12" s="242"/>
      <c r="T12" s="243"/>
      <c r="U12" s="244"/>
      <c r="V12" s="245"/>
      <c r="W12" s="246"/>
      <c r="X12" s="243"/>
      <c r="Y12" s="223">
        <f t="shared" ref="Y12:Z12" si="26">(Q12+S12+U12+W12)</f>
        <v>2</v>
      </c>
      <c r="Z12" s="223">
        <f t="shared" si="26"/>
        <v>11</v>
      </c>
      <c r="AA12" s="224">
        <f t="shared" si="7"/>
        <v>13</v>
      </c>
      <c r="AB12" s="225" t="s">
        <v>251</v>
      </c>
      <c r="AC12" s="226" t="str">
        <f t="shared" si="8"/>
        <v>Alex True &amp; Loren Ginden</v>
      </c>
      <c r="AD12" s="227">
        <f t="shared" ca="1" si="9"/>
        <v>4</v>
      </c>
      <c r="AE12" s="227">
        <f t="shared" ca="1" si="10"/>
        <v>39</v>
      </c>
      <c r="AF12" s="227">
        <f t="shared" ca="1" si="11"/>
        <v>36</v>
      </c>
      <c r="AG12" s="227">
        <f t="shared" ca="1" si="12"/>
        <v>75</v>
      </c>
      <c r="AH12" s="228">
        <f t="shared" ca="1" si="13"/>
        <v>0.52</v>
      </c>
      <c r="AI12" s="229">
        <f t="shared" ca="1" si="14"/>
        <v>-37.479999999999997</v>
      </c>
      <c r="AJ12" s="230">
        <f t="shared" ca="1" si="15"/>
        <v>8</v>
      </c>
      <c r="AK12" s="231" t="s">
        <v>1253</v>
      </c>
      <c r="AL12" s="232" t="s">
        <v>1268</v>
      </c>
      <c r="AM12" s="233"/>
    </row>
    <row r="13" spans="1:39" ht="15" customHeight="1">
      <c r="A13" s="249">
        <f t="shared" si="16"/>
        <v>45493</v>
      </c>
      <c r="B13" s="250" t="s">
        <v>204</v>
      </c>
      <c r="C13" s="250" t="s">
        <v>256</v>
      </c>
      <c r="D13" s="251" t="s">
        <v>1269</v>
      </c>
      <c r="E13" s="109">
        <v>6</v>
      </c>
      <c r="F13" s="110">
        <v>8</v>
      </c>
      <c r="G13" s="111">
        <v>7</v>
      </c>
      <c r="H13" s="252">
        <f t="shared" si="0"/>
        <v>21</v>
      </c>
      <c r="I13" s="252">
        <f>$E$12+$F$11+$G$10</f>
        <v>33</v>
      </c>
      <c r="J13" s="252">
        <f t="shared" si="1"/>
        <v>54</v>
      </c>
      <c r="K13" s="253">
        <f t="shared" si="2"/>
        <v>0.3888888888888889</v>
      </c>
      <c r="L13" s="254">
        <f t="shared" si="3"/>
        <v>-11.611111111111111</v>
      </c>
      <c r="M13" s="255">
        <f t="shared" ca="1" si="4"/>
        <v>13</v>
      </c>
      <c r="N13" s="302"/>
      <c r="O13" s="239">
        <v>14</v>
      </c>
      <c r="P13" s="240" t="str">
        <f t="shared" ca="1" si="5"/>
        <v>Patrick Blackwell &amp; Joe Rishmany</v>
      </c>
      <c r="Q13" s="239">
        <v>11</v>
      </c>
      <c r="R13" s="241">
        <v>2</v>
      </c>
      <c r="S13" s="256">
        <v>9</v>
      </c>
      <c r="T13" s="257">
        <v>11</v>
      </c>
      <c r="U13" s="244"/>
      <c r="V13" s="245"/>
      <c r="W13" s="246"/>
      <c r="X13" s="243"/>
      <c r="Y13" s="223">
        <f t="shared" ref="Y13:Z13" si="27">(Q13+S13+U13+W13)</f>
        <v>20</v>
      </c>
      <c r="Z13" s="223">
        <f t="shared" si="27"/>
        <v>13</v>
      </c>
      <c r="AA13" s="224">
        <f t="shared" si="7"/>
        <v>33</v>
      </c>
      <c r="AB13" s="225" t="s">
        <v>256</v>
      </c>
      <c r="AC13" s="226" t="str">
        <f t="shared" si="8"/>
        <v>Jason Steliga &amp; Jeremie Wilson</v>
      </c>
      <c r="AD13" s="227">
        <f t="shared" ca="1" si="9"/>
        <v>13</v>
      </c>
      <c r="AE13" s="227">
        <f t="shared" ca="1" si="10"/>
        <v>34</v>
      </c>
      <c r="AF13" s="227">
        <f t="shared" ca="1" si="11"/>
        <v>50</v>
      </c>
      <c r="AG13" s="227">
        <f t="shared" ca="1" si="12"/>
        <v>84</v>
      </c>
      <c r="AH13" s="228">
        <f t="shared" ca="1" si="13"/>
        <v>0.40476190476190477</v>
      </c>
      <c r="AI13" s="229">
        <f t="shared" ca="1" si="14"/>
        <v>-42.595238095238095</v>
      </c>
      <c r="AJ13" s="230">
        <f t="shared" ca="1" si="15"/>
        <v>13</v>
      </c>
      <c r="AK13" s="231" t="s">
        <v>1079</v>
      </c>
      <c r="AL13" s="232" t="s">
        <v>1090</v>
      </c>
      <c r="AM13" s="233"/>
    </row>
    <row r="14" spans="1:39" ht="15" customHeight="1">
      <c r="A14" s="211">
        <f t="shared" si="16"/>
        <v>45493</v>
      </c>
      <c r="B14" s="212" t="s">
        <v>204</v>
      </c>
      <c r="C14" s="212" t="s">
        <v>261</v>
      </c>
      <c r="D14" s="173" t="s">
        <v>1270</v>
      </c>
      <c r="E14" s="100">
        <v>2</v>
      </c>
      <c r="F14" s="101">
        <v>3</v>
      </c>
      <c r="G14" s="101">
        <v>2</v>
      </c>
      <c r="H14" s="213">
        <f t="shared" si="0"/>
        <v>7</v>
      </c>
      <c r="I14" s="213">
        <f>$E$15+$F$16+$G$17</f>
        <v>33</v>
      </c>
      <c r="J14" s="213">
        <f t="shared" si="1"/>
        <v>40</v>
      </c>
      <c r="K14" s="214">
        <f t="shared" si="2"/>
        <v>0.17499999999999999</v>
      </c>
      <c r="L14" s="258">
        <f t="shared" si="3"/>
        <v>-25.824999999999999</v>
      </c>
      <c r="M14" s="238">
        <f t="shared" ca="1" si="4"/>
        <v>16</v>
      </c>
      <c r="N14" s="301"/>
      <c r="O14" s="217">
        <v>7</v>
      </c>
      <c r="P14" s="218" t="str">
        <f t="shared" ca="1" si="5"/>
        <v>Amir Mohammed &amp; Justin Hoffman</v>
      </c>
      <c r="Q14" s="217">
        <v>11</v>
      </c>
      <c r="R14" s="219">
        <v>8</v>
      </c>
      <c r="S14" s="220">
        <v>10</v>
      </c>
      <c r="T14" s="221">
        <v>11</v>
      </c>
      <c r="U14" s="244"/>
      <c r="V14" s="245"/>
      <c r="W14" s="246"/>
      <c r="X14" s="243"/>
      <c r="Y14" s="223">
        <f t="shared" ref="Y14:Z14" si="28">(Q14+S14+U14+W14)</f>
        <v>21</v>
      </c>
      <c r="Z14" s="223">
        <f t="shared" si="28"/>
        <v>19</v>
      </c>
      <c r="AA14" s="224">
        <f t="shared" si="7"/>
        <v>40</v>
      </c>
      <c r="AB14" s="225" t="s">
        <v>261</v>
      </c>
      <c r="AC14" s="226" t="str">
        <f t="shared" si="8"/>
        <v>HyukJin Yun &amp; Jordan Watts</v>
      </c>
      <c r="AD14" s="227">
        <f t="shared" ca="1" si="9"/>
        <v>16</v>
      </c>
      <c r="AE14" s="227">
        <f t="shared" ca="1" si="10"/>
        <v>9</v>
      </c>
      <c r="AF14" s="227">
        <f t="shared" ca="1" si="11"/>
        <v>44</v>
      </c>
      <c r="AG14" s="227">
        <f t="shared" ca="1" si="12"/>
        <v>53</v>
      </c>
      <c r="AH14" s="228">
        <f t="shared" ca="1" si="13"/>
        <v>0.16981132075471697</v>
      </c>
      <c r="AI14" s="229">
        <f t="shared" ca="1" si="14"/>
        <v>-67.830188679245282</v>
      </c>
      <c r="AJ14" s="230">
        <f t="shared" ca="1" si="15"/>
        <v>16</v>
      </c>
      <c r="AK14" s="231" t="s">
        <v>1271</v>
      </c>
      <c r="AL14" s="232" t="s">
        <v>1272</v>
      </c>
      <c r="AM14" s="233"/>
    </row>
    <row r="15" spans="1:39" ht="15" customHeight="1">
      <c r="A15" s="234">
        <f t="shared" si="16"/>
        <v>45493</v>
      </c>
      <c r="B15" s="212" t="s">
        <v>204</v>
      </c>
      <c r="C15" s="212" t="s">
        <v>268</v>
      </c>
      <c r="D15" s="173" t="s">
        <v>1273</v>
      </c>
      <c r="E15" s="105">
        <v>11</v>
      </c>
      <c r="F15" s="106">
        <v>11</v>
      </c>
      <c r="G15" s="106">
        <v>8</v>
      </c>
      <c r="H15" s="235">
        <f t="shared" si="0"/>
        <v>30</v>
      </c>
      <c r="I15" s="235">
        <f>$E$14+$F$17+$G$16</f>
        <v>20</v>
      </c>
      <c r="J15" s="235">
        <f t="shared" si="1"/>
        <v>50</v>
      </c>
      <c r="K15" s="236">
        <f t="shared" si="2"/>
        <v>0.6</v>
      </c>
      <c r="L15" s="237">
        <f t="shared" si="3"/>
        <v>-2.4</v>
      </c>
      <c r="M15" s="238">
        <f t="shared" ca="1" si="4"/>
        <v>6</v>
      </c>
      <c r="N15" s="302"/>
      <c r="O15" s="239">
        <v>10</v>
      </c>
      <c r="P15" s="240" t="str">
        <f t="shared" ca="1" si="5"/>
        <v>Anthony Williams &amp; Thomas Rosewicz</v>
      </c>
      <c r="Q15" s="239">
        <v>8</v>
      </c>
      <c r="R15" s="241">
        <v>11</v>
      </c>
      <c r="S15" s="242"/>
      <c r="T15" s="243"/>
      <c r="U15" s="244"/>
      <c r="V15" s="245"/>
      <c r="W15" s="246"/>
      <c r="X15" s="243"/>
      <c r="Y15" s="223">
        <f t="shared" ref="Y15:Z15" si="29">(Q15+S15+U15+W15)</f>
        <v>8</v>
      </c>
      <c r="Z15" s="223">
        <f t="shared" si="29"/>
        <v>11</v>
      </c>
      <c r="AA15" s="224">
        <f t="shared" si="7"/>
        <v>19</v>
      </c>
      <c r="AB15" s="225" t="s">
        <v>268</v>
      </c>
      <c r="AC15" s="226" t="str">
        <f t="shared" si="8"/>
        <v>JD Asbell &amp; Will Polese</v>
      </c>
      <c r="AD15" s="227">
        <f t="shared" ca="1" si="9"/>
        <v>6</v>
      </c>
      <c r="AE15" s="227">
        <f t="shared" ca="1" si="10"/>
        <v>37</v>
      </c>
      <c r="AF15" s="227">
        <f t="shared" ca="1" si="11"/>
        <v>31</v>
      </c>
      <c r="AG15" s="227">
        <f t="shared" ca="1" si="12"/>
        <v>68</v>
      </c>
      <c r="AH15" s="228">
        <f t="shared" ca="1" si="13"/>
        <v>0.54411764705882348</v>
      </c>
      <c r="AI15" s="229">
        <f t="shared" ca="1" si="14"/>
        <v>-39.455882352941174</v>
      </c>
      <c r="AJ15" s="230">
        <f t="shared" ca="1" si="15"/>
        <v>10</v>
      </c>
      <c r="AK15" s="231" t="s">
        <v>1204</v>
      </c>
      <c r="AL15" s="232" t="s">
        <v>1189</v>
      </c>
      <c r="AM15" s="233"/>
    </row>
    <row r="16" spans="1:39" ht="15" customHeight="1">
      <c r="A16" s="234">
        <f t="shared" si="16"/>
        <v>45493</v>
      </c>
      <c r="B16" s="212" t="s">
        <v>204</v>
      </c>
      <c r="C16" s="212" t="s">
        <v>271</v>
      </c>
      <c r="D16" s="173" t="s">
        <v>1274</v>
      </c>
      <c r="E16" s="107">
        <v>11</v>
      </c>
      <c r="F16" s="108">
        <v>11</v>
      </c>
      <c r="G16" s="106">
        <v>11</v>
      </c>
      <c r="H16" s="235">
        <f t="shared" si="0"/>
        <v>33</v>
      </c>
      <c r="I16" s="235">
        <f>$E$17+$F$14+$G$15</f>
        <v>19</v>
      </c>
      <c r="J16" s="235">
        <f t="shared" si="1"/>
        <v>52</v>
      </c>
      <c r="K16" s="236">
        <f t="shared" si="2"/>
        <v>0.63461538461538458</v>
      </c>
      <c r="L16" s="237">
        <f t="shared" si="3"/>
        <v>0.63461538461538458</v>
      </c>
      <c r="M16" s="238">
        <f t="shared" ca="1" si="4"/>
        <v>3</v>
      </c>
      <c r="N16" s="301"/>
      <c r="O16" s="217">
        <v>2</v>
      </c>
      <c r="P16" s="218" t="str">
        <f t="shared" ca="1" si="5"/>
        <v>Dung Le &amp; Robert Madison</v>
      </c>
      <c r="Q16" s="217">
        <v>11</v>
      </c>
      <c r="R16" s="219">
        <v>5</v>
      </c>
      <c r="S16" s="242">
        <v>11</v>
      </c>
      <c r="T16" s="243">
        <v>10</v>
      </c>
      <c r="U16" s="244">
        <v>11</v>
      </c>
      <c r="V16" s="245">
        <v>7</v>
      </c>
      <c r="W16" s="246">
        <v>11</v>
      </c>
      <c r="X16" s="243">
        <v>9</v>
      </c>
      <c r="Y16" s="223">
        <f t="shared" ref="Y16:Z16" si="30">(Q16+S16+U16+W16)</f>
        <v>44</v>
      </c>
      <c r="Z16" s="223">
        <f t="shared" si="30"/>
        <v>31</v>
      </c>
      <c r="AA16" s="224">
        <f t="shared" si="7"/>
        <v>75</v>
      </c>
      <c r="AB16" s="225" t="s">
        <v>271</v>
      </c>
      <c r="AC16" s="226" t="str">
        <f t="shared" si="8"/>
        <v>Mark Schneeberger &amp; Nathan Gray</v>
      </c>
      <c r="AD16" s="227">
        <f t="shared" ca="1" si="9"/>
        <v>3</v>
      </c>
      <c r="AE16" s="227">
        <f t="shared" ca="1" si="10"/>
        <v>35</v>
      </c>
      <c r="AF16" s="227">
        <f t="shared" ca="1" si="11"/>
        <v>30</v>
      </c>
      <c r="AG16" s="227">
        <f t="shared" ca="1" si="12"/>
        <v>65</v>
      </c>
      <c r="AH16" s="228">
        <f t="shared" ca="1" si="13"/>
        <v>0.53846153846153844</v>
      </c>
      <c r="AI16" s="229">
        <f t="shared" ca="1" si="14"/>
        <v>-41.46153846153846</v>
      </c>
      <c r="AJ16" s="230">
        <f t="shared" ca="1" si="15"/>
        <v>11</v>
      </c>
      <c r="AK16" s="231" t="s">
        <v>1207</v>
      </c>
      <c r="AL16" s="232" t="s">
        <v>1196</v>
      </c>
      <c r="AM16" s="233"/>
    </row>
    <row r="17" spans="1:39" ht="15" customHeight="1">
      <c r="A17" s="259">
        <f t="shared" si="16"/>
        <v>45493</v>
      </c>
      <c r="B17" s="260" t="s">
        <v>204</v>
      </c>
      <c r="C17" s="260" t="s">
        <v>276</v>
      </c>
      <c r="D17" s="261" t="s">
        <v>1275</v>
      </c>
      <c r="E17" s="262">
        <v>8</v>
      </c>
      <c r="F17" s="263">
        <v>7</v>
      </c>
      <c r="G17" s="264">
        <v>11</v>
      </c>
      <c r="H17" s="265">
        <f t="shared" si="0"/>
        <v>26</v>
      </c>
      <c r="I17" s="265">
        <f>$E$16+$F$15+$G$14</f>
        <v>24</v>
      </c>
      <c r="J17" s="265">
        <f t="shared" si="1"/>
        <v>50</v>
      </c>
      <c r="K17" s="266">
        <f t="shared" si="2"/>
        <v>0.52</v>
      </c>
      <c r="L17" s="267">
        <f t="shared" si="3"/>
        <v>-6.48</v>
      </c>
      <c r="M17" s="268">
        <f t="shared" ca="1" si="4"/>
        <v>9</v>
      </c>
      <c r="N17" s="303"/>
      <c r="O17" s="269">
        <v>15</v>
      </c>
      <c r="P17" s="270" t="str">
        <f t="shared" ca="1" si="5"/>
        <v>Grif Sims &amp; Stephen Limpic</v>
      </c>
      <c r="Q17" s="269">
        <v>5</v>
      </c>
      <c r="R17" s="271">
        <v>11</v>
      </c>
      <c r="S17" s="272"/>
      <c r="T17" s="273"/>
      <c r="U17" s="274"/>
      <c r="V17" s="275"/>
      <c r="W17" s="276"/>
      <c r="X17" s="273"/>
      <c r="Y17" s="277">
        <f t="shared" ref="Y17:Z17" si="31">(Q17+S17+U17+W17)</f>
        <v>5</v>
      </c>
      <c r="Z17" s="277">
        <f t="shared" si="31"/>
        <v>11</v>
      </c>
      <c r="AA17" s="278">
        <f t="shared" si="7"/>
        <v>16</v>
      </c>
      <c r="AB17" s="279" t="s">
        <v>276</v>
      </c>
      <c r="AC17" s="280" t="str">
        <f t="shared" si="8"/>
        <v>Roy True &amp; Dan Gassel</v>
      </c>
      <c r="AD17" s="281">
        <f t="shared" ca="1" si="9"/>
        <v>9</v>
      </c>
      <c r="AE17" s="281">
        <f t="shared" ca="1" si="10"/>
        <v>31</v>
      </c>
      <c r="AF17" s="281">
        <f t="shared" ca="1" si="11"/>
        <v>35</v>
      </c>
      <c r="AG17" s="281">
        <f t="shared" ca="1" si="12"/>
        <v>66</v>
      </c>
      <c r="AH17" s="282">
        <f t="shared" ca="1" si="13"/>
        <v>0.46969696969696972</v>
      </c>
      <c r="AI17" s="283">
        <f t="shared" ca="1" si="14"/>
        <v>-45.530303030303031</v>
      </c>
      <c r="AJ17" s="284">
        <f t="shared" ca="1" si="15"/>
        <v>14</v>
      </c>
      <c r="AK17" s="285" t="s">
        <v>719</v>
      </c>
      <c r="AL17" s="286" t="s">
        <v>857</v>
      </c>
      <c r="AM17" s="233"/>
    </row>
    <row r="18" spans="1:39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</row>
    <row r="19" spans="1:39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137</v>
      </c>
      <c r="F19" s="287">
        <f t="shared" si="32"/>
        <v>128</v>
      </c>
      <c r="G19" s="287">
        <f>SUM(G2:G18)</f>
        <v>142</v>
      </c>
      <c r="H19" s="287">
        <f t="shared" ref="H19:I19" si="33">SUM(H2:H17)</f>
        <v>407</v>
      </c>
      <c r="I19" s="287">
        <f t="shared" si="33"/>
        <v>407</v>
      </c>
      <c r="J19" s="292">
        <f>SUM(J2:J17)/2</f>
        <v>407</v>
      </c>
      <c r="K19" s="293" t="s">
        <v>1340</v>
      </c>
      <c r="L19" s="291"/>
      <c r="M19" s="287"/>
      <c r="N19" s="287"/>
      <c r="O19" s="287"/>
      <c r="P19" s="287"/>
      <c r="Q19" s="287">
        <f t="shared" ref="Q19:Z19" si="34">SUM(Q2:Q17)</f>
        <v>132</v>
      </c>
      <c r="R19" s="287">
        <f t="shared" si="34"/>
        <v>132</v>
      </c>
      <c r="S19" s="287">
        <f t="shared" si="34"/>
        <v>70</v>
      </c>
      <c r="T19" s="287">
        <f t="shared" si="34"/>
        <v>70</v>
      </c>
      <c r="U19" s="287">
        <f t="shared" si="34"/>
        <v>34</v>
      </c>
      <c r="V19" s="287">
        <f t="shared" si="34"/>
        <v>34</v>
      </c>
      <c r="W19" s="287">
        <f t="shared" si="34"/>
        <v>20</v>
      </c>
      <c r="X19" s="287">
        <f t="shared" si="34"/>
        <v>20</v>
      </c>
      <c r="Y19" s="287">
        <f t="shared" si="34"/>
        <v>256</v>
      </c>
      <c r="Z19" s="287">
        <f t="shared" si="34"/>
        <v>256</v>
      </c>
      <c r="AA19" s="287">
        <f>SUM(AA2:AA17)/2</f>
        <v>256</v>
      </c>
      <c r="AB19" s="287"/>
      <c r="AC19" s="287"/>
      <c r="AD19" s="287"/>
      <c r="AE19" s="287">
        <f t="shared" ref="AE19:AF19" ca="1" si="35">SUM(AE2:AE17)</f>
        <v>663</v>
      </c>
      <c r="AF19" s="287">
        <f t="shared" ca="1" si="35"/>
        <v>663</v>
      </c>
      <c r="AG19" s="287">
        <f ca="1">SUM(AG2:AG17)/2</f>
        <v>663</v>
      </c>
      <c r="AH19" s="287"/>
      <c r="AI19" s="287"/>
      <c r="AJ19" s="287"/>
      <c r="AK19" s="287"/>
      <c r="AL19" s="287"/>
      <c r="AM19" s="287"/>
    </row>
    <row r="20" spans="1:39" ht="15" customHeight="1">
      <c r="A20" s="287"/>
      <c r="B20" s="304"/>
      <c r="C20" s="304"/>
      <c r="D20" s="295" t="s">
        <v>15</v>
      </c>
      <c r="E20" s="295">
        <f t="shared" ref="E20:G20" si="36">COUNTIF(E2:E17, 10)</f>
        <v>0</v>
      </c>
      <c r="F20" s="295">
        <f t="shared" si="36"/>
        <v>1</v>
      </c>
      <c r="G20" s="295">
        <f t="shared" si="36"/>
        <v>1</v>
      </c>
      <c r="H20" s="296"/>
      <c r="I20" s="296"/>
      <c r="J20" s="297">
        <f>AVERAGE(J2:J17)</f>
        <v>50.875</v>
      </c>
      <c r="K20" s="293" t="s">
        <v>1341</v>
      </c>
      <c r="L20" s="291"/>
      <c r="M20" s="287"/>
      <c r="N20" s="287"/>
      <c r="O20" s="287"/>
      <c r="P20" s="287"/>
      <c r="Q20" s="287"/>
      <c r="R20" s="295">
        <f>COUNTIF(R2:R17, 10)</f>
        <v>0</v>
      </c>
      <c r="S20" s="287"/>
      <c r="T20" s="295">
        <f>COUNTIF(T2:T17, 10)</f>
        <v>1</v>
      </c>
      <c r="U20" s="287"/>
      <c r="V20" s="295">
        <f>COUNTIF(V2:V17, 10)</f>
        <v>0</v>
      </c>
      <c r="W20" s="287"/>
      <c r="X20" s="295">
        <f>COUNTIF(X2:X17, 10)</f>
        <v>0</v>
      </c>
      <c r="Y20" s="287"/>
      <c r="Z20" s="296"/>
      <c r="AA20" s="295">
        <f>SUM(E20:G20,R20,T20,V20,X20)</f>
        <v>3</v>
      </c>
      <c r="AB20" s="296"/>
      <c r="AC20" s="296"/>
      <c r="AD20" s="296"/>
      <c r="AE20" s="296"/>
      <c r="AF20" s="287" t="s">
        <v>1342</v>
      </c>
      <c r="AG20" s="287">
        <f ca="1">AVERAGE(AG2:AG17)</f>
        <v>82.875</v>
      </c>
      <c r="AH20" s="287"/>
      <c r="AI20" s="287"/>
      <c r="AJ20" s="287"/>
      <c r="AK20" s="287"/>
      <c r="AL20" s="287"/>
      <c r="AM20" s="287"/>
    </row>
    <row r="21" spans="1:39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96"/>
      <c r="AA21" s="287"/>
      <c r="AB21" s="296"/>
      <c r="AC21" s="296"/>
      <c r="AD21" s="296"/>
      <c r="AE21" s="296"/>
      <c r="AF21" s="296"/>
      <c r="AG21" s="287"/>
      <c r="AH21" s="287"/>
      <c r="AI21" s="287"/>
      <c r="AJ21" s="287"/>
      <c r="AK21" s="287"/>
      <c r="AL21" s="287"/>
      <c r="AM21" s="287"/>
    </row>
    <row r="22" spans="1:39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96"/>
      <c r="AA22" s="287"/>
      <c r="AB22" s="296"/>
      <c r="AC22" s="296"/>
      <c r="AD22" s="296"/>
      <c r="AE22" s="296"/>
      <c r="AF22" s="296"/>
      <c r="AG22" s="287"/>
      <c r="AH22" s="287"/>
      <c r="AI22" s="287"/>
      <c r="AJ22" s="287"/>
      <c r="AK22" s="287"/>
      <c r="AL22" s="287"/>
      <c r="AM22" s="287"/>
    </row>
  </sheetData>
  <conditionalFormatting sqref="H2:H17">
    <cfRule type="cellIs" dxfId="159" priority="5" operator="equal">
      <formula>33</formula>
    </cfRule>
  </conditionalFormatting>
  <conditionalFormatting sqref="P2:AA17">
    <cfRule type="expression" dxfId="158" priority="1">
      <formula>$W2=11</formula>
    </cfRule>
  </conditionalFormatting>
  <conditionalFormatting sqref="Q2:R17">
    <cfRule type="expression" dxfId="157" priority="2">
      <formula>$Q2=11</formula>
    </cfRule>
  </conditionalFormatting>
  <conditionalFormatting sqref="S2:T17">
    <cfRule type="expression" dxfId="156" priority="3">
      <formula>$S2=11</formula>
    </cfRule>
  </conditionalFormatting>
  <conditionalFormatting sqref="U2:V17">
    <cfRule type="expression" dxfId="155" priority="4">
      <formula>$U2=11</formula>
    </cfRule>
  </conditionalFormatting>
  <conditionalFormatting sqref="AB2:AJ17">
    <cfRule type="expression" dxfId="154" priority="6">
      <formula>$AJ2=1</formula>
    </cfRule>
    <cfRule type="expression" dxfId="153" priority="8">
      <formula>$AJ2=2</formula>
    </cfRule>
  </conditionalFormatting>
  <conditionalFormatting sqref="AJ2:AJ17">
    <cfRule type="expression" dxfId="152" priority="7">
      <formula>COUNTIF(AJ$2:AJ$17,$AJ2)&gt;1</formula>
    </cfRule>
  </conditionalFormatting>
  <hyperlinks>
    <hyperlink ref="AM1" location="Champions!A1" display="Home" xr:uid="{00000000-0004-0000-0500-000000000000}"/>
    <hyperlink ref="A19" location="Champions!A1" display="Home" xr:uid="{00000000-0004-0000-0500-000001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2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8.7265625" customWidth="1"/>
    <col min="10" max="10" width="6.54296875" customWidth="1"/>
    <col min="11" max="11" width="6.26953125" customWidth="1"/>
    <col min="12" max="13" width="8.26953125" customWidth="1"/>
    <col min="14" max="14" width="32" customWidth="1"/>
    <col min="15" max="22" width="6.26953125" customWidth="1"/>
    <col min="23" max="25" width="7.7265625" customWidth="1"/>
    <col min="26" max="26" width="7" customWidth="1"/>
    <col min="27" max="27" width="33.26953125" customWidth="1"/>
    <col min="28" max="28" width="5.26953125" customWidth="1"/>
    <col min="29" max="30" width="7.7265625" customWidth="1"/>
    <col min="31" max="35" width="8.453125" customWidth="1"/>
  </cols>
  <sheetData>
    <row r="1" spans="1:35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199" t="s">
        <v>180</v>
      </c>
      <c r="K1" s="200" t="s">
        <v>181</v>
      </c>
      <c r="L1" s="300" t="s">
        <v>1343</v>
      </c>
      <c r="M1" s="201" t="s">
        <v>1336</v>
      </c>
      <c r="N1" s="201" t="s">
        <v>1337</v>
      </c>
      <c r="O1" s="202" t="s">
        <v>184</v>
      </c>
      <c r="P1" s="201" t="s">
        <v>185</v>
      </c>
      <c r="Q1" s="203" t="s">
        <v>186</v>
      </c>
      <c r="R1" s="203" t="s">
        <v>187</v>
      </c>
      <c r="S1" s="204" t="s">
        <v>188</v>
      </c>
      <c r="T1" s="204" t="s">
        <v>189</v>
      </c>
      <c r="U1" s="204" t="s">
        <v>190</v>
      </c>
      <c r="V1" s="204" t="s">
        <v>191</v>
      </c>
      <c r="W1" s="198" t="s">
        <v>192</v>
      </c>
      <c r="X1" s="198" t="s">
        <v>193</v>
      </c>
      <c r="Y1" s="205" t="s">
        <v>194</v>
      </c>
      <c r="Z1" s="206" t="s">
        <v>171</v>
      </c>
      <c r="AA1" s="204" t="s">
        <v>195</v>
      </c>
      <c r="AB1" s="204" t="s">
        <v>181</v>
      </c>
      <c r="AC1" s="204" t="s">
        <v>196</v>
      </c>
      <c r="AD1" s="204" t="s">
        <v>197</v>
      </c>
      <c r="AE1" s="204" t="s">
        <v>198</v>
      </c>
      <c r="AF1" s="204" t="s">
        <v>1338</v>
      </c>
      <c r="AG1" s="204" t="s">
        <v>200</v>
      </c>
      <c r="AH1" s="306" t="s">
        <v>201</v>
      </c>
      <c r="AI1" s="210" t="s">
        <v>1339</v>
      </c>
    </row>
    <row r="2" spans="1:35" ht="15" customHeight="1">
      <c r="A2" s="307" t="s">
        <v>205</v>
      </c>
      <c r="B2" s="173" t="s">
        <v>1234</v>
      </c>
      <c r="C2" s="100">
        <v>11</v>
      </c>
      <c r="D2" s="101">
        <v>5</v>
      </c>
      <c r="E2" s="101">
        <v>10</v>
      </c>
      <c r="F2" s="213">
        <f t="shared" ref="F2:F17" si="0">SUM(C2:E2)</f>
        <v>26</v>
      </c>
      <c r="G2" s="213">
        <f>$C$3+$D$4+$E$5</f>
        <v>31</v>
      </c>
      <c r="H2" s="213">
        <f t="shared" ref="H2:H17" si="1">SUM(F2:G2)</f>
        <v>57</v>
      </c>
      <c r="I2" s="214">
        <f t="shared" ref="I2:I17" si="2">IFERROR(F2/H2,"")</f>
        <v>0.45614035087719296</v>
      </c>
      <c r="J2" s="215">
        <f t="shared" ref="J2:J17" si="3">IF(H2&gt;0,I2-(33-F2),)</f>
        <v>-6.5438596491228074</v>
      </c>
      <c r="K2" s="216">
        <f t="shared" ref="K2:K17" ca="1" si="4">IFERROR(RANK(J2, OFFSET(J$2, 0, 0, COUNTA(J$2:J$17), 1)) + COUNTIF($J$2:J2, J2) - 1, "")</f>
        <v>7</v>
      </c>
      <c r="L2" s="301" t="s">
        <v>1345</v>
      </c>
      <c r="M2" s="217">
        <v>1</v>
      </c>
      <c r="N2" s="218" t="str">
        <f t="shared" ref="N2:N17" ca="1" si="5">IFERROR(INDEX($A$2:$AH$17,MATCH(M2,$K$2:$K$17,0),2),)</f>
        <v>Bree Ginden &amp; William Gross</v>
      </c>
      <c r="O2" s="217">
        <v>11</v>
      </c>
      <c r="P2" s="219">
        <v>1</v>
      </c>
      <c r="Q2" s="220">
        <v>11</v>
      </c>
      <c r="R2" s="221">
        <v>5</v>
      </c>
      <c r="S2" s="217">
        <v>11</v>
      </c>
      <c r="T2" s="219">
        <v>5</v>
      </c>
      <c r="U2" s="222">
        <v>10</v>
      </c>
      <c r="V2" s="221">
        <v>11</v>
      </c>
      <c r="W2" s="223">
        <f t="shared" ref="W2:X2" si="6">(O2+Q2+S2+U2)</f>
        <v>43</v>
      </c>
      <c r="X2" s="223">
        <f t="shared" si="6"/>
        <v>22</v>
      </c>
      <c r="Y2" s="224">
        <f t="shared" ref="Y2:Y17" si="7">W2+X2</f>
        <v>65</v>
      </c>
      <c r="Z2" s="225" t="s">
        <v>205</v>
      </c>
      <c r="AA2" s="226" t="str">
        <f t="shared" ref="AA2:AA17" si="8">INDEX($A$2:$B$17,MATCH(Z2,$A$2:$A$17,0),2)</f>
        <v>Mary Pflanz &amp; Stephen Limpic</v>
      </c>
      <c r="AB2" s="227">
        <f t="shared" ref="AB2:AB17" ca="1" si="9">INDEX($B$2:$K$17, MATCH($AA2,$B$2:$B$17,0),10)</f>
        <v>7</v>
      </c>
      <c r="AC2" s="227">
        <f t="shared" ref="AC2:AC17" ca="1" si="10">INDEX($A$2:$AH$17,(MATCH($AA2,$B$2:$B$17,0)),6)+INDEX($N$2:$AE$17,MATCH($AA2,$N$2:$N$17,0),10)</f>
        <v>40</v>
      </c>
      <c r="AD2" s="227">
        <f t="shared" ref="AD2:AD17" ca="1" si="11">INDEX($A$2:$AH$17,(MATCH($AA2,$B$2:$B$17,0)),7)+INDEX($N$2:$AE$17,MATCH($AA2,$N$2:$N$17,0),11)</f>
        <v>48</v>
      </c>
      <c r="AE2" s="227">
        <f t="shared" ref="AE2:AE17" ca="1" si="12">SUM(AC2:AD2)</f>
        <v>88</v>
      </c>
      <c r="AF2" s="228">
        <f t="shared" ref="AF2:AF17" ca="1" si="13">IFERROR(AC2/AE2,)</f>
        <v>0.45454545454545453</v>
      </c>
      <c r="AG2" s="229">
        <f t="shared" ref="AG2:AG17" ca="1" si="14">AF2-(77-AC2)</f>
        <v>-36.545454545454547</v>
      </c>
      <c r="AH2" s="308">
        <f t="shared" ref="AH2:AH17" ca="1" si="15">IFERROR(RANK(AG2,OFFSET($AG$2,0,0,COUNTA($AG$2:$AG$17),1)),)</f>
        <v>8</v>
      </c>
      <c r="AI2" s="233"/>
    </row>
    <row r="3" spans="1:35" ht="15" customHeight="1">
      <c r="A3" s="309" t="s">
        <v>211</v>
      </c>
      <c r="B3" s="173" t="s">
        <v>1235</v>
      </c>
      <c r="C3" s="105">
        <v>9</v>
      </c>
      <c r="D3" s="106">
        <v>5</v>
      </c>
      <c r="E3" s="106">
        <v>4</v>
      </c>
      <c r="F3" s="235">
        <f t="shared" si="0"/>
        <v>18</v>
      </c>
      <c r="G3" s="235">
        <f>$C$2+$D$5+$E$4</f>
        <v>33</v>
      </c>
      <c r="H3" s="235">
        <f t="shared" si="1"/>
        <v>51</v>
      </c>
      <c r="I3" s="236">
        <f t="shared" si="2"/>
        <v>0.35294117647058826</v>
      </c>
      <c r="J3" s="237">
        <f t="shared" si="3"/>
        <v>-14.647058823529411</v>
      </c>
      <c r="K3" s="238">
        <f t="shared" ca="1" si="4"/>
        <v>14</v>
      </c>
      <c r="L3" s="302" t="s">
        <v>1346</v>
      </c>
      <c r="M3" s="239">
        <v>16</v>
      </c>
      <c r="N3" s="240" t="str">
        <f t="shared" ca="1" si="5"/>
        <v>Alli Hiatt &amp; Mark McDonald</v>
      </c>
      <c r="O3" s="239">
        <v>1</v>
      </c>
      <c r="P3" s="241">
        <v>11</v>
      </c>
      <c r="Q3" s="242"/>
      <c r="R3" s="243"/>
      <c r="S3" s="244"/>
      <c r="T3" s="245"/>
      <c r="U3" s="246"/>
      <c r="V3" s="243"/>
      <c r="W3" s="223">
        <f t="shared" ref="W3:X3" si="16">(O3+Q3+S3+U3)</f>
        <v>1</v>
      </c>
      <c r="X3" s="223">
        <f t="shared" si="16"/>
        <v>11</v>
      </c>
      <c r="Y3" s="224">
        <f t="shared" si="7"/>
        <v>12</v>
      </c>
      <c r="Z3" s="225" t="s">
        <v>211</v>
      </c>
      <c r="AA3" s="226" t="str">
        <f t="shared" si="8"/>
        <v>Maryn Petty &amp; Will Polese</v>
      </c>
      <c r="AB3" s="227">
        <f t="shared" ca="1" si="9"/>
        <v>14</v>
      </c>
      <c r="AC3" s="227">
        <f t="shared" ca="1" si="10"/>
        <v>24</v>
      </c>
      <c r="AD3" s="227">
        <f t="shared" ca="1" si="11"/>
        <v>44</v>
      </c>
      <c r="AE3" s="227">
        <f t="shared" ca="1" si="12"/>
        <v>68</v>
      </c>
      <c r="AF3" s="228">
        <f t="shared" ca="1" si="13"/>
        <v>0.35294117647058826</v>
      </c>
      <c r="AG3" s="229">
        <f t="shared" ca="1" si="14"/>
        <v>-52.647058823529413</v>
      </c>
      <c r="AH3" s="308">
        <f t="shared" ca="1" si="15"/>
        <v>13</v>
      </c>
    </row>
    <row r="4" spans="1:35" ht="15" customHeight="1">
      <c r="A4" s="309" t="s">
        <v>216</v>
      </c>
      <c r="B4" s="173" t="s">
        <v>156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$C$5+$D$2+$E$3</f>
        <v>11</v>
      </c>
      <c r="H4" s="235">
        <f t="shared" si="1"/>
        <v>44</v>
      </c>
      <c r="I4" s="236">
        <f t="shared" si="2"/>
        <v>0.75</v>
      </c>
      <c r="J4" s="237">
        <f t="shared" si="3"/>
        <v>0.75</v>
      </c>
      <c r="K4" s="238">
        <f t="shared" ca="1" si="4"/>
        <v>2</v>
      </c>
      <c r="L4" s="301" t="s">
        <v>1347</v>
      </c>
      <c r="M4" s="217">
        <v>8</v>
      </c>
      <c r="N4" s="218" t="str">
        <f t="shared" ca="1" si="5"/>
        <v>Samantha Green &amp; Jason Bonet</v>
      </c>
      <c r="O4" s="217">
        <v>9</v>
      </c>
      <c r="P4" s="219">
        <v>11</v>
      </c>
      <c r="Q4" s="242"/>
      <c r="R4" s="243"/>
      <c r="S4" s="244"/>
      <c r="T4" s="245"/>
      <c r="U4" s="246"/>
      <c r="V4" s="243"/>
      <c r="W4" s="223">
        <f t="shared" ref="W4:X4" si="17">(O4+Q4+S4+U4)</f>
        <v>9</v>
      </c>
      <c r="X4" s="223">
        <f t="shared" si="17"/>
        <v>11</v>
      </c>
      <c r="Y4" s="224">
        <f t="shared" si="7"/>
        <v>20</v>
      </c>
      <c r="Z4" s="225" t="s">
        <v>216</v>
      </c>
      <c r="AA4" s="226" t="str">
        <f t="shared" si="8"/>
        <v>Betsy Norberg &amp; Andy Lockard</v>
      </c>
      <c r="AB4" s="227">
        <f t="shared" ca="1" si="9"/>
        <v>2</v>
      </c>
      <c r="AC4" s="227">
        <f t="shared" ca="1" si="10"/>
        <v>77</v>
      </c>
      <c r="AD4" s="227">
        <f t="shared" ca="1" si="11"/>
        <v>28</v>
      </c>
      <c r="AE4" s="227">
        <f t="shared" ca="1" si="12"/>
        <v>105</v>
      </c>
      <c r="AF4" s="228">
        <f t="shared" ca="1" si="13"/>
        <v>0.73333333333333328</v>
      </c>
      <c r="AG4" s="229">
        <f t="shared" ca="1" si="14"/>
        <v>0.73333333333333328</v>
      </c>
      <c r="AH4" s="308">
        <f t="shared" ca="1" si="15"/>
        <v>1</v>
      </c>
      <c r="AI4" s="233"/>
    </row>
    <row r="5" spans="1:35" ht="15" customHeight="1">
      <c r="A5" s="310" t="s">
        <v>221</v>
      </c>
      <c r="B5" s="251" t="s">
        <v>1239</v>
      </c>
      <c r="C5" s="109">
        <v>2</v>
      </c>
      <c r="D5" s="110">
        <v>11</v>
      </c>
      <c r="E5" s="111">
        <v>11</v>
      </c>
      <c r="F5" s="252">
        <f t="shared" si="0"/>
        <v>24</v>
      </c>
      <c r="G5" s="252">
        <f>$C$4+$D$3+$E$2</f>
        <v>26</v>
      </c>
      <c r="H5" s="252">
        <f t="shared" si="1"/>
        <v>50</v>
      </c>
      <c r="I5" s="253">
        <f t="shared" si="2"/>
        <v>0.48</v>
      </c>
      <c r="J5" s="254">
        <f t="shared" si="3"/>
        <v>-8.52</v>
      </c>
      <c r="K5" s="255">
        <f t="shared" ca="1" si="4"/>
        <v>9</v>
      </c>
      <c r="L5" s="302" t="s">
        <v>1348</v>
      </c>
      <c r="M5" s="239">
        <v>9</v>
      </c>
      <c r="N5" s="240" t="str">
        <f t="shared" ca="1" si="5"/>
        <v>Sophia Black &amp; Hunter Vincent</v>
      </c>
      <c r="O5" s="239">
        <v>11</v>
      </c>
      <c r="P5" s="241">
        <v>9</v>
      </c>
      <c r="Q5" s="256">
        <v>5</v>
      </c>
      <c r="R5" s="257">
        <v>11</v>
      </c>
      <c r="S5" s="244"/>
      <c r="T5" s="245"/>
      <c r="U5" s="246"/>
      <c r="V5" s="243"/>
      <c r="W5" s="223">
        <f t="shared" ref="W5:X5" si="18">(O5+Q5+S5+U5)</f>
        <v>16</v>
      </c>
      <c r="X5" s="223">
        <f t="shared" si="18"/>
        <v>20</v>
      </c>
      <c r="Y5" s="224">
        <f t="shared" si="7"/>
        <v>36</v>
      </c>
      <c r="Z5" s="225" t="s">
        <v>221</v>
      </c>
      <c r="AA5" s="226" t="str">
        <f t="shared" si="8"/>
        <v>Sophia Black &amp; Hunter Vincent</v>
      </c>
      <c r="AB5" s="227">
        <f t="shared" ca="1" si="9"/>
        <v>9</v>
      </c>
      <c r="AC5" s="227">
        <f t="shared" ca="1" si="10"/>
        <v>40</v>
      </c>
      <c r="AD5" s="227">
        <f t="shared" ca="1" si="11"/>
        <v>46</v>
      </c>
      <c r="AE5" s="227">
        <f t="shared" ca="1" si="12"/>
        <v>86</v>
      </c>
      <c r="AF5" s="228">
        <f t="shared" ca="1" si="13"/>
        <v>0.46511627906976744</v>
      </c>
      <c r="AG5" s="229">
        <f t="shared" ca="1" si="14"/>
        <v>-36.534883720930232</v>
      </c>
      <c r="AH5" s="308">
        <f t="shared" ca="1" si="15"/>
        <v>7</v>
      </c>
      <c r="AI5" s="233"/>
    </row>
    <row r="6" spans="1:35" ht="15" customHeight="1">
      <c r="A6" s="307" t="s">
        <v>224</v>
      </c>
      <c r="B6" s="173" t="s">
        <v>1238</v>
      </c>
      <c r="C6" s="100">
        <v>11</v>
      </c>
      <c r="D6" s="101">
        <v>11</v>
      </c>
      <c r="E6" s="101">
        <v>3</v>
      </c>
      <c r="F6" s="213">
        <f t="shared" si="0"/>
        <v>25</v>
      </c>
      <c r="G6" s="213">
        <f>$C$7+$D$8+$E$9</f>
        <v>24</v>
      </c>
      <c r="H6" s="213">
        <f t="shared" si="1"/>
        <v>49</v>
      </c>
      <c r="I6" s="214">
        <f t="shared" si="2"/>
        <v>0.51020408163265307</v>
      </c>
      <c r="J6" s="258">
        <f t="shared" si="3"/>
        <v>-7.4897959183673466</v>
      </c>
      <c r="K6" s="238">
        <f t="shared" ca="1" si="4"/>
        <v>8</v>
      </c>
      <c r="L6" s="301" t="s">
        <v>1349</v>
      </c>
      <c r="M6" s="217">
        <v>5</v>
      </c>
      <c r="N6" s="218" t="str">
        <f t="shared" ca="1" si="5"/>
        <v>Maria Andrew &amp; Eric Santon</v>
      </c>
      <c r="O6" s="217">
        <v>11</v>
      </c>
      <c r="P6" s="219">
        <v>2</v>
      </c>
      <c r="Q6" s="220">
        <v>8</v>
      </c>
      <c r="R6" s="221">
        <v>11</v>
      </c>
      <c r="S6" s="244"/>
      <c r="T6" s="245"/>
      <c r="U6" s="246"/>
      <c r="V6" s="243"/>
      <c r="W6" s="223">
        <f t="shared" ref="W6:X6" si="19">(O6+Q6+S6+U6)</f>
        <v>19</v>
      </c>
      <c r="X6" s="223">
        <f t="shared" si="19"/>
        <v>13</v>
      </c>
      <c r="Y6" s="224">
        <f t="shared" si="7"/>
        <v>32</v>
      </c>
      <c r="Z6" s="225" t="s">
        <v>224</v>
      </c>
      <c r="AA6" s="226" t="str">
        <f t="shared" si="8"/>
        <v>Samantha Green &amp; Jason Bonet</v>
      </c>
      <c r="AB6" s="227">
        <f t="shared" ca="1" si="9"/>
        <v>8</v>
      </c>
      <c r="AC6" s="227">
        <f t="shared" ca="1" si="10"/>
        <v>34</v>
      </c>
      <c r="AD6" s="227">
        <f t="shared" ca="1" si="11"/>
        <v>35</v>
      </c>
      <c r="AE6" s="227">
        <f t="shared" ca="1" si="12"/>
        <v>69</v>
      </c>
      <c r="AF6" s="228">
        <f t="shared" ca="1" si="13"/>
        <v>0.49275362318840582</v>
      </c>
      <c r="AG6" s="229">
        <f t="shared" ca="1" si="14"/>
        <v>-42.507246376811594</v>
      </c>
      <c r="AH6" s="308">
        <f t="shared" ca="1" si="15"/>
        <v>9</v>
      </c>
      <c r="AI6" s="233"/>
    </row>
    <row r="7" spans="1:35" ht="15" customHeight="1">
      <c r="A7" s="309" t="s">
        <v>228</v>
      </c>
      <c r="B7" s="173" t="s">
        <v>1244</v>
      </c>
      <c r="C7" s="105">
        <v>7</v>
      </c>
      <c r="D7" s="106">
        <v>1</v>
      </c>
      <c r="E7" s="106">
        <v>11</v>
      </c>
      <c r="F7" s="235">
        <f t="shared" si="0"/>
        <v>19</v>
      </c>
      <c r="G7" s="235">
        <f>$C$6+$D$9+$E$8</f>
        <v>32</v>
      </c>
      <c r="H7" s="235">
        <f t="shared" si="1"/>
        <v>51</v>
      </c>
      <c r="I7" s="236">
        <f t="shared" si="2"/>
        <v>0.37254901960784315</v>
      </c>
      <c r="J7" s="237">
        <f t="shared" si="3"/>
        <v>-13.627450980392156</v>
      </c>
      <c r="K7" s="238">
        <f t="shared" ca="1" si="4"/>
        <v>11</v>
      </c>
      <c r="L7" s="302" t="s">
        <v>1350</v>
      </c>
      <c r="M7" s="239">
        <v>12</v>
      </c>
      <c r="N7" s="240" t="str">
        <f t="shared" ca="1" si="5"/>
        <v>Susan Mitts &amp; Richard Lawrence</v>
      </c>
      <c r="O7" s="239">
        <v>2</v>
      </c>
      <c r="P7" s="241">
        <v>11</v>
      </c>
      <c r="Q7" s="242"/>
      <c r="R7" s="243"/>
      <c r="S7" s="244"/>
      <c r="T7" s="245"/>
      <c r="U7" s="246"/>
      <c r="V7" s="243"/>
      <c r="W7" s="223">
        <f t="shared" ref="W7:X7" si="20">(O7+Q7+S7+U7)</f>
        <v>2</v>
      </c>
      <c r="X7" s="223">
        <f t="shared" si="20"/>
        <v>11</v>
      </c>
      <c r="Y7" s="224">
        <f t="shared" si="7"/>
        <v>13</v>
      </c>
      <c r="Z7" s="225" t="s">
        <v>228</v>
      </c>
      <c r="AA7" s="226" t="str">
        <f t="shared" si="8"/>
        <v>stephanie patterson &amp; Michael Schermoly</v>
      </c>
      <c r="AB7" s="227">
        <f t="shared" ca="1" si="9"/>
        <v>11</v>
      </c>
      <c r="AC7" s="227">
        <f t="shared" ca="1" si="10"/>
        <v>26</v>
      </c>
      <c r="AD7" s="227">
        <f t="shared" ca="1" si="11"/>
        <v>43</v>
      </c>
      <c r="AE7" s="227">
        <f t="shared" ca="1" si="12"/>
        <v>69</v>
      </c>
      <c r="AF7" s="228">
        <f t="shared" ca="1" si="13"/>
        <v>0.37681159420289856</v>
      </c>
      <c r="AG7" s="229">
        <f t="shared" ca="1" si="14"/>
        <v>-50.623188405797102</v>
      </c>
      <c r="AH7" s="308">
        <f t="shared" ca="1" si="15"/>
        <v>12</v>
      </c>
      <c r="AI7" s="233"/>
    </row>
    <row r="8" spans="1:35" ht="15" customHeight="1">
      <c r="A8" s="309" t="s">
        <v>232</v>
      </c>
      <c r="B8" s="173" t="s">
        <v>1246</v>
      </c>
      <c r="C8" s="107">
        <v>3</v>
      </c>
      <c r="D8" s="108">
        <v>6</v>
      </c>
      <c r="E8" s="106">
        <v>10</v>
      </c>
      <c r="F8" s="235">
        <f t="shared" si="0"/>
        <v>19</v>
      </c>
      <c r="G8" s="235">
        <f>$C$9+$D$6+$E$7</f>
        <v>33</v>
      </c>
      <c r="H8" s="235">
        <f t="shared" si="1"/>
        <v>52</v>
      </c>
      <c r="I8" s="236">
        <f t="shared" si="2"/>
        <v>0.36538461538461536</v>
      </c>
      <c r="J8" s="237">
        <f t="shared" si="3"/>
        <v>-13.634615384615385</v>
      </c>
      <c r="K8" s="238">
        <f t="shared" ca="1" si="4"/>
        <v>13</v>
      </c>
      <c r="L8" s="301" t="s">
        <v>1351</v>
      </c>
      <c r="M8" s="217">
        <v>4</v>
      </c>
      <c r="N8" s="218" t="str">
        <f t="shared" ca="1" si="5"/>
        <v>Erinn Metcalf &amp; Dylan Lockwood</v>
      </c>
      <c r="O8" s="217">
        <v>11</v>
      </c>
      <c r="P8" s="219">
        <v>8</v>
      </c>
      <c r="Q8" s="242">
        <v>11</v>
      </c>
      <c r="R8" s="243">
        <v>8</v>
      </c>
      <c r="S8" s="244">
        <v>5</v>
      </c>
      <c r="T8" s="245">
        <v>11</v>
      </c>
      <c r="U8" s="246"/>
      <c r="V8" s="243"/>
      <c r="W8" s="223">
        <f t="shared" ref="W8:X8" si="21">(O8+Q8+S8+U8)</f>
        <v>27</v>
      </c>
      <c r="X8" s="223">
        <f t="shared" si="21"/>
        <v>27</v>
      </c>
      <c r="Y8" s="224">
        <f t="shared" si="7"/>
        <v>54</v>
      </c>
      <c r="Z8" s="225" t="s">
        <v>232</v>
      </c>
      <c r="AA8" s="226" t="str">
        <f t="shared" si="8"/>
        <v>Raquel Madison &amp; Jeremie Wilson</v>
      </c>
      <c r="AB8" s="227">
        <f t="shared" ca="1" si="9"/>
        <v>13</v>
      </c>
      <c r="AC8" s="227">
        <f t="shared" ca="1" si="10"/>
        <v>27</v>
      </c>
      <c r="AD8" s="227">
        <f t="shared" ca="1" si="11"/>
        <v>44</v>
      </c>
      <c r="AE8" s="227">
        <f t="shared" ca="1" si="12"/>
        <v>71</v>
      </c>
      <c r="AF8" s="228">
        <f t="shared" ca="1" si="13"/>
        <v>0.38028169014084506</v>
      </c>
      <c r="AG8" s="229">
        <f t="shared" ca="1" si="14"/>
        <v>-49.619718309859152</v>
      </c>
      <c r="AH8" s="308">
        <f t="shared" ca="1" si="15"/>
        <v>11</v>
      </c>
      <c r="AI8" s="233"/>
    </row>
    <row r="9" spans="1:35" ht="15" customHeight="1">
      <c r="A9" s="310" t="s">
        <v>237</v>
      </c>
      <c r="B9" s="251" t="s">
        <v>157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$C$8+$D$7+$E$6</f>
        <v>7</v>
      </c>
      <c r="H9" s="252">
        <f t="shared" si="1"/>
        <v>40</v>
      </c>
      <c r="I9" s="253">
        <f t="shared" si="2"/>
        <v>0.82499999999999996</v>
      </c>
      <c r="J9" s="254">
        <f t="shared" si="3"/>
        <v>0.82499999999999996</v>
      </c>
      <c r="K9" s="255">
        <f t="shared" ca="1" si="4"/>
        <v>1</v>
      </c>
      <c r="L9" s="302" t="s">
        <v>1352</v>
      </c>
      <c r="M9" s="239">
        <v>13</v>
      </c>
      <c r="N9" s="240" t="str">
        <f t="shared" ca="1" si="5"/>
        <v>Raquel Madison &amp; Jeremie Wilson</v>
      </c>
      <c r="O9" s="239">
        <v>8</v>
      </c>
      <c r="P9" s="241">
        <v>11</v>
      </c>
      <c r="Q9" s="256"/>
      <c r="R9" s="257"/>
      <c r="S9" s="239"/>
      <c r="T9" s="241"/>
      <c r="U9" s="246"/>
      <c r="V9" s="243"/>
      <c r="W9" s="223">
        <f t="shared" ref="W9:X9" si="22">(O9+Q9+S9+U9)</f>
        <v>8</v>
      </c>
      <c r="X9" s="223">
        <f t="shared" si="22"/>
        <v>11</v>
      </c>
      <c r="Y9" s="224">
        <f t="shared" si="7"/>
        <v>19</v>
      </c>
      <c r="Z9" s="225" t="s">
        <v>237</v>
      </c>
      <c r="AA9" s="226" t="str">
        <f t="shared" si="8"/>
        <v>Bree Ginden &amp; William Gross</v>
      </c>
      <c r="AB9" s="227">
        <f t="shared" ca="1" si="9"/>
        <v>1</v>
      </c>
      <c r="AC9" s="227">
        <f t="shared" ca="1" si="10"/>
        <v>76</v>
      </c>
      <c r="AD9" s="227">
        <f t="shared" ca="1" si="11"/>
        <v>29</v>
      </c>
      <c r="AE9" s="227">
        <f t="shared" ca="1" si="12"/>
        <v>105</v>
      </c>
      <c r="AF9" s="228">
        <f t="shared" ca="1" si="13"/>
        <v>0.72380952380952379</v>
      </c>
      <c r="AG9" s="229">
        <f t="shared" ca="1" si="14"/>
        <v>-0.27619047619047621</v>
      </c>
      <c r="AH9" s="308">
        <f t="shared" ca="1" si="15"/>
        <v>2</v>
      </c>
      <c r="AI9" s="233"/>
    </row>
    <row r="10" spans="1:35" ht="15" customHeight="1">
      <c r="A10" s="307" t="s">
        <v>241</v>
      </c>
      <c r="B10" s="173" t="s">
        <v>1236</v>
      </c>
      <c r="C10" s="100">
        <v>3</v>
      </c>
      <c r="D10" s="101">
        <v>5</v>
      </c>
      <c r="E10" s="101">
        <v>6</v>
      </c>
      <c r="F10" s="213">
        <f t="shared" si="0"/>
        <v>14</v>
      </c>
      <c r="G10" s="213">
        <f>$C$11+$D$12+$E$13</f>
        <v>33</v>
      </c>
      <c r="H10" s="213">
        <f t="shared" si="1"/>
        <v>47</v>
      </c>
      <c r="I10" s="214">
        <f t="shared" si="2"/>
        <v>0.2978723404255319</v>
      </c>
      <c r="J10" s="258">
        <f t="shared" si="3"/>
        <v>-18.702127659574469</v>
      </c>
      <c r="K10" s="238">
        <f t="shared" ca="1" si="4"/>
        <v>16</v>
      </c>
      <c r="L10" s="301" t="s">
        <v>1353</v>
      </c>
      <c r="M10" s="217">
        <v>6</v>
      </c>
      <c r="N10" s="218" t="str">
        <f t="shared" ca="1" si="5"/>
        <v>Nicole Alfaro &amp; Chris Lyon</v>
      </c>
      <c r="O10" s="217">
        <v>11</v>
      </c>
      <c r="P10" s="219">
        <v>7</v>
      </c>
      <c r="Q10" s="220">
        <v>5</v>
      </c>
      <c r="R10" s="221">
        <v>11</v>
      </c>
      <c r="S10" s="217"/>
      <c r="T10" s="219"/>
      <c r="U10" s="246"/>
      <c r="V10" s="243"/>
      <c r="W10" s="223">
        <f t="shared" ref="W10:X10" si="23">(O10+Q10+S10+U10)</f>
        <v>16</v>
      </c>
      <c r="X10" s="223">
        <f t="shared" si="23"/>
        <v>18</v>
      </c>
      <c r="Y10" s="224">
        <f t="shared" si="7"/>
        <v>34</v>
      </c>
      <c r="Z10" s="225" t="s">
        <v>241</v>
      </c>
      <c r="AA10" s="226" t="str">
        <f t="shared" si="8"/>
        <v>Alli Hiatt &amp; Mark McDonald</v>
      </c>
      <c r="AB10" s="227">
        <f t="shared" ca="1" si="9"/>
        <v>16</v>
      </c>
      <c r="AC10" s="227">
        <f t="shared" ca="1" si="10"/>
        <v>15</v>
      </c>
      <c r="AD10" s="227">
        <f t="shared" ca="1" si="11"/>
        <v>44</v>
      </c>
      <c r="AE10" s="227">
        <f t="shared" ca="1" si="12"/>
        <v>59</v>
      </c>
      <c r="AF10" s="228">
        <f t="shared" ca="1" si="13"/>
        <v>0.25423728813559321</v>
      </c>
      <c r="AG10" s="229">
        <f t="shared" ca="1" si="14"/>
        <v>-61.745762711864408</v>
      </c>
      <c r="AH10" s="308">
        <f t="shared" ca="1" si="15"/>
        <v>16</v>
      </c>
      <c r="AI10" s="233"/>
    </row>
    <row r="11" spans="1:35" ht="15" customHeight="1">
      <c r="A11" s="309" t="s">
        <v>246</v>
      </c>
      <c r="B11" s="173" t="s">
        <v>1247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$C$10+$D$13+$E$12</f>
        <v>17</v>
      </c>
      <c r="H11" s="235">
        <f t="shared" si="1"/>
        <v>50</v>
      </c>
      <c r="I11" s="236">
        <f t="shared" si="2"/>
        <v>0.66</v>
      </c>
      <c r="J11" s="237">
        <f t="shared" si="3"/>
        <v>0.66</v>
      </c>
      <c r="K11" s="238">
        <f t="shared" ca="1" si="4"/>
        <v>4</v>
      </c>
      <c r="L11" s="302" t="s">
        <v>1354</v>
      </c>
      <c r="M11" s="239">
        <v>11</v>
      </c>
      <c r="N11" s="240" t="str">
        <f t="shared" ca="1" si="5"/>
        <v>stephanie patterson &amp; Michael Schermoly</v>
      </c>
      <c r="O11" s="239">
        <v>7</v>
      </c>
      <c r="P11" s="241">
        <v>11</v>
      </c>
      <c r="Q11" s="242"/>
      <c r="R11" s="243"/>
      <c r="S11" s="244"/>
      <c r="T11" s="245"/>
      <c r="U11" s="246"/>
      <c r="V11" s="243"/>
      <c r="W11" s="223">
        <f t="shared" ref="W11:X11" si="24">(O11+Q11+S11+U11)</f>
        <v>7</v>
      </c>
      <c r="X11" s="223">
        <f t="shared" si="24"/>
        <v>11</v>
      </c>
      <c r="Y11" s="224">
        <f t="shared" si="7"/>
        <v>18</v>
      </c>
      <c r="Z11" s="225" t="s">
        <v>246</v>
      </c>
      <c r="AA11" s="226" t="str">
        <f t="shared" si="8"/>
        <v>Erinn Metcalf &amp; Dylan Lockwood</v>
      </c>
      <c r="AB11" s="227">
        <f t="shared" ca="1" si="9"/>
        <v>4</v>
      </c>
      <c r="AC11" s="227">
        <f t="shared" ca="1" si="10"/>
        <v>60</v>
      </c>
      <c r="AD11" s="227">
        <f t="shared" ca="1" si="11"/>
        <v>44</v>
      </c>
      <c r="AE11" s="227">
        <f t="shared" ca="1" si="12"/>
        <v>104</v>
      </c>
      <c r="AF11" s="228">
        <f t="shared" ca="1" si="13"/>
        <v>0.57692307692307687</v>
      </c>
      <c r="AG11" s="229">
        <f t="shared" ca="1" si="14"/>
        <v>-16.423076923076923</v>
      </c>
      <c r="AH11" s="308">
        <f t="shared" ca="1" si="15"/>
        <v>3</v>
      </c>
      <c r="AI11" s="233"/>
    </row>
    <row r="12" spans="1:35" ht="15" customHeight="1">
      <c r="A12" s="309" t="s">
        <v>251</v>
      </c>
      <c r="B12" s="173" t="s">
        <v>1250</v>
      </c>
      <c r="C12" s="107">
        <v>6</v>
      </c>
      <c r="D12" s="108">
        <v>11</v>
      </c>
      <c r="E12" s="106">
        <v>5</v>
      </c>
      <c r="F12" s="235">
        <f t="shared" si="0"/>
        <v>22</v>
      </c>
      <c r="G12" s="235">
        <f>$C$13+$D$10+$E$11</f>
        <v>27</v>
      </c>
      <c r="H12" s="235">
        <f t="shared" si="1"/>
        <v>49</v>
      </c>
      <c r="I12" s="236">
        <f t="shared" si="2"/>
        <v>0.44897959183673469</v>
      </c>
      <c r="J12" s="237">
        <f t="shared" si="3"/>
        <v>-10.551020408163266</v>
      </c>
      <c r="K12" s="238">
        <f t="shared" ca="1" si="4"/>
        <v>10</v>
      </c>
      <c r="L12" s="301" t="s">
        <v>1355</v>
      </c>
      <c r="M12" s="217">
        <v>3</v>
      </c>
      <c r="N12" s="218" t="str">
        <f t="shared" ca="1" si="5"/>
        <v>Susan Murphy &amp; Alex True</v>
      </c>
      <c r="O12" s="217">
        <v>11</v>
      </c>
      <c r="P12" s="219">
        <v>6</v>
      </c>
      <c r="Q12" s="242">
        <v>11</v>
      </c>
      <c r="R12" s="243">
        <v>5</v>
      </c>
      <c r="S12" s="244">
        <v>2</v>
      </c>
      <c r="T12" s="245">
        <v>11</v>
      </c>
      <c r="U12" s="246"/>
      <c r="V12" s="243"/>
      <c r="W12" s="223">
        <f t="shared" ref="W12:X12" si="25">(O12+Q12+S12+U12)</f>
        <v>24</v>
      </c>
      <c r="X12" s="223">
        <f t="shared" si="25"/>
        <v>22</v>
      </c>
      <c r="Y12" s="224">
        <f t="shared" si="7"/>
        <v>46</v>
      </c>
      <c r="Z12" s="225" t="s">
        <v>251</v>
      </c>
      <c r="AA12" s="226" t="str">
        <f t="shared" si="8"/>
        <v>Jacqui Jensen &amp; Randy Burgess</v>
      </c>
      <c r="AB12" s="227">
        <f t="shared" ca="1" si="9"/>
        <v>10</v>
      </c>
      <c r="AC12" s="227">
        <f t="shared" ca="1" si="10"/>
        <v>28</v>
      </c>
      <c r="AD12" s="227">
        <f t="shared" ca="1" si="11"/>
        <v>38</v>
      </c>
      <c r="AE12" s="227">
        <f t="shared" ca="1" si="12"/>
        <v>66</v>
      </c>
      <c r="AF12" s="228">
        <f t="shared" ca="1" si="13"/>
        <v>0.42424242424242425</v>
      </c>
      <c r="AG12" s="229">
        <f t="shared" ca="1" si="14"/>
        <v>-48.575757575757578</v>
      </c>
      <c r="AH12" s="308">
        <f t="shared" ca="1" si="15"/>
        <v>10</v>
      </c>
      <c r="AI12" s="233"/>
    </row>
    <row r="13" spans="1:35" ht="15" customHeight="1">
      <c r="A13" s="310" t="s">
        <v>256</v>
      </c>
      <c r="B13" s="251" t="s">
        <v>1242</v>
      </c>
      <c r="C13" s="109">
        <v>11</v>
      </c>
      <c r="D13" s="110">
        <v>9</v>
      </c>
      <c r="E13" s="111">
        <v>11</v>
      </c>
      <c r="F13" s="252">
        <f t="shared" si="0"/>
        <v>31</v>
      </c>
      <c r="G13" s="252">
        <f>$C$12+$D$11+$E$10</f>
        <v>23</v>
      </c>
      <c r="H13" s="252">
        <f t="shared" si="1"/>
        <v>54</v>
      </c>
      <c r="I13" s="253">
        <f t="shared" si="2"/>
        <v>0.57407407407407407</v>
      </c>
      <c r="J13" s="254">
        <f t="shared" si="3"/>
        <v>-1.425925925925926</v>
      </c>
      <c r="K13" s="255">
        <f t="shared" ca="1" si="4"/>
        <v>5</v>
      </c>
      <c r="L13" s="302" t="s">
        <v>1356</v>
      </c>
      <c r="M13" s="239">
        <v>14</v>
      </c>
      <c r="N13" s="240" t="str">
        <f t="shared" ca="1" si="5"/>
        <v>Maryn Petty &amp; Will Polese</v>
      </c>
      <c r="O13" s="239">
        <v>6</v>
      </c>
      <c r="P13" s="241">
        <v>11</v>
      </c>
      <c r="Q13" s="256"/>
      <c r="R13" s="257"/>
      <c r="S13" s="244"/>
      <c r="T13" s="245"/>
      <c r="U13" s="246"/>
      <c r="V13" s="243"/>
      <c r="W13" s="223">
        <f t="shared" ref="W13:X13" si="26">(O13+Q13+S13+U13)</f>
        <v>6</v>
      </c>
      <c r="X13" s="223">
        <f t="shared" si="26"/>
        <v>11</v>
      </c>
      <c r="Y13" s="224">
        <f t="shared" si="7"/>
        <v>17</v>
      </c>
      <c r="Z13" s="225" t="s">
        <v>256</v>
      </c>
      <c r="AA13" s="226" t="str">
        <f t="shared" si="8"/>
        <v>Maria Andrew &amp; Eric Santon</v>
      </c>
      <c r="AB13" s="227">
        <f t="shared" ca="1" si="9"/>
        <v>5</v>
      </c>
      <c r="AC13" s="227">
        <f t="shared" ca="1" si="10"/>
        <v>50</v>
      </c>
      <c r="AD13" s="227">
        <f t="shared" ca="1" si="11"/>
        <v>36</v>
      </c>
      <c r="AE13" s="227">
        <f t="shared" ca="1" si="12"/>
        <v>86</v>
      </c>
      <c r="AF13" s="228">
        <f t="shared" ca="1" si="13"/>
        <v>0.58139534883720934</v>
      </c>
      <c r="AG13" s="229">
        <f t="shared" ca="1" si="14"/>
        <v>-26.418604651162791</v>
      </c>
      <c r="AH13" s="308">
        <f t="shared" ca="1" si="15"/>
        <v>5</v>
      </c>
      <c r="AI13" s="233"/>
    </row>
    <row r="14" spans="1:35" ht="15" customHeight="1">
      <c r="A14" s="307" t="s">
        <v>261</v>
      </c>
      <c r="B14" s="173" t="s">
        <v>1245</v>
      </c>
      <c r="C14" s="100">
        <v>11</v>
      </c>
      <c r="D14" s="101">
        <v>6</v>
      </c>
      <c r="E14" s="101">
        <v>2</v>
      </c>
      <c r="F14" s="213">
        <f t="shared" si="0"/>
        <v>19</v>
      </c>
      <c r="G14" s="213">
        <f>$C$15+$D$16+$E$17</f>
        <v>32</v>
      </c>
      <c r="H14" s="213">
        <f t="shared" si="1"/>
        <v>51</v>
      </c>
      <c r="I14" s="214">
        <f t="shared" si="2"/>
        <v>0.37254901960784315</v>
      </c>
      <c r="J14" s="258">
        <f t="shared" si="3"/>
        <v>-13.627450980392156</v>
      </c>
      <c r="K14" s="238">
        <f t="shared" ca="1" si="4"/>
        <v>12</v>
      </c>
      <c r="L14" s="301" t="s">
        <v>1357</v>
      </c>
      <c r="M14" s="217">
        <v>7</v>
      </c>
      <c r="N14" s="218" t="str">
        <f t="shared" ca="1" si="5"/>
        <v>Mary Pflanz &amp; Stephen Limpic</v>
      </c>
      <c r="O14" s="217">
        <v>11</v>
      </c>
      <c r="P14" s="219">
        <v>6</v>
      </c>
      <c r="Q14" s="220">
        <v>3</v>
      </c>
      <c r="R14" s="221">
        <v>11</v>
      </c>
      <c r="S14" s="244"/>
      <c r="T14" s="245"/>
      <c r="U14" s="246"/>
      <c r="V14" s="243"/>
      <c r="W14" s="223">
        <f t="shared" ref="W14:X14" si="27">(O14+Q14+S14+U14)</f>
        <v>14</v>
      </c>
      <c r="X14" s="223">
        <f t="shared" si="27"/>
        <v>17</v>
      </c>
      <c r="Y14" s="224">
        <f t="shared" si="7"/>
        <v>31</v>
      </c>
      <c r="Z14" s="225" t="s">
        <v>261</v>
      </c>
      <c r="AA14" s="226" t="str">
        <f t="shared" si="8"/>
        <v>Susan Mitts &amp; Richard Lawrence</v>
      </c>
      <c r="AB14" s="227">
        <f t="shared" ca="1" si="9"/>
        <v>12</v>
      </c>
      <c r="AC14" s="227">
        <f t="shared" ca="1" si="10"/>
        <v>21</v>
      </c>
      <c r="AD14" s="227">
        <f t="shared" ca="1" si="11"/>
        <v>43</v>
      </c>
      <c r="AE14" s="227">
        <f t="shared" ca="1" si="12"/>
        <v>64</v>
      </c>
      <c r="AF14" s="228">
        <f t="shared" ca="1" si="13"/>
        <v>0.328125</v>
      </c>
      <c r="AG14" s="229">
        <f t="shared" ca="1" si="14"/>
        <v>-55.671875</v>
      </c>
      <c r="AH14" s="308">
        <f t="shared" ca="1" si="15"/>
        <v>14</v>
      </c>
      <c r="AI14" s="233"/>
    </row>
    <row r="15" spans="1:35" ht="15" customHeight="1">
      <c r="A15" s="309" t="s">
        <v>268</v>
      </c>
      <c r="B15" s="173" t="s">
        <v>1252</v>
      </c>
      <c r="C15" s="105">
        <v>10</v>
      </c>
      <c r="D15" s="106">
        <v>5</v>
      </c>
      <c r="E15" s="106">
        <v>2</v>
      </c>
      <c r="F15" s="235">
        <f t="shared" si="0"/>
        <v>17</v>
      </c>
      <c r="G15" s="235">
        <f>$C$14+$D$17+$E$16</f>
        <v>33</v>
      </c>
      <c r="H15" s="235">
        <f t="shared" si="1"/>
        <v>50</v>
      </c>
      <c r="I15" s="236">
        <f t="shared" si="2"/>
        <v>0.34</v>
      </c>
      <c r="J15" s="237">
        <f t="shared" si="3"/>
        <v>-15.66</v>
      </c>
      <c r="K15" s="238">
        <f t="shared" ca="1" si="4"/>
        <v>15</v>
      </c>
      <c r="L15" s="302" t="s">
        <v>1358</v>
      </c>
      <c r="M15" s="239">
        <v>10</v>
      </c>
      <c r="N15" s="240" t="str">
        <f t="shared" ca="1" si="5"/>
        <v>Jacqui Jensen &amp; Randy Burgess</v>
      </c>
      <c r="O15" s="239">
        <v>6</v>
      </c>
      <c r="P15" s="241">
        <v>11</v>
      </c>
      <c r="Q15" s="242"/>
      <c r="R15" s="243"/>
      <c r="S15" s="244"/>
      <c r="T15" s="245"/>
      <c r="U15" s="246"/>
      <c r="V15" s="243"/>
      <c r="W15" s="223">
        <f t="shared" ref="W15:X15" si="28">(O15+Q15+S15+U15)</f>
        <v>6</v>
      </c>
      <c r="X15" s="223">
        <f t="shared" si="28"/>
        <v>11</v>
      </c>
      <c r="Y15" s="224">
        <f t="shared" si="7"/>
        <v>17</v>
      </c>
      <c r="Z15" s="225" t="s">
        <v>268</v>
      </c>
      <c r="AA15" s="226" t="str">
        <f t="shared" si="8"/>
        <v>Shannon Lyon &amp; Robert Madison</v>
      </c>
      <c r="AB15" s="227">
        <f t="shared" ca="1" si="9"/>
        <v>15</v>
      </c>
      <c r="AC15" s="227">
        <f t="shared" ca="1" si="10"/>
        <v>19</v>
      </c>
      <c r="AD15" s="227">
        <f t="shared" ca="1" si="11"/>
        <v>44</v>
      </c>
      <c r="AE15" s="227">
        <f t="shared" ca="1" si="12"/>
        <v>63</v>
      </c>
      <c r="AF15" s="228">
        <f t="shared" ca="1" si="13"/>
        <v>0.30158730158730157</v>
      </c>
      <c r="AG15" s="229">
        <f t="shared" ca="1" si="14"/>
        <v>-57.698412698412696</v>
      </c>
      <c r="AH15" s="308">
        <f t="shared" ca="1" si="15"/>
        <v>15</v>
      </c>
      <c r="AI15" s="233"/>
    </row>
    <row r="16" spans="1:35" ht="15" customHeight="1">
      <c r="A16" s="309" t="s">
        <v>271</v>
      </c>
      <c r="B16" s="173" t="s">
        <v>1251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$C$17+$D$14+$E$15</f>
        <v>15</v>
      </c>
      <c r="H16" s="235">
        <f t="shared" si="1"/>
        <v>48</v>
      </c>
      <c r="I16" s="236">
        <f t="shared" si="2"/>
        <v>0.6875</v>
      </c>
      <c r="J16" s="237">
        <f t="shared" si="3"/>
        <v>0.6875</v>
      </c>
      <c r="K16" s="238">
        <f t="shared" ca="1" si="4"/>
        <v>3</v>
      </c>
      <c r="L16" s="301" t="s">
        <v>1359</v>
      </c>
      <c r="M16" s="217">
        <v>2</v>
      </c>
      <c r="N16" s="218" t="str">
        <f t="shared" ca="1" si="5"/>
        <v>Betsy Norberg &amp; Andy Lockard</v>
      </c>
      <c r="O16" s="217">
        <v>11</v>
      </c>
      <c r="P16" s="219">
        <v>2</v>
      </c>
      <c r="Q16" s="242">
        <v>11</v>
      </c>
      <c r="R16" s="243">
        <v>3</v>
      </c>
      <c r="S16" s="244">
        <v>11</v>
      </c>
      <c r="T16" s="245">
        <v>2</v>
      </c>
      <c r="U16" s="246">
        <v>11</v>
      </c>
      <c r="V16" s="243">
        <v>10</v>
      </c>
      <c r="W16" s="223">
        <f t="shared" ref="W16:X16" si="29">(O16+Q16+S16+U16)</f>
        <v>44</v>
      </c>
      <c r="X16" s="223">
        <f t="shared" si="29"/>
        <v>17</v>
      </c>
      <c r="Y16" s="224">
        <f t="shared" si="7"/>
        <v>61</v>
      </c>
      <c r="Z16" s="225" t="s">
        <v>271</v>
      </c>
      <c r="AA16" s="226" t="str">
        <f t="shared" si="8"/>
        <v>Susan Murphy &amp; Alex True</v>
      </c>
      <c r="AB16" s="227">
        <f t="shared" ca="1" si="9"/>
        <v>3</v>
      </c>
      <c r="AC16" s="227">
        <f t="shared" ca="1" si="10"/>
        <v>57</v>
      </c>
      <c r="AD16" s="227">
        <f t="shared" ca="1" si="11"/>
        <v>37</v>
      </c>
      <c r="AE16" s="227">
        <f t="shared" ca="1" si="12"/>
        <v>94</v>
      </c>
      <c r="AF16" s="228">
        <f t="shared" ca="1" si="13"/>
        <v>0.6063829787234043</v>
      </c>
      <c r="AG16" s="229">
        <f t="shared" ca="1" si="14"/>
        <v>-19.393617021276597</v>
      </c>
      <c r="AH16" s="308">
        <f t="shared" ca="1" si="15"/>
        <v>4</v>
      </c>
      <c r="AI16" s="233"/>
    </row>
    <row r="17" spans="1:35" ht="15" customHeight="1">
      <c r="A17" s="311" t="s">
        <v>276</v>
      </c>
      <c r="B17" s="261" t="s">
        <v>1249</v>
      </c>
      <c r="C17" s="262">
        <v>7</v>
      </c>
      <c r="D17" s="263">
        <v>11</v>
      </c>
      <c r="E17" s="264">
        <v>11</v>
      </c>
      <c r="F17" s="265">
        <f t="shared" si="0"/>
        <v>29</v>
      </c>
      <c r="G17" s="265">
        <f>$C$16+$D$15+$E$14</f>
        <v>18</v>
      </c>
      <c r="H17" s="265">
        <f t="shared" si="1"/>
        <v>47</v>
      </c>
      <c r="I17" s="266">
        <f t="shared" si="2"/>
        <v>0.61702127659574468</v>
      </c>
      <c r="J17" s="267">
        <f t="shared" si="3"/>
        <v>-3.3829787234042552</v>
      </c>
      <c r="K17" s="268">
        <f t="shared" ca="1" si="4"/>
        <v>6</v>
      </c>
      <c r="L17" s="303" t="s">
        <v>1360</v>
      </c>
      <c r="M17" s="269">
        <v>15</v>
      </c>
      <c r="N17" s="270" t="str">
        <f t="shared" ca="1" si="5"/>
        <v>Shannon Lyon &amp; Robert Madison</v>
      </c>
      <c r="O17" s="269">
        <v>2</v>
      </c>
      <c r="P17" s="271">
        <v>11</v>
      </c>
      <c r="Q17" s="272"/>
      <c r="R17" s="273"/>
      <c r="S17" s="274"/>
      <c r="T17" s="275"/>
      <c r="U17" s="276"/>
      <c r="V17" s="273"/>
      <c r="W17" s="277">
        <f t="shared" ref="W17:X17" si="30">(O17+Q17+S17+U17)</f>
        <v>2</v>
      </c>
      <c r="X17" s="277">
        <f t="shared" si="30"/>
        <v>11</v>
      </c>
      <c r="Y17" s="278">
        <f t="shared" si="7"/>
        <v>13</v>
      </c>
      <c r="Z17" s="279" t="s">
        <v>276</v>
      </c>
      <c r="AA17" s="280" t="str">
        <f t="shared" si="8"/>
        <v>Nicole Alfaro &amp; Chris Lyon</v>
      </c>
      <c r="AB17" s="281">
        <f t="shared" ca="1" si="9"/>
        <v>6</v>
      </c>
      <c r="AC17" s="281">
        <f t="shared" ca="1" si="10"/>
        <v>45</v>
      </c>
      <c r="AD17" s="281">
        <f t="shared" ca="1" si="11"/>
        <v>36</v>
      </c>
      <c r="AE17" s="281">
        <f t="shared" ca="1" si="12"/>
        <v>81</v>
      </c>
      <c r="AF17" s="282">
        <f t="shared" ca="1" si="13"/>
        <v>0.55555555555555558</v>
      </c>
      <c r="AG17" s="283">
        <f t="shared" ca="1" si="14"/>
        <v>-31.444444444444443</v>
      </c>
      <c r="AH17" s="312">
        <f t="shared" ca="1" si="15"/>
        <v>6</v>
      </c>
      <c r="AI17" s="233"/>
    </row>
    <row r="18" spans="1:35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91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</row>
    <row r="19" spans="1:35" ht="15" customHeight="1">
      <c r="A19" s="210" t="s">
        <v>1339</v>
      </c>
      <c r="B19" s="287"/>
      <c r="C19" s="287">
        <f t="shared" ref="C19:D19" si="31">SUM(C2:C17)</f>
        <v>135</v>
      </c>
      <c r="D19" s="287">
        <f t="shared" si="31"/>
        <v>130</v>
      </c>
      <c r="E19" s="287">
        <f>SUM(E2:E18)</f>
        <v>130</v>
      </c>
      <c r="F19" s="287">
        <f t="shared" ref="F19:G19" si="32">SUM(F2:F17)</f>
        <v>395</v>
      </c>
      <c r="G19" s="287">
        <f t="shared" si="32"/>
        <v>395</v>
      </c>
      <c r="H19" s="292">
        <f>SUM(H2:H17)/2</f>
        <v>395</v>
      </c>
      <c r="I19" s="293" t="s">
        <v>1340</v>
      </c>
      <c r="J19" s="291"/>
      <c r="K19" s="287"/>
      <c r="L19" s="287"/>
      <c r="M19" s="287"/>
      <c r="N19" s="287"/>
      <c r="O19" s="287">
        <f t="shared" ref="O19:X19" si="33">SUM(O2:O17)</f>
        <v>129</v>
      </c>
      <c r="P19" s="287">
        <f t="shared" si="33"/>
        <v>129</v>
      </c>
      <c r="Q19" s="287">
        <f t="shared" si="33"/>
        <v>65</v>
      </c>
      <c r="R19" s="287">
        <f t="shared" si="33"/>
        <v>65</v>
      </c>
      <c r="S19" s="287">
        <f t="shared" si="33"/>
        <v>29</v>
      </c>
      <c r="T19" s="287">
        <f t="shared" si="33"/>
        <v>29</v>
      </c>
      <c r="U19" s="287">
        <f t="shared" si="33"/>
        <v>21</v>
      </c>
      <c r="V19" s="287">
        <f t="shared" si="33"/>
        <v>21</v>
      </c>
      <c r="W19" s="287">
        <f t="shared" si="33"/>
        <v>244</v>
      </c>
      <c r="X19" s="287">
        <f t="shared" si="33"/>
        <v>244</v>
      </c>
      <c r="Y19" s="287">
        <f>SUM(Y2:Y17)/2</f>
        <v>244</v>
      </c>
      <c r="Z19" s="287"/>
      <c r="AA19" s="287"/>
      <c r="AB19" s="287"/>
      <c r="AC19" s="287">
        <f t="shared" ref="AC19:AD19" ca="1" si="34">SUM(AC2:AC17)</f>
        <v>639</v>
      </c>
      <c r="AD19" s="287">
        <f t="shared" ca="1" si="34"/>
        <v>639</v>
      </c>
      <c r="AE19" s="287">
        <f ca="1">SUM(AE2:AE17)/2</f>
        <v>639</v>
      </c>
      <c r="AF19" s="287"/>
      <c r="AG19" s="287"/>
      <c r="AH19" s="287"/>
      <c r="AI19" s="287"/>
    </row>
    <row r="20" spans="1:35" ht="15" customHeight="1">
      <c r="A20" s="287"/>
      <c r="B20" s="295" t="s">
        <v>15</v>
      </c>
      <c r="C20" s="295">
        <f t="shared" ref="C20:E20" si="35">COUNTIF(C2:C17, 10)</f>
        <v>1</v>
      </c>
      <c r="D20" s="295">
        <f t="shared" si="35"/>
        <v>0</v>
      </c>
      <c r="E20" s="295">
        <f t="shared" si="35"/>
        <v>2</v>
      </c>
      <c r="F20" s="296"/>
      <c r="G20" s="296"/>
      <c r="H20" s="297">
        <f>AVERAGE(H2:H17)</f>
        <v>49.375</v>
      </c>
      <c r="I20" s="293" t="s">
        <v>1341</v>
      </c>
      <c r="J20" s="291"/>
      <c r="K20" s="287"/>
      <c r="L20" s="287"/>
      <c r="M20" s="287"/>
      <c r="N20" s="287"/>
      <c r="O20" s="287"/>
      <c r="P20" s="295">
        <f>COUNTIF(P2:P17, 10)</f>
        <v>0</v>
      </c>
      <c r="Q20" s="287"/>
      <c r="R20" s="295">
        <f>COUNTIF(R2:R17, 10)</f>
        <v>0</v>
      </c>
      <c r="S20" s="287"/>
      <c r="T20" s="295">
        <f>COUNTIF(T2:T17, 10)</f>
        <v>0</v>
      </c>
      <c r="U20" s="287"/>
      <c r="V20" s="295">
        <f>COUNTIF(V2:V17, 10)</f>
        <v>1</v>
      </c>
      <c r="W20" s="287"/>
      <c r="X20" s="296"/>
      <c r="Y20" s="295">
        <f>SUM(C20:E20,P20,R20,T20,V20)</f>
        <v>4</v>
      </c>
      <c r="Z20" s="296"/>
      <c r="AA20" s="296"/>
      <c r="AB20" s="296"/>
      <c r="AC20" s="296"/>
      <c r="AD20" s="287" t="s">
        <v>1342</v>
      </c>
      <c r="AE20" s="287">
        <f ca="1">AVERAGE(AE2:AE17)</f>
        <v>79.875</v>
      </c>
      <c r="AF20" s="287"/>
      <c r="AG20" s="287"/>
      <c r="AH20" s="287"/>
      <c r="AI20" s="287"/>
    </row>
    <row r="21" spans="1:35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91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96"/>
      <c r="Y21" s="287"/>
      <c r="Z21" s="296"/>
      <c r="AA21" s="296"/>
      <c r="AB21" s="296"/>
      <c r="AC21" s="296"/>
      <c r="AD21" s="296"/>
      <c r="AE21" s="287"/>
      <c r="AF21" s="287"/>
      <c r="AG21" s="287"/>
      <c r="AH21" s="287"/>
      <c r="AI21" s="287"/>
    </row>
    <row r="22" spans="1:35" ht="15" customHeight="1">
      <c r="A22" s="287"/>
      <c r="B22" s="287"/>
      <c r="C22" s="287"/>
      <c r="D22" s="287"/>
      <c r="E22" s="287"/>
      <c r="F22" s="296"/>
      <c r="G22" s="296"/>
      <c r="H22" s="299"/>
      <c r="I22" s="287"/>
      <c r="J22" s="291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96"/>
      <c r="Y22" s="287"/>
      <c r="Z22" s="296"/>
      <c r="AA22" s="296"/>
      <c r="AB22" s="296"/>
      <c r="AC22" s="296"/>
      <c r="AD22" s="296"/>
      <c r="AE22" s="287"/>
      <c r="AF22" s="287"/>
      <c r="AG22" s="287"/>
      <c r="AH22" s="287"/>
      <c r="AI22" s="287"/>
    </row>
  </sheetData>
  <conditionalFormatting sqref="F2:F17">
    <cfRule type="cellIs" dxfId="151" priority="6" operator="equal">
      <formula>33</formula>
    </cfRule>
  </conditionalFormatting>
  <conditionalFormatting sqref="J2:K17">
    <cfRule type="expression" dxfId="150" priority="1">
      <formula>COUNTIF(J$2:J$17,$K2)&gt;1</formula>
    </cfRule>
  </conditionalFormatting>
  <conditionalFormatting sqref="N2:Y17">
    <cfRule type="expression" dxfId="149" priority="2">
      <formula>$U2=11</formula>
    </cfRule>
  </conditionalFormatting>
  <conditionalFormatting sqref="O2:P17">
    <cfRule type="expression" dxfId="148" priority="3">
      <formula>$O2=11</formula>
    </cfRule>
  </conditionalFormatting>
  <conditionalFormatting sqref="Q2:R17">
    <cfRule type="expression" dxfId="147" priority="4">
      <formula>$Q2=11</formula>
    </cfRule>
  </conditionalFormatting>
  <conditionalFormatting sqref="S2:T17">
    <cfRule type="expression" dxfId="146" priority="5">
      <formula>$S2=11</formula>
    </cfRule>
  </conditionalFormatting>
  <conditionalFormatting sqref="Z2:AH17">
    <cfRule type="expression" dxfId="145" priority="7">
      <formula>$AH2=1</formula>
    </cfRule>
  </conditionalFormatting>
  <conditionalFormatting sqref="AH2:AH17">
    <cfRule type="expression" dxfId="144" priority="8">
      <formula>COUNTIF(AH$2:AH$17,$AH2)&gt;1</formula>
    </cfRule>
  </conditionalFormatting>
  <hyperlinks>
    <hyperlink ref="A1" location="Champions!A1" display="Home" xr:uid="{00000000-0004-0000-0600-000000000000}"/>
    <hyperlink ref="AI1" location="Champions!A1" display="Home" xr:uid="{00000000-0004-0000-0600-000001000000}"/>
    <hyperlink ref="A19" location="Champions!A1" display="Home" xr:uid="{00000000-0004-0000-0600-000002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8.7265625" customWidth="1"/>
    <col min="10" max="10" width="6.26953125" customWidth="1"/>
    <col min="11" max="12" width="8.26953125" customWidth="1"/>
    <col min="13" max="13" width="32" customWidth="1"/>
    <col min="14" max="21" width="6.26953125" customWidth="1"/>
    <col min="22" max="24" width="7.7265625" customWidth="1"/>
    <col min="25" max="25" width="7" customWidth="1"/>
    <col min="26" max="26" width="32" customWidth="1"/>
    <col min="27" max="27" width="5.26953125" customWidth="1"/>
    <col min="28" max="29" width="7.7265625" customWidth="1"/>
    <col min="30" max="34" width="8.4531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1211</v>
      </c>
      <c r="C2" s="314">
        <v>9</v>
      </c>
      <c r="D2" s="315">
        <v>11</v>
      </c>
      <c r="E2" s="315">
        <v>11</v>
      </c>
      <c r="F2" s="213">
        <f t="shared" ref="F2:F17" si="0">SUM(C2:E2)</f>
        <v>31</v>
      </c>
      <c r="G2" s="213">
        <f>$C$3+$D$4+$E$5</f>
        <v>17</v>
      </c>
      <c r="H2" s="213">
        <f t="shared" ref="H2:H17" si="1">SUM(F2:G2)</f>
        <v>48</v>
      </c>
      <c r="I2" s="214">
        <f t="shared" ref="I2:I17" si="2">IFERROR(F2/H2,"")</f>
        <v>0.64583333333333337</v>
      </c>
      <c r="J2" s="216">
        <f t="shared" ref="J2:J17" ca="1" si="3">IFERROR(RANK(I2,OFFSET($I$2,0,0,COUNTA($I$2:$I$17),1)),)</f>
        <v>2</v>
      </c>
      <c r="K2" s="301" t="s">
        <v>1345</v>
      </c>
      <c r="L2" s="217">
        <v>1</v>
      </c>
      <c r="M2" s="218" t="str">
        <f t="shared" ref="M2:M17" ca="1" si="4">INDEX($A$2:$AG$17,MATCH(L2,$J$2:$J$17,0),2)</f>
        <v>Raquel Madison &amp; Cory Blue</v>
      </c>
      <c r="N2" s="217">
        <v>11</v>
      </c>
      <c r="O2" s="219">
        <v>6</v>
      </c>
      <c r="P2" s="220">
        <v>2</v>
      </c>
      <c r="Q2" s="221">
        <v>11</v>
      </c>
      <c r="R2" s="217"/>
      <c r="S2" s="219"/>
      <c r="T2" s="222"/>
      <c r="U2" s="221"/>
      <c r="V2" s="223">
        <f t="shared" ref="V2:W2" si="5">(N2+P2+R2+T2)</f>
        <v>13</v>
      </c>
      <c r="W2" s="223">
        <f t="shared" si="5"/>
        <v>17</v>
      </c>
      <c r="X2" s="224">
        <f t="shared" ref="X2:X17" si="6">V2+W2</f>
        <v>30</v>
      </c>
      <c r="Y2" s="225" t="s">
        <v>211</v>
      </c>
      <c r="Z2" s="226" t="str">
        <f t="shared" ref="Z2:Z17" si="7">INDEX($A$2:$B$17,MATCH(Y2,$A$2:$A$17,0),2)</f>
        <v>Mary Sandefur &amp; Ola Vaughn</v>
      </c>
      <c r="AA2" s="227">
        <f t="shared" ref="AA2:AA17" ca="1" si="8">INDEX($B$2:$K$17, MATCH($Z2,$B$2:$B$17,0),9)</f>
        <v>8</v>
      </c>
      <c r="AB2" s="227">
        <f t="shared" ref="AB2:AB8" ca="1" si="9">INDEX($A$2:$AG$17,(MATCH($Z2,$B$2:$B$17,0)),6)+INDEX($M$2:$X$17,MATCH($Z2,$M$2:$M$17,0),10)</f>
        <v>77</v>
      </c>
      <c r="AC2" s="227">
        <f t="shared" ref="AC2:AC8" ca="1" si="10">INDEX($A$2:$AG$17,(MATCH($Z2,$B$2:$B$17,0)),7)+INDEX($M$2:$X$17,MATCH($Z2,$M$2:$M$17,0),11)</f>
        <v>36</v>
      </c>
      <c r="AD2" s="227">
        <f t="shared" ref="AD2:AD17" ca="1" si="11">SUM(AB2:AC2)</f>
        <v>113</v>
      </c>
      <c r="AE2" s="228">
        <f t="shared" ref="AE2:AE17" ca="1" si="12">AB2/AD2</f>
        <v>0.68141592920353977</v>
      </c>
      <c r="AF2" s="229">
        <f t="shared" ref="AF2:AF17" ca="1" si="13">AE2-(77-AB2)</f>
        <v>0.68141592920353977</v>
      </c>
      <c r="AG2" s="308">
        <f t="shared" ref="AG2:AG8" ca="1" si="14">RANK(AF2,OFFSET($AF$2,0,0,COUNTA($AF$2:$AF$17),1))</f>
        <v>1</v>
      </c>
      <c r="AH2" s="233"/>
    </row>
    <row r="3" spans="1:34" ht="15" customHeight="1">
      <c r="A3" s="309" t="s">
        <v>211</v>
      </c>
      <c r="B3" s="107" t="s">
        <v>152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$C$2+$D$5+$E$4</f>
        <v>28</v>
      </c>
      <c r="H3" s="235">
        <f t="shared" si="1"/>
        <v>61</v>
      </c>
      <c r="I3" s="236">
        <f t="shared" si="2"/>
        <v>0.54098360655737709</v>
      </c>
      <c r="J3" s="238">
        <f t="shared" ca="1" si="3"/>
        <v>8</v>
      </c>
      <c r="K3" s="302" t="s">
        <v>1346</v>
      </c>
      <c r="L3" s="239">
        <v>16</v>
      </c>
      <c r="M3" s="240" t="str">
        <f t="shared" ca="1" si="4"/>
        <v>Shannon Lyon &amp; Olivia Haney</v>
      </c>
      <c r="N3" s="239">
        <v>6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6</v>
      </c>
      <c r="W3" s="223">
        <f t="shared" si="15"/>
        <v>11</v>
      </c>
      <c r="X3" s="224">
        <f t="shared" si="6"/>
        <v>17</v>
      </c>
      <c r="Y3" s="225" t="s">
        <v>232</v>
      </c>
      <c r="Z3" s="226" t="str">
        <f t="shared" si="7"/>
        <v>Stephanie Patterson &amp; Julianna Norgren</v>
      </c>
      <c r="AA3" s="227">
        <f t="shared" ca="1" si="8"/>
        <v>6</v>
      </c>
      <c r="AB3" s="227">
        <f t="shared" ca="1" si="9"/>
        <v>65</v>
      </c>
      <c r="AC3" s="227">
        <f t="shared" ca="1" si="10"/>
        <v>48</v>
      </c>
      <c r="AD3" s="227">
        <f t="shared" ca="1" si="11"/>
        <v>113</v>
      </c>
      <c r="AE3" s="228">
        <f t="shared" ca="1" si="12"/>
        <v>0.5752212389380531</v>
      </c>
      <c r="AF3" s="229">
        <f t="shared" ca="1" si="13"/>
        <v>-11.424778761061948</v>
      </c>
      <c r="AG3" s="308">
        <f t="shared" ca="1" si="14"/>
        <v>2</v>
      </c>
      <c r="AH3" s="233"/>
    </row>
    <row r="4" spans="1:34" ht="15" customHeight="1">
      <c r="A4" s="309" t="s">
        <v>216</v>
      </c>
      <c r="B4" s="107" t="s">
        <v>1215</v>
      </c>
      <c r="C4" s="318">
        <v>10</v>
      </c>
      <c r="D4" s="319">
        <v>5</v>
      </c>
      <c r="E4" s="317">
        <v>9</v>
      </c>
      <c r="F4" s="235">
        <f t="shared" si="0"/>
        <v>24</v>
      </c>
      <c r="G4" s="235">
        <f>$C$5+$D$2+$E$3</f>
        <v>33</v>
      </c>
      <c r="H4" s="235">
        <f t="shared" si="1"/>
        <v>57</v>
      </c>
      <c r="I4" s="236">
        <f t="shared" si="2"/>
        <v>0.42105263157894735</v>
      </c>
      <c r="J4" s="238">
        <f t="shared" ca="1" si="3"/>
        <v>12</v>
      </c>
      <c r="K4" s="301" t="s">
        <v>1347</v>
      </c>
      <c r="L4" s="217">
        <v>8</v>
      </c>
      <c r="M4" s="218" t="str">
        <f t="shared" ca="1" si="4"/>
        <v>Mary Sandefur &amp; Ola Vaughn</v>
      </c>
      <c r="N4" s="217">
        <v>11</v>
      </c>
      <c r="O4" s="219">
        <v>1</v>
      </c>
      <c r="P4" s="242">
        <v>11</v>
      </c>
      <c r="Q4" s="243">
        <v>2</v>
      </c>
      <c r="R4" s="244">
        <v>11</v>
      </c>
      <c r="S4" s="245">
        <v>1</v>
      </c>
      <c r="T4" s="246">
        <v>11</v>
      </c>
      <c r="U4" s="243">
        <v>4</v>
      </c>
      <c r="V4" s="223">
        <f t="shared" ref="V4:W4" si="16">(N4+P4+R4+T4)</f>
        <v>44</v>
      </c>
      <c r="W4" s="223">
        <f t="shared" si="16"/>
        <v>8</v>
      </c>
      <c r="X4" s="224">
        <f t="shared" si="6"/>
        <v>52</v>
      </c>
      <c r="Y4" s="225" t="s">
        <v>205</v>
      </c>
      <c r="Z4" s="226" t="str">
        <f t="shared" si="7"/>
        <v>Brook Vitt &amp; Brooke Corcoran</v>
      </c>
      <c r="AA4" s="227">
        <f t="shared" ca="1" si="8"/>
        <v>2</v>
      </c>
      <c r="AB4" s="227">
        <f t="shared" ca="1" si="9"/>
        <v>58</v>
      </c>
      <c r="AC4" s="227">
        <f t="shared" ca="1" si="10"/>
        <v>40</v>
      </c>
      <c r="AD4" s="227">
        <f t="shared" ca="1" si="11"/>
        <v>98</v>
      </c>
      <c r="AE4" s="228">
        <f t="shared" ca="1" si="12"/>
        <v>0.59183673469387754</v>
      </c>
      <c r="AF4" s="229">
        <f t="shared" ca="1" si="13"/>
        <v>-18.408163265306122</v>
      </c>
      <c r="AG4" s="308">
        <f t="shared" ca="1" si="14"/>
        <v>3</v>
      </c>
      <c r="AH4" s="233"/>
    </row>
    <row r="5" spans="1:34" ht="15" customHeight="1">
      <c r="A5" s="310" t="s">
        <v>221</v>
      </c>
      <c r="B5" s="109" t="s">
        <v>1216</v>
      </c>
      <c r="C5" s="320">
        <v>11</v>
      </c>
      <c r="D5" s="321">
        <v>10</v>
      </c>
      <c r="E5" s="322">
        <v>1</v>
      </c>
      <c r="F5" s="252">
        <f t="shared" si="0"/>
        <v>22</v>
      </c>
      <c r="G5" s="252">
        <f>$C$4+$D$3+$E$2</f>
        <v>32</v>
      </c>
      <c r="H5" s="252">
        <f t="shared" si="1"/>
        <v>54</v>
      </c>
      <c r="I5" s="253">
        <f t="shared" si="2"/>
        <v>0.40740740740740738</v>
      </c>
      <c r="J5" s="255">
        <f t="shared" ca="1" si="3"/>
        <v>13</v>
      </c>
      <c r="K5" s="302" t="s">
        <v>1348</v>
      </c>
      <c r="L5" s="239">
        <v>9</v>
      </c>
      <c r="M5" s="240" t="str">
        <f t="shared" ca="1" si="4"/>
        <v>Thu Nguyen &amp; Susan Murphy</v>
      </c>
      <c r="N5" s="239">
        <v>1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1</v>
      </c>
      <c r="W5" s="223">
        <f t="shared" si="17"/>
        <v>11</v>
      </c>
      <c r="X5" s="224">
        <f t="shared" si="6"/>
        <v>12</v>
      </c>
      <c r="Y5" s="225" t="s">
        <v>246</v>
      </c>
      <c r="Z5" s="226" t="str">
        <f t="shared" si="7"/>
        <v>Sara Maguire &amp; Cassandra Schneeberger</v>
      </c>
      <c r="AA5" s="227">
        <f t="shared" ca="1" si="8"/>
        <v>4</v>
      </c>
      <c r="AB5" s="227">
        <f t="shared" ca="1" si="9"/>
        <v>56</v>
      </c>
      <c r="AC5" s="227">
        <f t="shared" ca="1" si="10"/>
        <v>47</v>
      </c>
      <c r="AD5" s="227">
        <f t="shared" ca="1" si="11"/>
        <v>103</v>
      </c>
      <c r="AE5" s="228">
        <f t="shared" ca="1" si="12"/>
        <v>0.5436893203883495</v>
      </c>
      <c r="AF5" s="229">
        <f t="shared" ca="1" si="13"/>
        <v>-20.456310679611651</v>
      </c>
      <c r="AG5" s="308">
        <f t="shared" ca="1" si="14"/>
        <v>4</v>
      </c>
      <c r="AH5" s="233"/>
    </row>
    <row r="6" spans="1:34" ht="15" customHeight="1">
      <c r="A6" s="307" t="s">
        <v>224</v>
      </c>
      <c r="B6" s="107" t="s">
        <v>1212</v>
      </c>
      <c r="C6" s="314">
        <v>11</v>
      </c>
      <c r="D6" s="315">
        <v>11</v>
      </c>
      <c r="E6" s="315">
        <v>11</v>
      </c>
      <c r="F6" s="213">
        <f t="shared" si="0"/>
        <v>33</v>
      </c>
      <c r="G6" s="213">
        <f>$C$7+$D$8+$E$9</f>
        <v>16</v>
      </c>
      <c r="H6" s="213">
        <f t="shared" si="1"/>
        <v>49</v>
      </c>
      <c r="I6" s="214">
        <f t="shared" si="2"/>
        <v>0.67346938775510201</v>
      </c>
      <c r="J6" s="238">
        <f t="shared" ca="1" si="3"/>
        <v>1</v>
      </c>
      <c r="K6" s="301" t="s">
        <v>1349</v>
      </c>
      <c r="L6" s="217">
        <v>5</v>
      </c>
      <c r="M6" s="218" t="str">
        <f t="shared" ca="1" si="4"/>
        <v>Stephanie Campbell &amp; Mallory Daniels</v>
      </c>
      <c r="N6" s="217">
        <v>11</v>
      </c>
      <c r="O6" s="219">
        <v>7</v>
      </c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18</v>
      </c>
      <c r="W6" s="223">
        <f t="shared" si="18"/>
        <v>18</v>
      </c>
      <c r="X6" s="224">
        <f t="shared" si="6"/>
        <v>36</v>
      </c>
      <c r="Y6" s="225" t="s">
        <v>276</v>
      </c>
      <c r="Z6" s="226" t="str">
        <f t="shared" si="7"/>
        <v>Mary Pflanz &amp; Ronni Rosewicz</v>
      </c>
      <c r="AA6" s="227">
        <f t="shared" ca="1" si="8"/>
        <v>7</v>
      </c>
      <c r="AB6" s="227">
        <f t="shared" ca="1" si="9"/>
        <v>50</v>
      </c>
      <c r="AC6" s="227">
        <f t="shared" ca="1" si="10"/>
        <v>41</v>
      </c>
      <c r="AD6" s="227">
        <f t="shared" ca="1" si="11"/>
        <v>91</v>
      </c>
      <c r="AE6" s="228">
        <f t="shared" ca="1" si="12"/>
        <v>0.5494505494505495</v>
      </c>
      <c r="AF6" s="229">
        <f t="shared" ca="1" si="13"/>
        <v>-26.450549450549449</v>
      </c>
      <c r="AG6" s="308">
        <f t="shared" ca="1" si="14"/>
        <v>5</v>
      </c>
      <c r="AH6" s="233"/>
    </row>
    <row r="7" spans="1:34" ht="15" customHeight="1">
      <c r="A7" s="309" t="s">
        <v>228</v>
      </c>
      <c r="B7" s="107" t="s">
        <v>1220</v>
      </c>
      <c r="C7" s="316">
        <v>7</v>
      </c>
      <c r="D7" s="317">
        <v>11</v>
      </c>
      <c r="E7" s="317">
        <v>7</v>
      </c>
      <c r="F7" s="235">
        <f t="shared" si="0"/>
        <v>25</v>
      </c>
      <c r="G7" s="235">
        <f>$C$6+$D$9+$E$8</f>
        <v>27</v>
      </c>
      <c r="H7" s="235">
        <f t="shared" si="1"/>
        <v>52</v>
      </c>
      <c r="I7" s="236">
        <f t="shared" si="2"/>
        <v>0.48076923076923078</v>
      </c>
      <c r="J7" s="238">
        <f t="shared" ca="1" si="3"/>
        <v>10</v>
      </c>
      <c r="K7" s="302" t="s">
        <v>1350</v>
      </c>
      <c r="L7" s="239">
        <v>12</v>
      </c>
      <c r="M7" s="240" t="str">
        <f t="shared" ca="1" si="4"/>
        <v>Betsy Norberg &amp; Loras Heck</v>
      </c>
      <c r="N7" s="239">
        <v>7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7</v>
      </c>
      <c r="W7" s="223">
        <f t="shared" si="19"/>
        <v>11</v>
      </c>
      <c r="X7" s="224">
        <f t="shared" si="6"/>
        <v>18</v>
      </c>
      <c r="Y7" s="225" t="s">
        <v>241</v>
      </c>
      <c r="Z7" s="226" t="str">
        <f t="shared" si="7"/>
        <v>Stephanie Campbell &amp; Mallory Daniels</v>
      </c>
      <c r="AA7" s="227">
        <f t="shared" ca="1" si="8"/>
        <v>5</v>
      </c>
      <c r="AB7" s="227">
        <f t="shared" ca="1" si="9"/>
        <v>49</v>
      </c>
      <c r="AC7" s="227">
        <f t="shared" ca="1" si="10"/>
        <v>43</v>
      </c>
      <c r="AD7" s="227">
        <f t="shared" ca="1" si="11"/>
        <v>92</v>
      </c>
      <c r="AE7" s="228">
        <f t="shared" ca="1" si="12"/>
        <v>0.53260869565217395</v>
      </c>
      <c r="AF7" s="229">
        <f t="shared" ca="1" si="13"/>
        <v>-27.467391304347824</v>
      </c>
      <c r="AG7" s="308">
        <f t="shared" ca="1" si="14"/>
        <v>6</v>
      </c>
      <c r="AH7" s="233"/>
    </row>
    <row r="8" spans="1:34" ht="15" customHeight="1">
      <c r="A8" s="309" t="s">
        <v>232</v>
      </c>
      <c r="B8" s="107" t="s">
        <v>153</v>
      </c>
      <c r="C8" s="318">
        <v>11</v>
      </c>
      <c r="D8" s="319">
        <v>6</v>
      </c>
      <c r="E8" s="317">
        <v>11</v>
      </c>
      <c r="F8" s="235">
        <f t="shared" si="0"/>
        <v>28</v>
      </c>
      <c r="G8" s="235">
        <f>$C$9+$D$6+$E$7</f>
        <v>23</v>
      </c>
      <c r="H8" s="235">
        <f t="shared" si="1"/>
        <v>51</v>
      </c>
      <c r="I8" s="236">
        <f t="shared" si="2"/>
        <v>0.5490196078431373</v>
      </c>
      <c r="J8" s="238">
        <f t="shared" ca="1" si="3"/>
        <v>6</v>
      </c>
      <c r="K8" s="301" t="s">
        <v>1351</v>
      </c>
      <c r="L8" s="217">
        <v>4</v>
      </c>
      <c r="M8" s="218" t="str">
        <f t="shared" ca="1" si="4"/>
        <v>Sara Maguire &amp; Cassandra Schneeberger</v>
      </c>
      <c r="N8" s="217">
        <v>11</v>
      </c>
      <c r="O8" s="219">
        <v>6</v>
      </c>
      <c r="P8" s="242">
        <v>11</v>
      </c>
      <c r="Q8" s="243">
        <v>7</v>
      </c>
      <c r="R8" s="244">
        <v>1</v>
      </c>
      <c r="S8" s="245">
        <v>11</v>
      </c>
      <c r="T8" s="246"/>
      <c r="U8" s="243"/>
      <c r="V8" s="223">
        <f t="shared" ref="V8:W8" si="20">(N8+P8+R8+T8)</f>
        <v>23</v>
      </c>
      <c r="W8" s="223">
        <f t="shared" si="20"/>
        <v>24</v>
      </c>
      <c r="X8" s="224">
        <f t="shared" si="6"/>
        <v>47</v>
      </c>
      <c r="Y8" s="225" t="s">
        <v>261</v>
      </c>
      <c r="Z8" s="226" t="str">
        <f t="shared" si="7"/>
        <v>Susan Mitts &amp; Maria Andrew</v>
      </c>
      <c r="AA8" s="227">
        <f t="shared" ca="1" si="8"/>
        <v>3</v>
      </c>
      <c r="AB8" s="227">
        <f t="shared" ca="1" si="9"/>
        <v>48</v>
      </c>
      <c r="AC8" s="227">
        <f t="shared" ca="1" si="10"/>
        <v>39</v>
      </c>
      <c r="AD8" s="227">
        <f t="shared" ca="1" si="11"/>
        <v>87</v>
      </c>
      <c r="AE8" s="228">
        <f t="shared" ca="1" si="12"/>
        <v>0.55172413793103448</v>
      </c>
      <c r="AF8" s="229">
        <f t="shared" ca="1" si="13"/>
        <v>-28.448275862068964</v>
      </c>
      <c r="AG8" s="308">
        <f t="shared" ca="1" si="14"/>
        <v>7</v>
      </c>
      <c r="AH8" s="233"/>
    </row>
    <row r="9" spans="1:34" ht="15" customHeight="1">
      <c r="A9" s="310" t="s">
        <v>237</v>
      </c>
      <c r="B9" s="109" t="s">
        <v>1214</v>
      </c>
      <c r="C9" s="320">
        <v>5</v>
      </c>
      <c r="D9" s="321">
        <v>5</v>
      </c>
      <c r="E9" s="322">
        <v>3</v>
      </c>
      <c r="F9" s="252">
        <f t="shared" si="0"/>
        <v>13</v>
      </c>
      <c r="G9" s="252">
        <f>$C$8+$D$7+$E$6</f>
        <v>33</v>
      </c>
      <c r="H9" s="252">
        <f t="shared" si="1"/>
        <v>46</v>
      </c>
      <c r="I9" s="253">
        <f t="shared" si="2"/>
        <v>0.28260869565217389</v>
      </c>
      <c r="J9" s="255">
        <f t="shared" ca="1" si="3"/>
        <v>16</v>
      </c>
      <c r="K9" s="302" t="s">
        <v>1352</v>
      </c>
      <c r="L9" s="239">
        <v>13</v>
      </c>
      <c r="M9" s="240" t="str">
        <f t="shared" ca="1" si="4"/>
        <v>Jennifer Eckert &amp; Kristy Ecton</v>
      </c>
      <c r="N9" s="239">
        <v>6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6</v>
      </c>
      <c r="W9" s="223">
        <f t="shared" si="21"/>
        <v>11</v>
      </c>
      <c r="X9" s="224">
        <f t="shared" si="6"/>
        <v>17</v>
      </c>
      <c r="Y9" s="225" t="s">
        <v>224</v>
      </c>
      <c r="Z9" s="226" t="str">
        <f t="shared" si="7"/>
        <v>Raquel Madison &amp; Cory Blue</v>
      </c>
      <c r="AA9" s="227">
        <f t="shared" ca="1" si="8"/>
        <v>1</v>
      </c>
      <c r="AB9" s="227">
        <f t="array" aca="1" ref="AB9" ca="1">INDEX($A$2:$AH$17,(MATCH($Z9,$B$2:$B$17,0)),6)+INDEX($M$2:$X$17,MATCH($Z9,$M$2:$M$17,0),10)</f>
        <v>46</v>
      </c>
      <c r="AC9" s="227">
        <f t="array" aca="1" ref="AC9" ca="1">INDEX($A$2:$AH$17,(MATCH($Z9,$B$2:$B$17,0)),7)+INDEX($M$2:$X$17,MATCH($Z9,$M$2:$M$17,0),11)</f>
        <v>33</v>
      </c>
      <c r="AD9" s="227">
        <f t="shared" ca="1" si="11"/>
        <v>79</v>
      </c>
      <c r="AE9" s="228">
        <f t="shared" ca="1" si="12"/>
        <v>0.58227848101265822</v>
      </c>
      <c r="AF9" s="229">
        <f t="shared" ca="1" si="13"/>
        <v>-30.417721518987342</v>
      </c>
      <c r="AG9" s="308">
        <f ca="1">RANK(AB9,OFFSET($AB$2,0,0,COUNTA($AB$2:$AB$17),1))</f>
        <v>8</v>
      </c>
      <c r="AH9" s="233"/>
    </row>
    <row r="10" spans="1:34" ht="15" customHeight="1">
      <c r="A10" s="307" t="s">
        <v>241</v>
      </c>
      <c r="B10" s="107" t="s">
        <v>1218</v>
      </c>
      <c r="C10" s="314">
        <v>9</v>
      </c>
      <c r="D10" s="315">
        <v>11</v>
      </c>
      <c r="E10" s="315">
        <v>11</v>
      </c>
      <c r="F10" s="213">
        <f t="shared" si="0"/>
        <v>31</v>
      </c>
      <c r="G10" s="213">
        <f>$C$11+$D$12+$E$13</f>
        <v>25</v>
      </c>
      <c r="H10" s="213">
        <f t="shared" si="1"/>
        <v>56</v>
      </c>
      <c r="I10" s="214">
        <f t="shared" si="2"/>
        <v>0.5535714285714286</v>
      </c>
      <c r="J10" s="238">
        <f t="shared" ca="1" si="3"/>
        <v>5</v>
      </c>
      <c r="K10" s="301" t="s">
        <v>1353</v>
      </c>
      <c r="L10" s="217">
        <v>6</v>
      </c>
      <c r="M10" s="218" t="str">
        <f t="shared" ca="1" si="4"/>
        <v>Stephanie Patterson &amp; Julianna Norgren</v>
      </c>
      <c r="N10" s="217">
        <v>11</v>
      </c>
      <c r="O10" s="219">
        <v>5</v>
      </c>
      <c r="P10" s="220">
        <v>11</v>
      </c>
      <c r="Q10" s="221">
        <v>4</v>
      </c>
      <c r="R10" s="217">
        <v>11</v>
      </c>
      <c r="S10" s="219">
        <v>5</v>
      </c>
      <c r="T10" s="246">
        <v>4</v>
      </c>
      <c r="U10" s="243">
        <v>11</v>
      </c>
      <c r="V10" s="223">
        <f t="shared" ref="V10:W10" si="22">(N10+P10+R10+T10)</f>
        <v>37</v>
      </c>
      <c r="W10" s="223">
        <f t="shared" si="22"/>
        <v>25</v>
      </c>
      <c r="X10" s="224">
        <f t="shared" si="6"/>
        <v>62</v>
      </c>
      <c r="Y10" s="225" t="s">
        <v>216</v>
      </c>
      <c r="Z10" s="226" t="str">
        <f t="shared" si="7"/>
        <v>Betsy Norberg &amp; Loras Heck</v>
      </c>
      <c r="AA10" s="227">
        <f t="shared" ca="1" si="8"/>
        <v>12</v>
      </c>
      <c r="AB10" s="227">
        <f t="shared" ref="AB10:AB17" ca="1" si="23">INDEX($A$2:$AG$17,(MATCH($Z10,$B$2:$B$17,0)),6)+INDEX($M$2:$X$17,MATCH($Z10,$M$2:$M$17,0),10)</f>
        <v>31</v>
      </c>
      <c r="AC10" s="227">
        <f t="shared" ref="AC10:AC17" ca="1" si="24">INDEX($A$2:$AG$17,(MATCH($Z10,$B$2:$B$17,0)),7)+INDEX($M$2:$X$17,MATCH($Z10,$M$2:$M$17,0),11)</f>
        <v>44</v>
      </c>
      <c r="AD10" s="227">
        <f t="shared" ca="1" si="11"/>
        <v>75</v>
      </c>
      <c r="AE10" s="228">
        <f t="shared" ca="1" si="12"/>
        <v>0.41333333333333333</v>
      </c>
      <c r="AF10" s="229">
        <f t="shared" ca="1" si="13"/>
        <v>-45.586666666666666</v>
      </c>
      <c r="AG10" s="308">
        <f t="shared" ref="AG10:AG17" ca="1" si="25">RANK(AF10,OFFSET($AF$2,0,0,COUNTA($AF$2:$AF$17),1))</f>
        <v>9</v>
      </c>
      <c r="AH10" s="233"/>
    </row>
    <row r="11" spans="1:34" ht="15" customHeight="1">
      <c r="A11" s="309" t="s">
        <v>246</v>
      </c>
      <c r="B11" s="107" t="s">
        <v>1222</v>
      </c>
      <c r="C11" s="316">
        <v>11</v>
      </c>
      <c r="D11" s="317">
        <v>11</v>
      </c>
      <c r="E11" s="317">
        <v>11</v>
      </c>
      <c r="F11" s="235">
        <f t="shared" si="0"/>
        <v>33</v>
      </c>
      <c r="G11" s="235">
        <f>$C$10+$D$13+$E$12</f>
        <v>23</v>
      </c>
      <c r="H11" s="235">
        <f t="shared" si="1"/>
        <v>56</v>
      </c>
      <c r="I11" s="236">
        <f t="shared" si="2"/>
        <v>0.5892857142857143</v>
      </c>
      <c r="J11" s="238">
        <f t="shared" ca="1" si="3"/>
        <v>4</v>
      </c>
      <c r="K11" s="302" t="s">
        <v>1354</v>
      </c>
      <c r="L11" s="239">
        <v>11</v>
      </c>
      <c r="M11" s="240" t="str">
        <f t="shared" ca="1" si="4"/>
        <v>Kerri Brocker &amp; Samantha Green</v>
      </c>
      <c r="N11" s="239">
        <v>5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6">(N11+P11+R11+T11)</f>
        <v>5</v>
      </c>
      <c r="W11" s="223">
        <f t="shared" si="26"/>
        <v>11</v>
      </c>
      <c r="X11" s="224">
        <f t="shared" si="6"/>
        <v>16</v>
      </c>
      <c r="Y11" s="225" t="s">
        <v>228</v>
      </c>
      <c r="Z11" s="226" t="str">
        <f t="shared" si="7"/>
        <v>Valerie Dubois &amp; Annie Brown</v>
      </c>
      <c r="AA11" s="227">
        <f t="shared" ca="1" si="8"/>
        <v>10</v>
      </c>
      <c r="AB11" s="227">
        <f t="shared" ca="1" si="23"/>
        <v>30</v>
      </c>
      <c r="AC11" s="227">
        <f t="shared" ca="1" si="24"/>
        <v>38</v>
      </c>
      <c r="AD11" s="227">
        <f t="shared" ca="1" si="11"/>
        <v>68</v>
      </c>
      <c r="AE11" s="228">
        <f t="shared" ca="1" si="12"/>
        <v>0.44117647058823528</v>
      </c>
      <c r="AF11" s="229">
        <f t="shared" ca="1" si="13"/>
        <v>-46.558823529411768</v>
      </c>
      <c r="AG11" s="308">
        <f t="shared" ca="1" si="25"/>
        <v>10</v>
      </c>
      <c r="AH11" s="233"/>
    </row>
    <row r="12" spans="1:34" ht="15" customHeight="1">
      <c r="A12" s="309" t="s">
        <v>251</v>
      </c>
      <c r="B12" s="107" t="s">
        <v>1225</v>
      </c>
      <c r="C12" s="318">
        <v>5</v>
      </c>
      <c r="D12" s="319">
        <v>7</v>
      </c>
      <c r="E12" s="317">
        <v>9</v>
      </c>
      <c r="F12" s="235">
        <f t="shared" si="0"/>
        <v>21</v>
      </c>
      <c r="G12" s="235">
        <f>$C$13+$D$10+$E$11</f>
        <v>33</v>
      </c>
      <c r="H12" s="235">
        <f t="shared" si="1"/>
        <v>54</v>
      </c>
      <c r="I12" s="236">
        <f t="shared" si="2"/>
        <v>0.3888888888888889</v>
      </c>
      <c r="J12" s="238">
        <f t="shared" ca="1" si="3"/>
        <v>14</v>
      </c>
      <c r="K12" s="301" t="s">
        <v>1355</v>
      </c>
      <c r="L12" s="217">
        <v>3</v>
      </c>
      <c r="M12" s="218" t="str">
        <f t="shared" ca="1" si="4"/>
        <v>Susan Mitts &amp; Maria Andrew</v>
      </c>
      <c r="N12" s="217">
        <v>11</v>
      </c>
      <c r="O12" s="219">
        <v>9</v>
      </c>
      <c r="P12" s="242">
        <v>4</v>
      </c>
      <c r="Q12" s="243">
        <v>11</v>
      </c>
      <c r="R12" s="244"/>
      <c r="S12" s="245"/>
      <c r="T12" s="246"/>
      <c r="U12" s="243"/>
      <c r="V12" s="223">
        <f t="shared" ref="V12:W12" si="27">(N12+P12+R12+T12)</f>
        <v>15</v>
      </c>
      <c r="W12" s="223">
        <f t="shared" si="27"/>
        <v>20</v>
      </c>
      <c r="X12" s="224">
        <f t="shared" si="6"/>
        <v>35</v>
      </c>
      <c r="Y12" s="225" t="s">
        <v>251</v>
      </c>
      <c r="Z12" s="226" t="str">
        <f t="shared" si="7"/>
        <v>Erinn Metcalf &amp; Bridget Pereira</v>
      </c>
      <c r="AA12" s="227">
        <f t="shared" ca="1" si="8"/>
        <v>14</v>
      </c>
      <c r="AB12" s="227">
        <f t="shared" ca="1" si="23"/>
        <v>30</v>
      </c>
      <c r="AC12" s="227">
        <f t="shared" ca="1" si="24"/>
        <v>44</v>
      </c>
      <c r="AD12" s="227">
        <f t="shared" ca="1" si="11"/>
        <v>74</v>
      </c>
      <c r="AE12" s="228">
        <f t="shared" ca="1" si="12"/>
        <v>0.40540540540540543</v>
      </c>
      <c r="AF12" s="229">
        <f t="shared" ca="1" si="13"/>
        <v>-46.594594594594597</v>
      </c>
      <c r="AG12" s="308">
        <f t="shared" ca="1" si="25"/>
        <v>11</v>
      </c>
      <c r="AH12" s="233"/>
    </row>
    <row r="13" spans="1:34" ht="15" customHeight="1">
      <c r="A13" s="310" t="s">
        <v>256</v>
      </c>
      <c r="B13" s="109" t="s">
        <v>1223</v>
      </c>
      <c r="C13" s="320">
        <v>11</v>
      </c>
      <c r="D13" s="321">
        <v>5</v>
      </c>
      <c r="E13" s="322">
        <v>7</v>
      </c>
      <c r="F13" s="252">
        <f t="shared" si="0"/>
        <v>23</v>
      </c>
      <c r="G13" s="252">
        <f>$C$12+$D$11+$E$10</f>
        <v>27</v>
      </c>
      <c r="H13" s="252">
        <f t="shared" si="1"/>
        <v>50</v>
      </c>
      <c r="I13" s="253">
        <f t="shared" si="2"/>
        <v>0.46</v>
      </c>
      <c r="J13" s="255">
        <f t="shared" ca="1" si="3"/>
        <v>11</v>
      </c>
      <c r="K13" s="302" t="s">
        <v>1356</v>
      </c>
      <c r="L13" s="239">
        <v>14</v>
      </c>
      <c r="M13" s="240" t="str">
        <f t="shared" ca="1" si="4"/>
        <v>Erinn Metcalf &amp; Bridget Pereira</v>
      </c>
      <c r="N13" s="239">
        <v>9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8">(N13+P13+R13+T13)</f>
        <v>9</v>
      </c>
      <c r="W13" s="223">
        <f t="shared" si="28"/>
        <v>11</v>
      </c>
      <c r="X13" s="224">
        <f t="shared" si="6"/>
        <v>20</v>
      </c>
      <c r="Y13" s="225" t="s">
        <v>256</v>
      </c>
      <c r="Z13" s="226" t="str">
        <f t="shared" si="7"/>
        <v>Kerri Brocker &amp; Samantha Green</v>
      </c>
      <c r="AA13" s="227">
        <f t="shared" ca="1" si="8"/>
        <v>11</v>
      </c>
      <c r="AB13" s="227">
        <f t="shared" ca="1" si="23"/>
        <v>28</v>
      </c>
      <c r="AC13" s="227">
        <f t="shared" ca="1" si="24"/>
        <v>38</v>
      </c>
      <c r="AD13" s="227">
        <f t="shared" ca="1" si="11"/>
        <v>66</v>
      </c>
      <c r="AE13" s="228">
        <f t="shared" ca="1" si="12"/>
        <v>0.42424242424242425</v>
      </c>
      <c r="AF13" s="229">
        <f t="shared" ca="1" si="13"/>
        <v>-48.575757575757578</v>
      </c>
      <c r="AG13" s="308">
        <f t="shared" ca="1" si="25"/>
        <v>12</v>
      </c>
      <c r="AH13" s="233"/>
    </row>
    <row r="14" spans="1:34" ht="15" customHeight="1">
      <c r="A14" s="307" t="s">
        <v>261</v>
      </c>
      <c r="B14" s="107" t="s">
        <v>1226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$C$15+$D$16+$E$17</f>
        <v>19</v>
      </c>
      <c r="H14" s="213">
        <f t="shared" si="1"/>
        <v>52</v>
      </c>
      <c r="I14" s="214">
        <f t="shared" si="2"/>
        <v>0.63461538461538458</v>
      </c>
      <c r="J14" s="238">
        <f t="shared" ca="1" si="3"/>
        <v>3</v>
      </c>
      <c r="K14" s="301" t="s">
        <v>1357</v>
      </c>
      <c r="L14" s="217">
        <v>7</v>
      </c>
      <c r="M14" s="218" t="str">
        <f t="shared" ca="1" si="4"/>
        <v>Mary Pflanz &amp; Ronni Rosewicz</v>
      </c>
      <c r="N14" s="217">
        <v>11</v>
      </c>
      <c r="O14" s="219">
        <v>5</v>
      </c>
      <c r="P14" s="220">
        <v>9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20</v>
      </c>
      <c r="W14" s="223">
        <f t="shared" si="29"/>
        <v>16</v>
      </c>
      <c r="X14" s="224">
        <f t="shared" si="6"/>
        <v>36</v>
      </c>
      <c r="Y14" s="225" t="s">
        <v>221</v>
      </c>
      <c r="Z14" s="226" t="str">
        <f t="shared" si="7"/>
        <v>Jennifer Eckert &amp; Kristy Ecton</v>
      </c>
      <c r="AA14" s="227">
        <f t="shared" ca="1" si="8"/>
        <v>13</v>
      </c>
      <c r="AB14" s="227">
        <f t="shared" ca="1" si="23"/>
        <v>28</v>
      </c>
      <c r="AC14" s="227">
        <f t="shared" ca="1" si="24"/>
        <v>43</v>
      </c>
      <c r="AD14" s="227">
        <f t="shared" ca="1" si="11"/>
        <v>71</v>
      </c>
      <c r="AE14" s="228">
        <f t="shared" ca="1" si="12"/>
        <v>0.39436619718309857</v>
      </c>
      <c r="AF14" s="229">
        <f t="shared" ca="1" si="13"/>
        <v>-48.605633802816904</v>
      </c>
      <c r="AG14" s="308">
        <f t="shared" ca="1" si="25"/>
        <v>13</v>
      </c>
      <c r="AH14" s="233"/>
    </row>
    <row r="15" spans="1:34" ht="15" customHeight="1">
      <c r="A15" s="309" t="s">
        <v>268</v>
      </c>
      <c r="B15" s="107" t="s">
        <v>1230</v>
      </c>
      <c r="C15" s="316">
        <v>6</v>
      </c>
      <c r="D15" s="317">
        <v>3</v>
      </c>
      <c r="E15" s="317">
        <v>6</v>
      </c>
      <c r="F15" s="235">
        <f t="shared" si="0"/>
        <v>15</v>
      </c>
      <c r="G15" s="235">
        <f>$C$14+$D$17+$E$16</f>
        <v>33</v>
      </c>
      <c r="H15" s="235">
        <f t="shared" si="1"/>
        <v>48</v>
      </c>
      <c r="I15" s="236">
        <f t="shared" si="2"/>
        <v>0.3125</v>
      </c>
      <c r="J15" s="238">
        <f t="shared" ca="1" si="3"/>
        <v>15</v>
      </c>
      <c r="K15" s="302" t="s">
        <v>1358</v>
      </c>
      <c r="L15" s="239">
        <v>10</v>
      </c>
      <c r="M15" s="240" t="str">
        <f t="shared" ca="1" si="4"/>
        <v>Valerie Dubois &amp; Annie Brown</v>
      </c>
      <c r="N15" s="239">
        <v>5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30">(N15+P15+R15+T15)</f>
        <v>5</v>
      </c>
      <c r="W15" s="223">
        <f t="shared" si="30"/>
        <v>11</v>
      </c>
      <c r="X15" s="224">
        <f t="shared" si="6"/>
        <v>16</v>
      </c>
      <c r="Y15" s="225" t="s">
        <v>271</v>
      </c>
      <c r="Z15" s="226" t="str">
        <f t="shared" si="7"/>
        <v>Thu Nguyen &amp; Susan Murphy</v>
      </c>
      <c r="AA15" s="227">
        <f t="shared" ca="1" si="8"/>
        <v>9</v>
      </c>
      <c r="AB15" s="227">
        <f t="shared" ca="1" si="23"/>
        <v>26</v>
      </c>
      <c r="AC15" s="227">
        <f t="shared" ca="1" si="24"/>
        <v>37</v>
      </c>
      <c r="AD15" s="227">
        <f t="shared" ca="1" si="11"/>
        <v>63</v>
      </c>
      <c r="AE15" s="228">
        <f t="shared" ca="1" si="12"/>
        <v>0.41269841269841268</v>
      </c>
      <c r="AF15" s="229">
        <f t="shared" ca="1" si="13"/>
        <v>-50.587301587301589</v>
      </c>
      <c r="AG15" s="308">
        <f t="shared" ca="1" si="25"/>
        <v>14</v>
      </c>
      <c r="AH15" s="233"/>
    </row>
    <row r="16" spans="1:34" ht="15" customHeight="1">
      <c r="A16" s="309" t="s">
        <v>271</v>
      </c>
      <c r="B16" s="107" t="s">
        <v>1217</v>
      </c>
      <c r="C16" s="318">
        <v>11</v>
      </c>
      <c r="D16" s="319">
        <v>3</v>
      </c>
      <c r="E16" s="317">
        <v>11</v>
      </c>
      <c r="F16" s="235">
        <f t="shared" si="0"/>
        <v>25</v>
      </c>
      <c r="G16" s="235">
        <f>$C$17+$D$14+$E$15</f>
        <v>26</v>
      </c>
      <c r="H16" s="235">
        <f t="shared" si="1"/>
        <v>51</v>
      </c>
      <c r="I16" s="236">
        <f t="shared" si="2"/>
        <v>0.49019607843137253</v>
      </c>
      <c r="J16" s="238">
        <f t="shared" ca="1" si="3"/>
        <v>9</v>
      </c>
      <c r="K16" s="301" t="s">
        <v>1359</v>
      </c>
      <c r="L16" s="217">
        <v>2</v>
      </c>
      <c r="M16" s="218" t="str">
        <f t="shared" ca="1" si="4"/>
        <v>Brook Vitt &amp; Brooke Corcoran</v>
      </c>
      <c r="N16" s="217">
        <v>11</v>
      </c>
      <c r="O16" s="219">
        <v>3</v>
      </c>
      <c r="P16" s="242">
        <v>11</v>
      </c>
      <c r="Q16" s="243">
        <v>9</v>
      </c>
      <c r="R16" s="244">
        <v>5</v>
      </c>
      <c r="S16" s="245">
        <v>11</v>
      </c>
      <c r="T16" s="246"/>
      <c r="U16" s="243"/>
      <c r="V16" s="223">
        <f t="shared" ref="V16:W16" si="31">(N16+P16+R16+T16)</f>
        <v>27</v>
      </c>
      <c r="W16" s="223">
        <f t="shared" si="31"/>
        <v>23</v>
      </c>
      <c r="X16" s="224">
        <f t="shared" si="6"/>
        <v>50</v>
      </c>
      <c r="Y16" s="225" t="s">
        <v>237</v>
      </c>
      <c r="Z16" s="226" t="str">
        <f t="shared" si="7"/>
        <v>Shannon Lyon &amp; Olivia Haney</v>
      </c>
      <c r="AA16" s="227">
        <f t="shared" ca="1" si="8"/>
        <v>16</v>
      </c>
      <c r="AB16" s="227">
        <f t="shared" ca="1" si="23"/>
        <v>19</v>
      </c>
      <c r="AC16" s="227">
        <f t="shared" ca="1" si="24"/>
        <v>44</v>
      </c>
      <c r="AD16" s="227">
        <f t="shared" ca="1" si="11"/>
        <v>63</v>
      </c>
      <c r="AE16" s="228">
        <f t="shared" ca="1" si="12"/>
        <v>0.30158730158730157</v>
      </c>
      <c r="AF16" s="229">
        <f t="shared" ca="1" si="13"/>
        <v>-57.698412698412696</v>
      </c>
      <c r="AG16" s="308">
        <f t="shared" ca="1" si="25"/>
        <v>15</v>
      </c>
      <c r="AH16" s="233"/>
    </row>
    <row r="17" spans="1:34" ht="15" customHeight="1">
      <c r="A17" s="311" t="s">
        <v>276</v>
      </c>
      <c r="B17" s="262" t="s">
        <v>1229</v>
      </c>
      <c r="C17" s="323">
        <v>9</v>
      </c>
      <c r="D17" s="324">
        <v>11</v>
      </c>
      <c r="E17" s="325">
        <v>10</v>
      </c>
      <c r="F17" s="265">
        <f t="shared" si="0"/>
        <v>30</v>
      </c>
      <c r="G17" s="265">
        <f>$C$16+$D$15+$E$14</f>
        <v>25</v>
      </c>
      <c r="H17" s="265">
        <f t="shared" si="1"/>
        <v>55</v>
      </c>
      <c r="I17" s="266">
        <f t="shared" si="2"/>
        <v>0.54545454545454541</v>
      </c>
      <c r="J17" s="268">
        <f t="shared" ca="1" si="3"/>
        <v>7</v>
      </c>
      <c r="K17" s="303" t="s">
        <v>1360</v>
      </c>
      <c r="L17" s="269">
        <v>15</v>
      </c>
      <c r="M17" s="270" t="str">
        <f t="shared" ca="1" si="4"/>
        <v>Jennifer Schreiber &amp; Rudi Karnchanasorn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2">(N17+P17+R17+T17)</f>
        <v>3</v>
      </c>
      <c r="W17" s="277">
        <f t="shared" si="32"/>
        <v>11</v>
      </c>
      <c r="X17" s="278">
        <f t="shared" si="6"/>
        <v>14</v>
      </c>
      <c r="Y17" s="279" t="s">
        <v>268</v>
      </c>
      <c r="Z17" s="280" t="str">
        <f t="shared" si="7"/>
        <v>Jennifer Schreiber &amp; Rudi Karnchanasorn</v>
      </c>
      <c r="AA17" s="281">
        <f t="shared" ca="1" si="8"/>
        <v>15</v>
      </c>
      <c r="AB17" s="281">
        <f t="shared" ca="1" si="23"/>
        <v>18</v>
      </c>
      <c r="AC17" s="281">
        <f t="shared" ca="1" si="24"/>
        <v>44</v>
      </c>
      <c r="AD17" s="281">
        <f t="shared" ca="1" si="11"/>
        <v>62</v>
      </c>
      <c r="AE17" s="282">
        <f t="shared" ca="1" si="12"/>
        <v>0.29032258064516131</v>
      </c>
      <c r="AF17" s="283">
        <f t="shared" ca="1" si="13"/>
        <v>-58.70967741935484</v>
      </c>
      <c r="AG17" s="312">
        <f t="shared" ca="1" si="25"/>
        <v>16</v>
      </c>
      <c r="AH17" s="233"/>
    </row>
    <row r="18" spans="1:34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</row>
    <row r="19" spans="1:34" ht="15" customHeight="1">
      <c r="A19" s="210" t="s">
        <v>1339</v>
      </c>
      <c r="B19" s="287"/>
      <c r="C19" s="287">
        <f t="shared" ref="C19:D19" si="33">SUM(C2:C17)</f>
        <v>148</v>
      </c>
      <c r="D19" s="287">
        <f t="shared" si="33"/>
        <v>132</v>
      </c>
      <c r="E19" s="287">
        <f>SUM(E2:E18)</f>
        <v>140</v>
      </c>
      <c r="F19" s="287">
        <f t="shared" ref="F19:G19" si="34">SUM(F2:F17)</f>
        <v>420</v>
      </c>
      <c r="G19" s="287">
        <f t="shared" si="34"/>
        <v>420</v>
      </c>
      <c r="H19" s="292">
        <f>SUM(H2:H17)/2</f>
        <v>420</v>
      </c>
      <c r="I19" s="293" t="s">
        <v>1340</v>
      </c>
      <c r="J19" s="287"/>
      <c r="K19" s="287"/>
      <c r="L19" s="287"/>
      <c r="M19" s="287"/>
      <c r="N19" s="287">
        <f t="shared" ref="N19:W19" si="35">SUM(N2:N17)</f>
        <v>130</v>
      </c>
      <c r="O19" s="287">
        <f t="shared" si="35"/>
        <v>130</v>
      </c>
      <c r="P19" s="287">
        <f t="shared" si="35"/>
        <v>66</v>
      </c>
      <c r="Q19" s="287">
        <f t="shared" si="35"/>
        <v>66</v>
      </c>
      <c r="R19" s="287">
        <f t="shared" si="35"/>
        <v>28</v>
      </c>
      <c r="S19" s="287">
        <f t="shared" si="35"/>
        <v>28</v>
      </c>
      <c r="T19" s="287">
        <f t="shared" si="35"/>
        <v>15</v>
      </c>
      <c r="U19" s="287">
        <f t="shared" si="35"/>
        <v>15</v>
      </c>
      <c r="V19" s="287">
        <f t="shared" si="35"/>
        <v>239</v>
      </c>
      <c r="W19" s="287">
        <f t="shared" si="35"/>
        <v>239</v>
      </c>
      <c r="X19" s="287">
        <f>SUM(X2:X17)/2</f>
        <v>239</v>
      </c>
      <c r="Y19" s="287"/>
      <c r="Z19" s="287"/>
      <c r="AA19" s="287"/>
      <c r="AB19" s="287">
        <f t="shared" ref="AB19:AC19" ca="1" si="36">SUM(AB2:AB17)</f>
        <v>659</v>
      </c>
      <c r="AC19" s="287">
        <f t="shared" ca="1" si="36"/>
        <v>659</v>
      </c>
      <c r="AD19" s="287">
        <f ca="1">AVERAGE(AD2:AD17)</f>
        <v>82.375</v>
      </c>
      <c r="AE19" s="287"/>
      <c r="AF19" s="287"/>
      <c r="AG19" s="287"/>
      <c r="AH19" s="287"/>
    </row>
    <row r="20" spans="1:34" ht="12.7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1</v>
      </c>
      <c r="E20" s="326">
        <f t="shared" si="37"/>
        <v>1</v>
      </c>
      <c r="F20" s="296"/>
      <c r="G20" s="296"/>
      <c r="H20" s="297">
        <f>AVERAGE(H2:H17)</f>
        <v>52.5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26">
        <f>SUM(C20:E20,O20,Q20,S20,U20)</f>
        <v>3</v>
      </c>
      <c r="Y20" s="296"/>
      <c r="Z20" s="296"/>
      <c r="AA20" s="296"/>
      <c r="AB20" s="296"/>
      <c r="AC20" s="296"/>
      <c r="AD20" s="287"/>
      <c r="AE20" s="287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96"/>
      <c r="Z21" s="296"/>
      <c r="AA21" s="296"/>
      <c r="AB21" s="296"/>
      <c r="AC21" s="296"/>
      <c r="AD21" s="287"/>
      <c r="AE21" s="287"/>
      <c r="AF21" s="287"/>
      <c r="AG21" s="287"/>
      <c r="AH21" s="287"/>
    </row>
  </sheetData>
  <conditionalFormatting sqref="F2:F17">
    <cfRule type="cellIs" dxfId="143" priority="1" operator="equal">
      <formula>33</formula>
    </cfRule>
  </conditionalFormatting>
  <conditionalFormatting sqref="J2:J17">
    <cfRule type="expression" dxfId="142" priority="2">
      <formula>COUNTIF(J$2:J$17,$J2)&gt;1</formula>
    </cfRule>
  </conditionalFormatting>
  <conditionalFormatting sqref="M2:X17">
    <cfRule type="expression" dxfId="141" priority="3">
      <formula>$T2=11</formula>
    </cfRule>
  </conditionalFormatting>
  <conditionalFormatting sqref="N2:O17">
    <cfRule type="expression" dxfId="140" priority="4">
      <formula>$N2=11</formula>
    </cfRule>
  </conditionalFormatting>
  <conditionalFormatting sqref="P2:Q17">
    <cfRule type="expression" dxfId="139" priority="5">
      <formula>$P2=11</formula>
    </cfRule>
  </conditionalFormatting>
  <conditionalFormatting sqref="R2:S17">
    <cfRule type="expression" dxfId="138" priority="6">
      <formula>$R2=11</formula>
    </cfRule>
  </conditionalFormatting>
  <conditionalFormatting sqref="AF2:AG17">
    <cfRule type="expression" dxfId="137" priority="7">
      <formula>COUNTIF(AG$2:AG$17,$AG2)&gt;1</formula>
    </cfRule>
  </conditionalFormatting>
  <conditionalFormatting sqref="AH1">
    <cfRule type="expression" dxfId="136" priority="8">
      <formula>COUNTIF(AG$2:AG$17,$AG2)&gt;1</formula>
    </cfRule>
  </conditionalFormatting>
  <hyperlinks>
    <hyperlink ref="A1" location="Champions!A1" display="Home" xr:uid="{00000000-0004-0000-0700-000000000000}"/>
    <hyperlink ref="AH1" location="Champions!A1" display="Home" xr:uid="{00000000-0004-0000-0700-000001000000}"/>
    <hyperlink ref="A19" location="Champions!A1" display="Home" xr:uid="{00000000-0004-0000-0700-000002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7.7265625" customWidth="1"/>
    <col min="3" max="5" width="8.1796875" customWidth="1"/>
    <col min="6" max="7" width="7.1796875" customWidth="1"/>
    <col min="8" max="8" width="8" customWidth="1"/>
    <col min="9" max="9" width="8.7265625" customWidth="1"/>
    <col min="10" max="10" width="6.26953125" customWidth="1"/>
    <col min="11" max="12" width="8.26953125" customWidth="1"/>
    <col min="13" max="13" width="27.7265625" customWidth="1"/>
    <col min="14" max="21" width="6.26953125" customWidth="1"/>
    <col min="22" max="24" width="7.7265625" customWidth="1"/>
    <col min="25" max="25" width="6.81640625" customWidth="1"/>
    <col min="26" max="26" width="31.26953125" customWidth="1"/>
    <col min="27" max="27" width="5.26953125" customWidth="1"/>
    <col min="28" max="29" width="7.7265625" customWidth="1"/>
    <col min="30" max="34" width="8.4531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1186</v>
      </c>
      <c r="C2" s="314">
        <v>11</v>
      </c>
      <c r="D2" s="315">
        <v>11</v>
      </c>
      <c r="E2" s="315">
        <v>11</v>
      </c>
      <c r="F2" s="213">
        <f t="shared" ref="F2:F17" si="0">SUM(C2:E2)</f>
        <v>33</v>
      </c>
      <c r="G2" s="213">
        <f>$C$3+$D$4+$E$5</f>
        <v>14</v>
      </c>
      <c r="H2" s="213">
        <f t="shared" ref="H2:H17" si="1">SUM(F2:G2)</f>
        <v>47</v>
      </c>
      <c r="I2" s="214">
        <f t="shared" ref="I2:I17" si="2">IFERROR(F2/H2,"")</f>
        <v>0.7021276595744681</v>
      </c>
      <c r="J2" s="216">
        <f t="shared" ref="J2:J6" ca="1" si="3">IFERROR(RANK(I2,OFFSET($I$2,0,0,COUNTA($I$2:$I$17),1)),)</f>
        <v>1</v>
      </c>
      <c r="K2" s="301" t="s">
        <v>1345</v>
      </c>
      <c r="L2" s="217">
        <v>1</v>
      </c>
      <c r="M2" s="218" t="str">
        <f t="shared" ref="M2:M17" ca="1" si="4">INDEX($A$2:$AG$17,MATCH(L2,$J$2:$J$17,0),2)</f>
        <v>William Hyde &amp; Patrick Blackwell</v>
      </c>
      <c r="N2" s="217">
        <v>11</v>
      </c>
      <c r="O2" s="219">
        <v>9</v>
      </c>
      <c r="P2" s="220">
        <v>7</v>
      </c>
      <c r="Q2" s="221">
        <v>11</v>
      </c>
      <c r="R2" s="217"/>
      <c r="S2" s="219"/>
      <c r="T2" s="222"/>
      <c r="U2" s="221"/>
      <c r="V2" s="223">
        <f t="shared" ref="V2:W2" si="5">(N2+P2+R2+T2)</f>
        <v>18</v>
      </c>
      <c r="W2" s="223">
        <f t="shared" si="5"/>
        <v>20</v>
      </c>
      <c r="X2" s="224">
        <f t="shared" ref="X2:X17" si="6">V2+W2</f>
        <v>38</v>
      </c>
      <c r="Y2" s="225" t="s">
        <v>246</v>
      </c>
      <c r="Z2" s="226" t="str">
        <f t="shared" ref="Z2:Z17" si="7">INDEX($A$2:$B$17,MATCH(Y2,$A$2:$A$17,0),2)</f>
        <v>Dung Le &amp; JD Asbell</v>
      </c>
      <c r="AA2" s="227">
        <f t="shared" ref="AA2:AA17" ca="1" si="8">INDEX($B$2:$K$17, MATCH($Z2,$B$2:$B$17,0),9)</f>
        <v>3</v>
      </c>
      <c r="AB2" s="227">
        <f t="shared" ref="AB2:AB17" ca="1" si="9">INDEX($A$2:$AH$17,(MATCH($Z2,$B$2:$B$17,0)),6)+INDEX($M$2:$X$17,MATCH($Z2,$M$2:$M$17,0),10)</f>
        <v>76</v>
      </c>
      <c r="AC2" s="227">
        <f t="shared" ref="AC2:AC17" ca="1" si="10">INDEX($A$2:$AH$17,(MATCH($Z2,$B$2:$B$17,0)),7)+INDEX($M$2:$X$17,MATCH($Z2,$M$2:$M$17,0),11)</f>
        <v>47</v>
      </c>
      <c r="AD2" s="227">
        <f t="shared" ref="AD2:AD17" ca="1" si="11">SUM(AB2:AC2)</f>
        <v>123</v>
      </c>
      <c r="AE2" s="228">
        <f t="shared" ref="AE2:AE17" ca="1" si="12">AB2/AD2</f>
        <v>0.61788617886178865</v>
      </c>
      <c r="AF2" s="229">
        <f t="shared" ref="AF2:AF17" ca="1" si="13">AE2-(77-AB2)</f>
        <v>-0.38211382113821135</v>
      </c>
      <c r="AG2" s="308">
        <f t="shared" ref="AG2:AG17" ca="1" si="14">RANK($AF2,OFFSET($AF$2,0,0,COUNTA($AF$2:$AF$17),1))</f>
        <v>1</v>
      </c>
      <c r="AH2" s="233"/>
    </row>
    <row r="3" spans="1:34" ht="15" customHeight="1">
      <c r="A3" s="309" t="s">
        <v>211</v>
      </c>
      <c r="B3" s="107" t="s">
        <v>1187</v>
      </c>
      <c r="C3" s="316">
        <v>10</v>
      </c>
      <c r="D3" s="317">
        <v>11</v>
      </c>
      <c r="E3" s="317">
        <v>11</v>
      </c>
      <c r="F3" s="235">
        <f t="shared" si="0"/>
        <v>32</v>
      </c>
      <c r="G3" s="235">
        <f>$C$2+$D$5+$E$4</f>
        <v>21</v>
      </c>
      <c r="H3" s="235">
        <f t="shared" si="1"/>
        <v>53</v>
      </c>
      <c r="I3" s="236">
        <f t="shared" si="2"/>
        <v>0.60377358490566035</v>
      </c>
      <c r="J3" s="238">
        <f t="shared" ca="1" si="3"/>
        <v>4</v>
      </c>
      <c r="K3" s="302" t="s">
        <v>1346</v>
      </c>
      <c r="L3" s="239">
        <v>16</v>
      </c>
      <c r="M3" s="240" t="str">
        <f t="shared" ca="1" si="4"/>
        <v>Doug Schwabauer &amp; Cory Hogan</v>
      </c>
      <c r="N3" s="239">
        <v>9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9</v>
      </c>
      <c r="W3" s="223">
        <f t="shared" si="15"/>
        <v>11</v>
      </c>
      <c r="X3" s="224">
        <f t="shared" si="6"/>
        <v>20</v>
      </c>
      <c r="Y3" s="225" t="s">
        <v>232</v>
      </c>
      <c r="Z3" s="226" t="str">
        <f t="shared" si="7"/>
        <v>Andy Lockard &amp; Chris Lyon</v>
      </c>
      <c r="AA3" s="227">
        <f t="shared" ca="1" si="8"/>
        <v>8</v>
      </c>
      <c r="AB3" s="227">
        <f t="shared" ca="1" si="9"/>
        <v>71</v>
      </c>
      <c r="AC3" s="227">
        <f t="shared" ca="1" si="10"/>
        <v>46</v>
      </c>
      <c r="AD3" s="227">
        <f t="shared" ca="1" si="11"/>
        <v>117</v>
      </c>
      <c r="AE3" s="228">
        <f t="shared" ca="1" si="12"/>
        <v>0.60683760683760679</v>
      </c>
      <c r="AF3" s="229">
        <f t="shared" ca="1" si="13"/>
        <v>-5.3931623931623935</v>
      </c>
      <c r="AG3" s="308">
        <f t="shared" ca="1" si="14"/>
        <v>2</v>
      </c>
      <c r="AH3" s="233"/>
    </row>
    <row r="4" spans="1:34" ht="15" customHeight="1">
      <c r="A4" s="309" t="s">
        <v>216</v>
      </c>
      <c r="B4" s="107" t="s">
        <v>1190</v>
      </c>
      <c r="C4" s="318">
        <v>11</v>
      </c>
      <c r="D4" s="319">
        <v>4</v>
      </c>
      <c r="E4" s="317">
        <v>5</v>
      </c>
      <c r="F4" s="235">
        <f t="shared" si="0"/>
        <v>20</v>
      </c>
      <c r="G4" s="235">
        <f>$C$5+$D$2+$E$3</f>
        <v>32</v>
      </c>
      <c r="H4" s="235">
        <f t="shared" si="1"/>
        <v>52</v>
      </c>
      <c r="I4" s="236">
        <f t="shared" si="2"/>
        <v>0.38461538461538464</v>
      </c>
      <c r="J4" s="238">
        <f t="shared" ca="1" si="3"/>
        <v>12</v>
      </c>
      <c r="K4" s="301" t="s">
        <v>1347</v>
      </c>
      <c r="L4" s="217">
        <v>8</v>
      </c>
      <c r="M4" s="218" t="str">
        <f t="shared" ca="1" si="4"/>
        <v>Andy Lockard &amp; Chris Lyon</v>
      </c>
      <c r="N4" s="217">
        <v>11</v>
      </c>
      <c r="O4" s="219">
        <v>3</v>
      </c>
      <c r="P4" s="242">
        <v>11</v>
      </c>
      <c r="Q4" s="243">
        <v>7</v>
      </c>
      <c r="R4" s="244">
        <v>11</v>
      </c>
      <c r="S4" s="245">
        <v>4</v>
      </c>
      <c r="T4" s="246">
        <v>10</v>
      </c>
      <c r="U4" s="243">
        <v>11</v>
      </c>
      <c r="V4" s="223">
        <f t="shared" ref="V4:W4" si="16">(N4+P4+R4+T4)</f>
        <v>43</v>
      </c>
      <c r="W4" s="223">
        <f t="shared" si="16"/>
        <v>25</v>
      </c>
      <c r="X4" s="224">
        <f t="shared" si="6"/>
        <v>68</v>
      </c>
      <c r="Y4" s="225" t="s">
        <v>251</v>
      </c>
      <c r="Z4" s="226" t="str">
        <f t="shared" si="7"/>
        <v>Scott Williamson &amp; Jason Steliga</v>
      </c>
      <c r="AA4" s="227">
        <f t="shared" ca="1" si="8"/>
        <v>5</v>
      </c>
      <c r="AB4" s="227">
        <f t="shared" ca="1" si="9"/>
        <v>59</v>
      </c>
      <c r="AC4" s="227">
        <f t="shared" ca="1" si="10"/>
        <v>45</v>
      </c>
      <c r="AD4" s="227">
        <f t="shared" ca="1" si="11"/>
        <v>104</v>
      </c>
      <c r="AE4" s="228">
        <f t="shared" ca="1" si="12"/>
        <v>0.56730769230769229</v>
      </c>
      <c r="AF4" s="229">
        <f t="shared" ca="1" si="13"/>
        <v>-17.432692307692307</v>
      </c>
      <c r="AG4" s="308">
        <f t="shared" ca="1" si="14"/>
        <v>3</v>
      </c>
      <c r="AH4" s="233"/>
    </row>
    <row r="5" spans="1:34" ht="15" customHeight="1">
      <c r="A5" s="310" t="s">
        <v>221</v>
      </c>
      <c r="B5" s="109" t="s">
        <v>1192</v>
      </c>
      <c r="C5" s="320">
        <v>10</v>
      </c>
      <c r="D5" s="321">
        <v>5</v>
      </c>
      <c r="E5" s="322">
        <v>0</v>
      </c>
      <c r="F5" s="252">
        <f t="shared" si="0"/>
        <v>15</v>
      </c>
      <c r="G5" s="252">
        <f>$C$4+$D$3+$E$2</f>
        <v>33</v>
      </c>
      <c r="H5" s="252">
        <f t="shared" si="1"/>
        <v>48</v>
      </c>
      <c r="I5" s="253">
        <f t="shared" si="2"/>
        <v>0.3125</v>
      </c>
      <c r="J5" s="255">
        <f t="shared" ca="1" si="3"/>
        <v>13</v>
      </c>
      <c r="K5" s="302" t="s">
        <v>1348</v>
      </c>
      <c r="L5" s="239">
        <v>9</v>
      </c>
      <c r="M5" s="240" t="str">
        <f t="shared" ca="1" si="4"/>
        <v>Justin Hoffman &amp; Randy Burgess</v>
      </c>
      <c r="N5" s="239">
        <v>3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3</v>
      </c>
      <c r="W5" s="223">
        <f t="shared" si="17"/>
        <v>11</v>
      </c>
      <c r="X5" s="224">
        <f t="shared" si="6"/>
        <v>14</v>
      </c>
      <c r="Y5" s="225" t="s">
        <v>261</v>
      </c>
      <c r="Z5" s="226" t="str">
        <f t="shared" si="7"/>
        <v>Justin Winner &amp; Mark Schneeberger</v>
      </c>
      <c r="AA5" s="227">
        <f t="shared" ca="1" si="8"/>
        <v>7</v>
      </c>
      <c r="AB5" s="227">
        <f t="shared" ca="1" si="9"/>
        <v>58</v>
      </c>
      <c r="AC5" s="227">
        <f t="shared" ca="1" si="10"/>
        <v>49</v>
      </c>
      <c r="AD5" s="227">
        <f t="shared" ca="1" si="11"/>
        <v>107</v>
      </c>
      <c r="AE5" s="228">
        <f t="shared" ca="1" si="12"/>
        <v>0.54205607476635509</v>
      </c>
      <c r="AF5" s="229">
        <f t="shared" ca="1" si="13"/>
        <v>-18.457943925233646</v>
      </c>
      <c r="AG5" s="308">
        <f t="shared" ca="1" si="14"/>
        <v>4</v>
      </c>
      <c r="AH5" s="233"/>
    </row>
    <row r="6" spans="1:34" ht="15" customHeight="1">
      <c r="A6" s="307" t="s">
        <v>224</v>
      </c>
      <c r="B6" s="107" t="s">
        <v>1194</v>
      </c>
      <c r="C6" s="314">
        <v>2</v>
      </c>
      <c r="D6" s="315">
        <v>5</v>
      </c>
      <c r="E6" s="315">
        <v>3</v>
      </c>
      <c r="F6" s="213">
        <f t="shared" si="0"/>
        <v>10</v>
      </c>
      <c r="G6" s="213">
        <f>$C$7+$D$8+$E$9</f>
        <v>33</v>
      </c>
      <c r="H6" s="213">
        <f t="shared" si="1"/>
        <v>43</v>
      </c>
      <c r="I6" s="214">
        <f t="shared" si="2"/>
        <v>0.23255813953488372</v>
      </c>
      <c r="J6" s="238">
        <f t="shared" ca="1" si="3"/>
        <v>15</v>
      </c>
      <c r="K6" s="301" t="s">
        <v>1349</v>
      </c>
      <c r="L6" s="217">
        <v>5</v>
      </c>
      <c r="M6" s="218" t="str">
        <f t="shared" ca="1" si="4"/>
        <v>Scott Williamson &amp; Jason Steliga</v>
      </c>
      <c r="N6" s="217">
        <v>11</v>
      </c>
      <c r="O6" s="219">
        <v>3</v>
      </c>
      <c r="P6" s="220">
        <v>11</v>
      </c>
      <c r="Q6" s="221">
        <v>9</v>
      </c>
      <c r="R6" s="244">
        <v>4</v>
      </c>
      <c r="S6" s="245">
        <v>11</v>
      </c>
      <c r="T6" s="246"/>
      <c r="U6" s="243"/>
      <c r="V6" s="223">
        <f t="shared" ref="V6:W6" si="18">(N6+P6+R6+T6)</f>
        <v>26</v>
      </c>
      <c r="W6" s="223">
        <f t="shared" si="18"/>
        <v>23</v>
      </c>
      <c r="X6" s="224">
        <f t="shared" si="6"/>
        <v>49</v>
      </c>
      <c r="Y6" s="225" t="s">
        <v>228</v>
      </c>
      <c r="Z6" s="226" t="str">
        <f t="shared" si="7"/>
        <v>Joe Zucht &amp; David Andrew</v>
      </c>
      <c r="AA6" s="227">
        <f t="shared" si="8"/>
        <v>2</v>
      </c>
      <c r="AB6" s="227">
        <f t="shared" ca="1" si="9"/>
        <v>53</v>
      </c>
      <c r="AC6" s="227">
        <f t="shared" ca="1" si="10"/>
        <v>31</v>
      </c>
      <c r="AD6" s="227">
        <f t="shared" ca="1" si="11"/>
        <v>84</v>
      </c>
      <c r="AE6" s="228">
        <f t="shared" ca="1" si="12"/>
        <v>0.63095238095238093</v>
      </c>
      <c r="AF6" s="229">
        <f t="shared" ca="1" si="13"/>
        <v>-23.36904761904762</v>
      </c>
      <c r="AG6" s="308">
        <f t="shared" ca="1" si="14"/>
        <v>5</v>
      </c>
      <c r="AH6" s="233"/>
    </row>
    <row r="7" spans="1:34" ht="15" customHeight="1">
      <c r="A7" s="309" t="s">
        <v>228</v>
      </c>
      <c r="B7" s="107" t="s">
        <v>1197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$C$6+$D$9+$E$8</f>
        <v>14</v>
      </c>
      <c r="H7" s="235">
        <f t="shared" si="1"/>
        <v>47</v>
      </c>
      <c r="I7" s="236">
        <f t="shared" si="2"/>
        <v>0.7021276595744681</v>
      </c>
      <c r="J7" s="327">
        <v>2</v>
      </c>
      <c r="K7" s="302" t="s">
        <v>1350</v>
      </c>
      <c r="L7" s="239">
        <v>12</v>
      </c>
      <c r="M7" s="240" t="str">
        <f t="shared" ca="1" si="4"/>
        <v>Jeremie Wilson &amp; Rick Nash</v>
      </c>
      <c r="N7" s="239">
        <v>3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3</v>
      </c>
      <c r="W7" s="223">
        <f t="shared" si="19"/>
        <v>11</v>
      </c>
      <c r="X7" s="224">
        <f t="shared" si="6"/>
        <v>14</v>
      </c>
      <c r="Y7" s="225" t="s">
        <v>211</v>
      </c>
      <c r="Z7" s="226" t="str">
        <f t="shared" si="7"/>
        <v>Will Polese &amp; Steve Limpic</v>
      </c>
      <c r="AA7" s="227">
        <f t="shared" ca="1" si="8"/>
        <v>4</v>
      </c>
      <c r="AB7" s="227">
        <f t="shared" ca="1" si="9"/>
        <v>52</v>
      </c>
      <c r="AC7" s="227">
        <f t="shared" ca="1" si="10"/>
        <v>34</v>
      </c>
      <c r="AD7" s="227">
        <f t="shared" ca="1" si="11"/>
        <v>86</v>
      </c>
      <c r="AE7" s="228">
        <f t="shared" ca="1" si="12"/>
        <v>0.60465116279069764</v>
      </c>
      <c r="AF7" s="229">
        <f t="shared" ca="1" si="13"/>
        <v>-24.395348837209301</v>
      </c>
      <c r="AG7" s="308">
        <f t="shared" ca="1" si="14"/>
        <v>6</v>
      </c>
      <c r="AH7" s="233"/>
    </row>
    <row r="8" spans="1:34" ht="15" customHeight="1">
      <c r="A8" s="309" t="s">
        <v>232</v>
      </c>
      <c r="B8" s="107" t="s">
        <v>150</v>
      </c>
      <c r="C8" s="318">
        <v>11</v>
      </c>
      <c r="D8" s="319">
        <v>11</v>
      </c>
      <c r="E8" s="317">
        <v>6</v>
      </c>
      <c r="F8" s="235">
        <f t="shared" si="0"/>
        <v>28</v>
      </c>
      <c r="G8" s="235">
        <f>$C$9+$D$6+$E$7</f>
        <v>21</v>
      </c>
      <c r="H8" s="235">
        <f t="shared" si="1"/>
        <v>49</v>
      </c>
      <c r="I8" s="236">
        <f t="shared" si="2"/>
        <v>0.5714285714285714</v>
      </c>
      <c r="J8" s="238">
        <f t="shared" ref="J8:J17" ca="1" si="20">IFERROR(RANK(I8,OFFSET($I$2,0,0,COUNTA($I$2:$I$17),1)),)</f>
        <v>8</v>
      </c>
      <c r="K8" s="301" t="s">
        <v>1351</v>
      </c>
      <c r="L8" s="217">
        <v>4</v>
      </c>
      <c r="M8" s="218" t="str">
        <f t="shared" ca="1" si="4"/>
        <v>Will Polese &amp; Steve Limpic</v>
      </c>
      <c r="N8" s="217">
        <v>11</v>
      </c>
      <c r="O8" s="219">
        <v>2</v>
      </c>
      <c r="P8" s="242">
        <v>9</v>
      </c>
      <c r="Q8" s="243">
        <v>11</v>
      </c>
      <c r="R8" s="244"/>
      <c r="S8" s="245"/>
      <c r="T8" s="246"/>
      <c r="U8" s="243"/>
      <c r="V8" s="223">
        <f t="shared" ref="V8:W8" si="21">(N8+P8+R8+T8)</f>
        <v>20</v>
      </c>
      <c r="W8" s="223">
        <f t="shared" si="21"/>
        <v>13</v>
      </c>
      <c r="X8" s="224">
        <f t="shared" si="6"/>
        <v>33</v>
      </c>
      <c r="Y8" s="225" t="s">
        <v>205</v>
      </c>
      <c r="Z8" s="226" t="str">
        <f t="shared" si="7"/>
        <v>William Hyde &amp; Patrick Blackwell</v>
      </c>
      <c r="AA8" s="227">
        <f t="shared" ca="1" si="8"/>
        <v>1</v>
      </c>
      <c r="AB8" s="227">
        <f t="shared" ca="1" si="9"/>
        <v>51</v>
      </c>
      <c r="AC8" s="227">
        <f t="shared" ca="1" si="10"/>
        <v>34</v>
      </c>
      <c r="AD8" s="227">
        <f t="shared" ca="1" si="11"/>
        <v>85</v>
      </c>
      <c r="AE8" s="228">
        <f t="shared" ca="1" si="12"/>
        <v>0.6</v>
      </c>
      <c r="AF8" s="229">
        <f t="shared" ca="1" si="13"/>
        <v>-25.4</v>
      </c>
      <c r="AG8" s="308">
        <f t="shared" ca="1" si="14"/>
        <v>7</v>
      </c>
      <c r="AH8" s="233"/>
    </row>
    <row r="9" spans="1:34" ht="15" customHeight="1">
      <c r="A9" s="310" t="s">
        <v>237</v>
      </c>
      <c r="B9" s="109" t="s">
        <v>1199</v>
      </c>
      <c r="C9" s="320">
        <v>5</v>
      </c>
      <c r="D9" s="321">
        <v>6</v>
      </c>
      <c r="E9" s="322">
        <v>11</v>
      </c>
      <c r="F9" s="252">
        <f t="shared" si="0"/>
        <v>22</v>
      </c>
      <c r="G9" s="252">
        <f>$C$8+$D$7+$E$6</f>
        <v>25</v>
      </c>
      <c r="H9" s="252">
        <f t="shared" si="1"/>
        <v>47</v>
      </c>
      <c r="I9" s="253">
        <f t="shared" si="2"/>
        <v>0.46808510638297873</v>
      </c>
      <c r="J9" s="255">
        <f t="shared" ca="1" si="20"/>
        <v>10</v>
      </c>
      <c r="K9" s="302" t="s">
        <v>1352</v>
      </c>
      <c r="L9" s="239">
        <v>13</v>
      </c>
      <c r="M9" s="240" t="str">
        <f t="shared" ca="1" si="4"/>
        <v>Grant Isom &amp; Bobby Cupp</v>
      </c>
      <c r="N9" s="239">
        <v>2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2">(N9+P9+R9+T9)</f>
        <v>2</v>
      </c>
      <c r="W9" s="223">
        <f t="shared" si="22"/>
        <v>11</v>
      </c>
      <c r="X9" s="224">
        <f t="shared" si="6"/>
        <v>13</v>
      </c>
      <c r="Y9" s="225" t="s">
        <v>276</v>
      </c>
      <c r="Z9" s="226" t="str">
        <f t="shared" si="7"/>
        <v>Curtis Stoneman &amp; Noah Blank</v>
      </c>
      <c r="AA9" s="227">
        <f t="shared" ca="1" si="8"/>
        <v>6</v>
      </c>
      <c r="AB9" s="227">
        <f t="shared" ca="1" si="9"/>
        <v>49</v>
      </c>
      <c r="AC9" s="227">
        <f t="shared" ca="1" si="10"/>
        <v>33</v>
      </c>
      <c r="AD9" s="227">
        <f t="shared" ca="1" si="11"/>
        <v>82</v>
      </c>
      <c r="AE9" s="228">
        <f t="shared" ca="1" si="12"/>
        <v>0.59756097560975607</v>
      </c>
      <c r="AF9" s="229">
        <f t="shared" ca="1" si="13"/>
        <v>-27.402439024390244</v>
      </c>
      <c r="AG9" s="308">
        <f t="shared" ca="1" si="14"/>
        <v>8</v>
      </c>
      <c r="AH9" s="233"/>
    </row>
    <row r="10" spans="1:34" ht="15" customHeight="1">
      <c r="A10" s="307" t="s">
        <v>241</v>
      </c>
      <c r="B10" s="107" t="s">
        <v>1201</v>
      </c>
      <c r="C10" s="314">
        <v>2</v>
      </c>
      <c r="D10" s="315">
        <v>7</v>
      </c>
      <c r="E10" s="315">
        <v>2</v>
      </c>
      <c r="F10" s="213">
        <f t="shared" si="0"/>
        <v>11</v>
      </c>
      <c r="G10" s="213">
        <f>$C$11+$D$12+$E$13</f>
        <v>33</v>
      </c>
      <c r="H10" s="213">
        <f t="shared" si="1"/>
        <v>44</v>
      </c>
      <c r="I10" s="214">
        <f t="shared" si="2"/>
        <v>0.25</v>
      </c>
      <c r="J10" s="238">
        <f t="shared" ca="1" si="20"/>
        <v>14</v>
      </c>
      <c r="K10" s="301" t="s">
        <v>1353</v>
      </c>
      <c r="L10" s="217">
        <v>6</v>
      </c>
      <c r="M10" s="218" t="str">
        <f t="shared" ca="1" si="4"/>
        <v>Curtis Stoneman &amp; Noah Blank</v>
      </c>
      <c r="N10" s="217">
        <v>11</v>
      </c>
      <c r="O10" s="219">
        <v>1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18</v>
      </c>
      <c r="W10" s="223">
        <f t="shared" si="23"/>
        <v>12</v>
      </c>
      <c r="X10" s="224">
        <f t="shared" si="6"/>
        <v>30</v>
      </c>
      <c r="Y10" s="225" t="s">
        <v>237</v>
      </c>
      <c r="Z10" s="226" t="str">
        <f t="shared" si="7"/>
        <v>Dylan Lockwood &amp; John Schlueter</v>
      </c>
      <c r="AA10" s="227">
        <f t="shared" ca="1" si="8"/>
        <v>10</v>
      </c>
      <c r="AB10" s="227">
        <f t="shared" ca="1" si="9"/>
        <v>31</v>
      </c>
      <c r="AC10" s="227">
        <f t="shared" ca="1" si="10"/>
        <v>36</v>
      </c>
      <c r="AD10" s="227">
        <f t="shared" ca="1" si="11"/>
        <v>67</v>
      </c>
      <c r="AE10" s="228">
        <f t="shared" ca="1" si="12"/>
        <v>0.46268656716417911</v>
      </c>
      <c r="AF10" s="229">
        <f t="shared" ca="1" si="13"/>
        <v>-45.537313432835823</v>
      </c>
      <c r="AG10" s="308">
        <f t="shared" ca="1" si="14"/>
        <v>9</v>
      </c>
      <c r="AH10" s="233"/>
    </row>
    <row r="11" spans="1:34" ht="15" customHeight="1">
      <c r="A11" s="309" t="s">
        <v>246</v>
      </c>
      <c r="B11" s="107" t="s">
        <v>149</v>
      </c>
      <c r="C11" s="316">
        <v>11</v>
      </c>
      <c r="D11" s="317">
        <v>11</v>
      </c>
      <c r="E11" s="317">
        <v>10</v>
      </c>
      <c r="F11" s="235">
        <f t="shared" si="0"/>
        <v>32</v>
      </c>
      <c r="G11" s="235">
        <f>$C$10+$D$13+$E$12</f>
        <v>18</v>
      </c>
      <c r="H11" s="235">
        <f t="shared" si="1"/>
        <v>50</v>
      </c>
      <c r="I11" s="236">
        <f t="shared" si="2"/>
        <v>0.64</v>
      </c>
      <c r="J11" s="238">
        <f t="shared" ca="1" si="20"/>
        <v>3</v>
      </c>
      <c r="K11" s="302" t="s">
        <v>1354</v>
      </c>
      <c r="L11" s="239">
        <v>11</v>
      </c>
      <c r="M11" s="240" t="str">
        <f t="shared" ca="1" si="4"/>
        <v>David Weber &amp; Robert Madison</v>
      </c>
      <c r="N11" s="239">
        <v>1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4">(N11+P11+R11+T11)</f>
        <v>1</v>
      </c>
      <c r="W11" s="223">
        <f t="shared" si="24"/>
        <v>11</v>
      </c>
      <c r="X11" s="224">
        <f t="shared" si="6"/>
        <v>12</v>
      </c>
      <c r="Y11" s="225" t="s">
        <v>271</v>
      </c>
      <c r="Z11" s="226" t="str">
        <f t="shared" si="7"/>
        <v>Justin Hoffman &amp; Randy Burgess</v>
      </c>
      <c r="AA11" s="227">
        <f t="shared" ca="1" si="8"/>
        <v>9</v>
      </c>
      <c r="AB11" s="227">
        <f t="shared" ca="1" si="9"/>
        <v>30</v>
      </c>
      <c r="AC11" s="227">
        <f t="shared" ca="1" si="10"/>
        <v>33</v>
      </c>
      <c r="AD11" s="227">
        <f t="shared" ca="1" si="11"/>
        <v>63</v>
      </c>
      <c r="AE11" s="228">
        <f t="shared" ca="1" si="12"/>
        <v>0.47619047619047616</v>
      </c>
      <c r="AF11" s="229">
        <f t="shared" ca="1" si="13"/>
        <v>-46.523809523809526</v>
      </c>
      <c r="AG11" s="308">
        <f t="shared" ca="1" si="14"/>
        <v>10</v>
      </c>
      <c r="AH11" s="233"/>
    </row>
    <row r="12" spans="1:34" ht="15" customHeight="1">
      <c r="A12" s="309" t="s">
        <v>251</v>
      </c>
      <c r="B12" s="107" t="s">
        <v>1195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$C$13+$D$10+$E$11</f>
        <v>22</v>
      </c>
      <c r="H12" s="235">
        <f t="shared" si="1"/>
        <v>55</v>
      </c>
      <c r="I12" s="236">
        <f t="shared" si="2"/>
        <v>0.6</v>
      </c>
      <c r="J12" s="238">
        <f t="shared" ca="1" si="20"/>
        <v>5</v>
      </c>
      <c r="K12" s="301" t="s">
        <v>1355</v>
      </c>
      <c r="L12" s="217">
        <v>3</v>
      </c>
      <c r="M12" s="218" t="str">
        <f t="shared" ca="1" si="4"/>
        <v>Dung Le &amp; JD Asbell</v>
      </c>
      <c r="N12" s="217">
        <v>11</v>
      </c>
      <c r="O12" s="219">
        <v>5</v>
      </c>
      <c r="P12" s="242">
        <v>11</v>
      </c>
      <c r="Q12" s="243">
        <v>7</v>
      </c>
      <c r="R12" s="244">
        <v>11</v>
      </c>
      <c r="S12" s="245">
        <v>7</v>
      </c>
      <c r="T12" s="246">
        <v>11</v>
      </c>
      <c r="U12" s="243">
        <v>10</v>
      </c>
      <c r="V12" s="223">
        <f t="shared" ref="V12:W12" si="25">(N12+P12+R12+T12)</f>
        <v>44</v>
      </c>
      <c r="W12" s="223">
        <f t="shared" si="25"/>
        <v>29</v>
      </c>
      <c r="X12" s="224">
        <f t="shared" si="6"/>
        <v>73</v>
      </c>
      <c r="Y12" s="225" t="s">
        <v>216</v>
      </c>
      <c r="Z12" s="226" t="str">
        <f t="shared" si="7"/>
        <v>Jeremie Wilson &amp; Rick Nash</v>
      </c>
      <c r="AA12" s="227">
        <f t="shared" ca="1" si="8"/>
        <v>12</v>
      </c>
      <c r="AB12" s="227">
        <f t="shared" ca="1" si="9"/>
        <v>23</v>
      </c>
      <c r="AC12" s="227">
        <f t="shared" ca="1" si="10"/>
        <v>43</v>
      </c>
      <c r="AD12" s="227">
        <f t="shared" ca="1" si="11"/>
        <v>66</v>
      </c>
      <c r="AE12" s="228">
        <f t="shared" ca="1" si="12"/>
        <v>0.34848484848484851</v>
      </c>
      <c r="AF12" s="229">
        <f t="shared" ca="1" si="13"/>
        <v>-53.651515151515149</v>
      </c>
      <c r="AG12" s="308">
        <f t="shared" ca="1" si="14"/>
        <v>11</v>
      </c>
      <c r="AH12" s="233"/>
    </row>
    <row r="13" spans="1:34" ht="15" customHeight="1">
      <c r="A13" s="310" t="s">
        <v>256</v>
      </c>
      <c r="B13" s="109" t="s">
        <v>1203</v>
      </c>
      <c r="C13" s="320">
        <v>5</v>
      </c>
      <c r="D13" s="321">
        <v>5</v>
      </c>
      <c r="E13" s="322">
        <v>11</v>
      </c>
      <c r="F13" s="252">
        <f t="shared" si="0"/>
        <v>21</v>
      </c>
      <c r="G13" s="252">
        <f>$C$12+$D$11+$E$10</f>
        <v>24</v>
      </c>
      <c r="H13" s="252">
        <f t="shared" si="1"/>
        <v>45</v>
      </c>
      <c r="I13" s="253">
        <f t="shared" si="2"/>
        <v>0.46666666666666667</v>
      </c>
      <c r="J13" s="255">
        <f t="shared" ca="1" si="20"/>
        <v>11</v>
      </c>
      <c r="K13" s="302" t="s">
        <v>1356</v>
      </c>
      <c r="L13" s="239">
        <v>14</v>
      </c>
      <c r="M13" s="240" t="str">
        <f t="shared" ca="1" si="4"/>
        <v>Josh Weber &amp; Mike Magel</v>
      </c>
      <c r="N13" s="239">
        <v>5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5</v>
      </c>
      <c r="W13" s="223">
        <f t="shared" si="26"/>
        <v>11</v>
      </c>
      <c r="X13" s="224">
        <f t="shared" si="6"/>
        <v>16</v>
      </c>
      <c r="Y13" s="225" t="s">
        <v>256</v>
      </c>
      <c r="Z13" s="226" t="str">
        <f t="shared" si="7"/>
        <v>David Weber &amp; Robert Madison</v>
      </c>
      <c r="AA13" s="227">
        <f t="shared" ca="1" si="8"/>
        <v>11</v>
      </c>
      <c r="AB13" s="227">
        <f t="shared" ca="1" si="9"/>
        <v>22</v>
      </c>
      <c r="AC13" s="227">
        <f t="shared" ca="1" si="10"/>
        <v>35</v>
      </c>
      <c r="AD13" s="227">
        <f t="shared" ca="1" si="11"/>
        <v>57</v>
      </c>
      <c r="AE13" s="228">
        <f t="shared" ca="1" si="12"/>
        <v>0.38596491228070173</v>
      </c>
      <c r="AF13" s="229">
        <f t="shared" ca="1" si="13"/>
        <v>-54.614035087719301</v>
      </c>
      <c r="AG13" s="308">
        <f t="shared" ca="1" si="14"/>
        <v>12</v>
      </c>
      <c r="AH13" s="233"/>
    </row>
    <row r="14" spans="1:34" ht="15" customHeight="1">
      <c r="A14" s="307" t="s">
        <v>261</v>
      </c>
      <c r="B14" s="107" t="s">
        <v>1206</v>
      </c>
      <c r="C14" s="314">
        <v>11</v>
      </c>
      <c r="D14" s="315">
        <v>11</v>
      </c>
      <c r="E14" s="315">
        <v>7</v>
      </c>
      <c r="F14" s="213">
        <f t="shared" si="0"/>
        <v>29</v>
      </c>
      <c r="G14" s="213">
        <f>$C$15+$D$16+$E$17</f>
        <v>20</v>
      </c>
      <c r="H14" s="213">
        <f t="shared" si="1"/>
        <v>49</v>
      </c>
      <c r="I14" s="214">
        <f t="shared" si="2"/>
        <v>0.59183673469387754</v>
      </c>
      <c r="J14" s="238">
        <f t="shared" ca="1" si="20"/>
        <v>7</v>
      </c>
      <c r="K14" s="301" t="s">
        <v>1357</v>
      </c>
      <c r="L14" s="217">
        <v>7</v>
      </c>
      <c r="M14" s="218" t="str">
        <f t="shared" ca="1" si="4"/>
        <v>Justin Winner &amp; Mark Schneeberger</v>
      </c>
      <c r="N14" s="217">
        <v>11</v>
      </c>
      <c r="O14" s="219">
        <v>9</v>
      </c>
      <c r="P14" s="220">
        <v>11</v>
      </c>
      <c r="Q14" s="221">
        <v>9</v>
      </c>
      <c r="R14" s="244">
        <v>7</v>
      </c>
      <c r="S14" s="245">
        <v>11</v>
      </c>
      <c r="T14" s="246"/>
      <c r="U14" s="243"/>
      <c r="V14" s="223">
        <f t="shared" ref="V14:W14" si="27">(N14+P14+R14+T14)</f>
        <v>29</v>
      </c>
      <c r="W14" s="223">
        <f t="shared" si="27"/>
        <v>29</v>
      </c>
      <c r="X14" s="224">
        <f t="shared" si="6"/>
        <v>58</v>
      </c>
      <c r="Y14" s="225" t="s">
        <v>268</v>
      </c>
      <c r="Z14" s="226" t="str">
        <f t="shared" si="7"/>
        <v>Doug Schwabauer &amp; Cory Hogan</v>
      </c>
      <c r="AA14" s="227">
        <f t="shared" ca="1" si="8"/>
        <v>16</v>
      </c>
      <c r="AB14" s="227">
        <f t="shared" ca="1" si="9"/>
        <v>18</v>
      </c>
      <c r="AC14" s="227">
        <f t="shared" ca="1" si="10"/>
        <v>44</v>
      </c>
      <c r="AD14" s="227">
        <f t="shared" ca="1" si="11"/>
        <v>62</v>
      </c>
      <c r="AE14" s="228">
        <f t="shared" ca="1" si="12"/>
        <v>0.29032258064516131</v>
      </c>
      <c r="AF14" s="229">
        <f t="shared" ca="1" si="13"/>
        <v>-58.70967741935484</v>
      </c>
      <c r="AG14" s="308">
        <f t="shared" ca="1" si="14"/>
        <v>13</v>
      </c>
      <c r="AH14" s="233"/>
    </row>
    <row r="15" spans="1:34" ht="15" customHeight="1">
      <c r="A15" s="309" t="s">
        <v>268</v>
      </c>
      <c r="B15" s="107" t="s">
        <v>1188</v>
      </c>
      <c r="C15" s="316">
        <v>4</v>
      </c>
      <c r="D15" s="317">
        <v>3</v>
      </c>
      <c r="E15" s="317">
        <v>2</v>
      </c>
      <c r="F15" s="235">
        <f t="shared" si="0"/>
        <v>9</v>
      </c>
      <c r="G15" s="235">
        <f>$C$14+$D$17+$E$16</f>
        <v>33</v>
      </c>
      <c r="H15" s="235">
        <f t="shared" si="1"/>
        <v>42</v>
      </c>
      <c r="I15" s="236">
        <f t="shared" si="2"/>
        <v>0.21428571428571427</v>
      </c>
      <c r="J15" s="238">
        <f t="shared" ca="1" si="20"/>
        <v>16</v>
      </c>
      <c r="K15" s="302" t="s">
        <v>1358</v>
      </c>
      <c r="L15" s="239">
        <v>10</v>
      </c>
      <c r="M15" s="240" t="str">
        <f t="shared" ca="1" si="4"/>
        <v>Dylan Lockwood &amp; John Schlueter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9</v>
      </c>
      <c r="W15" s="223">
        <f t="shared" si="28"/>
        <v>11</v>
      </c>
      <c r="X15" s="224">
        <f t="shared" si="6"/>
        <v>20</v>
      </c>
      <c r="Y15" s="225" t="s">
        <v>221</v>
      </c>
      <c r="Z15" s="226" t="str">
        <f t="shared" si="7"/>
        <v>Grant Isom &amp; Bobby Cupp</v>
      </c>
      <c r="AA15" s="227">
        <f t="shared" ca="1" si="8"/>
        <v>13</v>
      </c>
      <c r="AB15" s="227">
        <f t="shared" ca="1" si="9"/>
        <v>17</v>
      </c>
      <c r="AC15" s="227">
        <f t="shared" ca="1" si="10"/>
        <v>44</v>
      </c>
      <c r="AD15" s="227">
        <f t="shared" ca="1" si="11"/>
        <v>61</v>
      </c>
      <c r="AE15" s="228">
        <f t="shared" ca="1" si="12"/>
        <v>0.27868852459016391</v>
      </c>
      <c r="AF15" s="229">
        <f t="shared" ca="1" si="13"/>
        <v>-59.721311475409834</v>
      </c>
      <c r="AG15" s="308">
        <f t="shared" ca="1" si="14"/>
        <v>14</v>
      </c>
      <c r="AH15" s="233"/>
    </row>
    <row r="16" spans="1:34" ht="15" customHeight="1">
      <c r="A16" s="309" t="s">
        <v>271</v>
      </c>
      <c r="B16" s="107" t="s">
        <v>1193</v>
      </c>
      <c r="C16" s="318">
        <v>11</v>
      </c>
      <c r="D16" s="319">
        <v>5</v>
      </c>
      <c r="E16" s="317">
        <v>11</v>
      </c>
      <c r="F16" s="235">
        <f t="shared" si="0"/>
        <v>27</v>
      </c>
      <c r="G16" s="235">
        <f>$C$17+$D$14+$E$15</f>
        <v>22</v>
      </c>
      <c r="H16" s="235">
        <f t="shared" si="1"/>
        <v>49</v>
      </c>
      <c r="I16" s="236">
        <f t="shared" si="2"/>
        <v>0.55102040816326525</v>
      </c>
      <c r="J16" s="238">
        <f t="shared" ca="1" si="20"/>
        <v>9</v>
      </c>
      <c r="K16" s="301" t="s">
        <v>1359</v>
      </c>
      <c r="L16" s="217">
        <v>2</v>
      </c>
      <c r="M16" s="218" t="str">
        <f t="shared" ca="1" si="4"/>
        <v>Joe Zucht &amp; David Andrew</v>
      </c>
      <c r="N16" s="217">
        <v>11</v>
      </c>
      <c r="O16" s="219">
        <v>6</v>
      </c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29">(N16+P16+R16+T16)</f>
        <v>20</v>
      </c>
      <c r="W16" s="223">
        <f t="shared" si="29"/>
        <v>17</v>
      </c>
      <c r="X16" s="224">
        <f t="shared" si="6"/>
        <v>37</v>
      </c>
      <c r="Y16" s="225" t="s">
        <v>241</v>
      </c>
      <c r="Z16" s="226" t="str">
        <f t="shared" si="7"/>
        <v>Josh Weber &amp; Mike Magel</v>
      </c>
      <c r="AA16" s="227">
        <f t="shared" ca="1" si="8"/>
        <v>14</v>
      </c>
      <c r="AB16" s="227">
        <f t="shared" ca="1" si="9"/>
        <v>16</v>
      </c>
      <c r="AC16" s="227">
        <f t="shared" ca="1" si="10"/>
        <v>44</v>
      </c>
      <c r="AD16" s="227">
        <f t="shared" ca="1" si="11"/>
        <v>60</v>
      </c>
      <c r="AE16" s="228">
        <f t="shared" ca="1" si="12"/>
        <v>0.26666666666666666</v>
      </c>
      <c r="AF16" s="229">
        <f t="shared" ca="1" si="13"/>
        <v>-60.733333333333334</v>
      </c>
      <c r="AG16" s="308">
        <f t="shared" ca="1" si="14"/>
        <v>15</v>
      </c>
      <c r="AH16" s="233"/>
    </row>
    <row r="17" spans="1:34" ht="15" customHeight="1">
      <c r="A17" s="311" t="s">
        <v>276</v>
      </c>
      <c r="B17" s="262" t="s">
        <v>1202</v>
      </c>
      <c r="C17" s="323">
        <v>9</v>
      </c>
      <c r="D17" s="324">
        <v>11</v>
      </c>
      <c r="E17" s="325">
        <v>11</v>
      </c>
      <c r="F17" s="265">
        <f t="shared" si="0"/>
        <v>31</v>
      </c>
      <c r="G17" s="265">
        <f>$C$16+$D$15+$E$14</f>
        <v>21</v>
      </c>
      <c r="H17" s="265">
        <f t="shared" si="1"/>
        <v>52</v>
      </c>
      <c r="I17" s="266">
        <f t="shared" si="2"/>
        <v>0.59615384615384615</v>
      </c>
      <c r="J17" s="268">
        <f t="shared" ca="1" si="20"/>
        <v>6</v>
      </c>
      <c r="K17" s="303" t="s">
        <v>1360</v>
      </c>
      <c r="L17" s="269">
        <v>15</v>
      </c>
      <c r="M17" s="270" t="str">
        <f t="shared" ca="1" si="4"/>
        <v>Nathan Gray &amp; Richard Lawrence</v>
      </c>
      <c r="N17" s="269">
        <v>6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6</v>
      </c>
      <c r="W17" s="277">
        <f t="shared" si="30"/>
        <v>11</v>
      </c>
      <c r="X17" s="278">
        <f t="shared" si="6"/>
        <v>17</v>
      </c>
      <c r="Y17" s="279" t="s">
        <v>224</v>
      </c>
      <c r="Z17" s="280" t="str">
        <f t="shared" si="7"/>
        <v>Nathan Gray &amp; Richard Lawrence</v>
      </c>
      <c r="AA17" s="281">
        <f t="shared" ca="1" si="8"/>
        <v>15</v>
      </c>
      <c r="AB17" s="281">
        <f t="shared" ca="1" si="9"/>
        <v>16</v>
      </c>
      <c r="AC17" s="281">
        <f t="shared" ca="1" si="10"/>
        <v>44</v>
      </c>
      <c r="AD17" s="281">
        <f t="shared" ca="1" si="11"/>
        <v>60</v>
      </c>
      <c r="AE17" s="282">
        <f t="shared" ca="1" si="12"/>
        <v>0.26666666666666666</v>
      </c>
      <c r="AF17" s="283">
        <f t="shared" ca="1" si="13"/>
        <v>-60.733333333333334</v>
      </c>
      <c r="AG17" s="312">
        <f t="shared" ca="1" si="14"/>
        <v>15</v>
      </c>
      <c r="AH17" s="233"/>
    </row>
    <row r="18" spans="1:34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</row>
    <row r="19" spans="1:34" ht="15" customHeight="1">
      <c r="A19" s="210" t="s">
        <v>1339</v>
      </c>
      <c r="B19" s="287"/>
      <c r="C19" s="287">
        <f t="shared" ref="C19:D19" si="31">SUM(C2:C17)</f>
        <v>135</v>
      </c>
      <c r="D19" s="287">
        <f t="shared" si="31"/>
        <v>128</v>
      </c>
      <c r="E19" s="287">
        <f>SUM(E2:E18)</f>
        <v>123</v>
      </c>
      <c r="F19" s="287">
        <f t="shared" ref="F19:G19" si="32">SUM(F2:F17)</f>
        <v>386</v>
      </c>
      <c r="G19" s="287">
        <f t="shared" si="32"/>
        <v>386</v>
      </c>
      <c r="H19" s="292">
        <f>SUM(H2:H17)/2</f>
        <v>386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126</v>
      </c>
      <c r="O19" s="287">
        <f t="shared" si="33"/>
        <v>126</v>
      </c>
      <c r="P19" s="287">
        <f t="shared" si="33"/>
        <v>76</v>
      </c>
      <c r="Q19" s="287">
        <f t="shared" si="33"/>
        <v>76</v>
      </c>
      <c r="R19" s="287">
        <f t="shared" si="33"/>
        <v>33</v>
      </c>
      <c r="S19" s="287">
        <f t="shared" si="33"/>
        <v>33</v>
      </c>
      <c r="T19" s="287">
        <f t="shared" si="33"/>
        <v>21</v>
      </c>
      <c r="U19" s="287">
        <f t="shared" si="33"/>
        <v>21</v>
      </c>
      <c r="V19" s="287">
        <f t="shared" si="33"/>
        <v>256</v>
      </c>
      <c r="W19" s="287">
        <f t="shared" si="33"/>
        <v>256</v>
      </c>
      <c r="X19" s="287">
        <f>SUM(X2:X17)/2</f>
        <v>256</v>
      </c>
      <c r="Y19" s="287"/>
      <c r="Z19" s="287"/>
      <c r="AA19" s="287"/>
      <c r="AB19" s="287">
        <f t="shared" ref="AB19:AC19" ca="1" si="34">SUM(AB2:AB17)</f>
        <v>642</v>
      </c>
      <c r="AC19" s="287">
        <f t="shared" ca="1" si="34"/>
        <v>642</v>
      </c>
      <c r="AD19" s="287">
        <f ca="1">SUM(AD2:AD17)/2</f>
        <v>642</v>
      </c>
      <c r="AE19" s="287"/>
      <c r="AF19" s="287"/>
      <c r="AG19" s="287"/>
      <c r="AH19" s="287"/>
    </row>
    <row r="20" spans="1:34" ht="12.75" customHeight="1">
      <c r="A20" s="287"/>
      <c r="B20" s="326" t="s">
        <v>15</v>
      </c>
      <c r="C20" s="326">
        <f t="shared" ref="C20:E20" si="35">COUNTIF(C2:C17, 10)</f>
        <v>2</v>
      </c>
      <c r="D20" s="326">
        <f t="shared" si="35"/>
        <v>0</v>
      </c>
      <c r="E20" s="326">
        <f t="shared" si="35"/>
        <v>1</v>
      </c>
      <c r="F20" s="296"/>
      <c r="G20" s="296"/>
      <c r="H20" s="297">
        <f>AVERAGE(H2:H17)</f>
        <v>48.25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26">
        <f>SUM(C20:E20,O20,Q20,S20,U20)</f>
        <v>4</v>
      </c>
      <c r="Y20" s="296"/>
      <c r="Z20" s="296"/>
      <c r="AA20" s="296"/>
      <c r="AB20" s="296"/>
      <c r="AC20" s="296"/>
      <c r="AD20" s="298">
        <f ca="1">AVERAGE(AD2:AD17)</f>
        <v>80.25</v>
      </c>
      <c r="AE20" s="287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96"/>
      <c r="Z21" s="296"/>
      <c r="AA21" s="296"/>
      <c r="AB21" s="296"/>
      <c r="AC21" s="296"/>
      <c r="AD21" s="287"/>
      <c r="AE21" s="287"/>
      <c r="AF21" s="287"/>
      <c r="AG21" s="287"/>
      <c r="AH21" s="287"/>
    </row>
  </sheetData>
  <conditionalFormatting sqref="F2:F17">
    <cfRule type="cellIs" dxfId="135" priority="1" operator="equal">
      <formula>33</formula>
    </cfRule>
  </conditionalFormatting>
  <conditionalFormatting sqref="J2:J17">
    <cfRule type="expression" dxfId="134" priority="2">
      <formula>COUNTIF(J$2:J$17,$J2)&gt;1</formula>
    </cfRule>
  </conditionalFormatting>
  <conditionalFormatting sqref="M2:X17">
    <cfRule type="expression" dxfId="133" priority="3">
      <formula>$T2=11</formula>
    </cfRule>
  </conditionalFormatting>
  <conditionalFormatting sqref="N2:O17">
    <cfRule type="expression" dxfId="132" priority="4">
      <formula>$N2=11</formula>
    </cfRule>
  </conditionalFormatting>
  <conditionalFormatting sqref="P2:Q17">
    <cfRule type="expression" dxfId="131" priority="5">
      <formula>$P2=11</formula>
    </cfRule>
  </conditionalFormatting>
  <conditionalFormatting sqref="R2:S17">
    <cfRule type="expression" dxfId="130" priority="6">
      <formula>$R2=11</formula>
    </cfRule>
  </conditionalFormatting>
  <conditionalFormatting sqref="AG2:AG17">
    <cfRule type="expression" dxfId="129" priority="7">
      <formula>COUNTIF(AG$2:AG$17,$AG2)&gt;1</formula>
    </cfRule>
  </conditionalFormatting>
  <hyperlinks>
    <hyperlink ref="A1" location="Champions!A1" display="Home" xr:uid="{00000000-0004-0000-0800-000000000000}"/>
    <hyperlink ref="AH1" location="Champions!A1" display="Home" xr:uid="{00000000-0004-0000-0800-000001000000}"/>
    <hyperlink ref="A19" location="Champions!A1" display="Home" xr:uid="{00000000-0004-0000-0800-000002000000}"/>
  </hyperlink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2.1796875" customWidth="1"/>
    <col min="14" max="21" width="6.26953125" customWidth="1"/>
    <col min="22" max="24" width="7.7265625" customWidth="1"/>
    <col min="25" max="25" width="6.81640625" customWidth="1"/>
    <col min="26" max="26" width="30.81640625" customWidth="1"/>
    <col min="27" max="30" width="7.7265625" customWidth="1"/>
    <col min="31" max="31" width="7.81640625" customWidth="1"/>
    <col min="32" max="34" width="8.4531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1165</v>
      </c>
      <c r="C2" s="314">
        <v>4</v>
      </c>
      <c r="D2" s="315">
        <v>11</v>
      </c>
      <c r="E2" s="315">
        <v>2</v>
      </c>
      <c r="F2" s="213">
        <f t="shared" ref="F2:F17" si="0">SUM(C2:E2)</f>
        <v>17</v>
      </c>
      <c r="G2" s="213">
        <f>C3+D4+E5</f>
        <v>24</v>
      </c>
      <c r="H2" s="213">
        <f t="shared" ref="H2:H17" si="1">SUM(F2:G2)</f>
        <v>41</v>
      </c>
      <c r="I2" s="214">
        <f t="shared" ref="I2:I17" si="2">IFERROR(F2/H2,"")</f>
        <v>0.41463414634146339</v>
      </c>
      <c r="J2" s="216">
        <f t="shared" ref="J2:J17" ca="1" si="3">IFERROR(RANK(I2,OFFSET($I$2,0,0,COUNTA($I$2:$I$17),1)),)</f>
        <v>13</v>
      </c>
      <c r="K2" s="301" t="s">
        <v>1345</v>
      </c>
      <c r="L2" s="217">
        <v>1</v>
      </c>
      <c r="M2" s="218" t="str">
        <f t="shared" ref="M2:M17" ca="1" si="4">INDEX($A$2:$AM$17,MATCH(L2,$J$2:$J$17,0),2)</f>
        <v>Eric Santon &amp; Valerie Dubois</v>
      </c>
      <c r="N2" s="217">
        <v>11</v>
      </c>
      <c r="O2" s="219">
        <v>2</v>
      </c>
      <c r="P2" s="220">
        <v>11</v>
      </c>
      <c r="Q2" s="221">
        <v>2</v>
      </c>
      <c r="R2" s="217">
        <v>8</v>
      </c>
      <c r="S2" s="219">
        <v>11</v>
      </c>
      <c r="T2" s="222"/>
      <c r="U2" s="221"/>
      <c r="V2" s="223">
        <f t="shared" ref="V2:W2" si="5">(N2+P2+R2+T2)</f>
        <v>30</v>
      </c>
      <c r="W2" s="223">
        <f t="shared" si="5"/>
        <v>15</v>
      </c>
      <c r="X2" s="224">
        <f t="shared" ref="X2:X17" si="6">V2+W2</f>
        <v>45</v>
      </c>
      <c r="Y2" s="328" t="s">
        <v>237</v>
      </c>
      <c r="Z2" s="329" t="str">
        <f t="shared" ref="Z2:Z17" si="7">INDEX($A$2:$B$17,MATCH(Y2,$A$2:$A$17,0),2)</f>
        <v>Theresa Nelson &amp; Mike Magel</v>
      </c>
      <c r="AA2" s="329">
        <f t="shared" ref="AA2:AA17" ca="1" si="8">INDEX($B$2:$K$17, MATCH($Z2,$B$2:$B$17,0),9)</f>
        <v>4</v>
      </c>
      <c r="AB2" s="329">
        <f t="shared" ref="AB2:AB17" ca="1" si="9">INDEX($A$2:$AJ$17,(MATCH($Z2,$B$2:$B$17,0)),6)+INDEX($M$2:$X$17,MATCH($Z2,$M$2:$M$17,0),10)</f>
        <v>72</v>
      </c>
      <c r="AC2" s="329">
        <f t="shared" ref="AC2:AC17" ca="1" si="10">INDEX($A$2:$AJ$17,(MATCH($Z2,$B$2:$B$17,0)),7)+INDEX($M$2:$X$17,MATCH($Z2,$M$2:$M$17,0),11)</f>
        <v>46</v>
      </c>
      <c r="AD2" s="329">
        <f t="shared" ref="AD2:AD17" ca="1" si="11">SUM(AB2:AC2)</f>
        <v>118</v>
      </c>
      <c r="AE2" s="236">
        <f t="shared" ref="AE2:AE17" ca="1" si="12">AB2/AD2</f>
        <v>0.61016949152542377</v>
      </c>
      <c r="AF2" s="330">
        <f t="shared" ref="AF2:AF17" ca="1" si="13">AE2-(77-AB2)</f>
        <v>-4.3898305084745761</v>
      </c>
      <c r="AG2" s="331">
        <f t="shared" ref="AG2:AG17" ca="1" si="14">RANK($AF2,OFFSET($AF$2,0,0,COUNTA($AF$2:$AF$17),1))</f>
        <v>1</v>
      </c>
      <c r="AH2" s="233"/>
    </row>
    <row r="3" spans="1:34" ht="15" customHeight="1">
      <c r="A3" s="309" t="s">
        <v>211</v>
      </c>
      <c r="B3" s="107" t="s">
        <v>1167</v>
      </c>
      <c r="C3" s="316">
        <v>11</v>
      </c>
      <c r="D3" s="317">
        <v>3</v>
      </c>
      <c r="E3" s="317">
        <v>6</v>
      </c>
      <c r="F3" s="235">
        <f t="shared" si="0"/>
        <v>20</v>
      </c>
      <c r="G3" s="235">
        <f>C2+D5+E4</f>
        <v>26</v>
      </c>
      <c r="H3" s="235">
        <f t="shared" si="1"/>
        <v>46</v>
      </c>
      <c r="I3" s="236">
        <f t="shared" si="2"/>
        <v>0.43478260869565216</v>
      </c>
      <c r="J3" s="238">
        <f t="shared" ca="1" si="3"/>
        <v>10</v>
      </c>
      <c r="K3" s="302" t="s">
        <v>1346</v>
      </c>
      <c r="L3" s="239">
        <v>16</v>
      </c>
      <c r="M3" s="240" t="str">
        <f t="shared" ca="1" si="4"/>
        <v>Susan Mitts &amp; Allen Meyer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32" t="s">
        <v>261</v>
      </c>
      <c r="Z3" s="329" t="str">
        <f t="shared" si="7"/>
        <v>Viliamu Vaofanua &amp; Alli Hiatt</v>
      </c>
      <c r="AA3" s="329">
        <f t="shared" ca="1" si="8"/>
        <v>7</v>
      </c>
      <c r="AB3" s="329">
        <f t="shared" ca="1" si="9"/>
        <v>71</v>
      </c>
      <c r="AC3" s="329">
        <f t="shared" ca="1" si="10"/>
        <v>66</v>
      </c>
      <c r="AD3" s="329">
        <f t="shared" ca="1" si="11"/>
        <v>137</v>
      </c>
      <c r="AE3" s="236">
        <f t="shared" ca="1" si="12"/>
        <v>0.51824817518248179</v>
      </c>
      <c r="AF3" s="333">
        <f t="shared" ca="1" si="13"/>
        <v>-5.4817518248175183</v>
      </c>
      <c r="AG3" s="334">
        <f t="shared" ca="1" si="14"/>
        <v>2</v>
      </c>
      <c r="AH3" s="335"/>
    </row>
    <row r="4" spans="1:34" ht="15" customHeight="1">
      <c r="A4" s="309" t="s">
        <v>216</v>
      </c>
      <c r="B4" s="107" t="s">
        <v>1169</v>
      </c>
      <c r="C4" s="318">
        <v>2</v>
      </c>
      <c r="D4" s="319">
        <v>2</v>
      </c>
      <c r="E4" s="317">
        <v>11</v>
      </c>
      <c r="F4" s="235">
        <f t="shared" si="0"/>
        <v>15</v>
      </c>
      <c r="G4" s="235">
        <f>C5+D2+E3</f>
        <v>28</v>
      </c>
      <c r="H4" s="235">
        <f t="shared" si="1"/>
        <v>43</v>
      </c>
      <c r="I4" s="236">
        <f t="shared" si="2"/>
        <v>0.34883720930232559</v>
      </c>
      <c r="J4" s="238">
        <f t="shared" ca="1" si="3"/>
        <v>14</v>
      </c>
      <c r="K4" s="301" t="s">
        <v>1347</v>
      </c>
      <c r="L4" s="217">
        <v>8</v>
      </c>
      <c r="M4" s="218" t="str">
        <f t="shared" ca="1" si="4"/>
        <v>Scott Hull &amp; Mindy Anderson</v>
      </c>
      <c r="N4" s="217">
        <v>11</v>
      </c>
      <c r="O4" s="219">
        <v>7</v>
      </c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13</v>
      </c>
      <c r="W4" s="223">
        <f t="shared" si="16"/>
        <v>18</v>
      </c>
      <c r="X4" s="224">
        <f t="shared" si="6"/>
        <v>31</v>
      </c>
      <c r="Y4" s="332" t="s">
        <v>221</v>
      </c>
      <c r="Z4" s="329" t="str">
        <f t="shared" si="7"/>
        <v>Eric Santon &amp; Valerie Dubois</v>
      </c>
      <c r="AA4" s="329">
        <f t="shared" ca="1" si="8"/>
        <v>1</v>
      </c>
      <c r="AB4" s="329">
        <f t="shared" ca="1" si="9"/>
        <v>63</v>
      </c>
      <c r="AC4" s="329">
        <f t="shared" ca="1" si="10"/>
        <v>22</v>
      </c>
      <c r="AD4" s="329">
        <f t="shared" ca="1" si="11"/>
        <v>85</v>
      </c>
      <c r="AE4" s="236">
        <f t="shared" ca="1" si="12"/>
        <v>0.74117647058823533</v>
      </c>
      <c r="AF4" s="333">
        <f t="shared" ca="1" si="13"/>
        <v>-13.258823529411764</v>
      </c>
      <c r="AG4" s="334">
        <f t="shared" ca="1" si="14"/>
        <v>3</v>
      </c>
      <c r="AH4" s="335"/>
    </row>
    <row r="5" spans="1:34" ht="15" customHeight="1">
      <c r="A5" s="310" t="s">
        <v>221</v>
      </c>
      <c r="B5" s="109" t="s">
        <v>1166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7</v>
      </c>
      <c r="H5" s="252">
        <f t="shared" si="1"/>
        <v>40</v>
      </c>
      <c r="I5" s="253">
        <f t="shared" si="2"/>
        <v>0.82499999999999996</v>
      </c>
      <c r="J5" s="255">
        <f t="shared" ca="1" si="3"/>
        <v>1</v>
      </c>
      <c r="K5" s="302" t="s">
        <v>1348</v>
      </c>
      <c r="L5" s="239">
        <v>9</v>
      </c>
      <c r="M5" s="240" t="str">
        <f t="shared" ca="1" si="4"/>
        <v>Mary Pflanz &amp; Michael Schermoly</v>
      </c>
      <c r="N5" s="239">
        <v>7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7</v>
      </c>
      <c r="W5" s="223">
        <f t="shared" si="17"/>
        <v>11</v>
      </c>
      <c r="X5" s="224">
        <f t="shared" si="6"/>
        <v>18</v>
      </c>
      <c r="Y5" s="336" t="s">
        <v>228</v>
      </c>
      <c r="Z5" s="337" t="str">
        <f t="shared" si="7"/>
        <v>Jeremie Wilson &amp; Tess Edwards</v>
      </c>
      <c r="AA5" s="337">
        <f t="shared" ca="1" si="8"/>
        <v>2</v>
      </c>
      <c r="AB5" s="337">
        <f t="shared" ca="1" si="9"/>
        <v>54</v>
      </c>
      <c r="AC5" s="337">
        <f t="shared" ca="1" si="10"/>
        <v>27</v>
      </c>
      <c r="AD5" s="337">
        <f t="shared" ca="1" si="11"/>
        <v>81</v>
      </c>
      <c r="AE5" s="253">
        <f t="shared" ca="1" si="12"/>
        <v>0.66666666666666663</v>
      </c>
      <c r="AF5" s="338">
        <f t="shared" ca="1" si="13"/>
        <v>-22.333333333333332</v>
      </c>
      <c r="AG5" s="339">
        <f t="shared" ca="1" si="14"/>
        <v>4</v>
      </c>
      <c r="AH5" s="233"/>
    </row>
    <row r="6" spans="1:34" ht="15" customHeight="1">
      <c r="A6" s="307" t="s">
        <v>224</v>
      </c>
      <c r="B6" s="107" t="s">
        <v>1168</v>
      </c>
      <c r="C6" s="314">
        <v>2</v>
      </c>
      <c r="D6" s="315">
        <v>6</v>
      </c>
      <c r="E6" s="315">
        <v>2</v>
      </c>
      <c r="F6" s="213">
        <f t="shared" si="0"/>
        <v>10</v>
      </c>
      <c r="G6" s="213">
        <f>C7+D8+E9</f>
        <v>33</v>
      </c>
      <c r="H6" s="213">
        <f t="shared" si="1"/>
        <v>43</v>
      </c>
      <c r="I6" s="214">
        <f t="shared" si="2"/>
        <v>0.23255813953488372</v>
      </c>
      <c r="J6" s="238">
        <f t="shared" ca="1" si="3"/>
        <v>16</v>
      </c>
      <c r="K6" s="301" t="s">
        <v>1349</v>
      </c>
      <c r="L6" s="217">
        <v>5</v>
      </c>
      <c r="M6" s="218" t="str">
        <f t="shared" ca="1" si="4"/>
        <v>Tiffany Blackwell &amp; Chris Lyon</v>
      </c>
      <c r="N6" s="217">
        <v>11</v>
      </c>
      <c r="O6" s="219">
        <v>8</v>
      </c>
      <c r="P6" s="220">
        <v>10</v>
      </c>
      <c r="Q6" s="221">
        <v>11</v>
      </c>
      <c r="R6" s="244"/>
      <c r="S6" s="245"/>
      <c r="T6" s="246"/>
      <c r="U6" s="243"/>
      <c r="V6" s="223">
        <f t="shared" ref="V6:W6" si="18">(N6+P6+R6+T6)</f>
        <v>21</v>
      </c>
      <c r="W6" s="223">
        <f t="shared" si="18"/>
        <v>19</v>
      </c>
      <c r="X6" s="224">
        <f t="shared" si="6"/>
        <v>40</v>
      </c>
      <c r="Y6" s="328" t="s">
        <v>271</v>
      </c>
      <c r="Z6" s="340" t="str">
        <f t="shared" si="7"/>
        <v>Sarah Ross &amp; Robert Madison</v>
      </c>
      <c r="AA6" s="340">
        <f t="shared" ca="1" si="8"/>
        <v>11</v>
      </c>
      <c r="AB6" s="340">
        <f t="shared" ca="1" si="9"/>
        <v>52</v>
      </c>
      <c r="AC6" s="340">
        <f t="shared" ca="1" si="10"/>
        <v>58</v>
      </c>
      <c r="AD6" s="340">
        <f t="shared" ca="1" si="11"/>
        <v>110</v>
      </c>
      <c r="AE6" s="214">
        <f t="shared" ca="1" si="12"/>
        <v>0.47272727272727272</v>
      </c>
      <c r="AF6" s="341">
        <f t="shared" ca="1" si="13"/>
        <v>-24.527272727272727</v>
      </c>
      <c r="AG6" s="342">
        <f t="shared" ca="1" si="14"/>
        <v>5</v>
      </c>
      <c r="AH6" s="233"/>
    </row>
    <row r="7" spans="1:34" ht="15" customHeight="1">
      <c r="A7" s="309" t="s">
        <v>228</v>
      </c>
      <c r="B7" s="107" t="s">
        <v>1173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13</v>
      </c>
      <c r="H7" s="235">
        <f t="shared" si="1"/>
        <v>46</v>
      </c>
      <c r="I7" s="236">
        <f t="shared" si="2"/>
        <v>0.71739130434782605</v>
      </c>
      <c r="J7" s="238">
        <f t="shared" ca="1" si="3"/>
        <v>2</v>
      </c>
      <c r="K7" s="302" t="s">
        <v>1350</v>
      </c>
      <c r="L7" s="239">
        <v>12</v>
      </c>
      <c r="M7" s="240" t="str">
        <f t="shared" ca="1" si="4"/>
        <v>Danny Ng &amp; Betsy Norberg</v>
      </c>
      <c r="N7" s="239">
        <v>8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8</v>
      </c>
      <c r="W7" s="223">
        <f t="shared" si="19"/>
        <v>11</v>
      </c>
      <c r="X7" s="224">
        <f t="shared" si="6"/>
        <v>19</v>
      </c>
      <c r="Y7" s="332" t="s">
        <v>268</v>
      </c>
      <c r="Z7" s="329" t="str">
        <f t="shared" si="7"/>
        <v>Tiffany Blackwell &amp; Chris Lyon</v>
      </c>
      <c r="AA7" s="329">
        <f t="shared" ca="1" si="8"/>
        <v>5</v>
      </c>
      <c r="AB7" s="329">
        <f t="shared" ca="1" si="9"/>
        <v>51</v>
      </c>
      <c r="AC7" s="329">
        <f t="shared" ca="1" si="10"/>
        <v>42</v>
      </c>
      <c r="AD7" s="329">
        <f t="shared" ca="1" si="11"/>
        <v>93</v>
      </c>
      <c r="AE7" s="236">
        <f t="shared" ca="1" si="12"/>
        <v>0.54838709677419351</v>
      </c>
      <c r="AF7" s="341">
        <f t="shared" ca="1" si="13"/>
        <v>-25.451612903225808</v>
      </c>
      <c r="AG7" s="342">
        <f t="shared" ca="1" si="14"/>
        <v>6</v>
      </c>
      <c r="AH7" s="233"/>
    </row>
    <row r="8" spans="1:34" ht="15" customHeight="1">
      <c r="A8" s="309" t="s">
        <v>232</v>
      </c>
      <c r="B8" s="107" t="s">
        <v>1174</v>
      </c>
      <c r="C8" s="318">
        <v>4</v>
      </c>
      <c r="D8" s="319">
        <v>11</v>
      </c>
      <c r="E8" s="317">
        <v>5</v>
      </c>
      <c r="F8" s="235">
        <f t="shared" si="0"/>
        <v>20</v>
      </c>
      <c r="G8" s="235">
        <f>C9+D6+E7</f>
        <v>28</v>
      </c>
      <c r="H8" s="235">
        <f t="shared" si="1"/>
        <v>48</v>
      </c>
      <c r="I8" s="236">
        <f t="shared" si="2"/>
        <v>0.41666666666666669</v>
      </c>
      <c r="J8" s="238">
        <f t="shared" ca="1" si="3"/>
        <v>12</v>
      </c>
      <c r="K8" s="301" t="s">
        <v>1351</v>
      </c>
      <c r="L8" s="217">
        <v>4</v>
      </c>
      <c r="M8" s="218" t="str">
        <f t="shared" ca="1" si="4"/>
        <v>Theresa Nelson &amp; Mike Magel</v>
      </c>
      <c r="N8" s="217">
        <v>11</v>
      </c>
      <c r="O8" s="219">
        <v>2</v>
      </c>
      <c r="P8" s="242">
        <v>11</v>
      </c>
      <c r="Q8" s="243">
        <v>10</v>
      </c>
      <c r="R8" s="244">
        <v>11</v>
      </c>
      <c r="S8" s="245">
        <v>8</v>
      </c>
      <c r="T8" s="246">
        <v>11</v>
      </c>
      <c r="U8" s="243">
        <v>9</v>
      </c>
      <c r="V8" s="223">
        <f t="shared" ref="V8:W8" si="20">(N8+P8+R8+T8)</f>
        <v>44</v>
      </c>
      <c r="W8" s="223">
        <f t="shared" si="20"/>
        <v>29</v>
      </c>
      <c r="X8" s="224">
        <f t="shared" si="6"/>
        <v>73</v>
      </c>
      <c r="Y8" s="332" t="s">
        <v>276</v>
      </c>
      <c r="Z8" s="329" t="str">
        <f t="shared" si="7"/>
        <v>Scott Hull &amp; Mindy Anderson</v>
      </c>
      <c r="AA8" s="329">
        <f t="shared" ca="1" si="8"/>
        <v>8</v>
      </c>
      <c r="AB8" s="329">
        <f t="shared" ca="1" si="9"/>
        <v>42</v>
      </c>
      <c r="AC8" s="329">
        <f t="shared" ca="1" si="10"/>
        <v>48</v>
      </c>
      <c r="AD8" s="329">
        <f t="shared" ca="1" si="11"/>
        <v>90</v>
      </c>
      <c r="AE8" s="236">
        <f t="shared" ca="1" si="12"/>
        <v>0.46666666666666667</v>
      </c>
      <c r="AF8" s="341">
        <f t="shared" ca="1" si="13"/>
        <v>-34.533333333333331</v>
      </c>
      <c r="AG8" s="342">
        <f t="shared" ca="1" si="14"/>
        <v>7</v>
      </c>
      <c r="AH8" s="233"/>
    </row>
    <row r="9" spans="1:34" ht="15" customHeight="1">
      <c r="A9" s="310" t="s">
        <v>237</v>
      </c>
      <c r="B9" s="109" t="s">
        <v>146</v>
      </c>
      <c r="C9" s="320">
        <v>11</v>
      </c>
      <c r="D9" s="321">
        <v>6</v>
      </c>
      <c r="E9" s="322">
        <v>11</v>
      </c>
      <c r="F9" s="252">
        <f t="shared" si="0"/>
        <v>28</v>
      </c>
      <c r="G9" s="252">
        <f>C8+D7+E6</f>
        <v>17</v>
      </c>
      <c r="H9" s="252">
        <f t="shared" si="1"/>
        <v>45</v>
      </c>
      <c r="I9" s="253">
        <f t="shared" si="2"/>
        <v>0.62222222222222223</v>
      </c>
      <c r="J9" s="255">
        <f t="shared" ca="1" si="3"/>
        <v>4</v>
      </c>
      <c r="K9" s="302" t="s">
        <v>1352</v>
      </c>
      <c r="L9" s="239">
        <v>13</v>
      </c>
      <c r="M9" s="240" t="str">
        <f t="shared" ca="1" si="4"/>
        <v>Dylan Lockwood &amp; Samantha Green</v>
      </c>
      <c r="N9" s="239">
        <v>2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2</v>
      </c>
      <c r="W9" s="223">
        <f t="shared" si="21"/>
        <v>11</v>
      </c>
      <c r="X9" s="224">
        <f t="shared" si="6"/>
        <v>13</v>
      </c>
      <c r="Y9" s="336" t="s">
        <v>246</v>
      </c>
      <c r="Z9" s="337" t="str">
        <f t="shared" si="7"/>
        <v>Mark McDonald &amp; Shannon Lyon</v>
      </c>
      <c r="AA9" s="337">
        <f t="shared" ca="1" si="8"/>
        <v>6</v>
      </c>
      <c r="AB9" s="337">
        <f t="shared" ca="1" si="9"/>
        <v>39</v>
      </c>
      <c r="AC9" s="337">
        <f t="shared" ca="1" si="10"/>
        <v>39</v>
      </c>
      <c r="AD9" s="337">
        <f t="shared" ca="1" si="11"/>
        <v>78</v>
      </c>
      <c r="AE9" s="253">
        <f t="shared" ca="1" si="12"/>
        <v>0.5</v>
      </c>
      <c r="AF9" s="338">
        <f t="shared" ca="1" si="13"/>
        <v>-37.5</v>
      </c>
      <c r="AG9" s="339">
        <f t="shared" ca="1" si="14"/>
        <v>8</v>
      </c>
      <c r="AH9" s="233"/>
    </row>
    <row r="10" spans="1:34" ht="15" customHeight="1">
      <c r="A10" s="307" t="s">
        <v>241</v>
      </c>
      <c r="B10" s="107" t="s">
        <v>1177</v>
      </c>
      <c r="C10" s="314">
        <v>11</v>
      </c>
      <c r="D10" s="315">
        <v>11</v>
      </c>
      <c r="E10" s="315">
        <v>11</v>
      </c>
      <c r="F10" s="213">
        <f t="shared" si="0"/>
        <v>33</v>
      </c>
      <c r="G10" s="213">
        <f>C11+D12+E13</f>
        <v>18</v>
      </c>
      <c r="H10" s="213">
        <f t="shared" si="1"/>
        <v>51</v>
      </c>
      <c r="I10" s="214">
        <f t="shared" si="2"/>
        <v>0.6470588235294118</v>
      </c>
      <c r="J10" s="238">
        <f t="shared" ca="1" si="3"/>
        <v>3</v>
      </c>
      <c r="K10" s="301" t="s">
        <v>1353</v>
      </c>
      <c r="L10" s="217">
        <v>6</v>
      </c>
      <c r="M10" s="218" t="str">
        <f t="shared" ca="1" si="4"/>
        <v>Mark McDonald &amp; Shannon Lyon</v>
      </c>
      <c r="N10" s="217">
        <v>8</v>
      </c>
      <c r="O10" s="219">
        <v>11</v>
      </c>
      <c r="P10" s="220"/>
      <c r="Q10" s="221"/>
      <c r="R10" s="217"/>
      <c r="S10" s="219"/>
      <c r="T10" s="246"/>
      <c r="U10" s="243"/>
      <c r="V10" s="223">
        <f t="shared" ref="V10:W10" si="22">(N10+P10+R10+T10)</f>
        <v>8</v>
      </c>
      <c r="W10" s="223">
        <f t="shared" si="22"/>
        <v>11</v>
      </c>
      <c r="X10" s="224">
        <f t="shared" si="6"/>
        <v>19</v>
      </c>
      <c r="Y10" s="332" t="s">
        <v>241</v>
      </c>
      <c r="Z10" s="329" t="str">
        <f t="shared" si="7"/>
        <v>Brook Vitt &amp; Richard Lawrence</v>
      </c>
      <c r="AA10" s="329">
        <f t="shared" ca="1" si="8"/>
        <v>3</v>
      </c>
      <c r="AB10" s="329">
        <f t="shared" ca="1" si="9"/>
        <v>38</v>
      </c>
      <c r="AC10" s="329">
        <f t="shared" ca="1" si="10"/>
        <v>29</v>
      </c>
      <c r="AD10" s="329">
        <f t="shared" ca="1" si="11"/>
        <v>67</v>
      </c>
      <c r="AE10" s="236">
        <f t="shared" ca="1" si="12"/>
        <v>0.56716417910447758</v>
      </c>
      <c r="AF10" s="333">
        <f t="shared" ca="1" si="13"/>
        <v>-38.432835820895519</v>
      </c>
      <c r="AG10" s="334">
        <f t="shared" ca="1" si="14"/>
        <v>9</v>
      </c>
      <c r="AH10" s="335"/>
    </row>
    <row r="11" spans="1:34" ht="15" customHeight="1">
      <c r="A11" s="309" t="s">
        <v>246</v>
      </c>
      <c r="B11" s="107" t="s">
        <v>1178</v>
      </c>
      <c r="C11" s="316">
        <v>9</v>
      </c>
      <c r="D11" s="317">
        <v>11</v>
      </c>
      <c r="E11" s="317">
        <v>11</v>
      </c>
      <c r="F11" s="235">
        <f t="shared" si="0"/>
        <v>31</v>
      </c>
      <c r="G11" s="235">
        <f>C10+D13+E12</f>
        <v>28</v>
      </c>
      <c r="H11" s="235">
        <f t="shared" si="1"/>
        <v>59</v>
      </c>
      <c r="I11" s="236">
        <f t="shared" si="2"/>
        <v>0.52542372881355937</v>
      </c>
      <c r="J11" s="238">
        <f t="shared" ca="1" si="3"/>
        <v>6</v>
      </c>
      <c r="K11" s="302" t="s">
        <v>1354</v>
      </c>
      <c r="L11" s="239">
        <v>11</v>
      </c>
      <c r="M11" s="240" t="str">
        <f t="shared" ca="1" si="4"/>
        <v>Sarah Ross &amp; Robert Madison</v>
      </c>
      <c r="N11" s="239">
        <v>11</v>
      </c>
      <c r="O11" s="241">
        <v>8</v>
      </c>
      <c r="P11" s="242">
        <v>11</v>
      </c>
      <c r="Q11" s="243">
        <v>9</v>
      </c>
      <c r="R11" s="244">
        <v>7</v>
      </c>
      <c r="S11" s="245">
        <v>11</v>
      </c>
      <c r="T11" s="246"/>
      <c r="U11" s="243"/>
      <c r="V11" s="223">
        <f t="shared" ref="V11:W11" si="23">(N11+P11+R11+T11)</f>
        <v>29</v>
      </c>
      <c r="W11" s="223">
        <f t="shared" si="23"/>
        <v>28</v>
      </c>
      <c r="X11" s="224">
        <f t="shared" si="6"/>
        <v>57</v>
      </c>
      <c r="Y11" s="332" t="s">
        <v>216</v>
      </c>
      <c r="Z11" s="329" t="str">
        <f t="shared" si="7"/>
        <v>Erinn Metcalf &amp; Gary Mulsow</v>
      </c>
      <c r="AA11" s="329">
        <f t="shared" ca="1" si="8"/>
        <v>14</v>
      </c>
      <c r="AB11" s="329">
        <f t="shared" ca="1" si="9"/>
        <v>35</v>
      </c>
      <c r="AC11" s="329">
        <f t="shared" ca="1" si="10"/>
        <v>44</v>
      </c>
      <c r="AD11" s="329">
        <f t="shared" ca="1" si="11"/>
        <v>79</v>
      </c>
      <c r="AE11" s="236">
        <f t="shared" ca="1" si="12"/>
        <v>0.44303797468354428</v>
      </c>
      <c r="AF11" s="333">
        <f t="shared" ca="1" si="13"/>
        <v>-41.556962025316459</v>
      </c>
      <c r="AG11" s="334">
        <f t="shared" ca="1" si="14"/>
        <v>10</v>
      </c>
      <c r="AH11" s="335"/>
    </row>
    <row r="12" spans="1:34" ht="15" customHeight="1">
      <c r="A12" s="309" t="s">
        <v>251</v>
      </c>
      <c r="B12" s="107" t="s">
        <v>1181</v>
      </c>
      <c r="C12" s="318">
        <v>5</v>
      </c>
      <c r="D12" s="319">
        <v>2</v>
      </c>
      <c r="E12" s="317">
        <v>9</v>
      </c>
      <c r="F12" s="235">
        <f t="shared" si="0"/>
        <v>16</v>
      </c>
      <c r="G12" s="235">
        <f>C13+D10+E11</f>
        <v>33</v>
      </c>
      <c r="H12" s="235">
        <f t="shared" si="1"/>
        <v>49</v>
      </c>
      <c r="I12" s="236">
        <f t="shared" si="2"/>
        <v>0.32653061224489793</v>
      </c>
      <c r="J12" s="238">
        <f t="shared" ca="1" si="3"/>
        <v>15</v>
      </c>
      <c r="K12" s="301" t="s">
        <v>1355</v>
      </c>
      <c r="L12" s="217">
        <v>3</v>
      </c>
      <c r="M12" s="218" t="str">
        <f t="shared" ca="1" si="4"/>
        <v>Brook Vitt &amp; Richard Lawrence</v>
      </c>
      <c r="N12" s="217">
        <v>5</v>
      </c>
      <c r="O12" s="219">
        <v>11</v>
      </c>
      <c r="P12" s="242"/>
      <c r="Q12" s="243"/>
      <c r="R12" s="244"/>
      <c r="S12" s="245"/>
      <c r="T12" s="246"/>
      <c r="U12" s="243"/>
      <c r="V12" s="223">
        <f t="shared" ref="V12:W12" si="24">(N12+P12+R12+T12)</f>
        <v>5</v>
      </c>
      <c r="W12" s="223">
        <f t="shared" si="24"/>
        <v>11</v>
      </c>
      <c r="X12" s="224">
        <f t="shared" si="6"/>
        <v>16</v>
      </c>
      <c r="Y12" s="332" t="s">
        <v>256</v>
      </c>
      <c r="Z12" s="329" t="str">
        <f t="shared" si="7"/>
        <v>Mary Pflanz &amp; Michael Schermoly</v>
      </c>
      <c r="AA12" s="329">
        <f t="shared" ca="1" si="8"/>
        <v>9</v>
      </c>
      <c r="AB12" s="329">
        <f t="shared" ca="1" si="9"/>
        <v>33</v>
      </c>
      <c r="AC12" s="329">
        <f t="shared" ca="1" si="10"/>
        <v>38</v>
      </c>
      <c r="AD12" s="329">
        <f t="shared" ca="1" si="11"/>
        <v>71</v>
      </c>
      <c r="AE12" s="236">
        <f t="shared" ca="1" si="12"/>
        <v>0.46478873239436619</v>
      </c>
      <c r="AF12" s="343">
        <f t="shared" ca="1" si="13"/>
        <v>-43.535211267605632</v>
      </c>
      <c r="AG12" s="344">
        <f t="shared" ca="1" si="14"/>
        <v>11</v>
      </c>
      <c r="AH12" s="233"/>
    </row>
    <row r="13" spans="1:34" ht="15" customHeight="1">
      <c r="A13" s="310" t="s">
        <v>256</v>
      </c>
      <c r="B13" s="109" t="s">
        <v>1171</v>
      </c>
      <c r="C13" s="320">
        <v>11</v>
      </c>
      <c r="D13" s="321">
        <v>8</v>
      </c>
      <c r="E13" s="322">
        <v>7</v>
      </c>
      <c r="F13" s="252">
        <f t="shared" si="0"/>
        <v>26</v>
      </c>
      <c r="G13" s="252">
        <f>C12+D11+E10</f>
        <v>27</v>
      </c>
      <c r="H13" s="252">
        <f t="shared" si="1"/>
        <v>53</v>
      </c>
      <c r="I13" s="253">
        <f t="shared" si="2"/>
        <v>0.49056603773584906</v>
      </c>
      <c r="J13" s="255">
        <f t="shared" ca="1" si="3"/>
        <v>9</v>
      </c>
      <c r="K13" s="302" t="s">
        <v>1356</v>
      </c>
      <c r="L13" s="239">
        <v>14</v>
      </c>
      <c r="M13" s="240" t="str">
        <f t="shared" ca="1" si="4"/>
        <v>Erinn Metcalf &amp; Gary Mulsow</v>
      </c>
      <c r="N13" s="239">
        <v>11</v>
      </c>
      <c r="O13" s="241">
        <v>5</v>
      </c>
      <c r="P13" s="256">
        <v>9</v>
      </c>
      <c r="Q13" s="257">
        <v>11</v>
      </c>
      <c r="R13" s="244"/>
      <c r="S13" s="245"/>
      <c r="T13" s="246"/>
      <c r="U13" s="243"/>
      <c r="V13" s="223">
        <f t="shared" ref="V13:W13" si="25">(N13+P13+R13+T13)</f>
        <v>20</v>
      </c>
      <c r="W13" s="223">
        <f t="shared" si="25"/>
        <v>16</v>
      </c>
      <c r="X13" s="224">
        <f t="shared" si="6"/>
        <v>36</v>
      </c>
      <c r="Y13" s="336" t="s">
        <v>211</v>
      </c>
      <c r="Z13" s="337" t="str">
        <f t="shared" si="7"/>
        <v>Amy George &amp; Patrick Blackwell</v>
      </c>
      <c r="AA13" s="337">
        <f t="shared" ca="1" si="8"/>
        <v>10</v>
      </c>
      <c r="AB13" s="337">
        <f t="shared" ca="1" si="9"/>
        <v>30</v>
      </c>
      <c r="AC13" s="337">
        <f t="shared" ca="1" si="10"/>
        <v>37</v>
      </c>
      <c r="AD13" s="337">
        <f t="shared" ca="1" si="11"/>
        <v>67</v>
      </c>
      <c r="AE13" s="253">
        <f t="shared" ca="1" si="12"/>
        <v>0.44776119402985076</v>
      </c>
      <c r="AF13" s="345">
        <f t="shared" ca="1" si="13"/>
        <v>-46.552238805970148</v>
      </c>
      <c r="AG13" s="346">
        <f t="shared" ca="1" si="14"/>
        <v>12</v>
      </c>
      <c r="AH13" s="233"/>
    </row>
    <row r="14" spans="1:34" ht="15" customHeight="1">
      <c r="A14" s="307" t="s">
        <v>261</v>
      </c>
      <c r="B14" s="107" t="s">
        <v>147</v>
      </c>
      <c r="C14" s="314">
        <v>7</v>
      </c>
      <c r="D14" s="315">
        <v>11</v>
      </c>
      <c r="E14" s="315">
        <v>11</v>
      </c>
      <c r="F14" s="213">
        <f t="shared" si="0"/>
        <v>29</v>
      </c>
      <c r="G14" s="213">
        <f>C15+D16+E17</f>
        <v>28</v>
      </c>
      <c r="H14" s="213">
        <f t="shared" si="1"/>
        <v>57</v>
      </c>
      <c r="I14" s="214">
        <f t="shared" si="2"/>
        <v>0.50877192982456143</v>
      </c>
      <c r="J14" s="238">
        <f t="shared" ca="1" si="3"/>
        <v>7</v>
      </c>
      <c r="K14" s="301" t="s">
        <v>1357</v>
      </c>
      <c r="L14" s="217">
        <v>7</v>
      </c>
      <c r="M14" s="218" t="str">
        <f t="shared" ca="1" si="4"/>
        <v>Viliamu Vaofanua &amp; Alli Hiatt</v>
      </c>
      <c r="N14" s="217">
        <v>11</v>
      </c>
      <c r="O14" s="219">
        <v>10</v>
      </c>
      <c r="P14" s="220">
        <v>11</v>
      </c>
      <c r="Q14" s="221">
        <v>10</v>
      </c>
      <c r="R14" s="244">
        <v>11</v>
      </c>
      <c r="S14" s="245">
        <v>7</v>
      </c>
      <c r="T14" s="246">
        <v>9</v>
      </c>
      <c r="U14" s="243">
        <v>11</v>
      </c>
      <c r="V14" s="223">
        <f t="shared" ref="V14:W14" si="26">(N14+P14+R14+T14)</f>
        <v>42</v>
      </c>
      <c r="W14" s="223">
        <f t="shared" si="26"/>
        <v>38</v>
      </c>
      <c r="X14" s="224">
        <f t="shared" si="6"/>
        <v>80</v>
      </c>
      <c r="Y14" s="332" t="s">
        <v>232</v>
      </c>
      <c r="Z14" s="329" t="str">
        <f t="shared" si="7"/>
        <v>Danny Ng &amp; Betsy Norberg</v>
      </c>
      <c r="AA14" s="329">
        <f t="shared" ca="1" si="8"/>
        <v>12</v>
      </c>
      <c r="AB14" s="329">
        <f t="shared" ca="1" si="9"/>
        <v>28</v>
      </c>
      <c r="AC14" s="329">
        <f t="shared" ca="1" si="10"/>
        <v>39</v>
      </c>
      <c r="AD14" s="329">
        <f t="shared" ca="1" si="11"/>
        <v>67</v>
      </c>
      <c r="AE14" s="236">
        <f t="shared" ca="1" si="12"/>
        <v>0.41791044776119401</v>
      </c>
      <c r="AF14" s="343">
        <f t="shared" ca="1" si="13"/>
        <v>-48.582089552238806</v>
      </c>
      <c r="AG14" s="344">
        <f t="shared" ca="1" si="14"/>
        <v>13</v>
      </c>
      <c r="AH14" s="233"/>
    </row>
    <row r="15" spans="1:34" ht="15" customHeight="1">
      <c r="A15" s="309" t="s">
        <v>268</v>
      </c>
      <c r="B15" s="107" t="s">
        <v>1172</v>
      </c>
      <c r="C15" s="316">
        <v>11</v>
      </c>
      <c r="D15" s="317">
        <v>8</v>
      </c>
      <c r="E15" s="317">
        <v>11</v>
      </c>
      <c r="F15" s="235">
        <f t="shared" si="0"/>
        <v>30</v>
      </c>
      <c r="G15" s="235">
        <f>C14+D17+E16</f>
        <v>23</v>
      </c>
      <c r="H15" s="235">
        <f t="shared" si="1"/>
        <v>53</v>
      </c>
      <c r="I15" s="236">
        <f t="shared" si="2"/>
        <v>0.56603773584905659</v>
      </c>
      <c r="J15" s="238">
        <f t="shared" ca="1" si="3"/>
        <v>5</v>
      </c>
      <c r="K15" s="302" t="s">
        <v>1358</v>
      </c>
      <c r="L15" s="239">
        <v>10</v>
      </c>
      <c r="M15" s="240" t="str">
        <f t="shared" ca="1" si="4"/>
        <v>Amy George &amp; Patrick Blackwell</v>
      </c>
      <c r="N15" s="239">
        <v>10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7">(N15+P15+R15+T15)</f>
        <v>10</v>
      </c>
      <c r="W15" s="223">
        <f t="shared" si="27"/>
        <v>11</v>
      </c>
      <c r="X15" s="224">
        <f t="shared" si="6"/>
        <v>21</v>
      </c>
      <c r="Y15" s="332" t="s">
        <v>205</v>
      </c>
      <c r="Z15" s="329" t="str">
        <f t="shared" si="7"/>
        <v>Dylan Lockwood &amp; Samantha Green</v>
      </c>
      <c r="AA15" s="329">
        <f t="shared" ca="1" si="8"/>
        <v>13</v>
      </c>
      <c r="AB15" s="329">
        <f t="shared" ca="1" si="9"/>
        <v>19</v>
      </c>
      <c r="AC15" s="329">
        <f t="shared" ca="1" si="10"/>
        <v>35</v>
      </c>
      <c r="AD15" s="329">
        <f t="shared" ca="1" si="11"/>
        <v>54</v>
      </c>
      <c r="AE15" s="236">
        <f t="shared" ca="1" si="12"/>
        <v>0.35185185185185186</v>
      </c>
      <c r="AF15" s="341">
        <f t="shared" ca="1" si="13"/>
        <v>-57.648148148148145</v>
      </c>
      <c r="AG15" s="342">
        <f t="shared" ca="1" si="14"/>
        <v>14</v>
      </c>
      <c r="AH15" s="233"/>
    </row>
    <row r="16" spans="1:34" ht="15" customHeight="1">
      <c r="A16" s="309" t="s">
        <v>271</v>
      </c>
      <c r="B16" s="107" t="s">
        <v>1179</v>
      </c>
      <c r="C16" s="318">
        <v>11</v>
      </c>
      <c r="D16" s="319">
        <v>7</v>
      </c>
      <c r="E16" s="317">
        <v>5</v>
      </c>
      <c r="F16" s="235">
        <f t="shared" si="0"/>
        <v>23</v>
      </c>
      <c r="G16" s="235">
        <f>C17+D14+E15</f>
        <v>30</v>
      </c>
      <c r="H16" s="235">
        <f t="shared" si="1"/>
        <v>53</v>
      </c>
      <c r="I16" s="236">
        <f t="shared" si="2"/>
        <v>0.43396226415094341</v>
      </c>
      <c r="J16" s="238">
        <f t="shared" ca="1" si="3"/>
        <v>11</v>
      </c>
      <c r="K16" s="301" t="s">
        <v>1359</v>
      </c>
      <c r="L16" s="217">
        <v>2</v>
      </c>
      <c r="M16" s="218" t="str">
        <f t="shared" ca="1" si="4"/>
        <v>Jeremie Wilson &amp; Tess Edwards</v>
      </c>
      <c r="N16" s="217">
        <v>11</v>
      </c>
      <c r="O16" s="219">
        <v>3</v>
      </c>
      <c r="P16" s="242">
        <v>10</v>
      </c>
      <c r="Q16" s="243">
        <v>11</v>
      </c>
      <c r="R16" s="244"/>
      <c r="S16" s="245"/>
      <c r="T16" s="246"/>
      <c r="U16" s="243"/>
      <c r="V16" s="223">
        <f t="shared" ref="V16:W16" si="28">(N16+P16+R16+T16)</f>
        <v>21</v>
      </c>
      <c r="W16" s="223">
        <f t="shared" si="28"/>
        <v>14</v>
      </c>
      <c r="X16" s="224">
        <f t="shared" si="6"/>
        <v>35</v>
      </c>
      <c r="Y16" s="332" t="s">
        <v>251</v>
      </c>
      <c r="Z16" s="329" t="str">
        <f t="shared" si="7"/>
        <v>Josh Weber &amp; Marcella Prock</v>
      </c>
      <c r="AA16" s="329">
        <f t="shared" ca="1" si="8"/>
        <v>15</v>
      </c>
      <c r="AB16" s="329">
        <f t="shared" ca="1" si="9"/>
        <v>19</v>
      </c>
      <c r="AC16" s="329">
        <f t="shared" ca="1" si="10"/>
        <v>44</v>
      </c>
      <c r="AD16" s="329">
        <f t="shared" ca="1" si="11"/>
        <v>63</v>
      </c>
      <c r="AE16" s="236">
        <f t="shared" ca="1" si="12"/>
        <v>0.30158730158730157</v>
      </c>
      <c r="AF16" s="341">
        <f t="shared" ca="1" si="13"/>
        <v>-57.698412698412696</v>
      </c>
      <c r="AG16" s="342">
        <f t="shared" ca="1" si="14"/>
        <v>15</v>
      </c>
      <c r="AH16" s="233"/>
    </row>
    <row r="17" spans="1:34" ht="15" customHeight="1">
      <c r="A17" s="311" t="s">
        <v>276</v>
      </c>
      <c r="B17" s="262" t="s">
        <v>1170</v>
      </c>
      <c r="C17" s="323">
        <v>8</v>
      </c>
      <c r="D17" s="324">
        <v>11</v>
      </c>
      <c r="E17" s="325">
        <v>10</v>
      </c>
      <c r="F17" s="265">
        <f t="shared" si="0"/>
        <v>29</v>
      </c>
      <c r="G17" s="265">
        <f>C16+D15+E14</f>
        <v>30</v>
      </c>
      <c r="H17" s="265">
        <f t="shared" si="1"/>
        <v>59</v>
      </c>
      <c r="I17" s="266">
        <f t="shared" si="2"/>
        <v>0.49152542372881358</v>
      </c>
      <c r="J17" s="268">
        <f t="shared" ca="1" si="3"/>
        <v>8</v>
      </c>
      <c r="K17" s="303" t="s">
        <v>1360</v>
      </c>
      <c r="L17" s="269">
        <v>15</v>
      </c>
      <c r="M17" s="270" t="str">
        <f t="shared" ca="1" si="4"/>
        <v>Josh Weber &amp; Marcella Prock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29">(N17+P17+R17+T17)</f>
        <v>3</v>
      </c>
      <c r="W17" s="277">
        <f t="shared" si="29"/>
        <v>11</v>
      </c>
      <c r="X17" s="278">
        <f t="shared" si="6"/>
        <v>14</v>
      </c>
      <c r="Y17" s="347" t="s">
        <v>224</v>
      </c>
      <c r="Z17" s="274" t="str">
        <f t="shared" si="7"/>
        <v>Susan Mitts &amp; Allen Meyer</v>
      </c>
      <c r="AA17" s="274">
        <f t="shared" ca="1" si="8"/>
        <v>16</v>
      </c>
      <c r="AB17" s="274">
        <f t="shared" ca="1" si="9"/>
        <v>12</v>
      </c>
      <c r="AC17" s="274">
        <f t="shared" ca="1" si="10"/>
        <v>44</v>
      </c>
      <c r="AD17" s="274">
        <f t="shared" ca="1" si="11"/>
        <v>56</v>
      </c>
      <c r="AE17" s="266">
        <f t="shared" ca="1" si="12"/>
        <v>0.21428571428571427</v>
      </c>
      <c r="AF17" s="348">
        <f t="shared" ca="1" si="13"/>
        <v>-64.785714285714292</v>
      </c>
      <c r="AG17" s="349">
        <f t="shared" ca="1" si="14"/>
        <v>16</v>
      </c>
      <c r="AH17" s="233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287"/>
    </row>
    <row r="19" spans="1:34" ht="15" customHeight="1">
      <c r="A19" s="210" t="s">
        <v>1339</v>
      </c>
      <c r="B19" s="288"/>
      <c r="C19" s="289">
        <f t="shared" ref="C19:D19" si="30">SUM(C2:C17)</f>
        <v>129</v>
      </c>
      <c r="D19" s="289">
        <f t="shared" si="30"/>
        <v>130</v>
      </c>
      <c r="E19" s="289">
        <f>SUM(E2:E18)</f>
        <v>134</v>
      </c>
      <c r="F19" s="287">
        <f t="shared" ref="F19:G19" si="31">SUM(F2:F17)</f>
        <v>393</v>
      </c>
      <c r="G19" s="290">
        <f t="shared" si="31"/>
        <v>393</v>
      </c>
      <c r="H19" s="292">
        <f>SUM(H2:H17)/2</f>
        <v>393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133</v>
      </c>
      <c r="O19" s="287">
        <f t="shared" si="32"/>
        <v>133</v>
      </c>
      <c r="P19" s="287">
        <f t="shared" si="32"/>
        <v>75</v>
      </c>
      <c r="Q19" s="287">
        <f t="shared" si="32"/>
        <v>75</v>
      </c>
      <c r="R19" s="287">
        <f t="shared" si="32"/>
        <v>37</v>
      </c>
      <c r="S19" s="287">
        <f t="shared" si="32"/>
        <v>37</v>
      </c>
      <c r="T19" s="287">
        <f t="shared" si="32"/>
        <v>20</v>
      </c>
      <c r="U19" s="287">
        <f t="shared" si="32"/>
        <v>20</v>
      </c>
      <c r="V19" s="287">
        <f t="shared" si="32"/>
        <v>265</v>
      </c>
      <c r="W19" s="287">
        <f t="shared" si="32"/>
        <v>265</v>
      </c>
      <c r="X19" s="287">
        <f>SUM(X2:X17)/2</f>
        <v>265</v>
      </c>
      <c r="Y19" s="287"/>
      <c r="Z19" s="287"/>
      <c r="AA19" s="287"/>
      <c r="AB19" s="287">
        <f t="shared" ref="AB19:AD19" ca="1" si="33">SUM(AB2:AB17)/2</f>
        <v>329</v>
      </c>
      <c r="AC19" s="287">
        <f t="shared" ca="1" si="33"/>
        <v>329</v>
      </c>
      <c r="AD19" s="287">
        <f t="shared" ca="1" si="33"/>
        <v>658</v>
      </c>
      <c r="AE19" s="291"/>
      <c r="AF19" s="287"/>
      <c r="AG19" s="287"/>
      <c r="AH19" s="287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0</v>
      </c>
      <c r="E20" s="326">
        <f t="shared" si="34"/>
        <v>1</v>
      </c>
      <c r="F20" s="296"/>
      <c r="G20" s="296"/>
      <c r="H20" s="297">
        <f>AVERAGE(H2:H17)</f>
        <v>49.125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2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98">
        <f ca="1">AVERAGE(AD2:AD17)</f>
        <v>82.25</v>
      </c>
      <c r="AE20" s="296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287"/>
    </row>
  </sheetData>
  <conditionalFormatting sqref="F2:F17">
    <cfRule type="cellIs" dxfId="128" priority="5" operator="equal">
      <formula>33</formula>
    </cfRule>
  </conditionalFormatting>
  <conditionalFormatting sqref="J2:J17">
    <cfRule type="expression" dxfId="127" priority="6">
      <formula>COUNTIF(J$2:J$17,$J2)&gt;1</formula>
    </cfRule>
  </conditionalFormatting>
  <conditionalFormatting sqref="M2:X17">
    <cfRule type="expression" dxfId="126" priority="1">
      <formula>$T2=11</formula>
    </cfRule>
  </conditionalFormatting>
  <conditionalFormatting sqref="N2:O17">
    <cfRule type="expression" dxfId="125" priority="2">
      <formula>$N2=11</formula>
    </cfRule>
  </conditionalFormatting>
  <conditionalFormatting sqref="P2:Q17">
    <cfRule type="expression" dxfId="124" priority="3">
      <formula>$P2=11</formula>
    </cfRule>
  </conditionalFormatting>
  <conditionalFormatting sqref="R2:S17">
    <cfRule type="expression" dxfId="123" priority="4">
      <formula>$R2=11</formula>
    </cfRule>
  </conditionalFormatting>
  <conditionalFormatting sqref="AG2:AG17">
    <cfRule type="expression" dxfId="122" priority="7">
      <formula>COUNTIF(AG$2:AG$17,$AG2)&gt;1</formula>
    </cfRule>
  </conditionalFormatting>
  <hyperlinks>
    <hyperlink ref="A1" location="Champions!A1" display="Home" xr:uid="{00000000-0004-0000-0900-000000000000}"/>
    <hyperlink ref="AH1" location="Champions!A1" display="Home" xr:uid="{00000000-0004-0000-0900-000001000000}"/>
    <hyperlink ref="A19" location="Champions!A1" display="Home" xr:uid="{00000000-0004-0000-0900-000002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453125" customWidth="1"/>
    <col min="14" max="21" width="6.26953125" customWidth="1"/>
    <col min="22" max="24" width="7.7265625" customWidth="1"/>
    <col min="25" max="25" width="6.81640625" customWidth="1"/>
    <col min="26" max="26" width="33.81640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51" t="s">
        <v>205</v>
      </c>
      <c r="B2" s="352" t="s">
        <v>1133</v>
      </c>
      <c r="C2" s="314">
        <v>11</v>
      </c>
      <c r="D2" s="315">
        <v>9</v>
      </c>
      <c r="E2" s="315">
        <v>11</v>
      </c>
      <c r="F2" s="213">
        <f t="shared" ref="F2:F17" si="0">SUM(C2:E2)</f>
        <v>31</v>
      </c>
      <c r="G2" s="353">
        <f>C3+D4+E5</f>
        <v>25</v>
      </c>
      <c r="H2" s="353">
        <f t="shared" ref="H2:H17" si="1">SUM(F2:G2)</f>
        <v>56</v>
      </c>
      <c r="I2" s="354">
        <f t="shared" ref="I2:I17" si="2">IFERROR(F2/H2,"")</f>
        <v>0.5535714285714286</v>
      </c>
      <c r="J2" s="355">
        <f t="shared" ref="J2:J10" ca="1" si="3">IFERROR(RANK(I2,OFFSET($I$2,0,0,COUNTA($I$2:$I$17),1)),)</f>
        <v>5</v>
      </c>
      <c r="K2" s="356" t="s">
        <v>1345</v>
      </c>
      <c r="L2" s="357">
        <v>1</v>
      </c>
      <c r="M2" s="218" t="str">
        <f t="shared" ref="M2:M17" ca="1" si="4">INDEX($A$2:$AJ$17,MATCH(L2,$J$2:$J$17,0),2)</f>
        <v>Erinn Metcalf &amp; Mallory Daniels</v>
      </c>
      <c r="N2" s="217">
        <v>11</v>
      </c>
      <c r="O2" s="219">
        <v>2</v>
      </c>
      <c r="P2" s="220">
        <v>11</v>
      </c>
      <c r="Q2" s="221">
        <v>3</v>
      </c>
      <c r="R2" s="217">
        <v>11</v>
      </c>
      <c r="S2" s="219">
        <v>7</v>
      </c>
      <c r="T2" s="222">
        <v>8</v>
      </c>
      <c r="U2" s="221">
        <v>11</v>
      </c>
      <c r="V2" s="223">
        <f t="shared" ref="V2:W2" si="5">(N2+P2+R2+T2)</f>
        <v>41</v>
      </c>
      <c r="W2" s="223">
        <f t="shared" si="5"/>
        <v>23</v>
      </c>
      <c r="X2" s="224">
        <f t="shared" ref="X2:X17" si="6">V2+W2</f>
        <v>64</v>
      </c>
      <c r="Y2" s="358" t="s">
        <v>216</v>
      </c>
      <c r="Z2" s="359" t="str">
        <f t="shared" ref="Z2:Z17" si="7">INDEX($A$2:$B$17,MATCH(Y2,$A$2:$A$17,0),2)</f>
        <v>Nicolle Ratliff &amp; Bree Ginden</v>
      </c>
      <c r="AA2" s="359">
        <f t="shared" ref="AA2:AA17" ca="1" si="8">INDEX($B$2:$K$17, MATCH($Z2,$B$2:$B$17,0),9)</f>
        <v>3</v>
      </c>
      <c r="AB2" s="359">
        <f t="shared" ref="AB2:AB17" ca="1" si="9">INDEX($A$2:$AI$17,(MATCH($Z2,$B$2:$B$17,0)),6)+INDEX($M$2:$X$17,MATCH($Z2,$M$2:$M$17,0),10)</f>
        <v>77</v>
      </c>
      <c r="AC2" s="359">
        <f t="shared" ref="AC2:AC17" ca="1" si="10">INDEX($A$2:$AI$17,(MATCH($Z2,$B$2:$B$17,0)),7)+INDEX($M$2:$X$17,MATCH($Z2,$M$2:$M$17,0),11)</f>
        <v>47</v>
      </c>
      <c r="AD2" s="359">
        <f t="shared" ref="AD2:AD17" ca="1" si="11">SUM(AB2:AC2)</f>
        <v>124</v>
      </c>
      <c r="AE2" s="360">
        <f t="shared" ref="AE2:AE17" ca="1" si="12">AB2/AD2</f>
        <v>0.62096774193548387</v>
      </c>
      <c r="AF2" s="330">
        <f t="shared" ref="AF2:AF17" ca="1" si="13">AE2-(77-AB2)</f>
        <v>0.62096774193548387</v>
      </c>
      <c r="AG2" s="331">
        <f t="shared" ref="AG2:AG17" ca="1" si="14">RANK($AF2,OFFSET($AF$2,0,0,COUNTA($AF$2:$AF$17),1))</f>
        <v>1</v>
      </c>
      <c r="AH2" s="361"/>
    </row>
    <row r="3" spans="1:34" ht="15" customHeight="1">
      <c r="A3" s="362" t="s">
        <v>211</v>
      </c>
      <c r="B3" s="318" t="s">
        <v>1135</v>
      </c>
      <c r="C3" s="316">
        <v>4</v>
      </c>
      <c r="D3" s="317">
        <v>11</v>
      </c>
      <c r="E3" s="317">
        <v>9</v>
      </c>
      <c r="F3" s="235">
        <f t="shared" si="0"/>
        <v>24</v>
      </c>
      <c r="G3" s="363">
        <f>C2+D5+E4</f>
        <v>29</v>
      </c>
      <c r="H3" s="363">
        <f t="shared" si="1"/>
        <v>53</v>
      </c>
      <c r="I3" s="360">
        <f t="shared" si="2"/>
        <v>0.45283018867924529</v>
      </c>
      <c r="J3" s="364">
        <f t="shared" ca="1" si="3"/>
        <v>11</v>
      </c>
      <c r="K3" s="365" t="s">
        <v>1346</v>
      </c>
      <c r="L3" s="366">
        <v>16</v>
      </c>
      <c r="M3" s="240" t="str">
        <f t="shared" ca="1" si="4"/>
        <v>Laurie Fox &amp; Lindsey Klusman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58" t="s">
        <v>237</v>
      </c>
      <c r="Z3" s="329" t="str">
        <f t="shared" si="7"/>
        <v>Erinn Metcalf &amp; Mallory Daniels</v>
      </c>
      <c r="AA3" s="359">
        <f t="shared" ca="1" si="8"/>
        <v>1</v>
      </c>
      <c r="AB3" s="359">
        <f t="shared" ca="1" si="9"/>
        <v>74</v>
      </c>
      <c r="AC3" s="359">
        <f t="shared" ca="1" si="10"/>
        <v>34</v>
      </c>
      <c r="AD3" s="359">
        <f t="shared" ca="1" si="11"/>
        <v>108</v>
      </c>
      <c r="AE3" s="360">
        <f t="shared" ca="1" si="12"/>
        <v>0.68518518518518523</v>
      </c>
      <c r="AF3" s="341">
        <f t="shared" ca="1" si="13"/>
        <v>-2.3148148148148149</v>
      </c>
      <c r="AG3" s="334">
        <f t="shared" ca="1" si="14"/>
        <v>2</v>
      </c>
      <c r="AH3" s="361"/>
    </row>
    <row r="4" spans="1:34" ht="15" customHeight="1">
      <c r="A4" s="362" t="s">
        <v>216</v>
      </c>
      <c r="B4" s="318" t="s">
        <v>144</v>
      </c>
      <c r="C4" s="318">
        <v>11</v>
      </c>
      <c r="D4" s="319">
        <v>11</v>
      </c>
      <c r="E4" s="317">
        <v>11</v>
      </c>
      <c r="F4" s="235">
        <f t="shared" si="0"/>
        <v>33</v>
      </c>
      <c r="G4" s="363">
        <f>C5+D2+E3</f>
        <v>24</v>
      </c>
      <c r="H4" s="363">
        <f t="shared" si="1"/>
        <v>57</v>
      </c>
      <c r="I4" s="360">
        <f t="shared" si="2"/>
        <v>0.57894736842105265</v>
      </c>
      <c r="J4" s="364">
        <f t="shared" ca="1" si="3"/>
        <v>3</v>
      </c>
      <c r="K4" s="356" t="s">
        <v>1347</v>
      </c>
      <c r="L4" s="357">
        <v>8</v>
      </c>
      <c r="M4" s="218" t="str">
        <f t="shared" ca="1" si="4"/>
        <v>Susan Mitts &amp; Katie Zoldak</v>
      </c>
      <c r="N4" s="217">
        <v>11</v>
      </c>
      <c r="O4" s="219">
        <v>10</v>
      </c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14</v>
      </c>
      <c r="W4" s="223">
        <f t="shared" si="16"/>
        <v>21</v>
      </c>
      <c r="X4" s="224">
        <f t="shared" si="6"/>
        <v>35</v>
      </c>
      <c r="Y4" s="358" t="s">
        <v>261</v>
      </c>
      <c r="Z4" s="359" t="str">
        <f t="shared" si="7"/>
        <v>Stephanie Patterson &amp; Ola Vaughn</v>
      </c>
      <c r="AA4" s="359">
        <f t="shared" ca="1" si="8"/>
        <v>2</v>
      </c>
      <c r="AB4" s="359">
        <f t="shared" ca="1" si="9"/>
        <v>57</v>
      </c>
      <c r="AC4" s="359">
        <f t="shared" ca="1" si="10"/>
        <v>38</v>
      </c>
      <c r="AD4" s="359">
        <f t="shared" ca="1" si="11"/>
        <v>95</v>
      </c>
      <c r="AE4" s="360">
        <f t="shared" ca="1" si="12"/>
        <v>0.6</v>
      </c>
      <c r="AF4" s="341">
        <f t="shared" ca="1" si="13"/>
        <v>-19.399999999999999</v>
      </c>
      <c r="AG4" s="334">
        <f t="shared" ca="1" si="14"/>
        <v>3</v>
      </c>
      <c r="AH4" s="361"/>
    </row>
    <row r="5" spans="1:34" ht="15" customHeight="1">
      <c r="A5" s="367" t="s">
        <v>221</v>
      </c>
      <c r="B5" s="320" t="s">
        <v>1141</v>
      </c>
      <c r="C5" s="320">
        <v>6</v>
      </c>
      <c r="D5" s="321">
        <v>7</v>
      </c>
      <c r="E5" s="322">
        <v>10</v>
      </c>
      <c r="F5" s="252">
        <f t="shared" si="0"/>
        <v>23</v>
      </c>
      <c r="G5" s="368">
        <f>C4+D3+E2</f>
        <v>33</v>
      </c>
      <c r="H5" s="368">
        <f t="shared" si="1"/>
        <v>56</v>
      </c>
      <c r="I5" s="369">
        <f t="shared" si="2"/>
        <v>0.4107142857142857</v>
      </c>
      <c r="J5" s="370">
        <f t="shared" ca="1" si="3"/>
        <v>13</v>
      </c>
      <c r="K5" s="365" t="s">
        <v>1348</v>
      </c>
      <c r="L5" s="366">
        <v>9</v>
      </c>
      <c r="M5" s="240" t="str">
        <f t="shared" ca="1" si="4"/>
        <v>Betsy Norberg &amp; Thu Nguyen</v>
      </c>
      <c r="N5" s="239">
        <v>10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10</v>
      </c>
      <c r="W5" s="223">
        <f t="shared" si="17"/>
        <v>11</v>
      </c>
      <c r="X5" s="224">
        <f t="shared" si="6"/>
        <v>21</v>
      </c>
      <c r="Y5" s="371" t="s">
        <v>221</v>
      </c>
      <c r="Z5" s="372" t="str">
        <f t="shared" si="7"/>
        <v>Samantha Green &amp; Elizabeth Hagedorn</v>
      </c>
      <c r="AA5" s="372">
        <f t="shared" ca="1" si="8"/>
        <v>13</v>
      </c>
      <c r="AB5" s="372">
        <f t="shared" ca="1" si="9"/>
        <v>52</v>
      </c>
      <c r="AC5" s="372">
        <f t="shared" ca="1" si="10"/>
        <v>59</v>
      </c>
      <c r="AD5" s="372">
        <f t="shared" ca="1" si="11"/>
        <v>111</v>
      </c>
      <c r="AE5" s="369">
        <f t="shared" ca="1" si="12"/>
        <v>0.46846846846846846</v>
      </c>
      <c r="AF5" s="338">
        <f t="shared" ca="1" si="13"/>
        <v>-24.531531531531531</v>
      </c>
      <c r="AG5" s="339">
        <f t="shared" ca="1" si="14"/>
        <v>4</v>
      </c>
      <c r="AH5" s="361"/>
    </row>
    <row r="6" spans="1:34" ht="15" customHeight="1">
      <c r="A6" s="351" t="s">
        <v>224</v>
      </c>
      <c r="B6" s="318" t="s">
        <v>1144</v>
      </c>
      <c r="C6" s="314">
        <v>9</v>
      </c>
      <c r="D6" s="315">
        <v>11</v>
      </c>
      <c r="E6" s="315">
        <v>4</v>
      </c>
      <c r="F6" s="213">
        <f t="shared" si="0"/>
        <v>24</v>
      </c>
      <c r="G6" s="353">
        <f>C7+D8+E9</f>
        <v>28</v>
      </c>
      <c r="H6" s="353">
        <f t="shared" si="1"/>
        <v>52</v>
      </c>
      <c r="I6" s="354">
        <f t="shared" si="2"/>
        <v>0.46153846153846156</v>
      </c>
      <c r="J6" s="364">
        <f t="shared" ca="1" si="3"/>
        <v>10</v>
      </c>
      <c r="K6" s="356" t="s">
        <v>1349</v>
      </c>
      <c r="L6" s="357">
        <v>5</v>
      </c>
      <c r="M6" s="218" t="str">
        <f t="shared" ca="1" si="4"/>
        <v>Brook Vitt &amp; Jennifer Barbier</v>
      </c>
      <c r="N6" s="217">
        <v>9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9</v>
      </c>
      <c r="W6" s="223">
        <f t="shared" si="18"/>
        <v>11</v>
      </c>
      <c r="X6" s="224">
        <f t="shared" si="6"/>
        <v>20</v>
      </c>
      <c r="Y6" s="373" t="s">
        <v>271</v>
      </c>
      <c r="Z6" s="374" t="str">
        <f t="shared" si="7"/>
        <v>Tiffany Blackwell &amp; Jamie Myers</v>
      </c>
      <c r="AA6" s="374">
        <f t="shared" ca="1" si="8"/>
        <v>6</v>
      </c>
      <c r="AB6" s="374">
        <f t="shared" ca="1" si="9"/>
        <v>46</v>
      </c>
      <c r="AC6" s="374">
        <f t="shared" ca="1" si="10"/>
        <v>41</v>
      </c>
      <c r="AD6" s="374">
        <f t="shared" ca="1" si="11"/>
        <v>87</v>
      </c>
      <c r="AE6" s="354">
        <f t="shared" ca="1" si="12"/>
        <v>0.52873563218390807</v>
      </c>
      <c r="AF6" s="333">
        <f t="shared" ca="1" si="13"/>
        <v>-30.47126436781609</v>
      </c>
      <c r="AG6" s="342">
        <f t="shared" ca="1" si="14"/>
        <v>5</v>
      </c>
      <c r="AH6" s="361"/>
    </row>
    <row r="7" spans="1:34" ht="15" customHeight="1">
      <c r="A7" s="362" t="s">
        <v>228</v>
      </c>
      <c r="B7" s="318" t="s">
        <v>1142</v>
      </c>
      <c r="C7" s="316">
        <v>11</v>
      </c>
      <c r="D7" s="317">
        <v>5</v>
      </c>
      <c r="E7" s="317">
        <v>11</v>
      </c>
      <c r="F7" s="235">
        <f t="shared" si="0"/>
        <v>27</v>
      </c>
      <c r="G7" s="363">
        <f>C6+D9+E8</f>
        <v>29</v>
      </c>
      <c r="H7" s="363">
        <f t="shared" si="1"/>
        <v>56</v>
      </c>
      <c r="I7" s="360">
        <f t="shared" si="2"/>
        <v>0.48214285714285715</v>
      </c>
      <c r="J7" s="364">
        <f t="shared" ca="1" si="3"/>
        <v>9</v>
      </c>
      <c r="K7" s="365" t="s">
        <v>1350</v>
      </c>
      <c r="L7" s="366">
        <v>12</v>
      </c>
      <c r="M7" s="240" t="str">
        <f t="shared" ca="1" si="4"/>
        <v>Valerie Dubois &amp; Shannon Lyon</v>
      </c>
      <c r="N7" s="239">
        <v>11</v>
      </c>
      <c r="O7" s="241">
        <v>9</v>
      </c>
      <c r="P7" s="242">
        <v>6</v>
      </c>
      <c r="Q7" s="243">
        <v>11</v>
      </c>
      <c r="R7" s="244"/>
      <c r="S7" s="245"/>
      <c r="T7" s="246"/>
      <c r="U7" s="243"/>
      <c r="V7" s="223">
        <f t="shared" ref="V7:W7" si="19">(N7+P7+R7+T7)</f>
        <v>17</v>
      </c>
      <c r="W7" s="223">
        <f t="shared" si="19"/>
        <v>20</v>
      </c>
      <c r="X7" s="224">
        <f t="shared" si="6"/>
        <v>37</v>
      </c>
      <c r="Y7" s="358" t="s">
        <v>251</v>
      </c>
      <c r="Z7" s="359" t="str">
        <f t="shared" si="7"/>
        <v>Stephanie Campbell &amp; Kristy Ecton</v>
      </c>
      <c r="AA7" s="359">
        <f t="shared" ca="1" si="8"/>
        <v>7</v>
      </c>
      <c r="AB7" s="359">
        <f t="shared" ca="1" si="9"/>
        <v>45</v>
      </c>
      <c r="AC7" s="359">
        <f t="shared" ca="1" si="10"/>
        <v>46</v>
      </c>
      <c r="AD7" s="359">
        <f t="shared" ca="1" si="11"/>
        <v>91</v>
      </c>
      <c r="AE7" s="360">
        <f t="shared" ca="1" si="12"/>
        <v>0.49450549450549453</v>
      </c>
      <c r="AF7" s="341">
        <f t="shared" ca="1" si="13"/>
        <v>-31.505494505494504</v>
      </c>
      <c r="AG7" s="342">
        <f t="shared" ca="1" si="14"/>
        <v>6</v>
      </c>
      <c r="AH7" s="361"/>
    </row>
    <row r="8" spans="1:34" ht="15" customHeight="1">
      <c r="A8" s="362" t="s">
        <v>232</v>
      </c>
      <c r="B8" s="318" t="s">
        <v>1136</v>
      </c>
      <c r="C8" s="318">
        <v>2</v>
      </c>
      <c r="D8" s="319">
        <v>6</v>
      </c>
      <c r="E8" s="317">
        <v>9</v>
      </c>
      <c r="F8" s="235">
        <f t="shared" si="0"/>
        <v>17</v>
      </c>
      <c r="G8" s="363">
        <f>C9+D6+E7</f>
        <v>33</v>
      </c>
      <c r="H8" s="363">
        <f t="shared" si="1"/>
        <v>50</v>
      </c>
      <c r="I8" s="360">
        <f t="shared" si="2"/>
        <v>0.34</v>
      </c>
      <c r="J8" s="364">
        <f t="shared" ca="1" si="3"/>
        <v>16</v>
      </c>
      <c r="K8" s="356" t="s">
        <v>1351</v>
      </c>
      <c r="L8" s="357">
        <v>4</v>
      </c>
      <c r="M8" s="218" t="str">
        <f t="shared" ca="1" si="4"/>
        <v>Mary Pflanz &amp; Julianna Norgren</v>
      </c>
      <c r="N8" s="217">
        <v>9</v>
      </c>
      <c r="O8" s="219">
        <v>11</v>
      </c>
      <c r="P8" s="242"/>
      <c r="Q8" s="243"/>
      <c r="R8" s="244"/>
      <c r="S8" s="245"/>
      <c r="T8" s="246"/>
      <c r="U8" s="243"/>
      <c r="V8" s="223">
        <f t="shared" ref="V8:W8" si="20">(N8+P8+R8+T8)</f>
        <v>9</v>
      </c>
      <c r="W8" s="223">
        <f t="shared" si="20"/>
        <v>11</v>
      </c>
      <c r="X8" s="224">
        <f t="shared" si="6"/>
        <v>20</v>
      </c>
      <c r="Y8" s="358" t="s">
        <v>205</v>
      </c>
      <c r="Z8" s="359" t="str">
        <f t="shared" si="7"/>
        <v>Brook Vitt &amp; Jennifer Barbier</v>
      </c>
      <c r="AA8" s="359">
        <f t="shared" ca="1" si="8"/>
        <v>5</v>
      </c>
      <c r="AB8" s="359">
        <f t="shared" ca="1" si="9"/>
        <v>40</v>
      </c>
      <c r="AC8" s="359">
        <f t="shared" ca="1" si="10"/>
        <v>36</v>
      </c>
      <c r="AD8" s="359">
        <f t="shared" ca="1" si="11"/>
        <v>76</v>
      </c>
      <c r="AE8" s="360">
        <f t="shared" ca="1" si="12"/>
        <v>0.52631578947368418</v>
      </c>
      <c r="AF8" s="341">
        <f t="shared" ca="1" si="13"/>
        <v>-36.473684210526315</v>
      </c>
      <c r="AG8" s="342">
        <f t="shared" ca="1" si="14"/>
        <v>7</v>
      </c>
      <c r="AH8" s="361"/>
    </row>
    <row r="9" spans="1:34" ht="15" customHeight="1">
      <c r="A9" s="367" t="s">
        <v>237</v>
      </c>
      <c r="B9" s="320" t="s">
        <v>145</v>
      </c>
      <c r="C9" s="320">
        <v>11</v>
      </c>
      <c r="D9" s="321">
        <v>11</v>
      </c>
      <c r="E9" s="322">
        <v>11</v>
      </c>
      <c r="F9" s="252">
        <f t="shared" si="0"/>
        <v>33</v>
      </c>
      <c r="G9" s="368">
        <f>C8+D7+E6</f>
        <v>11</v>
      </c>
      <c r="H9" s="368">
        <f t="shared" si="1"/>
        <v>44</v>
      </c>
      <c r="I9" s="369">
        <f t="shared" si="2"/>
        <v>0.75</v>
      </c>
      <c r="J9" s="370">
        <f t="shared" ca="1" si="3"/>
        <v>1</v>
      </c>
      <c r="K9" s="365" t="s">
        <v>1352</v>
      </c>
      <c r="L9" s="366">
        <v>13</v>
      </c>
      <c r="M9" s="240" t="str">
        <f t="shared" ca="1" si="4"/>
        <v>Samantha Green &amp; Elizabeth Hagedorn</v>
      </c>
      <c r="N9" s="239">
        <v>11</v>
      </c>
      <c r="O9" s="241">
        <v>9</v>
      </c>
      <c r="P9" s="256">
        <v>11</v>
      </c>
      <c r="Q9" s="257">
        <v>6</v>
      </c>
      <c r="R9" s="239">
        <v>7</v>
      </c>
      <c r="S9" s="241">
        <v>11</v>
      </c>
      <c r="T9" s="246"/>
      <c r="U9" s="243"/>
      <c r="V9" s="223">
        <f t="shared" ref="V9:W9" si="21">(N9+P9+R9+T9)</f>
        <v>29</v>
      </c>
      <c r="W9" s="223">
        <f t="shared" si="21"/>
        <v>26</v>
      </c>
      <c r="X9" s="224">
        <f t="shared" si="6"/>
        <v>55</v>
      </c>
      <c r="Y9" s="371" t="s">
        <v>241</v>
      </c>
      <c r="Z9" s="372" t="str">
        <f t="shared" si="7"/>
        <v>Mary Pflanz &amp; Julianna Norgren</v>
      </c>
      <c r="AA9" s="372">
        <f t="shared" ca="1" si="8"/>
        <v>4</v>
      </c>
      <c r="AB9" s="372">
        <f t="shared" ca="1" si="9"/>
        <v>39</v>
      </c>
      <c r="AC9" s="372">
        <f t="shared" ca="1" si="10"/>
        <v>35</v>
      </c>
      <c r="AD9" s="372">
        <f t="shared" ca="1" si="11"/>
        <v>74</v>
      </c>
      <c r="AE9" s="369">
        <f t="shared" ca="1" si="12"/>
        <v>0.52702702702702697</v>
      </c>
      <c r="AF9" s="338">
        <f t="shared" ca="1" si="13"/>
        <v>-37.472972972972975</v>
      </c>
      <c r="AG9" s="339">
        <f t="shared" ca="1" si="14"/>
        <v>8</v>
      </c>
      <c r="AH9" s="361"/>
    </row>
    <row r="10" spans="1:34" ht="15" customHeight="1">
      <c r="A10" s="351" t="s">
        <v>241</v>
      </c>
      <c r="B10" s="318" t="s">
        <v>1149</v>
      </c>
      <c r="C10" s="314">
        <v>11</v>
      </c>
      <c r="D10" s="315">
        <v>8</v>
      </c>
      <c r="E10" s="315">
        <v>11</v>
      </c>
      <c r="F10" s="213">
        <f t="shared" si="0"/>
        <v>30</v>
      </c>
      <c r="G10" s="353">
        <f>C11+D12+E13</f>
        <v>24</v>
      </c>
      <c r="H10" s="353">
        <f t="shared" si="1"/>
        <v>54</v>
      </c>
      <c r="I10" s="354">
        <f t="shared" si="2"/>
        <v>0.55555555555555558</v>
      </c>
      <c r="J10" s="364">
        <f t="shared" ca="1" si="3"/>
        <v>4</v>
      </c>
      <c r="K10" s="356" t="s">
        <v>1353</v>
      </c>
      <c r="L10" s="357">
        <v>6</v>
      </c>
      <c r="M10" s="218" t="str">
        <f t="shared" ca="1" si="4"/>
        <v>Tiffany Blackwell &amp; Jamie Myers</v>
      </c>
      <c r="N10" s="217">
        <v>11</v>
      </c>
      <c r="O10" s="219">
        <v>6</v>
      </c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17</v>
      </c>
      <c r="W10" s="223">
        <f t="shared" si="22"/>
        <v>17</v>
      </c>
      <c r="X10" s="224">
        <f t="shared" si="6"/>
        <v>34</v>
      </c>
      <c r="Y10" s="358" t="s">
        <v>256</v>
      </c>
      <c r="Z10" s="359" t="str">
        <f t="shared" si="7"/>
        <v>Susan Mitts &amp; Katie Zoldak</v>
      </c>
      <c r="AA10" s="359">
        <f t="shared" ca="1" si="8"/>
        <v>8</v>
      </c>
      <c r="AB10" s="359">
        <f t="shared" ca="1" si="9"/>
        <v>39</v>
      </c>
      <c r="AC10" s="359">
        <f t="shared" ca="1" si="10"/>
        <v>46</v>
      </c>
      <c r="AD10" s="359">
        <f t="shared" ca="1" si="11"/>
        <v>85</v>
      </c>
      <c r="AE10" s="360">
        <f t="shared" ca="1" si="12"/>
        <v>0.45882352941176469</v>
      </c>
      <c r="AF10" s="333">
        <f t="shared" ca="1" si="13"/>
        <v>-37.541176470588233</v>
      </c>
      <c r="AG10" s="334">
        <f t="shared" ca="1" si="14"/>
        <v>9</v>
      </c>
      <c r="AH10" s="361"/>
    </row>
    <row r="11" spans="1:34" ht="15" customHeight="1">
      <c r="A11" s="362" t="s">
        <v>246</v>
      </c>
      <c r="B11" s="318" t="s">
        <v>1155</v>
      </c>
      <c r="C11" s="316">
        <v>10</v>
      </c>
      <c r="D11" s="317">
        <v>6</v>
      </c>
      <c r="E11" s="317">
        <v>7</v>
      </c>
      <c r="F11" s="235">
        <f t="shared" si="0"/>
        <v>23</v>
      </c>
      <c r="G11" s="363">
        <f>C10+D13+E12</f>
        <v>33</v>
      </c>
      <c r="H11" s="363">
        <f t="shared" si="1"/>
        <v>56</v>
      </c>
      <c r="I11" s="360">
        <f t="shared" si="2"/>
        <v>0.4107142857142857</v>
      </c>
      <c r="J11" s="364">
        <v>14</v>
      </c>
      <c r="K11" s="365" t="s">
        <v>1354</v>
      </c>
      <c r="L11" s="366">
        <v>11</v>
      </c>
      <c r="M11" s="240" t="str">
        <f t="shared" ca="1" si="4"/>
        <v>Jennifer Eckert &amp; Marcella Prock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58" t="s">
        <v>268</v>
      </c>
      <c r="Z11" s="359" t="str">
        <f t="shared" si="7"/>
        <v>Valerie Dubois &amp; Shannon Lyon</v>
      </c>
      <c r="AA11" s="359">
        <f t="shared" ca="1" si="8"/>
        <v>12</v>
      </c>
      <c r="AB11" s="359">
        <f t="shared" ca="1" si="9"/>
        <v>38</v>
      </c>
      <c r="AC11" s="359">
        <f t="shared" ca="1" si="10"/>
        <v>49</v>
      </c>
      <c r="AD11" s="359">
        <f t="shared" ca="1" si="11"/>
        <v>87</v>
      </c>
      <c r="AE11" s="360">
        <f t="shared" ca="1" si="12"/>
        <v>0.43678160919540232</v>
      </c>
      <c r="AF11" s="341">
        <f t="shared" ca="1" si="13"/>
        <v>-38.5632183908046</v>
      </c>
      <c r="AG11" s="334">
        <f t="shared" ca="1" si="14"/>
        <v>10</v>
      </c>
      <c r="AH11" s="361"/>
    </row>
    <row r="12" spans="1:34" ht="15" customHeight="1">
      <c r="A12" s="362" t="s">
        <v>251</v>
      </c>
      <c r="B12" s="318" t="s">
        <v>1157</v>
      </c>
      <c r="C12" s="318">
        <v>8</v>
      </c>
      <c r="D12" s="319">
        <v>11</v>
      </c>
      <c r="E12" s="317">
        <v>11</v>
      </c>
      <c r="F12" s="235">
        <f t="shared" si="0"/>
        <v>30</v>
      </c>
      <c r="G12" s="363">
        <f>C13+D10+E11</f>
        <v>26</v>
      </c>
      <c r="H12" s="363">
        <f t="shared" si="1"/>
        <v>56</v>
      </c>
      <c r="I12" s="360">
        <f t="shared" si="2"/>
        <v>0.5357142857142857</v>
      </c>
      <c r="J12" s="364">
        <f t="shared" ref="J12:J17" ca="1" si="24">IFERROR(RANK(I12,OFFSET($I$2,0,0,COUNTA($I$2:$I$17),1)),)</f>
        <v>7</v>
      </c>
      <c r="K12" s="356" t="s">
        <v>1355</v>
      </c>
      <c r="L12" s="357">
        <v>3</v>
      </c>
      <c r="M12" s="218" t="str">
        <f t="shared" ca="1" si="4"/>
        <v>Nicolle Ratliff &amp; Bree Ginden</v>
      </c>
      <c r="N12" s="217">
        <v>11</v>
      </c>
      <c r="O12" s="219">
        <v>3</v>
      </c>
      <c r="P12" s="242">
        <v>11</v>
      </c>
      <c r="Q12" s="243">
        <v>6</v>
      </c>
      <c r="R12" s="244">
        <v>11</v>
      </c>
      <c r="S12" s="245">
        <v>6</v>
      </c>
      <c r="T12" s="246">
        <v>11</v>
      </c>
      <c r="U12" s="243">
        <v>8</v>
      </c>
      <c r="V12" s="223">
        <f t="shared" ref="V12:W12" si="25">(N12+P12+R12+T12)</f>
        <v>44</v>
      </c>
      <c r="W12" s="223">
        <f t="shared" si="25"/>
        <v>23</v>
      </c>
      <c r="X12" s="224">
        <f t="shared" si="6"/>
        <v>67</v>
      </c>
      <c r="Y12" s="358" t="s">
        <v>228</v>
      </c>
      <c r="Z12" s="359" t="str">
        <f t="shared" si="7"/>
        <v>Betsy Norberg &amp; Thu Nguyen</v>
      </c>
      <c r="AA12" s="359">
        <f t="shared" ca="1" si="8"/>
        <v>9</v>
      </c>
      <c r="AB12" s="359">
        <f t="shared" ca="1" si="9"/>
        <v>37</v>
      </c>
      <c r="AC12" s="359">
        <f t="shared" ca="1" si="10"/>
        <v>40</v>
      </c>
      <c r="AD12" s="359">
        <f t="shared" ca="1" si="11"/>
        <v>77</v>
      </c>
      <c r="AE12" s="360">
        <f t="shared" ca="1" si="12"/>
        <v>0.48051948051948051</v>
      </c>
      <c r="AF12" s="343">
        <f t="shared" ca="1" si="13"/>
        <v>-39.519480519480517</v>
      </c>
      <c r="AG12" s="344">
        <f t="shared" ca="1" si="14"/>
        <v>11</v>
      </c>
      <c r="AH12" s="361"/>
    </row>
    <row r="13" spans="1:34" ht="15" customHeight="1">
      <c r="A13" s="367" t="s">
        <v>256</v>
      </c>
      <c r="B13" s="320" t="s">
        <v>1139</v>
      </c>
      <c r="C13" s="320">
        <v>11</v>
      </c>
      <c r="D13" s="321">
        <v>11</v>
      </c>
      <c r="E13" s="322">
        <v>3</v>
      </c>
      <c r="F13" s="252">
        <f t="shared" si="0"/>
        <v>25</v>
      </c>
      <c r="G13" s="368">
        <f>C12+D11+E10</f>
        <v>25</v>
      </c>
      <c r="H13" s="368">
        <f t="shared" si="1"/>
        <v>50</v>
      </c>
      <c r="I13" s="369">
        <f t="shared" si="2"/>
        <v>0.5</v>
      </c>
      <c r="J13" s="370">
        <f t="shared" ca="1" si="24"/>
        <v>8</v>
      </c>
      <c r="K13" s="365" t="s">
        <v>1356</v>
      </c>
      <c r="L13" s="366">
        <v>14</v>
      </c>
      <c r="M13" s="240" t="str">
        <f t="shared" ca="1" si="4"/>
        <v>Mary Sandefur &amp; Maria Andrew</v>
      </c>
      <c r="N13" s="239">
        <v>3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3</v>
      </c>
      <c r="W13" s="223">
        <f t="shared" si="26"/>
        <v>11</v>
      </c>
      <c r="X13" s="224">
        <f t="shared" si="6"/>
        <v>14</v>
      </c>
      <c r="Y13" s="371" t="s">
        <v>224</v>
      </c>
      <c r="Z13" s="372" t="str">
        <f t="shared" si="7"/>
        <v>Kari Lemons &amp; Audra Dericotte</v>
      </c>
      <c r="AA13" s="372">
        <f t="shared" ca="1" si="8"/>
        <v>10</v>
      </c>
      <c r="AB13" s="372">
        <f t="shared" ca="1" si="9"/>
        <v>33</v>
      </c>
      <c r="AC13" s="372">
        <f t="shared" ca="1" si="10"/>
        <v>39</v>
      </c>
      <c r="AD13" s="372">
        <f t="shared" ca="1" si="11"/>
        <v>72</v>
      </c>
      <c r="AE13" s="369">
        <f t="shared" ca="1" si="12"/>
        <v>0.45833333333333331</v>
      </c>
      <c r="AF13" s="345">
        <f t="shared" ca="1" si="13"/>
        <v>-43.541666666666664</v>
      </c>
      <c r="AG13" s="346">
        <f t="shared" ca="1" si="14"/>
        <v>12</v>
      </c>
      <c r="AH13" s="361"/>
    </row>
    <row r="14" spans="1:34" ht="15" customHeight="1">
      <c r="A14" s="351" t="s">
        <v>261</v>
      </c>
      <c r="B14" s="318" t="s">
        <v>1159</v>
      </c>
      <c r="C14" s="314">
        <v>11</v>
      </c>
      <c r="D14" s="315">
        <v>7</v>
      </c>
      <c r="E14" s="315">
        <v>11</v>
      </c>
      <c r="F14" s="213">
        <f t="shared" si="0"/>
        <v>29</v>
      </c>
      <c r="G14" s="353">
        <f>C15+D16+E17</f>
        <v>16</v>
      </c>
      <c r="H14" s="353">
        <f t="shared" si="1"/>
        <v>45</v>
      </c>
      <c r="I14" s="354">
        <f t="shared" si="2"/>
        <v>0.64444444444444449</v>
      </c>
      <c r="J14" s="364">
        <f t="shared" ca="1" si="24"/>
        <v>2</v>
      </c>
      <c r="K14" s="356" t="s">
        <v>1357</v>
      </c>
      <c r="L14" s="357">
        <v>7</v>
      </c>
      <c r="M14" s="218" t="str">
        <f t="shared" ca="1" si="4"/>
        <v>Stephanie Campbell &amp; Kristy Ecton</v>
      </c>
      <c r="N14" s="217">
        <v>11</v>
      </c>
      <c r="O14" s="219">
        <v>9</v>
      </c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7">(N14+P14+R14+T14)</f>
        <v>15</v>
      </c>
      <c r="W14" s="223">
        <f t="shared" si="27"/>
        <v>20</v>
      </c>
      <c r="X14" s="224">
        <f t="shared" si="6"/>
        <v>35</v>
      </c>
      <c r="Y14" s="358" t="s">
        <v>211</v>
      </c>
      <c r="Z14" s="359" t="str">
        <f t="shared" si="7"/>
        <v>Jennifer Eckert &amp; Marcella Prock</v>
      </c>
      <c r="AA14" s="359">
        <f t="shared" ca="1" si="8"/>
        <v>11</v>
      </c>
      <c r="AB14" s="359">
        <f t="shared" ca="1" si="9"/>
        <v>30</v>
      </c>
      <c r="AC14" s="359">
        <f t="shared" ca="1" si="10"/>
        <v>40</v>
      </c>
      <c r="AD14" s="359">
        <f t="shared" ca="1" si="11"/>
        <v>70</v>
      </c>
      <c r="AE14" s="360">
        <f t="shared" ca="1" si="12"/>
        <v>0.42857142857142855</v>
      </c>
      <c r="AF14" s="375">
        <f t="shared" ca="1" si="13"/>
        <v>-46.571428571428569</v>
      </c>
      <c r="AG14" s="344">
        <f t="shared" ca="1" si="14"/>
        <v>13</v>
      </c>
      <c r="AH14" s="361"/>
    </row>
    <row r="15" spans="1:34" ht="15" customHeight="1">
      <c r="A15" s="362" t="s">
        <v>268</v>
      </c>
      <c r="B15" s="318" t="s">
        <v>1147</v>
      </c>
      <c r="C15" s="316">
        <v>4</v>
      </c>
      <c r="D15" s="317">
        <v>11</v>
      </c>
      <c r="E15" s="317">
        <v>6</v>
      </c>
      <c r="F15" s="235">
        <f t="shared" si="0"/>
        <v>21</v>
      </c>
      <c r="G15" s="363">
        <f>C14+D17+E16</f>
        <v>29</v>
      </c>
      <c r="H15" s="363">
        <f t="shared" si="1"/>
        <v>50</v>
      </c>
      <c r="I15" s="360">
        <f t="shared" si="2"/>
        <v>0.42</v>
      </c>
      <c r="J15" s="364">
        <f t="shared" ca="1" si="24"/>
        <v>12</v>
      </c>
      <c r="K15" s="365" t="s">
        <v>1358</v>
      </c>
      <c r="L15" s="366">
        <v>10</v>
      </c>
      <c r="M15" s="240" t="str">
        <f t="shared" ca="1" si="4"/>
        <v>Kari Lemons &amp; Audra Dericotte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9</v>
      </c>
      <c r="W15" s="223">
        <f t="shared" si="28"/>
        <v>11</v>
      </c>
      <c r="X15" s="224">
        <f t="shared" si="6"/>
        <v>20</v>
      </c>
      <c r="Y15" s="358" t="s">
        <v>276</v>
      </c>
      <c r="Z15" s="359" t="str">
        <f t="shared" si="7"/>
        <v>Sara Maguire &amp; Lisa Shaffer</v>
      </c>
      <c r="AA15" s="359">
        <f t="shared" ca="1" si="8"/>
        <v>15</v>
      </c>
      <c r="AB15" s="359">
        <f t="shared" ca="1" si="9"/>
        <v>26</v>
      </c>
      <c r="AC15" s="359">
        <f t="shared" ca="1" si="10"/>
        <v>40</v>
      </c>
      <c r="AD15" s="359">
        <f t="shared" ca="1" si="11"/>
        <v>66</v>
      </c>
      <c r="AE15" s="360">
        <f t="shared" ca="1" si="12"/>
        <v>0.39393939393939392</v>
      </c>
      <c r="AF15" s="341">
        <f t="shared" ca="1" si="13"/>
        <v>-50.606060606060609</v>
      </c>
      <c r="AG15" s="342">
        <f t="shared" ca="1" si="14"/>
        <v>14</v>
      </c>
      <c r="AH15" s="361"/>
    </row>
    <row r="16" spans="1:34" ht="15" customHeight="1">
      <c r="A16" s="362" t="s">
        <v>271</v>
      </c>
      <c r="B16" s="318" t="s">
        <v>1153</v>
      </c>
      <c r="C16" s="318">
        <v>7</v>
      </c>
      <c r="D16" s="319">
        <v>11</v>
      </c>
      <c r="E16" s="317">
        <v>11</v>
      </c>
      <c r="F16" s="235">
        <f t="shared" si="0"/>
        <v>29</v>
      </c>
      <c r="G16" s="363">
        <f>C17+D14+E15</f>
        <v>24</v>
      </c>
      <c r="H16" s="363">
        <f t="shared" si="1"/>
        <v>53</v>
      </c>
      <c r="I16" s="360">
        <f t="shared" si="2"/>
        <v>0.54716981132075471</v>
      </c>
      <c r="J16" s="364">
        <f t="shared" ca="1" si="24"/>
        <v>6</v>
      </c>
      <c r="K16" s="356" t="s">
        <v>1359</v>
      </c>
      <c r="L16" s="357">
        <v>2</v>
      </c>
      <c r="M16" s="218" t="str">
        <f t="shared" ca="1" si="4"/>
        <v>Stephanie Patterson &amp; Ola Vaughn</v>
      </c>
      <c r="N16" s="217">
        <v>11</v>
      </c>
      <c r="O16" s="219">
        <v>7</v>
      </c>
      <c r="P16" s="242">
        <v>11</v>
      </c>
      <c r="Q16" s="243">
        <v>4</v>
      </c>
      <c r="R16" s="244">
        <v>6</v>
      </c>
      <c r="S16" s="245">
        <v>11</v>
      </c>
      <c r="T16" s="246"/>
      <c r="U16" s="243"/>
      <c r="V16" s="223">
        <f t="shared" ref="V16:W16" si="29">(N16+P16+R16+T16)</f>
        <v>28</v>
      </c>
      <c r="W16" s="223">
        <f t="shared" si="29"/>
        <v>22</v>
      </c>
      <c r="X16" s="224">
        <f t="shared" si="6"/>
        <v>50</v>
      </c>
      <c r="Y16" s="358" t="s">
        <v>246</v>
      </c>
      <c r="Z16" s="359" t="str">
        <f t="shared" si="7"/>
        <v>Mary Sandefur &amp; Maria Andrew</v>
      </c>
      <c r="AA16" s="359">
        <f t="shared" si="8"/>
        <v>14</v>
      </c>
      <c r="AB16" s="359">
        <f t="shared" ca="1" si="9"/>
        <v>26</v>
      </c>
      <c r="AC16" s="359">
        <f t="shared" ca="1" si="10"/>
        <v>44</v>
      </c>
      <c r="AD16" s="359">
        <f t="shared" ca="1" si="11"/>
        <v>70</v>
      </c>
      <c r="AE16" s="360">
        <f t="shared" ca="1" si="12"/>
        <v>0.37142857142857144</v>
      </c>
      <c r="AF16" s="341">
        <f t="shared" ca="1" si="13"/>
        <v>-50.628571428571426</v>
      </c>
      <c r="AG16" s="342">
        <f t="shared" ca="1" si="14"/>
        <v>15</v>
      </c>
      <c r="AH16" s="361"/>
    </row>
    <row r="17" spans="1:34" ht="15" customHeight="1">
      <c r="A17" s="376" t="s">
        <v>276</v>
      </c>
      <c r="B17" s="323" t="s">
        <v>1162</v>
      </c>
      <c r="C17" s="323">
        <v>11</v>
      </c>
      <c r="D17" s="324">
        <v>7</v>
      </c>
      <c r="E17" s="325">
        <v>1</v>
      </c>
      <c r="F17" s="265">
        <f t="shared" si="0"/>
        <v>19</v>
      </c>
      <c r="G17" s="377">
        <f>C16+D15+E14</f>
        <v>29</v>
      </c>
      <c r="H17" s="377">
        <f t="shared" si="1"/>
        <v>48</v>
      </c>
      <c r="I17" s="378">
        <f t="shared" si="2"/>
        <v>0.39583333333333331</v>
      </c>
      <c r="J17" s="379">
        <f t="shared" ca="1" si="24"/>
        <v>15</v>
      </c>
      <c r="K17" s="380" t="s">
        <v>1360</v>
      </c>
      <c r="L17" s="381">
        <v>15</v>
      </c>
      <c r="M17" s="270" t="str">
        <f t="shared" ca="1" si="4"/>
        <v>Sara Maguire &amp; Lisa Shaffer</v>
      </c>
      <c r="N17" s="269">
        <v>7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7</v>
      </c>
      <c r="W17" s="277">
        <f t="shared" si="30"/>
        <v>11</v>
      </c>
      <c r="X17" s="278">
        <f t="shared" si="6"/>
        <v>18</v>
      </c>
      <c r="Y17" s="382" t="s">
        <v>232</v>
      </c>
      <c r="Z17" s="383" t="str">
        <f t="shared" si="7"/>
        <v>Laurie Fox &amp; Lindsey Klusman</v>
      </c>
      <c r="AA17" s="383">
        <f t="shared" ca="1" si="8"/>
        <v>16</v>
      </c>
      <c r="AB17" s="383">
        <f t="shared" ca="1" si="9"/>
        <v>19</v>
      </c>
      <c r="AC17" s="383">
        <f t="shared" ca="1" si="10"/>
        <v>44</v>
      </c>
      <c r="AD17" s="383">
        <f t="shared" ca="1" si="11"/>
        <v>63</v>
      </c>
      <c r="AE17" s="378">
        <f t="shared" ca="1" si="12"/>
        <v>0.30158730158730157</v>
      </c>
      <c r="AF17" s="384">
        <f t="shared" ca="1" si="13"/>
        <v>-57.698412698412696</v>
      </c>
      <c r="AG17" s="349">
        <f t="shared" ca="1" si="14"/>
        <v>16</v>
      </c>
      <c r="AH17" s="361"/>
    </row>
    <row r="18" spans="1:34" ht="15" customHeight="1">
      <c r="A18" s="385"/>
      <c r="B18" s="386"/>
      <c r="C18" s="386"/>
      <c r="D18" s="386"/>
      <c r="E18" s="386"/>
      <c r="F18" s="290"/>
      <c r="G18" s="386"/>
      <c r="H18" s="386"/>
      <c r="I18" s="386"/>
      <c r="J18" s="385"/>
      <c r="K18" s="385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5"/>
      <c r="AG18" s="385"/>
      <c r="AH18" s="361"/>
    </row>
    <row r="19" spans="1:34" ht="15" customHeight="1">
      <c r="A19" s="387" t="s">
        <v>1339</v>
      </c>
      <c r="C19" s="388">
        <f t="shared" ref="C19:D19" si="31">SUM(C2:C17)</f>
        <v>138</v>
      </c>
      <c r="D19" s="388">
        <f t="shared" si="31"/>
        <v>143</v>
      </c>
      <c r="E19" s="388">
        <f>SUM(E2:E18)</f>
        <v>137</v>
      </c>
      <c r="F19" s="287">
        <f t="shared" ref="F19:G19" si="32">SUM(F2:F17)</f>
        <v>418</v>
      </c>
      <c r="G19" s="389">
        <f t="shared" si="32"/>
        <v>418</v>
      </c>
      <c r="H19" s="390">
        <f>SUM(H2:H17)/2</f>
        <v>418</v>
      </c>
      <c r="I19" s="391" t="s">
        <v>1340</v>
      </c>
      <c r="J19" s="385"/>
      <c r="K19" s="385"/>
      <c r="L19" s="385"/>
      <c r="M19" s="385"/>
      <c r="N19" s="385">
        <f t="shared" ref="N19:W19" si="33">SUM(N2:N17)</f>
        <v>143</v>
      </c>
      <c r="O19" s="385">
        <f t="shared" si="33"/>
        <v>143</v>
      </c>
      <c r="P19" s="385">
        <f t="shared" si="33"/>
        <v>63</v>
      </c>
      <c r="Q19" s="385">
        <f t="shared" si="33"/>
        <v>63</v>
      </c>
      <c r="R19" s="385">
        <f t="shared" si="33"/>
        <v>35</v>
      </c>
      <c r="S19" s="385">
        <f t="shared" si="33"/>
        <v>35</v>
      </c>
      <c r="T19" s="385">
        <f t="shared" si="33"/>
        <v>19</v>
      </c>
      <c r="U19" s="385">
        <f t="shared" si="33"/>
        <v>19</v>
      </c>
      <c r="V19" s="385">
        <f t="shared" si="33"/>
        <v>260</v>
      </c>
      <c r="W19" s="385">
        <f t="shared" si="33"/>
        <v>260</v>
      </c>
      <c r="X19" s="385">
        <f>SUM(X2:X17)/2</f>
        <v>260</v>
      </c>
      <c r="Y19" s="385"/>
      <c r="Z19" s="385"/>
      <c r="AA19" s="385"/>
      <c r="AB19" s="385">
        <f t="shared" ref="AB19:AD19" ca="1" si="34">SUM(AB2:AB17)/2</f>
        <v>339</v>
      </c>
      <c r="AC19" s="385">
        <f t="shared" ca="1" si="34"/>
        <v>339</v>
      </c>
      <c r="AD19" s="385">
        <f t="shared" ca="1" si="34"/>
        <v>678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5">COUNTIF(C2:C17, 10)</f>
        <v>1</v>
      </c>
      <c r="D20" s="393">
        <f t="shared" si="35"/>
        <v>0</v>
      </c>
      <c r="E20" s="393">
        <f t="shared" si="35"/>
        <v>1</v>
      </c>
      <c r="F20" s="296"/>
      <c r="G20" s="386"/>
      <c r="H20" s="394">
        <f>AVERAGE(H2:H17)</f>
        <v>52.25</v>
      </c>
      <c r="I20" s="391" t="s">
        <v>1341</v>
      </c>
      <c r="J20" s="385"/>
      <c r="K20" s="385"/>
      <c r="L20" s="385"/>
      <c r="M20" s="385"/>
      <c r="N20" s="385"/>
      <c r="O20" s="393">
        <f>COUNTIF(O2:O17, 10)</f>
        <v>1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5">
        <f>SUM(C20:E20,O20,Q20,S20,U20)</f>
        <v>3</v>
      </c>
      <c r="Y20" s="385"/>
      <c r="Z20" s="385"/>
      <c r="AA20" s="385"/>
      <c r="AB20" s="385"/>
      <c r="AC20" s="385"/>
      <c r="AD20" s="396">
        <f ca="1">AVERAGE(AD2:AD17)</f>
        <v>84.75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296"/>
      <c r="G21" s="386"/>
      <c r="H21" s="397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Y21" s="385"/>
      <c r="Z21" s="385"/>
      <c r="AA21" s="385"/>
      <c r="AB21" s="385"/>
      <c r="AC21" s="385"/>
      <c r="AD21" s="385"/>
      <c r="AE21" s="386"/>
      <c r="AF21" s="385"/>
      <c r="AG21" s="385"/>
      <c r="AH21" s="361"/>
    </row>
  </sheetData>
  <conditionalFormatting sqref="F2:F17">
    <cfRule type="cellIs" dxfId="121" priority="5" operator="equal">
      <formula>33</formula>
    </cfRule>
  </conditionalFormatting>
  <conditionalFormatting sqref="J2:J17">
    <cfRule type="expression" dxfId="120" priority="7">
      <formula>COUNTIF(J$2:J$17,$J2)&gt;1</formula>
    </cfRule>
  </conditionalFormatting>
  <conditionalFormatting sqref="M2:X17">
    <cfRule type="expression" dxfId="119" priority="1">
      <formula>$T2=11</formula>
    </cfRule>
  </conditionalFormatting>
  <conditionalFormatting sqref="N2:O17">
    <cfRule type="expression" dxfId="118" priority="2">
      <formula>$N2=11</formula>
    </cfRule>
  </conditionalFormatting>
  <conditionalFormatting sqref="P2:Q17">
    <cfRule type="expression" dxfId="117" priority="3">
      <formula>$P2=11</formula>
    </cfRule>
  </conditionalFormatting>
  <conditionalFormatting sqref="R2:S17">
    <cfRule type="expression" dxfId="116" priority="4">
      <formula>$R2=11</formula>
    </cfRule>
  </conditionalFormatting>
  <conditionalFormatting sqref="AG2:AG17">
    <cfRule type="expression" dxfId="115" priority="6">
      <formula>COUNTIF(AG$2:AG$17,$AG2)&gt;1</formula>
    </cfRule>
  </conditionalFormatting>
  <hyperlinks>
    <hyperlink ref="A1" location="Champions!A1" display="Home" xr:uid="{00000000-0004-0000-0A00-000000000000}"/>
    <hyperlink ref="AH1" location="Champions!A1" display="Home" xr:uid="{00000000-0004-0000-0A00-000001000000}"/>
    <hyperlink ref="A19" location="Champions!A1" display="Home" xr:uid="{00000000-0004-0000-0A00-000002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7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1111</v>
      </c>
      <c r="C2" s="314">
        <v>11</v>
      </c>
      <c r="D2" s="315">
        <v>2</v>
      </c>
      <c r="E2" s="315">
        <v>4</v>
      </c>
      <c r="F2" s="213">
        <f t="shared" ref="F2:F17" si="0">SUM(C2:E2)</f>
        <v>17</v>
      </c>
      <c r="G2" s="213">
        <f>C3+D4+E5</f>
        <v>32</v>
      </c>
      <c r="H2" s="213">
        <f t="shared" ref="H2:H17" si="1">SUM(F2:G2)</f>
        <v>49</v>
      </c>
      <c r="I2" s="214">
        <f t="shared" ref="I2:I17" si="2">IFERROR(F2/H2,"")</f>
        <v>0.34693877551020408</v>
      </c>
      <c r="J2" s="216">
        <f t="shared" ref="J2:J14" ca="1" si="3">IFERROR(RANK(I2,OFFSET($I$2,0,0,COUNTA($I$2:$I$17),1)),)</f>
        <v>13</v>
      </c>
      <c r="K2" s="307" t="s">
        <v>1345</v>
      </c>
      <c r="L2" s="219">
        <v>1</v>
      </c>
      <c r="M2" s="218" t="str">
        <f t="shared" ref="M2:M17" ca="1" si="4">INDEX($A$2:$AJ$17,MATCH(L2,$J$2:$J$17,0),2)</f>
        <v>Eric Bubb &amp; Jeremie Wilson</v>
      </c>
      <c r="N2" s="217">
        <v>11</v>
      </c>
      <c r="O2" s="219">
        <v>2</v>
      </c>
      <c r="P2" s="220">
        <v>11</v>
      </c>
      <c r="Q2" s="221">
        <v>2</v>
      </c>
      <c r="R2" s="217">
        <v>11</v>
      </c>
      <c r="S2" s="219">
        <v>6</v>
      </c>
      <c r="T2" s="222">
        <v>8</v>
      </c>
      <c r="U2" s="221">
        <v>11</v>
      </c>
      <c r="V2" s="223">
        <f t="shared" ref="V2:W2" si="5">(N2+P2+R2+T2)</f>
        <v>41</v>
      </c>
      <c r="W2" s="223">
        <f t="shared" si="5"/>
        <v>21</v>
      </c>
      <c r="X2" s="224">
        <f t="shared" ref="X2:X17" si="6">V2+W2</f>
        <v>62</v>
      </c>
      <c r="Y2" s="332" t="s">
        <v>268</v>
      </c>
      <c r="Z2" s="329" t="str">
        <f t="shared" ref="Z2:Z17" si="7">INDEX($A$2:$B$17,MATCH(Y2,$A$2:$A$17,0),2)</f>
        <v>Curtis Stoneman &amp; Grif Sims</v>
      </c>
      <c r="AA2" s="329">
        <f t="shared" ref="AA2:AA17" si="8">INDEX($B$2:$K$17, MATCH($Z2,$B$2:$B$17,0),9)</f>
        <v>2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28</v>
      </c>
      <c r="AD2" s="329">
        <f t="shared" ref="AD2:AD17" ca="1" si="11">SUM(AB2:AC2)</f>
        <v>105</v>
      </c>
      <c r="AE2" s="236">
        <f t="shared" ref="AE2:AE17" ca="1" si="12">AB2/AD2</f>
        <v>0.73333333333333328</v>
      </c>
      <c r="AF2" s="330">
        <f t="shared" ref="AF2:AF17" ca="1" si="13">AE2-(77-AB2)</f>
        <v>0.73333333333333328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1113</v>
      </c>
      <c r="C3" s="316">
        <v>10</v>
      </c>
      <c r="D3" s="317">
        <v>5</v>
      </c>
      <c r="E3" s="317">
        <v>1</v>
      </c>
      <c r="F3" s="235">
        <f t="shared" si="0"/>
        <v>16</v>
      </c>
      <c r="G3" s="235">
        <f>C2+D5+E4</f>
        <v>33</v>
      </c>
      <c r="H3" s="235">
        <f t="shared" si="1"/>
        <v>49</v>
      </c>
      <c r="I3" s="236">
        <f t="shared" si="2"/>
        <v>0.32653061224489793</v>
      </c>
      <c r="J3" s="238">
        <f t="shared" ca="1" si="3"/>
        <v>14</v>
      </c>
      <c r="K3" s="310" t="s">
        <v>1346</v>
      </c>
      <c r="L3" s="241">
        <v>16</v>
      </c>
      <c r="M3" s="240" t="str">
        <f t="shared" ca="1" si="4"/>
        <v>Andy Brez &amp; Justin Metcalf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32" t="s">
        <v>216</v>
      </c>
      <c r="Z3" s="329" t="str">
        <f t="shared" si="7"/>
        <v>Eric Bubb &amp; Jeremie Wilson</v>
      </c>
      <c r="AA3" s="329">
        <f t="shared" ca="1" si="8"/>
        <v>1</v>
      </c>
      <c r="AB3" s="329">
        <f t="shared" ca="1" si="9"/>
        <v>74</v>
      </c>
      <c r="AC3" s="329">
        <f t="shared" ca="1" si="10"/>
        <v>32</v>
      </c>
      <c r="AD3" s="329">
        <f t="shared" ca="1" si="11"/>
        <v>106</v>
      </c>
      <c r="AE3" s="236">
        <f t="shared" ca="1" si="12"/>
        <v>0.69811320754716977</v>
      </c>
      <c r="AF3" s="341">
        <f t="shared" ca="1" si="13"/>
        <v>-2.3018867924528301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142</v>
      </c>
      <c r="C4" s="318">
        <v>11</v>
      </c>
      <c r="D4" s="319">
        <v>11</v>
      </c>
      <c r="E4" s="317">
        <v>11</v>
      </c>
      <c r="F4" s="235">
        <f t="shared" si="0"/>
        <v>33</v>
      </c>
      <c r="G4" s="235">
        <f>C5+D2+E3</f>
        <v>11</v>
      </c>
      <c r="H4" s="235">
        <f t="shared" si="1"/>
        <v>44</v>
      </c>
      <c r="I4" s="236">
        <f t="shared" si="2"/>
        <v>0.75</v>
      </c>
      <c r="J4" s="238">
        <f t="shared" ca="1" si="3"/>
        <v>1</v>
      </c>
      <c r="K4" s="307" t="s">
        <v>1347</v>
      </c>
      <c r="L4" s="219">
        <v>8</v>
      </c>
      <c r="M4" s="218" t="str">
        <f t="shared" ca="1" si="4"/>
        <v>Doug Schwabauer &amp; Michael Schermoly</v>
      </c>
      <c r="N4" s="217">
        <v>11</v>
      </c>
      <c r="O4" s="219">
        <v>8</v>
      </c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13</v>
      </c>
      <c r="W4" s="223">
        <f t="shared" si="16"/>
        <v>19</v>
      </c>
      <c r="X4" s="224">
        <f t="shared" si="6"/>
        <v>32</v>
      </c>
      <c r="Y4" s="332" t="s">
        <v>221</v>
      </c>
      <c r="Z4" s="329" t="str">
        <f t="shared" si="7"/>
        <v>Carson Sanford &amp; Jeff Stockham</v>
      </c>
      <c r="AA4" s="329">
        <f t="shared" ca="1" si="8"/>
        <v>6</v>
      </c>
      <c r="AB4" s="329">
        <f t="shared" ca="1" si="9"/>
        <v>57</v>
      </c>
      <c r="AC4" s="329">
        <f t="shared" ca="1" si="10"/>
        <v>41</v>
      </c>
      <c r="AD4" s="329">
        <f t="shared" ca="1" si="11"/>
        <v>98</v>
      </c>
      <c r="AE4" s="236">
        <f t="shared" ca="1" si="12"/>
        <v>0.58163265306122447</v>
      </c>
      <c r="AF4" s="333">
        <f t="shared" ca="1" si="13"/>
        <v>-19.418367346938776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1118</v>
      </c>
      <c r="C5" s="320">
        <v>8</v>
      </c>
      <c r="D5" s="321">
        <v>11</v>
      </c>
      <c r="E5" s="322">
        <v>11</v>
      </c>
      <c r="F5" s="252">
        <f t="shared" si="0"/>
        <v>30</v>
      </c>
      <c r="G5" s="252">
        <f>C4+D3+E2</f>
        <v>20</v>
      </c>
      <c r="H5" s="252">
        <f t="shared" si="1"/>
        <v>50</v>
      </c>
      <c r="I5" s="253">
        <f t="shared" si="2"/>
        <v>0.6</v>
      </c>
      <c r="J5" s="255">
        <f t="shared" ca="1" si="3"/>
        <v>6</v>
      </c>
      <c r="K5" s="310" t="s">
        <v>1348</v>
      </c>
      <c r="L5" s="241">
        <v>9</v>
      </c>
      <c r="M5" s="240" t="str">
        <f t="shared" ca="1" si="4"/>
        <v>Justin Hoffman &amp; Jason Steliga</v>
      </c>
      <c r="N5" s="239">
        <v>8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8</v>
      </c>
      <c r="W5" s="223">
        <f t="shared" si="17"/>
        <v>11</v>
      </c>
      <c r="X5" s="224">
        <f t="shared" si="6"/>
        <v>19</v>
      </c>
      <c r="Y5" s="336" t="s">
        <v>276</v>
      </c>
      <c r="Z5" s="337" t="str">
        <f t="shared" si="7"/>
        <v>Danny Ng &amp; Ian Boat</v>
      </c>
      <c r="AA5" s="337">
        <f t="shared" ca="1" si="8"/>
        <v>4</v>
      </c>
      <c r="AB5" s="337">
        <f t="shared" ca="1" si="9"/>
        <v>56</v>
      </c>
      <c r="AC5" s="337">
        <f t="shared" ca="1" si="10"/>
        <v>35</v>
      </c>
      <c r="AD5" s="337">
        <f t="shared" ca="1" si="11"/>
        <v>91</v>
      </c>
      <c r="AE5" s="253">
        <f t="shared" ca="1" si="12"/>
        <v>0.61538461538461542</v>
      </c>
      <c r="AF5" s="338">
        <f t="shared" ca="1" si="13"/>
        <v>-20.384615384615383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1120</v>
      </c>
      <c r="C6" s="314">
        <v>11</v>
      </c>
      <c r="D6" s="315">
        <v>11</v>
      </c>
      <c r="E6" s="315">
        <v>5</v>
      </c>
      <c r="F6" s="213">
        <f t="shared" si="0"/>
        <v>27</v>
      </c>
      <c r="G6" s="213">
        <f>C7+D8+E9</f>
        <v>23</v>
      </c>
      <c r="H6" s="213">
        <f t="shared" si="1"/>
        <v>50</v>
      </c>
      <c r="I6" s="214">
        <f t="shared" si="2"/>
        <v>0.54</v>
      </c>
      <c r="J6" s="238">
        <f t="shared" ca="1" si="3"/>
        <v>7</v>
      </c>
      <c r="K6" s="307" t="s">
        <v>1349</v>
      </c>
      <c r="L6" s="219">
        <v>5</v>
      </c>
      <c r="M6" s="218" t="str">
        <f t="shared" ca="1" si="4"/>
        <v>Andy Lockard &amp; Patrick Blackwell</v>
      </c>
      <c r="N6" s="217">
        <v>11</v>
      </c>
      <c r="O6" s="219">
        <v>9</v>
      </c>
      <c r="P6" s="220">
        <v>5</v>
      </c>
      <c r="Q6" s="221">
        <v>11</v>
      </c>
      <c r="R6" s="244"/>
      <c r="S6" s="245"/>
      <c r="T6" s="246"/>
      <c r="U6" s="243"/>
      <c r="V6" s="223">
        <f t="shared" ref="V6:W6" si="18">(N6+P6+R6+T6)</f>
        <v>16</v>
      </c>
      <c r="W6" s="223">
        <f t="shared" si="18"/>
        <v>20</v>
      </c>
      <c r="X6" s="224">
        <f t="shared" si="6"/>
        <v>36</v>
      </c>
      <c r="Y6" s="328" t="s">
        <v>256</v>
      </c>
      <c r="Z6" s="340" t="str">
        <f t="shared" si="7"/>
        <v>Andy Lockard &amp; Patrick Blackwell</v>
      </c>
      <c r="AA6" s="340">
        <f t="shared" ca="1" si="8"/>
        <v>5</v>
      </c>
      <c r="AB6" s="340">
        <f t="shared" ca="1" si="9"/>
        <v>49</v>
      </c>
      <c r="AC6" s="340">
        <f t="shared" ca="1" si="10"/>
        <v>38</v>
      </c>
      <c r="AD6" s="340">
        <f t="shared" ca="1" si="11"/>
        <v>87</v>
      </c>
      <c r="AE6" s="214">
        <f t="shared" ca="1" si="12"/>
        <v>0.56321839080459768</v>
      </c>
      <c r="AF6" s="333">
        <f t="shared" ca="1" si="13"/>
        <v>-27.436781609195403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1122</v>
      </c>
      <c r="C7" s="316">
        <v>9</v>
      </c>
      <c r="D7" s="317">
        <v>0</v>
      </c>
      <c r="E7" s="317">
        <v>4</v>
      </c>
      <c r="F7" s="235">
        <f t="shared" si="0"/>
        <v>13</v>
      </c>
      <c r="G7" s="235">
        <f>C6+D9+E8</f>
        <v>33</v>
      </c>
      <c r="H7" s="235">
        <f t="shared" si="1"/>
        <v>46</v>
      </c>
      <c r="I7" s="236">
        <f t="shared" si="2"/>
        <v>0.28260869565217389</v>
      </c>
      <c r="J7" s="238">
        <f t="shared" ca="1" si="3"/>
        <v>15</v>
      </c>
      <c r="K7" s="310" t="s">
        <v>1350</v>
      </c>
      <c r="L7" s="241">
        <v>12</v>
      </c>
      <c r="M7" s="240" t="str">
        <f t="shared" ca="1" si="4"/>
        <v>Josh Freeman &amp; Chris Lyon</v>
      </c>
      <c r="N7" s="239">
        <v>9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9</v>
      </c>
      <c r="W7" s="223">
        <f t="shared" si="19"/>
        <v>11</v>
      </c>
      <c r="X7" s="224">
        <f t="shared" si="6"/>
        <v>20</v>
      </c>
      <c r="Y7" s="332" t="s">
        <v>237</v>
      </c>
      <c r="Z7" s="329" t="str">
        <f t="shared" si="7"/>
        <v>Jack Zupan &amp; Dylan Lockwood</v>
      </c>
      <c r="AA7" s="329">
        <f t="shared" ca="1" si="8"/>
        <v>3</v>
      </c>
      <c r="AB7" s="329">
        <f t="shared" ca="1" si="9"/>
        <v>48</v>
      </c>
      <c r="AC7" s="329">
        <f t="shared" ca="1" si="10"/>
        <v>26</v>
      </c>
      <c r="AD7" s="329">
        <f t="shared" ca="1" si="11"/>
        <v>74</v>
      </c>
      <c r="AE7" s="236">
        <f t="shared" ca="1" si="12"/>
        <v>0.64864864864864868</v>
      </c>
      <c r="AF7" s="341">
        <f t="shared" ca="1" si="13"/>
        <v>-28.351351351351351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1119</v>
      </c>
      <c r="C8" s="318">
        <v>7</v>
      </c>
      <c r="D8" s="319">
        <v>3</v>
      </c>
      <c r="E8" s="317">
        <v>11</v>
      </c>
      <c r="F8" s="235">
        <f t="shared" si="0"/>
        <v>21</v>
      </c>
      <c r="G8" s="235">
        <f>C9+D6+E7</f>
        <v>26</v>
      </c>
      <c r="H8" s="235">
        <f t="shared" si="1"/>
        <v>47</v>
      </c>
      <c r="I8" s="236">
        <f t="shared" si="2"/>
        <v>0.44680851063829785</v>
      </c>
      <c r="J8" s="238">
        <f t="shared" ca="1" si="3"/>
        <v>9</v>
      </c>
      <c r="K8" s="307" t="s">
        <v>1351</v>
      </c>
      <c r="L8" s="219">
        <v>4</v>
      </c>
      <c r="M8" s="218" t="str">
        <f t="shared" ca="1" si="4"/>
        <v>Danny Ng &amp; Ian Boat</v>
      </c>
      <c r="N8" s="217">
        <v>11</v>
      </c>
      <c r="O8" s="219">
        <v>4</v>
      </c>
      <c r="P8" s="242">
        <v>11</v>
      </c>
      <c r="Q8" s="243">
        <v>5</v>
      </c>
      <c r="R8" s="244">
        <v>6</v>
      </c>
      <c r="S8" s="245">
        <v>11</v>
      </c>
      <c r="T8" s="246"/>
      <c r="U8" s="243"/>
      <c r="V8" s="223">
        <f t="shared" ref="V8:W8" si="20">(N8+P8+R8+T8)</f>
        <v>28</v>
      </c>
      <c r="W8" s="223">
        <f t="shared" si="20"/>
        <v>20</v>
      </c>
      <c r="X8" s="224">
        <f t="shared" si="6"/>
        <v>48</v>
      </c>
      <c r="Y8" s="332" t="s">
        <v>246</v>
      </c>
      <c r="Z8" s="329" t="str">
        <f t="shared" si="7"/>
        <v>Doug Schwabauer &amp; Michael Schermoly</v>
      </c>
      <c r="AA8" s="329">
        <f t="shared" ca="1" si="8"/>
        <v>8</v>
      </c>
      <c r="AB8" s="329">
        <f t="shared" ca="1" si="9"/>
        <v>42</v>
      </c>
      <c r="AC8" s="329">
        <f t="shared" ca="1" si="10"/>
        <v>50</v>
      </c>
      <c r="AD8" s="329">
        <f t="shared" ca="1" si="11"/>
        <v>92</v>
      </c>
      <c r="AE8" s="236">
        <f t="shared" ca="1" si="12"/>
        <v>0.45652173913043476</v>
      </c>
      <c r="AF8" s="341">
        <f t="shared" ca="1" si="13"/>
        <v>-34.543478260869563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1125</v>
      </c>
      <c r="C9" s="320">
        <v>11</v>
      </c>
      <c r="D9" s="321">
        <v>11</v>
      </c>
      <c r="E9" s="322">
        <v>11</v>
      </c>
      <c r="F9" s="252">
        <f t="shared" si="0"/>
        <v>33</v>
      </c>
      <c r="G9" s="252">
        <f>C8+D7+E6</f>
        <v>12</v>
      </c>
      <c r="H9" s="252">
        <f t="shared" si="1"/>
        <v>45</v>
      </c>
      <c r="I9" s="253">
        <f t="shared" si="2"/>
        <v>0.73333333333333328</v>
      </c>
      <c r="J9" s="255">
        <f t="shared" ca="1" si="3"/>
        <v>3</v>
      </c>
      <c r="K9" s="310" t="s">
        <v>1352</v>
      </c>
      <c r="L9" s="241">
        <v>13</v>
      </c>
      <c r="M9" s="240" t="str">
        <f t="shared" ca="1" si="4"/>
        <v>William Hyde &amp; Tom Fangman</v>
      </c>
      <c r="N9" s="239">
        <v>4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4</v>
      </c>
      <c r="W9" s="223">
        <f t="shared" si="21"/>
        <v>11</v>
      </c>
      <c r="X9" s="224">
        <f t="shared" si="6"/>
        <v>15</v>
      </c>
      <c r="Y9" s="336" t="s">
        <v>251</v>
      </c>
      <c r="Z9" s="337" t="str">
        <f t="shared" si="7"/>
        <v>Andy Peck &amp; Mike Magel</v>
      </c>
      <c r="AA9" s="337">
        <f t="shared" ca="1" si="8"/>
        <v>10</v>
      </c>
      <c r="AB9" s="337">
        <f t="shared" ca="1" si="9"/>
        <v>36</v>
      </c>
      <c r="AC9" s="337">
        <f t="shared" ca="1" si="10"/>
        <v>46</v>
      </c>
      <c r="AD9" s="337">
        <f t="shared" ca="1" si="11"/>
        <v>82</v>
      </c>
      <c r="AE9" s="253">
        <f t="shared" ca="1" si="12"/>
        <v>0.43902439024390244</v>
      </c>
      <c r="AF9" s="338">
        <f t="shared" ca="1" si="13"/>
        <v>-40.560975609756099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1126</v>
      </c>
      <c r="C10" s="314">
        <v>9</v>
      </c>
      <c r="D10" s="315">
        <v>11</v>
      </c>
      <c r="E10" s="315">
        <v>3</v>
      </c>
      <c r="F10" s="213">
        <f t="shared" si="0"/>
        <v>23</v>
      </c>
      <c r="G10" s="213">
        <f>C11+D12+E13</f>
        <v>30</v>
      </c>
      <c r="H10" s="213">
        <f t="shared" si="1"/>
        <v>53</v>
      </c>
      <c r="I10" s="214">
        <f t="shared" si="2"/>
        <v>0.43396226415094341</v>
      </c>
      <c r="J10" s="238">
        <f t="shared" ca="1" si="3"/>
        <v>11</v>
      </c>
      <c r="K10" s="307" t="s">
        <v>1353</v>
      </c>
      <c r="L10" s="219">
        <v>6</v>
      </c>
      <c r="M10" s="218" t="str">
        <f t="shared" ca="1" si="4"/>
        <v>Carson Sanford &amp; Jeff Stockham</v>
      </c>
      <c r="N10" s="217">
        <v>11</v>
      </c>
      <c r="O10" s="219">
        <v>6</v>
      </c>
      <c r="P10" s="220">
        <v>11</v>
      </c>
      <c r="Q10" s="221">
        <v>4</v>
      </c>
      <c r="R10" s="217">
        <v>5</v>
      </c>
      <c r="S10" s="219">
        <v>11</v>
      </c>
      <c r="T10" s="246"/>
      <c r="U10" s="243"/>
      <c r="V10" s="223">
        <f t="shared" ref="V10:W10" si="22">(N10+P10+R10+T10)</f>
        <v>27</v>
      </c>
      <c r="W10" s="223">
        <f t="shared" si="22"/>
        <v>21</v>
      </c>
      <c r="X10" s="224">
        <f t="shared" si="6"/>
        <v>48</v>
      </c>
      <c r="Y10" s="332" t="s">
        <v>224</v>
      </c>
      <c r="Z10" s="329" t="str">
        <f t="shared" si="7"/>
        <v>Scott Heffner &amp; Matt Hood</v>
      </c>
      <c r="AA10" s="329">
        <f t="shared" ca="1" si="8"/>
        <v>7</v>
      </c>
      <c r="AB10" s="329">
        <f t="shared" ca="1" si="9"/>
        <v>32</v>
      </c>
      <c r="AC10" s="329">
        <f t="shared" ca="1" si="10"/>
        <v>34</v>
      </c>
      <c r="AD10" s="329">
        <f t="shared" ca="1" si="11"/>
        <v>66</v>
      </c>
      <c r="AE10" s="236">
        <f t="shared" ca="1" si="12"/>
        <v>0.48484848484848486</v>
      </c>
      <c r="AF10" s="333">
        <f t="shared" ca="1" si="13"/>
        <v>-44.515151515151516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1116</v>
      </c>
      <c r="C11" s="316">
        <v>11</v>
      </c>
      <c r="D11" s="317">
        <v>10</v>
      </c>
      <c r="E11" s="317">
        <v>8</v>
      </c>
      <c r="F11" s="235">
        <f t="shared" si="0"/>
        <v>29</v>
      </c>
      <c r="G11" s="235">
        <f>C10+D13+E12</f>
        <v>31</v>
      </c>
      <c r="H11" s="235">
        <f t="shared" si="1"/>
        <v>60</v>
      </c>
      <c r="I11" s="236">
        <f t="shared" si="2"/>
        <v>0.48333333333333334</v>
      </c>
      <c r="J11" s="238">
        <f t="shared" ca="1" si="3"/>
        <v>8</v>
      </c>
      <c r="K11" s="310" t="s">
        <v>1354</v>
      </c>
      <c r="L11" s="241">
        <v>11</v>
      </c>
      <c r="M11" s="240" t="str">
        <f t="shared" ca="1" si="4"/>
        <v>Josh Weber &amp; Stephen Limpic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32" t="s">
        <v>232</v>
      </c>
      <c r="Z11" s="329" t="str">
        <f t="shared" si="7"/>
        <v>Justin Hoffman &amp; Jason Steliga</v>
      </c>
      <c r="AA11" s="329">
        <f t="shared" ca="1" si="8"/>
        <v>9</v>
      </c>
      <c r="AB11" s="329">
        <f t="shared" ca="1" si="9"/>
        <v>29</v>
      </c>
      <c r="AC11" s="329">
        <f t="shared" ca="1" si="10"/>
        <v>37</v>
      </c>
      <c r="AD11" s="329">
        <f t="shared" ca="1" si="11"/>
        <v>66</v>
      </c>
      <c r="AE11" s="236">
        <f t="shared" ca="1" si="12"/>
        <v>0.43939393939393939</v>
      </c>
      <c r="AF11" s="341">
        <f t="shared" ca="1" si="13"/>
        <v>-47.560606060606062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1127</v>
      </c>
      <c r="C12" s="318">
        <v>5</v>
      </c>
      <c r="D12" s="319">
        <v>8</v>
      </c>
      <c r="E12" s="317">
        <v>11</v>
      </c>
      <c r="F12" s="235">
        <f t="shared" si="0"/>
        <v>24</v>
      </c>
      <c r="G12" s="235">
        <f>C13+D10+E11</f>
        <v>30</v>
      </c>
      <c r="H12" s="235">
        <f t="shared" si="1"/>
        <v>54</v>
      </c>
      <c r="I12" s="236">
        <f t="shared" si="2"/>
        <v>0.44444444444444442</v>
      </c>
      <c r="J12" s="238">
        <f t="shared" ca="1" si="3"/>
        <v>10</v>
      </c>
      <c r="K12" s="307" t="s">
        <v>1355</v>
      </c>
      <c r="L12" s="219">
        <v>3</v>
      </c>
      <c r="M12" s="218" t="str">
        <f t="shared" ca="1" si="4"/>
        <v>Jack Zupan &amp; Dylan Lockwood</v>
      </c>
      <c r="N12" s="217">
        <v>11</v>
      </c>
      <c r="O12" s="219">
        <v>3</v>
      </c>
      <c r="P12" s="242">
        <v>4</v>
      </c>
      <c r="Q12" s="243">
        <v>11</v>
      </c>
      <c r="R12" s="244"/>
      <c r="S12" s="245"/>
      <c r="T12" s="246"/>
      <c r="U12" s="243"/>
      <c r="V12" s="223">
        <f t="shared" ref="V12:W12" si="24">(N12+P12+R12+T12)</f>
        <v>15</v>
      </c>
      <c r="W12" s="223">
        <f t="shared" si="24"/>
        <v>14</v>
      </c>
      <c r="X12" s="224">
        <f t="shared" si="6"/>
        <v>29</v>
      </c>
      <c r="Y12" s="332" t="s">
        <v>241</v>
      </c>
      <c r="Z12" s="329" t="str">
        <f t="shared" si="7"/>
        <v>Josh Weber &amp; Stephen Limpic</v>
      </c>
      <c r="AA12" s="329">
        <f t="shared" ca="1" si="8"/>
        <v>11</v>
      </c>
      <c r="AB12" s="329">
        <f t="shared" ca="1" si="9"/>
        <v>29</v>
      </c>
      <c r="AC12" s="329">
        <f t="shared" ca="1" si="10"/>
        <v>41</v>
      </c>
      <c r="AD12" s="329">
        <f t="shared" ca="1" si="11"/>
        <v>70</v>
      </c>
      <c r="AE12" s="236">
        <f t="shared" ca="1" si="12"/>
        <v>0.41428571428571431</v>
      </c>
      <c r="AF12" s="343">
        <f t="shared" ca="1" si="13"/>
        <v>-47.585714285714289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1121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18</v>
      </c>
      <c r="H13" s="252">
        <f t="shared" si="1"/>
        <v>51</v>
      </c>
      <c r="I13" s="253">
        <f t="shared" si="2"/>
        <v>0.6470588235294118</v>
      </c>
      <c r="J13" s="255">
        <f t="shared" ca="1" si="3"/>
        <v>5</v>
      </c>
      <c r="K13" s="310" t="s">
        <v>1356</v>
      </c>
      <c r="L13" s="241">
        <v>14</v>
      </c>
      <c r="M13" s="240" t="str">
        <f t="shared" ca="1" si="4"/>
        <v>Mike Klender &amp; Mike Daniel</v>
      </c>
      <c r="N13" s="239">
        <v>3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3</v>
      </c>
      <c r="W13" s="223">
        <f t="shared" si="25"/>
        <v>11</v>
      </c>
      <c r="X13" s="224">
        <f t="shared" si="6"/>
        <v>14</v>
      </c>
      <c r="Y13" s="336" t="s">
        <v>271</v>
      </c>
      <c r="Z13" s="337" t="str">
        <f t="shared" si="7"/>
        <v>Josh Freeman &amp; Chris Lyon</v>
      </c>
      <c r="AA13" s="337">
        <f t="shared" ca="1" si="8"/>
        <v>12</v>
      </c>
      <c r="AB13" s="337">
        <f t="shared" ca="1" si="9"/>
        <v>27</v>
      </c>
      <c r="AC13" s="337">
        <f t="shared" ca="1" si="10"/>
        <v>42</v>
      </c>
      <c r="AD13" s="337">
        <f t="shared" ca="1" si="11"/>
        <v>69</v>
      </c>
      <c r="AE13" s="253">
        <f t="shared" ca="1" si="12"/>
        <v>0.39130434782608697</v>
      </c>
      <c r="AF13" s="345">
        <f t="shared" ca="1" si="13"/>
        <v>-49.608695652173914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1114</v>
      </c>
      <c r="C14" s="314">
        <v>1</v>
      </c>
      <c r="D14" s="315">
        <v>9</v>
      </c>
      <c r="E14" s="315">
        <v>1</v>
      </c>
      <c r="F14" s="213">
        <f t="shared" si="0"/>
        <v>11</v>
      </c>
      <c r="G14" s="213">
        <f>C15+D16+E17</f>
        <v>33</v>
      </c>
      <c r="H14" s="213">
        <f t="shared" si="1"/>
        <v>44</v>
      </c>
      <c r="I14" s="214">
        <f t="shared" si="2"/>
        <v>0.25</v>
      </c>
      <c r="J14" s="238">
        <f t="shared" ca="1" si="3"/>
        <v>16</v>
      </c>
      <c r="K14" s="307" t="s">
        <v>1357</v>
      </c>
      <c r="L14" s="219">
        <v>7</v>
      </c>
      <c r="M14" s="218" t="str">
        <f t="shared" ca="1" si="4"/>
        <v>Scott Heffner &amp; Matt Hood</v>
      </c>
      <c r="N14" s="217">
        <v>5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5</v>
      </c>
      <c r="W14" s="223">
        <f t="shared" si="26"/>
        <v>11</v>
      </c>
      <c r="X14" s="224">
        <f t="shared" si="6"/>
        <v>16</v>
      </c>
      <c r="Y14" s="332" t="s">
        <v>205</v>
      </c>
      <c r="Z14" s="329" t="str">
        <f t="shared" si="7"/>
        <v>William Hyde &amp; Tom Fangman</v>
      </c>
      <c r="AA14" s="329">
        <f t="shared" ca="1" si="8"/>
        <v>13</v>
      </c>
      <c r="AB14" s="329">
        <f t="shared" ca="1" si="9"/>
        <v>21</v>
      </c>
      <c r="AC14" s="329">
        <f t="shared" ca="1" si="10"/>
        <v>43</v>
      </c>
      <c r="AD14" s="329">
        <f t="shared" ca="1" si="11"/>
        <v>64</v>
      </c>
      <c r="AE14" s="236">
        <f t="shared" ca="1" si="12"/>
        <v>0.328125</v>
      </c>
      <c r="AF14" s="343">
        <f t="shared" ca="1" si="13"/>
        <v>-55.671875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141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11</v>
      </c>
      <c r="H15" s="235">
        <f t="shared" si="1"/>
        <v>44</v>
      </c>
      <c r="I15" s="236">
        <f t="shared" si="2"/>
        <v>0.75</v>
      </c>
      <c r="J15" s="238">
        <v>2</v>
      </c>
      <c r="K15" s="310" t="s">
        <v>1358</v>
      </c>
      <c r="L15" s="241">
        <v>10</v>
      </c>
      <c r="M15" s="240" t="str">
        <f t="shared" ca="1" si="4"/>
        <v>Andy Peck &amp; Mike Magel</v>
      </c>
      <c r="N15" s="239">
        <v>11</v>
      </c>
      <c r="O15" s="241">
        <v>5</v>
      </c>
      <c r="P15" s="242">
        <v>1</v>
      </c>
      <c r="Q15" s="243">
        <v>11</v>
      </c>
      <c r="R15" s="244"/>
      <c r="S15" s="245"/>
      <c r="T15" s="246"/>
      <c r="U15" s="243"/>
      <c r="V15" s="223">
        <f t="shared" ref="V15:W15" si="27">(N15+P15+R15+T15)</f>
        <v>12</v>
      </c>
      <c r="W15" s="223">
        <f t="shared" si="27"/>
        <v>16</v>
      </c>
      <c r="X15" s="224">
        <f t="shared" si="6"/>
        <v>28</v>
      </c>
      <c r="Y15" s="332" t="s">
        <v>211</v>
      </c>
      <c r="Z15" s="329" t="str">
        <f t="shared" si="7"/>
        <v>Mike Klender &amp; Mike Daniel</v>
      </c>
      <c r="AA15" s="329">
        <f t="shared" ca="1" si="8"/>
        <v>14</v>
      </c>
      <c r="AB15" s="329">
        <f t="shared" ca="1" si="9"/>
        <v>19</v>
      </c>
      <c r="AC15" s="329">
        <f t="shared" ca="1" si="10"/>
        <v>44</v>
      </c>
      <c r="AD15" s="329">
        <f t="shared" ca="1" si="11"/>
        <v>63</v>
      </c>
      <c r="AE15" s="236">
        <f t="shared" ca="1" si="12"/>
        <v>0.30158730158730157</v>
      </c>
      <c r="AF15" s="341">
        <f t="shared" ca="1" si="13"/>
        <v>-57.698412698412696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1123</v>
      </c>
      <c r="C16" s="318">
        <v>3</v>
      </c>
      <c r="D16" s="319">
        <v>11</v>
      </c>
      <c r="E16" s="317">
        <v>4</v>
      </c>
      <c r="F16" s="235">
        <f t="shared" si="0"/>
        <v>18</v>
      </c>
      <c r="G16" s="235">
        <f>C17+D14+E15</f>
        <v>31</v>
      </c>
      <c r="H16" s="235">
        <f t="shared" si="1"/>
        <v>49</v>
      </c>
      <c r="I16" s="236">
        <f t="shared" si="2"/>
        <v>0.36734693877551022</v>
      </c>
      <c r="J16" s="238">
        <f t="shared" ref="J16:J17" ca="1" si="28">IFERROR(RANK(I16,OFFSET($I$2,0,0,COUNTA($I$2:$I$17),1)),)</f>
        <v>12</v>
      </c>
      <c r="K16" s="307" t="s">
        <v>1359</v>
      </c>
      <c r="L16" s="219">
        <v>2</v>
      </c>
      <c r="M16" s="218" t="str">
        <f t="shared" ca="1" si="4"/>
        <v>Curtis Stoneman &amp; Grif Sims</v>
      </c>
      <c r="N16" s="217">
        <v>11</v>
      </c>
      <c r="O16" s="219">
        <v>3</v>
      </c>
      <c r="P16" s="242">
        <v>11</v>
      </c>
      <c r="Q16" s="243">
        <v>1</v>
      </c>
      <c r="R16" s="244">
        <v>11</v>
      </c>
      <c r="S16" s="245">
        <v>5</v>
      </c>
      <c r="T16" s="246">
        <v>11</v>
      </c>
      <c r="U16" s="243">
        <v>8</v>
      </c>
      <c r="V16" s="223">
        <f t="shared" ref="V16:W16" si="29">(N16+P16+R16+T16)</f>
        <v>44</v>
      </c>
      <c r="W16" s="223">
        <f t="shared" si="29"/>
        <v>17</v>
      </c>
      <c r="X16" s="224">
        <f t="shared" si="6"/>
        <v>61</v>
      </c>
      <c r="Y16" s="332" t="s">
        <v>228</v>
      </c>
      <c r="Z16" s="329" t="str">
        <f t="shared" si="7"/>
        <v>John Nestor &amp; Robert Madison</v>
      </c>
      <c r="AA16" s="329">
        <f t="shared" ca="1" si="8"/>
        <v>15</v>
      </c>
      <c r="AB16" s="329">
        <f t="shared" ca="1" si="9"/>
        <v>16</v>
      </c>
      <c r="AC16" s="329">
        <f t="shared" ca="1" si="10"/>
        <v>44</v>
      </c>
      <c r="AD16" s="329">
        <f t="shared" ca="1" si="11"/>
        <v>60</v>
      </c>
      <c r="AE16" s="236">
        <f t="shared" ca="1" si="12"/>
        <v>0.26666666666666666</v>
      </c>
      <c r="AF16" s="333">
        <f t="shared" ca="1" si="13"/>
        <v>-60.733333333333334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1124</v>
      </c>
      <c r="C17" s="323">
        <v>11</v>
      </c>
      <c r="D17" s="324">
        <v>6</v>
      </c>
      <c r="E17" s="325">
        <v>11</v>
      </c>
      <c r="F17" s="265">
        <f t="shared" si="0"/>
        <v>28</v>
      </c>
      <c r="G17" s="265">
        <f>C16+D15+E14</f>
        <v>15</v>
      </c>
      <c r="H17" s="265">
        <f t="shared" si="1"/>
        <v>43</v>
      </c>
      <c r="I17" s="266">
        <f t="shared" si="2"/>
        <v>0.65116279069767447</v>
      </c>
      <c r="J17" s="268">
        <f t="shared" ca="1" si="28"/>
        <v>4</v>
      </c>
      <c r="K17" s="311" t="s">
        <v>1360</v>
      </c>
      <c r="L17" s="271">
        <v>15</v>
      </c>
      <c r="M17" s="270" t="str">
        <f t="shared" ca="1" si="4"/>
        <v>John Nestor &amp; Robert Madison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3</v>
      </c>
      <c r="W17" s="277">
        <f t="shared" si="30"/>
        <v>11</v>
      </c>
      <c r="X17" s="278">
        <f t="shared" si="6"/>
        <v>14</v>
      </c>
      <c r="Y17" s="347" t="s">
        <v>261</v>
      </c>
      <c r="Z17" s="274" t="str">
        <f t="shared" si="7"/>
        <v>Andy Brez &amp; Justin Metcalf</v>
      </c>
      <c r="AA17" s="274">
        <f t="shared" ca="1" si="8"/>
        <v>16</v>
      </c>
      <c r="AB17" s="274">
        <f t="shared" ca="1" si="9"/>
        <v>13</v>
      </c>
      <c r="AC17" s="274">
        <f t="shared" ca="1" si="10"/>
        <v>44</v>
      </c>
      <c r="AD17" s="274">
        <f t="shared" ca="1" si="11"/>
        <v>57</v>
      </c>
      <c r="AE17" s="266">
        <f t="shared" ca="1" si="12"/>
        <v>0.22807017543859648</v>
      </c>
      <c r="AF17" s="348">
        <f t="shared" ca="1" si="13"/>
        <v>-63.771929824561404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140</v>
      </c>
      <c r="D19" s="289">
        <f t="shared" si="31"/>
        <v>131</v>
      </c>
      <c r="E19" s="289">
        <f>SUM(E2:E18)</f>
        <v>118</v>
      </c>
      <c r="F19" s="287">
        <f t="shared" ref="F19:G19" si="32">SUM(F2:F17)</f>
        <v>389</v>
      </c>
      <c r="G19" s="290">
        <f t="shared" si="32"/>
        <v>389</v>
      </c>
      <c r="H19" s="292">
        <f>SUM(H2:H17)/2</f>
        <v>389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128</v>
      </c>
      <c r="O19" s="287">
        <f t="shared" si="33"/>
        <v>128</v>
      </c>
      <c r="P19" s="287">
        <f t="shared" si="33"/>
        <v>56</v>
      </c>
      <c r="Q19" s="287">
        <f t="shared" si="33"/>
        <v>56</v>
      </c>
      <c r="R19" s="287">
        <f t="shared" si="33"/>
        <v>33</v>
      </c>
      <c r="S19" s="287">
        <f t="shared" si="33"/>
        <v>33</v>
      </c>
      <c r="T19" s="287">
        <f t="shared" si="33"/>
        <v>19</v>
      </c>
      <c r="U19" s="287">
        <f t="shared" si="33"/>
        <v>19</v>
      </c>
      <c r="V19" s="287">
        <f t="shared" si="33"/>
        <v>236</v>
      </c>
      <c r="W19" s="287">
        <f t="shared" si="33"/>
        <v>236</v>
      </c>
      <c r="X19" s="287">
        <f>SUM(X2:X17)/2</f>
        <v>236</v>
      </c>
      <c r="Y19" s="287"/>
      <c r="Z19" s="287"/>
      <c r="AA19" s="287"/>
      <c r="AB19" s="287">
        <f t="shared" ref="AB19:AD19" ca="1" si="34">SUM(AB2:AB17)/2</f>
        <v>312.5</v>
      </c>
      <c r="AC19" s="287">
        <f t="shared" ca="1" si="34"/>
        <v>312.5</v>
      </c>
      <c r="AD19" s="287">
        <f t="shared" ca="1" si="34"/>
        <v>625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0</v>
      </c>
      <c r="F20" s="296"/>
      <c r="G20" s="296"/>
      <c r="H20" s="297">
        <f>AVERAGE(H2:H17)</f>
        <v>48.625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87">
        <f ca="1">AVERAGE(AD2:AD17)</f>
        <v>78.125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14" priority="5" operator="equal">
      <formula>33</formula>
    </cfRule>
  </conditionalFormatting>
  <conditionalFormatting sqref="J2:J17">
    <cfRule type="expression" dxfId="113" priority="7">
      <formula>COUNTIF(J$2:J$17,$J2)&gt;1</formula>
    </cfRule>
  </conditionalFormatting>
  <conditionalFormatting sqref="M2:X17">
    <cfRule type="expression" dxfId="112" priority="1">
      <formula>$T2=11</formula>
    </cfRule>
  </conditionalFormatting>
  <conditionalFormatting sqref="N2:O17">
    <cfRule type="expression" dxfId="111" priority="2">
      <formula>$N2=11</formula>
    </cfRule>
  </conditionalFormatting>
  <conditionalFormatting sqref="P2:Q17">
    <cfRule type="expression" dxfId="110" priority="3">
      <formula>$P2=11</formula>
    </cfRule>
  </conditionalFormatting>
  <conditionalFormatting sqref="R2:S17">
    <cfRule type="expression" dxfId="109" priority="4">
      <formula>$R2=11</formula>
    </cfRule>
  </conditionalFormatting>
  <conditionalFormatting sqref="AG2:AG17">
    <cfRule type="expression" dxfId="108" priority="6">
      <formula>COUNTIF(AG$2:AG$17,$AG2)&gt;1</formula>
    </cfRule>
  </conditionalFormatting>
  <hyperlinks>
    <hyperlink ref="A1" location="Champions!A1" display="Home" xr:uid="{00000000-0004-0000-0B00-000000000000}"/>
    <hyperlink ref="AH1" location="Champions!A1" display="Home" xr:uid="{00000000-0004-0000-0B00-000001000000}"/>
    <hyperlink ref="A19" location="Champions!A1" display="Home" xr:uid="{00000000-0004-0000-0B00-00000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1091</v>
      </c>
      <c r="C2" s="314">
        <v>7</v>
      </c>
      <c r="D2" s="315">
        <v>9</v>
      </c>
      <c r="E2" s="315">
        <v>11</v>
      </c>
      <c r="F2" s="213">
        <f t="shared" ref="F2:F17" si="0">SUM(C2:E2)</f>
        <v>27</v>
      </c>
      <c r="G2" s="213">
        <f>C3+D4+E5</f>
        <v>29</v>
      </c>
      <c r="H2" s="213">
        <f t="shared" ref="H2:H17" si="1">SUM(F2:G2)</f>
        <v>56</v>
      </c>
      <c r="I2" s="214">
        <f t="shared" ref="I2:I17" si="2">IFERROR(F2/H2,"")</f>
        <v>0.48214285714285715</v>
      </c>
      <c r="J2" s="216">
        <f t="shared" ref="J2:J14" ca="1" si="3">IFERROR(RANK(I2,OFFSET($I$2,0,0,COUNTA($I$2:$I$17),1)),)</f>
        <v>9</v>
      </c>
      <c r="K2" s="307" t="s">
        <v>1345</v>
      </c>
      <c r="L2" s="219">
        <v>1</v>
      </c>
      <c r="M2" s="218" t="str">
        <f t="shared" ref="M2:M17" ca="1" si="4">INDEX($A$2:$AJ$17,MATCH(L2,$J$2:$J$17,0),2)</f>
        <v>Samantha Green &amp; David Weber</v>
      </c>
      <c r="N2" s="217">
        <v>11</v>
      </c>
      <c r="O2" s="219">
        <v>5</v>
      </c>
      <c r="P2" s="220">
        <v>5</v>
      </c>
      <c r="Q2" s="221">
        <v>11</v>
      </c>
      <c r="R2" s="217"/>
      <c r="S2" s="219"/>
      <c r="T2" s="222"/>
      <c r="U2" s="221"/>
      <c r="V2" s="223">
        <f t="shared" ref="V2:W2" si="5">(N2+P2+R2+T2)</f>
        <v>16</v>
      </c>
      <c r="W2" s="223">
        <f t="shared" si="5"/>
        <v>16</v>
      </c>
      <c r="X2" s="224">
        <f t="shared" ref="X2:X17" si="6">V2+W2</f>
        <v>32</v>
      </c>
      <c r="Y2" s="332" t="s">
        <v>276</v>
      </c>
      <c r="Z2" s="329" t="str">
        <f t="shared" ref="Z2:Z17" si="7">INDEX($A$2:$B$17,MATCH(Y2,$A$2:$A$17,0),2)</f>
        <v>Nicolle Ratliff &amp; Danny Ng</v>
      </c>
      <c r="AA2" s="329">
        <f t="shared" ref="AA2:AA17" ca="1" si="8">INDEX($B$2:$K$17, MATCH($Z2,$B$2:$B$17,0),9)</f>
        <v>3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45</v>
      </c>
      <c r="AD2" s="329">
        <f t="shared" ref="AD2:AD17" ca="1" si="11">SUM(AB2:AC2)</f>
        <v>122</v>
      </c>
      <c r="AE2" s="236">
        <f t="shared" ref="AE2:AE17" ca="1" si="12">AB2/AD2</f>
        <v>0.63114754098360659</v>
      </c>
      <c r="AF2" s="330">
        <f t="shared" ref="AF2:AF17" ca="1" si="13">AE2-(77-AB2)</f>
        <v>0.63114754098360659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1094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16</v>
      </c>
      <c r="H3" s="235">
        <f t="shared" si="1"/>
        <v>49</v>
      </c>
      <c r="I3" s="236">
        <f t="shared" si="2"/>
        <v>0.67346938775510201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Genece Brannan &amp; Steven Pauwels</v>
      </c>
      <c r="N3" s="239">
        <v>5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5</v>
      </c>
      <c r="W3" s="223">
        <f t="shared" si="15"/>
        <v>11</v>
      </c>
      <c r="X3" s="224">
        <f t="shared" si="6"/>
        <v>16</v>
      </c>
      <c r="Y3" s="332" t="s">
        <v>237</v>
      </c>
      <c r="Z3" s="329" t="str">
        <f t="shared" si="7"/>
        <v>Erinn Metcalf &amp; Josh Weber</v>
      </c>
      <c r="AA3" s="329">
        <f t="shared" ca="1" si="8"/>
        <v>8</v>
      </c>
      <c r="AB3" s="329">
        <f t="shared" ca="1" si="9"/>
        <v>69</v>
      </c>
      <c r="AC3" s="329">
        <f t="shared" ca="1" si="10"/>
        <v>57</v>
      </c>
      <c r="AD3" s="329">
        <f t="shared" ca="1" si="11"/>
        <v>126</v>
      </c>
      <c r="AE3" s="236">
        <f t="shared" ca="1" si="12"/>
        <v>0.54761904761904767</v>
      </c>
      <c r="AF3" s="333">
        <f t="shared" ca="1" si="13"/>
        <v>-7.4523809523809526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1096</v>
      </c>
      <c r="C4" s="318">
        <v>11</v>
      </c>
      <c r="D4" s="319">
        <v>11</v>
      </c>
      <c r="E4" s="317">
        <v>7</v>
      </c>
      <c r="F4" s="235">
        <f t="shared" si="0"/>
        <v>29</v>
      </c>
      <c r="G4" s="235">
        <f>C5+D2+E3</f>
        <v>24</v>
      </c>
      <c r="H4" s="235">
        <f t="shared" si="1"/>
        <v>53</v>
      </c>
      <c r="I4" s="236">
        <f t="shared" si="2"/>
        <v>0.54716981132075471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Erinn Metcalf &amp; Josh Weber</v>
      </c>
      <c r="N4" s="217">
        <v>11</v>
      </c>
      <c r="O4" s="219">
        <v>5</v>
      </c>
      <c r="P4" s="242">
        <v>11</v>
      </c>
      <c r="Q4" s="243">
        <v>5</v>
      </c>
      <c r="R4" s="244">
        <v>11</v>
      </c>
      <c r="S4" s="245">
        <v>9</v>
      </c>
      <c r="T4" s="246">
        <v>9</v>
      </c>
      <c r="U4" s="243">
        <v>11</v>
      </c>
      <c r="V4" s="223">
        <f t="shared" ref="V4:W4" si="16">(N4+P4+R4+T4)</f>
        <v>42</v>
      </c>
      <c r="W4" s="223">
        <f t="shared" si="16"/>
        <v>30</v>
      </c>
      <c r="X4" s="224">
        <f t="shared" si="6"/>
        <v>72</v>
      </c>
      <c r="Y4" s="332" t="s">
        <v>251</v>
      </c>
      <c r="Z4" s="329" t="str">
        <f t="shared" si="7"/>
        <v>Maria Andrew &amp; Curtis Stoneman</v>
      </c>
      <c r="AA4" s="329">
        <f t="shared" ca="1" si="8"/>
        <v>4</v>
      </c>
      <c r="AB4" s="329">
        <f t="shared" ca="1" si="9"/>
        <v>62</v>
      </c>
      <c r="AC4" s="329">
        <f t="shared" ca="1" si="10"/>
        <v>42</v>
      </c>
      <c r="AD4" s="329">
        <f t="shared" ca="1" si="11"/>
        <v>104</v>
      </c>
      <c r="AE4" s="236">
        <f t="shared" ca="1" si="12"/>
        <v>0.59615384615384615</v>
      </c>
      <c r="AF4" s="341">
        <f t="shared" ca="1" si="13"/>
        <v>-14.403846153846153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1095</v>
      </c>
      <c r="C5" s="320">
        <v>4</v>
      </c>
      <c r="D5" s="321">
        <v>2</v>
      </c>
      <c r="E5" s="322">
        <v>7</v>
      </c>
      <c r="F5" s="252">
        <f t="shared" si="0"/>
        <v>13</v>
      </c>
      <c r="G5" s="252">
        <f>C4+D3+E2</f>
        <v>33</v>
      </c>
      <c r="H5" s="252">
        <f t="shared" si="1"/>
        <v>46</v>
      </c>
      <c r="I5" s="253">
        <f t="shared" si="2"/>
        <v>0.28260869565217389</v>
      </c>
      <c r="J5" s="255">
        <f t="shared" ca="1" si="3"/>
        <v>16</v>
      </c>
      <c r="K5" s="310" t="s">
        <v>1348</v>
      </c>
      <c r="L5" s="241">
        <v>9</v>
      </c>
      <c r="M5" s="240" t="str">
        <f t="shared" ca="1" si="4"/>
        <v>Karen Luchinsky &amp; Troy Thomasson</v>
      </c>
      <c r="N5" s="239">
        <v>5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5</v>
      </c>
      <c r="W5" s="223">
        <f t="shared" si="17"/>
        <v>11</v>
      </c>
      <c r="X5" s="224">
        <f t="shared" si="6"/>
        <v>16</v>
      </c>
      <c r="Y5" s="336" t="s">
        <v>211</v>
      </c>
      <c r="Z5" s="337" t="str">
        <f t="shared" si="7"/>
        <v>Tiffany Blackwell &amp; Michael Schermoly</v>
      </c>
      <c r="AA5" s="337">
        <f t="shared" ca="1" si="8"/>
        <v>2</v>
      </c>
      <c r="AB5" s="337">
        <f t="shared" ca="1" si="9"/>
        <v>61</v>
      </c>
      <c r="AC5" s="337">
        <f t="shared" ca="1" si="10"/>
        <v>38</v>
      </c>
      <c r="AD5" s="337">
        <f t="shared" ca="1" si="11"/>
        <v>99</v>
      </c>
      <c r="AE5" s="253">
        <f t="shared" ca="1" si="12"/>
        <v>0.61616161616161613</v>
      </c>
      <c r="AF5" s="399">
        <f t="shared" ca="1" si="13"/>
        <v>-15.383838383838384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1098</v>
      </c>
      <c r="C6" s="314">
        <v>11</v>
      </c>
      <c r="D6" s="315">
        <v>2</v>
      </c>
      <c r="E6" s="315">
        <v>5</v>
      </c>
      <c r="F6" s="213">
        <f t="shared" si="0"/>
        <v>18</v>
      </c>
      <c r="G6" s="213">
        <f>C7+D8+E9</f>
        <v>32</v>
      </c>
      <c r="H6" s="213">
        <f t="shared" si="1"/>
        <v>50</v>
      </c>
      <c r="I6" s="214">
        <f t="shared" si="2"/>
        <v>0.36</v>
      </c>
      <c r="J6" s="238">
        <f t="shared" ca="1" si="3"/>
        <v>14</v>
      </c>
      <c r="K6" s="307" t="s">
        <v>1349</v>
      </c>
      <c r="L6" s="219">
        <v>5</v>
      </c>
      <c r="M6" s="218" t="str">
        <f t="shared" ca="1" si="4"/>
        <v>Mary Thornton &amp; Robert Madison</v>
      </c>
      <c r="N6" s="217">
        <v>10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10</v>
      </c>
      <c r="W6" s="223">
        <f t="shared" si="18"/>
        <v>11</v>
      </c>
      <c r="X6" s="224">
        <f t="shared" si="6"/>
        <v>21</v>
      </c>
      <c r="Y6" s="328" t="s">
        <v>241</v>
      </c>
      <c r="Z6" s="340" t="str">
        <f t="shared" si="7"/>
        <v>Susie Keeefer &amp; Dylan Lockwood</v>
      </c>
      <c r="AA6" s="340">
        <f t="shared" ca="1" si="8"/>
        <v>6</v>
      </c>
      <c r="AB6" s="340">
        <f t="shared" ca="1" si="9"/>
        <v>50</v>
      </c>
      <c r="AC6" s="340">
        <f t="shared" ca="1" si="10"/>
        <v>47</v>
      </c>
      <c r="AD6" s="340">
        <f t="shared" ca="1" si="11"/>
        <v>97</v>
      </c>
      <c r="AE6" s="214">
        <f t="shared" ca="1" si="12"/>
        <v>0.51546391752577314</v>
      </c>
      <c r="AF6" s="333">
        <f t="shared" ca="1" si="13"/>
        <v>-26.484536082474229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1100</v>
      </c>
      <c r="C7" s="316">
        <v>10</v>
      </c>
      <c r="D7" s="317">
        <v>11</v>
      </c>
      <c r="E7" s="317">
        <v>5</v>
      </c>
      <c r="F7" s="235">
        <f t="shared" si="0"/>
        <v>26</v>
      </c>
      <c r="G7" s="235">
        <f>C6+D9+E8</f>
        <v>32</v>
      </c>
      <c r="H7" s="235">
        <f t="shared" si="1"/>
        <v>58</v>
      </c>
      <c r="I7" s="236">
        <f t="shared" si="2"/>
        <v>0.44827586206896552</v>
      </c>
      <c r="J7" s="238">
        <f t="shared" ca="1" si="3"/>
        <v>11</v>
      </c>
      <c r="K7" s="310" t="s">
        <v>1350</v>
      </c>
      <c r="L7" s="241">
        <v>12</v>
      </c>
      <c r="M7" s="240" t="str">
        <f t="shared" ca="1" si="4"/>
        <v>Maria Bello &amp; Jeremie Wilson</v>
      </c>
      <c r="N7" s="239">
        <v>11</v>
      </c>
      <c r="O7" s="241">
        <v>10</v>
      </c>
      <c r="P7" s="242">
        <v>6</v>
      </c>
      <c r="Q7" s="243">
        <v>11</v>
      </c>
      <c r="R7" s="244"/>
      <c r="S7" s="245"/>
      <c r="T7" s="246"/>
      <c r="U7" s="243"/>
      <c r="V7" s="223">
        <f t="shared" ref="V7:W7" si="19">(N7+P7+R7+T7)</f>
        <v>17</v>
      </c>
      <c r="W7" s="223">
        <f t="shared" si="19"/>
        <v>21</v>
      </c>
      <c r="X7" s="224">
        <f t="shared" si="6"/>
        <v>38</v>
      </c>
      <c r="Y7" s="332" t="s">
        <v>232</v>
      </c>
      <c r="Z7" s="329" t="str">
        <f t="shared" si="7"/>
        <v>Samantha Green &amp; David Weber</v>
      </c>
      <c r="AA7" s="329">
        <f t="shared" ca="1" si="8"/>
        <v>1</v>
      </c>
      <c r="AB7" s="329">
        <f t="shared" ca="1" si="9"/>
        <v>49</v>
      </c>
      <c r="AC7" s="329">
        <f t="shared" ca="1" si="10"/>
        <v>29</v>
      </c>
      <c r="AD7" s="329">
        <f t="shared" ca="1" si="11"/>
        <v>78</v>
      </c>
      <c r="AE7" s="236">
        <f t="shared" ca="1" si="12"/>
        <v>0.62820512820512819</v>
      </c>
      <c r="AF7" s="341">
        <f t="shared" ca="1" si="13"/>
        <v>-27.371794871794872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1092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13</v>
      </c>
      <c r="H8" s="235">
        <f t="shared" si="1"/>
        <v>46</v>
      </c>
      <c r="I8" s="236">
        <f t="shared" si="2"/>
        <v>0.71739130434782605</v>
      </c>
      <c r="J8" s="238">
        <f t="shared" ca="1" si="3"/>
        <v>1</v>
      </c>
      <c r="K8" s="307" t="s">
        <v>1351</v>
      </c>
      <c r="L8" s="219">
        <v>4</v>
      </c>
      <c r="M8" s="218" t="str">
        <f t="shared" ca="1" si="4"/>
        <v>Maria Andrew &amp; Curtis Stoneman</v>
      </c>
      <c r="N8" s="217">
        <v>11</v>
      </c>
      <c r="O8" s="219">
        <v>1</v>
      </c>
      <c r="P8" s="242">
        <v>11</v>
      </c>
      <c r="Q8" s="243">
        <v>6</v>
      </c>
      <c r="R8" s="244">
        <v>9</v>
      </c>
      <c r="S8" s="245">
        <v>11</v>
      </c>
      <c r="T8" s="246"/>
      <c r="U8" s="243"/>
      <c r="V8" s="223">
        <f t="shared" ref="V8:W8" si="20">(N8+P8+R8+T8)</f>
        <v>31</v>
      </c>
      <c r="W8" s="223">
        <f t="shared" si="20"/>
        <v>18</v>
      </c>
      <c r="X8" s="224">
        <f t="shared" si="6"/>
        <v>49</v>
      </c>
      <c r="Y8" s="332" t="s">
        <v>216</v>
      </c>
      <c r="Z8" s="329" t="str">
        <f t="shared" si="7"/>
        <v>Mary Pflanz &amp; Richard Lawrence</v>
      </c>
      <c r="AA8" s="329">
        <f t="shared" ca="1" si="8"/>
        <v>7</v>
      </c>
      <c r="AB8" s="329">
        <f t="shared" ca="1" si="9"/>
        <v>46</v>
      </c>
      <c r="AC8" s="329">
        <f t="shared" ca="1" si="10"/>
        <v>44</v>
      </c>
      <c r="AD8" s="329">
        <f t="shared" ca="1" si="11"/>
        <v>90</v>
      </c>
      <c r="AE8" s="236">
        <f t="shared" ca="1" si="12"/>
        <v>0.51111111111111107</v>
      </c>
      <c r="AF8" s="341">
        <f t="shared" ca="1" si="13"/>
        <v>-30.488888888888887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140</v>
      </c>
      <c r="C9" s="320">
        <v>6</v>
      </c>
      <c r="D9" s="321">
        <v>10</v>
      </c>
      <c r="E9" s="322">
        <v>11</v>
      </c>
      <c r="F9" s="252">
        <f t="shared" si="0"/>
        <v>27</v>
      </c>
      <c r="G9" s="252">
        <f>C8+D7+E6</f>
        <v>27</v>
      </c>
      <c r="H9" s="252">
        <f t="shared" si="1"/>
        <v>54</v>
      </c>
      <c r="I9" s="253">
        <f t="shared" si="2"/>
        <v>0.5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Brook Vitt &amp; Bobby Cupp</v>
      </c>
      <c r="N9" s="239">
        <v>1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1</v>
      </c>
      <c r="W9" s="223">
        <f t="shared" si="21"/>
        <v>11</v>
      </c>
      <c r="X9" s="224">
        <f t="shared" si="6"/>
        <v>12</v>
      </c>
      <c r="Y9" s="336" t="s">
        <v>246</v>
      </c>
      <c r="Z9" s="337" t="str">
        <f t="shared" si="7"/>
        <v>Maria Bello &amp; Jeremie Wilson</v>
      </c>
      <c r="AA9" s="337">
        <f t="shared" ca="1" si="8"/>
        <v>12</v>
      </c>
      <c r="AB9" s="337">
        <f t="shared" ca="1" si="9"/>
        <v>43</v>
      </c>
      <c r="AC9" s="337">
        <f t="shared" ca="1" si="10"/>
        <v>54</v>
      </c>
      <c r="AD9" s="337">
        <f t="shared" ca="1" si="11"/>
        <v>97</v>
      </c>
      <c r="AE9" s="253">
        <f t="shared" ca="1" si="12"/>
        <v>0.44329896907216493</v>
      </c>
      <c r="AF9" s="338">
        <f t="shared" ca="1" si="13"/>
        <v>-33.556701030927833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1106</v>
      </c>
      <c r="C10" s="314">
        <v>11</v>
      </c>
      <c r="D10" s="315">
        <v>11</v>
      </c>
      <c r="E10" s="315">
        <v>11</v>
      </c>
      <c r="F10" s="213">
        <f t="shared" si="0"/>
        <v>33</v>
      </c>
      <c r="G10" s="213">
        <f>C11+D12+E13</f>
        <v>26</v>
      </c>
      <c r="H10" s="213">
        <f t="shared" si="1"/>
        <v>59</v>
      </c>
      <c r="I10" s="214">
        <f t="shared" si="2"/>
        <v>0.55932203389830504</v>
      </c>
      <c r="J10" s="238">
        <f t="shared" ca="1" si="3"/>
        <v>6</v>
      </c>
      <c r="K10" s="307" t="s">
        <v>1353</v>
      </c>
      <c r="L10" s="219">
        <v>6</v>
      </c>
      <c r="M10" s="218" t="str">
        <f t="shared" ca="1" si="4"/>
        <v>Susie Keeefer &amp; Dylan Lockwood</v>
      </c>
      <c r="N10" s="217">
        <v>11</v>
      </c>
      <c r="O10" s="219">
        <v>10</v>
      </c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17</v>
      </c>
      <c r="W10" s="223">
        <f t="shared" si="22"/>
        <v>21</v>
      </c>
      <c r="X10" s="224">
        <f t="shared" si="6"/>
        <v>38</v>
      </c>
      <c r="Y10" s="332" t="s">
        <v>268</v>
      </c>
      <c r="Z10" s="329" t="str">
        <f t="shared" si="7"/>
        <v>Mary Thornton &amp; Robert Madison</v>
      </c>
      <c r="AA10" s="329">
        <f t="shared" si="8"/>
        <v>5</v>
      </c>
      <c r="AB10" s="329">
        <f t="shared" ca="1" si="9"/>
        <v>41</v>
      </c>
      <c r="AC10" s="329">
        <f t="shared" ca="1" si="10"/>
        <v>35</v>
      </c>
      <c r="AD10" s="329">
        <f t="shared" ca="1" si="11"/>
        <v>76</v>
      </c>
      <c r="AE10" s="236">
        <f t="shared" ca="1" si="12"/>
        <v>0.53947368421052633</v>
      </c>
      <c r="AF10" s="333">
        <f t="shared" ca="1" si="13"/>
        <v>-35.460526315789473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1101</v>
      </c>
      <c r="C11" s="316">
        <v>9</v>
      </c>
      <c r="D11" s="317">
        <v>9</v>
      </c>
      <c r="E11" s="317">
        <v>8</v>
      </c>
      <c r="F11" s="235">
        <f t="shared" si="0"/>
        <v>26</v>
      </c>
      <c r="G11" s="235">
        <f>C10+D13+E12</f>
        <v>33</v>
      </c>
      <c r="H11" s="235">
        <f t="shared" si="1"/>
        <v>59</v>
      </c>
      <c r="I11" s="236">
        <f t="shared" si="2"/>
        <v>0.44067796610169491</v>
      </c>
      <c r="J11" s="238">
        <f t="shared" ca="1" si="3"/>
        <v>12</v>
      </c>
      <c r="K11" s="310" t="s">
        <v>1354</v>
      </c>
      <c r="L11" s="241">
        <v>11</v>
      </c>
      <c r="M11" s="240" t="str">
        <f t="shared" ca="1" si="4"/>
        <v>Kristy Ecton &amp; Eric Santon</v>
      </c>
      <c r="N11" s="239">
        <v>10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10</v>
      </c>
      <c r="W11" s="223">
        <f t="shared" si="23"/>
        <v>11</v>
      </c>
      <c r="X11" s="224">
        <f t="shared" si="6"/>
        <v>21</v>
      </c>
      <c r="Y11" s="332" t="s">
        <v>271</v>
      </c>
      <c r="Z11" s="329" t="str">
        <f t="shared" si="7"/>
        <v>Amanda Miller &amp; Patrick Blackwell</v>
      </c>
      <c r="AA11" s="329">
        <f t="shared" ca="1" si="8"/>
        <v>10</v>
      </c>
      <c r="AB11" s="329">
        <f t="shared" ca="1" si="9"/>
        <v>37</v>
      </c>
      <c r="AC11" s="329">
        <f t="shared" ca="1" si="10"/>
        <v>43</v>
      </c>
      <c r="AD11" s="329">
        <f t="shared" ca="1" si="11"/>
        <v>80</v>
      </c>
      <c r="AE11" s="236">
        <f t="shared" ca="1" si="12"/>
        <v>0.46250000000000002</v>
      </c>
      <c r="AF11" s="341">
        <f t="shared" ca="1" si="13"/>
        <v>-39.537500000000001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1102</v>
      </c>
      <c r="C12" s="318">
        <v>11</v>
      </c>
      <c r="D12" s="319">
        <v>9</v>
      </c>
      <c r="E12" s="317">
        <v>11</v>
      </c>
      <c r="F12" s="235">
        <f t="shared" si="0"/>
        <v>31</v>
      </c>
      <c r="G12" s="235">
        <f>C13+D10+E11</f>
        <v>24</v>
      </c>
      <c r="H12" s="235">
        <f t="shared" si="1"/>
        <v>55</v>
      </c>
      <c r="I12" s="236">
        <f t="shared" si="2"/>
        <v>0.5636363636363636</v>
      </c>
      <c r="J12" s="238">
        <f t="shared" ca="1" si="3"/>
        <v>4</v>
      </c>
      <c r="K12" s="307" t="s">
        <v>1355</v>
      </c>
      <c r="L12" s="219">
        <v>3</v>
      </c>
      <c r="M12" s="218" t="str">
        <f t="shared" ca="1" si="4"/>
        <v>Nicolle Ratliff &amp; Danny Ng</v>
      </c>
      <c r="N12" s="217">
        <v>11</v>
      </c>
      <c r="O12" s="219">
        <v>4</v>
      </c>
      <c r="P12" s="242">
        <v>11</v>
      </c>
      <c r="Q12" s="243">
        <v>6</v>
      </c>
      <c r="R12" s="244">
        <v>11</v>
      </c>
      <c r="S12" s="245">
        <v>6</v>
      </c>
      <c r="T12" s="246">
        <v>11</v>
      </c>
      <c r="U12" s="243">
        <v>9</v>
      </c>
      <c r="V12" s="223">
        <f t="shared" ref="V12:W12" si="24">(N12+P12+R12+T12)</f>
        <v>44</v>
      </c>
      <c r="W12" s="223">
        <f t="shared" si="24"/>
        <v>25</v>
      </c>
      <c r="X12" s="224">
        <f t="shared" si="6"/>
        <v>69</v>
      </c>
      <c r="Y12" s="332" t="s">
        <v>228</v>
      </c>
      <c r="Z12" s="329" t="str">
        <f t="shared" si="7"/>
        <v>Kristy Ecton &amp; Eric Santon</v>
      </c>
      <c r="AA12" s="329">
        <f t="shared" ca="1" si="8"/>
        <v>11</v>
      </c>
      <c r="AB12" s="329">
        <f t="shared" ca="1" si="9"/>
        <v>36</v>
      </c>
      <c r="AC12" s="329">
        <f t="shared" ca="1" si="10"/>
        <v>43</v>
      </c>
      <c r="AD12" s="329">
        <f t="shared" ca="1" si="11"/>
        <v>79</v>
      </c>
      <c r="AE12" s="236">
        <f t="shared" ca="1" si="12"/>
        <v>0.45569620253164556</v>
      </c>
      <c r="AF12" s="343">
        <f t="shared" ca="1" si="13"/>
        <v>-40.544303797468352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1103</v>
      </c>
      <c r="C13" s="320">
        <v>5</v>
      </c>
      <c r="D13" s="321">
        <v>11</v>
      </c>
      <c r="E13" s="322">
        <v>8</v>
      </c>
      <c r="F13" s="252">
        <f t="shared" si="0"/>
        <v>24</v>
      </c>
      <c r="G13" s="252">
        <f>C12+D11+E10</f>
        <v>31</v>
      </c>
      <c r="H13" s="252">
        <f t="shared" si="1"/>
        <v>55</v>
      </c>
      <c r="I13" s="253">
        <f t="shared" si="2"/>
        <v>0.43636363636363634</v>
      </c>
      <c r="J13" s="255">
        <f t="shared" ca="1" si="3"/>
        <v>13</v>
      </c>
      <c r="K13" s="310" t="s">
        <v>1356</v>
      </c>
      <c r="L13" s="241">
        <v>14</v>
      </c>
      <c r="M13" s="240" t="str">
        <f t="shared" ca="1" si="4"/>
        <v>Susan Mitts &amp; David Keefer</v>
      </c>
      <c r="N13" s="239">
        <v>4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4</v>
      </c>
      <c r="W13" s="223">
        <f t="shared" si="25"/>
        <v>11</v>
      </c>
      <c r="X13" s="224">
        <f t="shared" si="6"/>
        <v>15</v>
      </c>
      <c r="Y13" s="336" t="s">
        <v>205</v>
      </c>
      <c r="Z13" s="337" t="str">
        <f t="shared" si="7"/>
        <v>Karen Luchinsky &amp; Troy Thomasson</v>
      </c>
      <c r="AA13" s="337">
        <f t="shared" ca="1" si="8"/>
        <v>9</v>
      </c>
      <c r="AB13" s="337">
        <f t="shared" ca="1" si="9"/>
        <v>32</v>
      </c>
      <c r="AC13" s="337">
        <f t="shared" ca="1" si="10"/>
        <v>40</v>
      </c>
      <c r="AD13" s="337">
        <f t="shared" ca="1" si="11"/>
        <v>72</v>
      </c>
      <c r="AE13" s="253">
        <f t="shared" ca="1" si="12"/>
        <v>0.44444444444444442</v>
      </c>
      <c r="AF13" s="345">
        <f t="shared" ca="1" si="13"/>
        <v>-44.555555555555557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1109</v>
      </c>
      <c r="C14" s="314">
        <v>3</v>
      </c>
      <c r="D14" s="315">
        <v>10</v>
      </c>
      <c r="E14" s="315">
        <v>4</v>
      </c>
      <c r="F14" s="213">
        <f t="shared" si="0"/>
        <v>17</v>
      </c>
      <c r="G14" s="213">
        <f>C15+D16+E17</f>
        <v>33</v>
      </c>
      <c r="H14" s="213">
        <f t="shared" si="1"/>
        <v>50</v>
      </c>
      <c r="I14" s="214">
        <f t="shared" si="2"/>
        <v>0.34</v>
      </c>
      <c r="J14" s="238">
        <f t="shared" ca="1" si="3"/>
        <v>15</v>
      </c>
      <c r="K14" s="307" t="s">
        <v>1357</v>
      </c>
      <c r="L14" s="219">
        <v>7</v>
      </c>
      <c r="M14" s="218" t="str">
        <f t="shared" ca="1" si="4"/>
        <v>Mary Pflanz &amp; Richard Lawrence</v>
      </c>
      <c r="N14" s="217">
        <v>11</v>
      </c>
      <c r="O14" s="219">
        <v>9</v>
      </c>
      <c r="P14" s="220">
        <v>6</v>
      </c>
      <c r="Q14" s="221">
        <v>11</v>
      </c>
      <c r="R14" s="244"/>
      <c r="S14" s="245"/>
      <c r="T14" s="246"/>
      <c r="U14" s="243"/>
      <c r="V14" s="223">
        <f t="shared" ref="V14:W14" si="26">(N14+P14+R14+T14)</f>
        <v>17</v>
      </c>
      <c r="W14" s="223">
        <f t="shared" si="26"/>
        <v>20</v>
      </c>
      <c r="X14" s="224">
        <f t="shared" si="6"/>
        <v>37</v>
      </c>
      <c r="Y14" s="332" t="s">
        <v>256</v>
      </c>
      <c r="Z14" s="329" t="str">
        <f t="shared" si="7"/>
        <v>Brook Vitt &amp; Bobby Cupp</v>
      </c>
      <c r="AA14" s="329">
        <f t="shared" ca="1" si="8"/>
        <v>13</v>
      </c>
      <c r="AB14" s="329">
        <f t="shared" ca="1" si="9"/>
        <v>25</v>
      </c>
      <c r="AC14" s="329">
        <f t="shared" ca="1" si="10"/>
        <v>42</v>
      </c>
      <c r="AD14" s="329">
        <f t="shared" ca="1" si="11"/>
        <v>67</v>
      </c>
      <c r="AE14" s="236">
        <f t="shared" ca="1" si="12"/>
        <v>0.37313432835820898</v>
      </c>
      <c r="AF14" s="343">
        <f t="shared" ca="1" si="13"/>
        <v>-51.626865671641788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1099</v>
      </c>
      <c r="C15" s="316">
        <v>11</v>
      </c>
      <c r="D15" s="317">
        <v>9</v>
      </c>
      <c r="E15" s="317">
        <v>11</v>
      </c>
      <c r="F15" s="235">
        <f t="shared" si="0"/>
        <v>31</v>
      </c>
      <c r="G15" s="235">
        <f>C14+D17+E16</f>
        <v>24</v>
      </c>
      <c r="H15" s="235">
        <f t="shared" si="1"/>
        <v>55</v>
      </c>
      <c r="I15" s="236">
        <f t="shared" si="2"/>
        <v>0.5636363636363636</v>
      </c>
      <c r="J15" s="238">
        <v>5</v>
      </c>
      <c r="K15" s="310" t="s">
        <v>1358</v>
      </c>
      <c r="L15" s="241">
        <v>10</v>
      </c>
      <c r="M15" s="240" t="str">
        <f t="shared" ca="1" si="4"/>
        <v>Amanda Miller &amp; Patrick Blackwell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7">(N15+P15+R15+T15)</f>
        <v>9</v>
      </c>
      <c r="W15" s="223">
        <f t="shared" si="27"/>
        <v>11</v>
      </c>
      <c r="X15" s="224">
        <f t="shared" si="6"/>
        <v>20</v>
      </c>
      <c r="Y15" s="332" t="s">
        <v>224</v>
      </c>
      <c r="Z15" s="329" t="str">
        <f t="shared" si="7"/>
        <v>Susan Mitts &amp; David Keefer</v>
      </c>
      <c r="AA15" s="329">
        <f t="shared" ca="1" si="8"/>
        <v>14</v>
      </c>
      <c r="AB15" s="329">
        <f t="shared" ca="1" si="9"/>
        <v>22</v>
      </c>
      <c r="AC15" s="329">
        <f t="shared" ca="1" si="10"/>
        <v>43</v>
      </c>
      <c r="AD15" s="329">
        <f t="shared" ca="1" si="11"/>
        <v>65</v>
      </c>
      <c r="AE15" s="236">
        <f t="shared" ca="1" si="12"/>
        <v>0.33846153846153848</v>
      </c>
      <c r="AF15" s="341">
        <f t="shared" ca="1" si="13"/>
        <v>-54.661538461538463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1110</v>
      </c>
      <c r="C16" s="318">
        <v>7</v>
      </c>
      <c r="D16" s="319">
        <v>11</v>
      </c>
      <c r="E16" s="317">
        <v>10</v>
      </c>
      <c r="F16" s="235">
        <f t="shared" si="0"/>
        <v>28</v>
      </c>
      <c r="G16" s="235">
        <f>C17+D14+E15</f>
        <v>32</v>
      </c>
      <c r="H16" s="235">
        <f t="shared" si="1"/>
        <v>60</v>
      </c>
      <c r="I16" s="236">
        <f t="shared" si="2"/>
        <v>0.46666666666666667</v>
      </c>
      <c r="J16" s="238">
        <f t="shared" ref="J16:J17" ca="1" si="28">IFERROR(RANK(I16,OFFSET($I$2,0,0,COUNTA($I$2:$I$17),1)),)</f>
        <v>10</v>
      </c>
      <c r="K16" s="307" t="s">
        <v>1359</v>
      </c>
      <c r="L16" s="219">
        <v>2</v>
      </c>
      <c r="M16" s="218" t="str">
        <f t="shared" ca="1" si="4"/>
        <v>Tiffany Blackwell &amp; Michael Schermoly</v>
      </c>
      <c r="N16" s="217">
        <v>11</v>
      </c>
      <c r="O16" s="219">
        <v>5</v>
      </c>
      <c r="P16" s="242">
        <v>11</v>
      </c>
      <c r="Q16" s="243">
        <v>6</v>
      </c>
      <c r="R16" s="244">
        <v>6</v>
      </c>
      <c r="S16" s="245">
        <v>11</v>
      </c>
      <c r="T16" s="246"/>
      <c r="U16" s="243"/>
      <c r="V16" s="223">
        <f t="shared" ref="V16:W16" si="29">(N16+P16+R16+T16)</f>
        <v>28</v>
      </c>
      <c r="W16" s="223">
        <f t="shared" si="29"/>
        <v>22</v>
      </c>
      <c r="X16" s="224">
        <f t="shared" si="6"/>
        <v>50</v>
      </c>
      <c r="Y16" s="332" t="s">
        <v>261</v>
      </c>
      <c r="Z16" s="329" t="str">
        <f t="shared" si="7"/>
        <v>Alice Edwards &amp; Stephen Limpic</v>
      </c>
      <c r="AA16" s="329">
        <f t="shared" ca="1" si="8"/>
        <v>15</v>
      </c>
      <c r="AB16" s="329">
        <f t="shared" ca="1" si="9"/>
        <v>22</v>
      </c>
      <c r="AC16" s="329">
        <f t="shared" ca="1" si="10"/>
        <v>44</v>
      </c>
      <c r="AD16" s="329">
        <f t="shared" ca="1" si="11"/>
        <v>66</v>
      </c>
      <c r="AE16" s="236">
        <f t="shared" ca="1" si="12"/>
        <v>0.33333333333333331</v>
      </c>
      <c r="AF16" s="341">
        <f t="shared" ca="1" si="13"/>
        <v>-54.666666666666664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139</v>
      </c>
      <c r="C17" s="323">
        <v>11</v>
      </c>
      <c r="D17" s="324">
        <v>11</v>
      </c>
      <c r="E17" s="325">
        <v>11</v>
      </c>
      <c r="F17" s="265">
        <f t="shared" si="0"/>
        <v>33</v>
      </c>
      <c r="G17" s="265">
        <f>C16+D15+E14</f>
        <v>20</v>
      </c>
      <c r="H17" s="265">
        <f t="shared" si="1"/>
        <v>53</v>
      </c>
      <c r="I17" s="266">
        <f t="shared" si="2"/>
        <v>0.62264150943396224</v>
      </c>
      <c r="J17" s="268">
        <f t="shared" ca="1" si="28"/>
        <v>3</v>
      </c>
      <c r="K17" s="311" t="s">
        <v>1360</v>
      </c>
      <c r="L17" s="271">
        <v>15</v>
      </c>
      <c r="M17" s="270" t="str">
        <f t="shared" ca="1" si="4"/>
        <v>Alice Edwards &amp; Stephen Limpic</v>
      </c>
      <c r="N17" s="269">
        <v>5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5</v>
      </c>
      <c r="W17" s="277">
        <f t="shared" si="30"/>
        <v>11</v>
      </c>
      <c r="X17" s="278">
        <f t="shared" si="6"/>
        <v>16</v>
      </c>
      <c r="Y17" s="347" t="s">
        <v>221</v>
      </c>
      <c r="Z17" s="274" t="str">
        <f t="shared" si="7"/>
        <v>Genece Brannan &amp; Steven Pauwels</v>
      </c>
      <c r="AA17" s="274">
        <f t="shared" ca="1" si="8"/>
        <v>16</v>
      </c>
      <c r="AB17" s="274">
        <f t="shared" ca="1" si="9"/>
        <v>18</v>
      </c>
      <c r="AC17" s="274">
        <f t="shared" ca="1" si="10"/>
        <v>44</v>
      </c>
      <c r="AD17" s="274">
        <f t="shared" ca="1" si="11"/>
        <v>62</v>
      </c>
      <c r="AE17" s="266">
        <f t="shared" ca="1" si="12"/>
        <v>0.29032258064516131</v>
      </c>
      <c r="AF17" s="348">
        <f t="shared" ca="1" si="13"/>
        <v>-58.70967741935484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139</v>
      </c>
      <c r="D19" s="289">
        <f t="shared" si="31"/>
        <v>148</v>
      </c>
      <c r="E19" s="289">
        <f>SUM(E2:E18)</f>
        <v>142</v>
      </c>
      <c r="F19" s="287">
        <f t="shared" ref="F19:G19" si="32">SUM(F2:F17)</f>
        <v>429</v>
      </c>
      <c r="G19" s="290">
        <f t="shared" si="32"/>
        <v>429</v>
      </c>
      <c r="H19" s="292">
        <f>SUM(H2:H17)/2</f>
        <v>429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137</v>
      </c>
      <c r="O19" s="287">
        <f t="shared" si="33"/>
        <v>137</v>
      </c>
      <c r="P19" s="287">
        <f t="shared" si="33"/>
        <v>67</v>
      </c>
      <c r="Q19" s="287">
        <f t="shared" si="33"/>
        <v>67</v>
      </c>
      <c r="R19" s="287">
        <f t="shared" si="33"/>
        <v>37</v>
      </c>
      <c r="S19" s="287">
        <f t="shared" si="33"/>
        <v>37</v>
      </c>
      <c r="T19" s="287">
        <f t="shared" si="33"/>
        <v>20</v>
      </c>
      <c r="U19" s="287">
        <f t="shared" si="33"/>
        <v>20</v>
      </c>
      <c r="V19" s="287">
        <f t="shared" si="33"/>
        <v>261</v>
      </c>
      <c r="W19" s="287">
        <f t="shared" si="33"/>
        <v>261</v>
      </c>
      <c r="X19" s="287">
        <f>SUM(X2:X17)/2</f>
        <v>261</v>
      </c>
      <c r="Y19" s="287"/>
      <c r="Z19" s="287"/>
      <c r="AA19" s="287"/>
      <c r="AB19" s="287">
        <f t="shared" ref="AB19:AD19" ca="1" si="34">SUM(AB2:AB17)/2</f>
        <v>345</v>
      </c>
      <c r="AC19" s="287">
        <f t="shared" ca="1" si="34"/>
        <v>345</v>
      </c>
      <c r="AD19" s="287">
        <f t="shared" ca="1" si="34"/>
        <v>690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2</v>
      </c>
      <c r="E20" s="326">
        <f t="shared" si="35"/>
        <v>1</v>
      </c>
      <c r="F20" s="296"/>
      <c r="G20" s="296"/>
      <c r="H20" s="297">
        <f>AVERAGE(H2:H17)</f>
        <v>53.625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2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6</v>
      </c>
      <c r="Y20" s="287"/>
      <c r="Z20" s="287"/>
      <c r="AA20" s="287"/>
      <c r="AB20" s="287"/>
      <c r="AC20" s="287"/>
      <c r="AD20" s="298">
        <f ca="1">AVERAGE(AD2:AD17)</f>
        <v>86.25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07" priority="5" operator="equal">
      <formula>33</formula>
    </cfRule>
  </conditionalFormatting>
  <conditionalFormatting sqref="J2:J17">
    <cfRule type="expression" dxfId="106" priority="7">
      <formula>COUNTIF(J$2:J$17,$J2)&gt;1</formula>
    </cfRule>
  </conditionalFormatting>
  <conditionalFormatting sqref="M2:X17">
    <cfRule type="expression" dxfId="105" priority="1">
      <formula>$T2=11</formula>
    </cfRule>
  </conditionalFormatting>
  <conditionalFormatting sqref="N2:O17">
    <cfRule type="expression" dxfId="104" priority="2">
      <formula>$N2=11</formula>
    </cfRule>
  </conditionalFormatting>
  <conditionalFormatting sqref="P2:Q17">
    <cfRule type="expression" dxfId="103" priority="3">
      <formula>$P2=11</formula>
    </cfRule>
  </conditionalFormatting>
  <conditionalFormatting sqref="R2:S17">
    <cfRule type="expression" dxfId="102" priority="4">
      <formula>$R2=11</formula>
    </cfRule>
  </conditionalFormatting>
  <conditionalFormatting sqref="AG2:AG17">
    <cfRule type="expression" dxfId="101" priority="6">
      <formula>COUNTIF(AG$2:AG$17,$AG2)&gt;1</formula>
    </cfRule>
  </conditionalFormatting>
  <hyperlinks>
    <hyperlink ref="A1" location="Champions!A1" display="Home" xr:uid="{00000000-0004-0000-0C00-000000000000}"/>
    <hyperlink ref="AH1" location="Champions!A1" display="Home" xr:uid="{00000000-0004-0000-0C00-000001000000}"/>
    <hyperlink ref="A19" location="Champions!A1" display="Home" xr:uid="{00000000-0004-0000-0C00-000002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1064</v>
      </c>
      <c r="C2" s="314">
        <v>1</v>
      </c>
      <c r="D2" s="315">
        <v>9</v>
      </c>
      <c r="E2" s="315">
        <v>11</v>
      </c>
      <c r="F2" s="213">
        <f t="shared" ref="F2:F17" si="0">SUM(C2:E2)</f>
        <v>21</v>
      </c>
      <c r="G2" s="213">
        <f>C3+D4+E5</f>
        <v>30</v>
      </c>
      <c r="H2" s="213">
        <f t="shared" ref="H2:H17" si="1">SUM(F2:G2)</f>
        <v>51</v>
      </c>
      <c r="I2" s="214">
        <f t="shared" ref="I2:I17" si="2">IFERROR(F2/H2,"")</f>
        <v>0.41176470588235292</v>
      </c>
      <c r="J2" s="216">
        <f t="shared" ref="J2:J13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Justin Winner &amp; Grif Sims</v>
      </c>
      <c r="N2" s="217">
        <v>11</v>
      </c>
      <c r="O2" s="219">
        <v>4</v>
      </c>
      <c r="P2" s="220">
        <v>9</v>
      </c>
      <c r="Q2" s="221">
        <v>11</v>
      </c>
      <c r="R2" s="217"/>
      <c r="S2" s="219"/>
      <c r="T2" s="222"/>
      <c r="U2" s="221"/>
      <c r="V2" s="223">
        <f t="shared" ref="V2:W2" si="5">(N2+P2+R2+T2)</f>
        <v>20</v>
      </c>
      <c r="W2" s="223">
        <f t="shared" si="5"/>
        <v>15</v>
      </c>
      <c r="X2" s="224">
        <f t="shared" ref="X2:X17" si="6">V2+W2</f>
        <v>35</v>
      </c>
      <c r="Y2" s="332" t="s">
        <v>276</v>
      </c>
      <c r="Z2" s="329" t="str">
        <f t="shared" ref="Z2:Z17" si="7">INDEX($A$2:$B$17,MATCH(Y2,$A$2:$A$17,0),2)</f>
        <v>Curtis Stoneman &amp; Jeremie Wilson</v>
      </c>
      <c r="AA2" s="329">
        <f t="shared" ref="AA2:AA17" ca="1" si="8">INDEX($B$2:$K$17, MATCH($Z2,$B$2:$B$17,0),9)</f>
        <v>6</v>
      </c>
      <c r="AB2" s="329">
        <f t="shared" ref="AB2:AB17" ca="1" si="9">INDEX($A$2:$AG$17,(MATCH($Z2,$B$2:$B$17,0)),6)+INDEX($M$2:$X$17,MATCH($Z2,$M$2:$M$17,0),10)</f>
        <v>74</v>
      </c>
      <c r="AC2" s="329">
        <f t="shared" ref="AC2:AC17" ca="1" si="10">INDEX($A$2:$AG$17,(MATCH($Z2,$B$2:$B$17,0)),7)+INDEX($M$2:$X$17,MATCH($Z2,$M$2:$M$17,0),11)</f>
        <v>57</v>
      </c>
      <c r="AD2" s="329">
        <f t="shared" ref="AD2:AD17" ca="1" si="11">SUM(AB2:AC2)</f>
        <v>131</v>
      </c>
      <c r="AE2" s="236">
        <f t="shared" ref="AE2:AE17" ca="1" si="12">AB2/AD2</f>
        <v>0.56488549618320616</v>
      </c>
      <c r="AF2" s="400">
        <f t="shared" ref="AF2:AF17" ca="1" si="13">AE2-(77-AB2)</f>
        <v>-2.4351145038167941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1067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Connor Callahan &amp; Justin Metcalf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268</v>
      </c>
      <c r="Z3" s="329" t="str">
        <f t="shared" si="7"/>
        <v>William Hyde &amp; Troy Thomasson</v>
      </c>
      <c r="AA3" s="329">
        <f t="shared" ca="1" si="8"/>
        <v>4</v>
      </c>
      <c r="AB3" s="329">
        <f t="shared" ca="1" si="9"/>
        <v>73</v>
      </c>
      <c r="AC3" s="329">
        <f t="shared" ca="1" si="10"/>
        <v>55</v>
      </c>
      <c r="AD3" s="329">
        <f t="shared" ca="1" si="11"/>
        <v>128</v>
      </c>
      <c r="AE3" s="236">
        <f t="shared" ca="1" si="12"/>
        <v>0.5703125</v>
      </c>
      <c r="AF3" s="341">
        <f t="shared" ca="1" si="13"/>
        <v>-3.4296875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1070</v>
      </c>
      <c r="C4" s="318">
        <v>11</v>
      </c>
      <c r="D4" s="319">
        <v>11</v>
      </c>
      <c r="E4" s="317">
        <v>4</v>
      </c>
      <c r="F4" s="235">
        <f t="shared" si="0"/>
        <v>26</v>
      </c>
      <c r="G4" s="235">
        <f>C5+D2+E3</f>
        <v>25</v>
      </c>
      <c r="H4" s="235">
        <f t="shared" si="1"/>
        <v>51</v>
      </c>
      <c r="I4" s="236">
        <f t="shared" si="2"/>
        <v>0.50980392156862742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Justin Hoffman &amp; Ishmael Alejo</v>
      </c>
      <c r="N4" s="217">
        <v>11</v>
      </c>
      <c r="O4" s="219">
        <v>9</v>
      </c>
      <c r="P4" s="242">
        <v>11</v>
      </c>
      <c r="Q4" s="243">
        <v>9</v>
      </c>
      <c r="R4" s="244">
        <v>5</v>
      </c>
      <c r="S4" s="245">
        <v>11</v>
      </c>
      <c r="T4" s="246"/>
      <c r="U4" s="243"/>
      <c r="V4" s="223">
        <f t="shared" ref="V4:W4" si="16">(N4+P4+R4+T4)</f>
        <v>27</v>
      </c>
      <c r="W4" s="223">
        <f t="shared" si="16"/>
        <v>29</v>
      </c>
      <c r="X4" s="224">
        <f t="shared" si="6"/>
        <v>56</v>
      </c>
      <c r="Y4" s="332" t="s">
        <v>216</v>
      </c>
      <c r="Z4" s="329" t="str">
        <f t="shared" si="7"/>
        <v>Grant Isom &amp; Michael Schermoly</v>
      </c>
      <c r="AA4" s="329">
        <f t="shared" ca="1" si="8"/>
        <v>7</v>
      </c>
      <c r="AB4" s="329">
        <f t="shared" ca="1" si="9"/>
        <v>55</v>
      </c>
      <c r="AC4" s="329">
        <f t="shared" ca="1" si="10"/>
        <v>50</v>
      </c>
      <c r="AD4" s="329">
        <f t="shared" ca="1" si="11"/>
        <v>105</v>
      </c>
      <c r="AE4" s="236">
        <f t="shared" ca="1" si="12"/>
        <v>0.52380952380952384</v>
      </c>
      <c r="AF4" s="341">
        <f t="shared" ca="1" si="13"/>
        <v>-21.476190476190474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1072</v>
      </c>
      <c r="C5" s="320">
        <v>5</v>
      </c>
      <c r="D5" s="321">
        <v>7</v>
      </c>
      <c r="E5" s="322">
        <v>8</v>
      </c>
      <c r="F5" s="252">
        <f t="shared" si="0"/>
        <v>20</v>
      </c>
      <c r="G5" s="252">
        <f>C4+D3+E2</f>
        <v>33</v>
      </c>
      <c r="H5" s="252">
        <f t="shared" si="1"/>
        <v>53</v>
      </c>
      <c r="I5" s="253">
        <f t="shared" si="2"/>
        <v>0.37735849056603776</v>
      </c>
      <c r="J5" s="255">
        <f t="shared" ca="1" si="3"/>
        <v>13</v>
      </c>
      <c r="K5" s="310" t="s">
        <v>1348</v>
      </c>
      <c r="L5" s="241">
        <v>9</v>
      </c>
      <c r="M5" s="240" t="str">
        <f t="shared" ca="1" si="4"/>
        <v>Blair Hinkle &amp; Jason Steliga</v>
      </c>
      <c r="N5" s="239">
        <v>9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9</v>
      </c>
      <c r="W5" s="223">
        <f t="shared" si="17"/>
        <v>11</v>
      </c>
      <c r="X5" s="224">
        <f t="shared" si="6"/>
        <v>20</v>
      </c>
      <c r="Y5" s="336" t="s">
        <v>256</v>
      </c>
      <c r="Z5" s="337" t="str">
        <f t="shared" si="7"/>
        <v>Justin Hoffman &amp; Ishmael Alejo</v>
      </c>
      <c r="AA5" s="337">
        <f t="shared" ca="1" si="8"/>
        <v>8</v>
      </c>
      <c r="AB5" s="337">
        <f t="shared" ca="1" si="9"/>
        <v>54</v>
      </c>
      <c r="AC5" s="337">
        <f t="shared" ca="1" si="10"/>
        <v>55</v>
      </c>
      <c r="AD5" s="337">
        <f t="shared" ca="1" si="11"/>
        <v>109</v>
      </c>
      <c r="AE5" s="253">
        <f t="shared" ca="1" si="12"/>
        <v>0.49541284403669728</v>
      </c>
      <c r="AF5" s="338">
        <f t="shared" ca="1" si="13"/>
        <v>-22.504587155963304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1075</v>
      </c>
      <c r="C6" s="314">
        <v>2</v>
      </c>
      <c r="D6" s="315">
        <v>8</v>
      </c>
      <c r="E6" s="315">
        <v>11</v>
      </c>
      <c r="F6" s="213">
        <f t="shared" si="0"/>
        <v>21</v>
      </c>
      <c r="G6" s="213">
        <f>C7+D8+E9</f>
        <v>26</v>
      </c>
      <c r="H6" s="213">
        <f t="shared" si="1"/>
        <v>47</v>
      </c>
      <c r="I6" s="214">
        <f t="shared" si="2"/>
        <v>0.44680851063829785</v>
      </c>
      <c r="J6" s="238">
        <f t="shared" ca="1" si="3"/>
        <v>11</v>
      </c>
      <c r="K6" s="307" t="s">
        <v>1349</v>
      </c>
      <c r="L6" s="219">
        <v>5</v>
      </c>
      <c r="M6" s="218" t="str">
        <f t="shared" ca="1" si="4"/>
        <v>Andy Lockard &amp; Stephen Limpic</v>
      </c>
      <c r="N6" s="217">
        <v>11</v>
      </c>
      <c r="O6" s="219">
        <v>6</v>
      </c>
      <c r="P6" s="220">
        <v>8</v>
      </c>
      <c r="Q6" s="221">
        <v>11</v>
      </c>
      <c r="R6" s="244"/>
      <c r="S6" s="245"/>
      <c r="T6" s="246"/>
      <c r="U6" s="243"/>
      <c r="V6" s="223">
        <f t="shared" ref="V6:W6" si="18">(N6+P6+R6+T6)</f>
        <v>19</v>
      </c>
      <c r="W6" s="223">
        <f t="shared" si="18"/>
        <v>17</v>
      </c>
      <c r="X6" s="224">
        <f t="shared" si="6"/>
        <v>36</v>
      </c>
      <c r="Y6" s="328" t="s">
        <v>228</v>
      </c>
      <c r="Z6" s="340" t="str">
        <f t="shared" si="7"/>
        <v>Justin Winner &amp; Grif Sims</v>
      </c>
      <c r="AA6" s="340">
        <f t="shared" ca="1" si="8"/>
        <v>1</v>
      </c>
      <c r="AB6" s="340">
        <f t="shared" ca="1" si="9"/>
        <v>53</v>
      </c>
      <c r="AC6" s="340">
        <f t="shared" ca="1" si="10"/>
        <v>26</v>
      </c>
      <c r="AD6" s="340">
        <f t="shared" ca="1" si="11"/>
        <v>79</v>
      </c>
      <c r="AE6" s="214">
        <f t="shared" ca="1" si="12"/>
        <v>0.67088607594936711</v>
      </c>
      <c r="AF6" s="341">
        <f t="shared" ca="1" si="13"/>
        <v>-23.329113924050631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1065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11</v>
      </c>
      <c r="H7" s="235">
        <f t="shared" si="1"/>
        <v>44</v>
      </c>
      <c r="I7" s="236">
        <f t="shared" si="2"/>
        <v>0.75</v>
      </c>
      <c r="J7" s="238">
        <f t="shared" ca="1" si="3"/>
        <v>1</v>
      </c>
      <c r="K7" s="310" t="s">
        <v>1350</v>
      </c>
      <c r="L7" s="241">
        <v>12</v>
      </c>
      <c r="M7" s="240" t="str">
        <f t="shared" ca="1" si="4"/>
        <v>Bond Marrs &amp; Bobby Cupp</v>
      </c>
      <c r="N7" s="239">
        <v>6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6</v>
      </c>
      <c r="W7" s="223">
        <f t="shared" si="19"/>
        <v>11</v>
      </c>
      <c r="X7" s="224">
        <f t="shared" si="6"/>
        <v>17</v>
      </c>
      <c r="Y7" s="332" t="s">
        <v>246</v>
      </c>
      <c r="Z7" s="329" t="str">
        <f t="shared" si="7"/>
        <v>Jacob Beck &amp; Clay Wagenhals</v>
      </c>
      <c r="AA7" s="329">
        <f t="shared" ca="1" si="8"/>
        <v>3</v>
      </c>
      <c r="AB7" s="329">
        <f t="shared" ca="1" si="9"/>
        <v>53</v>
      </c>
      <c r="AC7" s="329">
        <f t="shared" ca="1" si="10"/>
        <v>33</v>
      </c>
      <c r="AD7" s="329">
        <f t="shared" ca="1" si="11"/>
        <v>86</v>
      </c>
      <c r="AE7" s="236">
        <f t="shared" ca="1" si="12"/>
        <v>0.61627906976744184</v>
      </c>
      <c r="AF7" s="341">
        <f t="shared" ca="1" si="13"/>
        <v>-23.38372093023256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1073</v>
      </c>
      <c r="C8" s="318">
        <v>11</v>
      </c>
      <c r="D8" s="319">
        <v>11</v>
      </c>
      <c r="E8" s="317">
        <v>6</v>
      </c>
      <c r="F8" s="235">
        <f t="shared" si="0"/>
        <v>28</v>
      </c>
      <c r="G8" s="235">
        <f>C9+D6+E7</f>
        <v>27</v>
      </c>
      <c r="H8" s="235">
        <f t="shared" si="1"/>
        <v>55</v>
      </c>
      <c r="I8" s="236">
        <f t="shared" si="2"/>
        <v>0.50909090909090904</v>
      </c>
      <c r="J8" s="238">
        <f t="shared" ca="1" si="3"/>
        <v>9</v>
      </c>
      <c r="K8" s="307" t="s">
        <v>1351</v>
      </c>
      <c r="L8" s="219">
        <v>4</v>
      </c>
      <c r="M8" s="218" t="str">
        <f t="shared" ca="1" si="4"/>
        <v>William Hyde &amp; Troy Thomasson</v>
      </c>
      <c r="N8" s="217">
        <v>11</v>
      </c>
      <c r="O8" s="219">
        <v>8</v>
      </c>
      <c r="P8" s="242">
        <v>11</v>
      </c>
      <c r="Q8" s="243">
        <v>8</v>
      </c>
      <c r="R8" s="244">
        <v>11</v>
      </c>
      <c r="S8" s="245">
        <v>5</v>
      </c>
      <c r="T8" s="246">
        <v>7</v>
      </c>
      <c r="U8" s="243">
        <v>11</v>
      </c>
      <c r="V8" s="223">
        <f t="shared" ref="V8:W8" si="20">(N8+P8+R8+T8)</f>
        <v>40</v>
      </c>
      <c r="W8" s="223">
        <f t="shared" si="20"/>
        <v>32</v>
      </c>
      <c r="X8" s="224">
        <f t="shared" si="6"/>
        <v>72</v>
      </c>
      <c r="Y8" s="332" t="s">
        <v>211</v>
      </c>
      <c r="Z8" s="329" t="str">
        <f t="shared" si="7"/>
        <v>Tom Hunt &amp; Richard Lawrence</v>
      </c>
      <c r="AA8" s="329">
        <f t="shared" ca="1" si="8"/>
        <v>2</v>
      </c>
      <c r="AB8" s="329">
        <f t="shared" ca="1" si="9"/>
        <v>52</v>
      </c>
      <c r="AC8" s="329">
        <f t="shared" ca="1" si="10"/>
        <v>29</v>
      </c>
      <c r="AD8" s="329">
        <f t="shared" ca="1" si="11"/>
        <v>81</v>
      </c>
      <c r="AE8" s="236">
        <f t="shared" ca="1" si="12"/>
        <v>0.64197530864197527</v>
      </c>
      <c r="AF8" s="341">
        <f t="shared" ca="1" si="13"/>
        <v>-24.358024691358025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1068</v>
      </c>
      <c r="C9" s="320">
        <v>8</v>
      </c>
      <c r="D9" s="321">
        <v>3</v>
      </c>
      <c r="E9" s="322">
        <v>4</v>
      </c>
      <c r="F9" s="252">
        <f t="shared" si="0"/>
        <v>15</v>
      </c>
      <c r="G9" s="252">
        <f>C8+D7+E6</f>
        <v>33</v>
      </c>
      <c r="H9" s="252">
        <f t="shared" si="1"/>
        <v>48</v>
      </c>
      <c r="I9" s="253">
        <f t="shared" si="2"/>
        <v>0.3125</v>
      </c>
      <c r="J9" s="255">
        <f t="shared" ca="1" si="3"/>
        <v>16</v>
      </c>
      <c r="K9" s="310" t="s">
        <v>1352</v>
      </c>
      <c r="L9" s="241">
        <v>13</v>
      </c>
      <c r="M9" s="240" t="str">
        <f t="shared" ca="1" si="4"/>
        <v>John Stauffer &amp; Patrick Blackwell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251</v>
      </c>
      <c r="Z9" s="337" t="str">
        <f t="shared" si="7"/>
        <v>Andy Lockard &amp; Stephen Limpic</v>
      </c>
      <c r="AA9" s="337">
        <f t="shared" ca="1" si="8"/>
        <v>5</v>
      </c>
      <c r="AB9" s="337">
        <f t="shared" ca="1" si="9"/>
        <v>50</v>
      </c>
      <c r="AC9" s="337">
        <f t="shared" ca="1" si="10"/>
        <v>45</v>
      </c>
      <c r="AD9" s="337">
        <f t="shared" ca="1" si="11"/>
        <v>95</v>
      </c>
      <c r="AE9" s="253">
        <f t="shared" ca="1" si="12"/>
        <v>0.52631578947368418</v>
      </c>
      <c r="AF9" s="399">
        <f t="shared" ca="1" si="13"/>
        <v>-26.473684210526315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1081</v>
      </c>
      <c r="C10" s="314">
        <v>7</v>
      </c>
      <c r="D10" s="315">
        <v>7</v>
      </c>
      <c r="E10" s="315">
        <v>4</v>
      </c>
      <c r="F10" s="213">
        <f t="shared" si="0"/>
        <v>18</v>
      </c>
      <c r="G10" s="213">
        <f>C11+D12+E13</f>
        <v>33</v>
      </c>
      <c r="H10" s="213">
        <f t="shared" si="1"/>
        <v>51</v>
      </c>
      <c r="I10" s="214">
        <f t="shared" si="2"/>
        <v>0.35294117647058826</v>
      </c>
      <c r="J10" s="238">
        <f t="shared" ca="1" si="3"/>
        <v>15</v>
      </c>
      <c r="K10" s="307" t="s">
        <v>1353</v>
      </c>
      <c r="L10" s="219">
        <v>6</v>
      </c>
      <c r="M10" s="218" t="str">
        <f t="shared" ca="1" si="4"/>
        <v>Curtis Stoneman &amp; Jeremie Wilson</v>
      </c>
      <c r="N10" s="217">
        <v>11</v>
      </c>
      <c r="O10" s="219">
        <v>6</v>
      </c>
      <c r="P10" s="220">
        <v>11</v>
      </c>
      <c r="Q10" s="221">
        <v>9</v>
      </c>
      <c r="R10" s="217">
        <v>11</v>
      </c>
      <c r="S10" s="219">
        <v>7</v>
      </c>
      <c r="T10" s="246">
        <v>11</v>
      </c>
      <c r="U10" s="243">
        <v>7</v>
      </c>
      <c r="V10" s="223">
        <f t="shared" ref="V10:W10" si="22">(N10+P10+R10+T10)</f>
        <v>44</v>
      </c>
      <c r="W10" s="223">
        <f t="shared" si="22"/>
        <v>29</v>
      </c>
      <c r="X10" s="224">
        <f t="shared" si="6"/>
        <v>73</v>
      </c>
      <c r="Y10" s="332" t="s">
        <v>232</v>
      </c>
      <c r="Z10" s="329" t="str">
        <f t="shared" si="7"/>
        <v>Blair Hinkle &amp; Jason Steliga</v>
      </c>
      <c r="AA10" s="329">
        <f t="shared" ca="1" si="8"/>
        <v>9</v>
      </c>
      <c r="AB10" s="329">
        <f t="shared" ca="1" si="9"/>
        <v>37</v>
      </c>
      <c r="AC10" s="329">
        <f t="shared" ca="1" si="10"/>
        <v>38</v>
      </c>
      <c r="AD10" s="329">
        <f t="shared" ca="1" si="11"/>
        <v>75</v>
      </c>
      <c r="AE10" s="236">
        <f t="shared" ca="1" si="12"/>
        <v>0.49333333333333335</v>
      </c>
      <c r="AF10" s="333">
        <f t="shared" ca="1" si="13"/>
        <v>-39.506666666666668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1083</v>
      </c>
      <c r="C11" s="316">
        <v>11</v>
      </c>
      <c r="D11" s="317">
        <v>11</v>
      </c>
      <c r="E11" s="317">
        <v>11</v>
      </c>
      <c r="F11" s="235">
        <f t="shared" si="0"/>
        <v>33</v>
      </c>
      <c r="G11" s="235">
        <f>C10+D13+E12</f>
        <v>22</v>
      </c>
      <c r="H11" s="235">
        <f t="shared" si="1"/>
        <v>55</v>
      </c>
      <c r="I11" s="236">
        <f t="shared" si="2"/>
        <v>0.6</v>
      </c>
      <c r="J11" s="238">
        <f t="shared" ca="1" si="3"/>
        <v>3</v>
      </c>
      <c r="K11" s="310" t="s">
        <v>1354</v>
      </c>
      <c r="L11" s="241">
        <v>11</v>
      </c>
      <c r="M11" s="240" t="str">
        <f t="shared" ca="1" si="4"/>
        <v>Jack Zupan &amp; Derrick Cupp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32" t="s">
        <v>271</v>
      </c>
      <c r="Z11" s="329" t="str">
        <f t="shared" si="7"/>
        <v>Jeff Stockham &amp; Chris Long</v>
      </c>
      <c r="AA11" s="329">
        <f t="shared" ca="1" si="8"/>
        <v>10</v>
      </c>
      <c r="AB11" s="329">
        <f t="shared" ca="1" si="9"/>
        <v>36</v>
      </c>
      <c r="AC11" s="329">
        <f t="shared" ca="1" si="10"/>
        <v>40</v>
      </c>
      <c r="AD11" s="329">
        <f t="shared" ca="1" si="11"/>
        <v>76</v>
      </c>
      <c r="AE11" s="236">
        <f t="shared" ca="1" si="12"/>
        <v>0.47368421052631576</v>
      </c>
      <c r="AF11" s="341">
        <f t="shared" ca="1" si="13"/>
        <v>-40.526315789473685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1076</v>
      </c>
      <c r="C12" s="318">
        <v>11</v>
      </c>
      <c r="D12" s="319">
        <v>11</v>
      </c>
      <c r="E12" s="317">
        <v>9</v>
      </c>
      <c r="F12" s="235">
        <f t="shared" si="0"/>
        <v>31</v>
      </c>
      <c r="G12" s="235">
        <f>C13+D10+E11</f>
        <v>28</v>
      </c>
      <c r="H12" s="235">
        <f t="shared" si="1"/>
        <v>59</v>
      </c>
      <c r="I12" s="236">
        <f t="shared" si="2"/>
        <v>0.52542372881355937</v>
      </c>
      <c r="J12" s="238">
        <f t="shared" ca="1" si="3"/>
        <v>5</v>
      </c>
      <c r="K12" s="307" t="s">
        <v>1355</v>
      </c>
      <c r="L12" s="219">
        <v>3</v>
      </c>
      <c r="M12" s="218" t="str">
        <f t="shared" ca="1" si="4"/>
        <v>Jacob Beck &amp; Clay Wagenhals</v>
      </c>
      <c r="N12" s="217">
        <v>11</v>
      </c>
      <c r="O12" s="219">
        <v>0</v>
      </c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4">(N12+P12+R12+T12)</f>
        <v>20</v>
      </c>
      <c r="W12" s="223">
        <f t="shared" si="24"/>
        <v>11</v>
      </c>
      <c r="X12" s="224">
        <f t="shared" si="6"/>
        <v>31</v>
      </c>
      <c r="Y12" s="332" t="s">
        <v>221</v>
      </c>
      <c r="Z12" s="329" t="str">
        <f t="shared" si="7"/>
        <v>John Stauffer &amp; Patrick Blackwell</v>
      </c>
      <c r="AA12" s="329">
        <f t="shared" ca="1" si="8"/>
        <v>13</v>
      </c>
      <c r="AB12" s="329">
        <f t="shared" ca="1" si="9"/>
        <v>28</v>
      </c>
      <c r="AC12" s="329">
        <f t="shared" ca="1" si="10"/>
        <v>44</v>
      </c>
      <c r="AD12" s="329">
        <f t="shared" ca="1" si="11"/>
        <v>72</v>
      </c>
      <c r="AE12" s="236">
        <f t="shared" ca="1" si="12"/>
        <v>0.3888888888888889</v>
      </c>
      <c r="AF12" s="343">
        <f t="shared" ca="1" si="13"/>
        <v>-48.611111111111114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1071</v>
      </c>
      <c r="C13" s="320">
        <v>10</v>
      </c>
      <c r="D13" s="321">
        <v>6</v>
      </c>
      <c r="E13" s="322">
        <v>11</v>
      </c>
      <c r="F13" s="252">
        <f t="shared" si="0"/>
        <v>27</v>
      </c>
      <c r="G13" s="252">
        <f>C12+D11+E10</f>
        <v>26</v>
      </c>
      <c r="H13" s="252">
        <f t="shared" si="1"/>
        <v>53</v>
      </c>
      <c r="I13" s="253">
        <f t="shared" si="2"/>
        <v>0.50943396226415094</v>
      </c>
      <c r="J13" s="255">
        <f t="shared" ca="1" si="3"/>
        <v>8</v>
      </c>
      <c r="K13" s="310" t="s">
        <v>1356</v>
      </c>
      <c r="L13" s="241">
        <v>14</v>
      </c>
      <c r="M13" s="240" t="str">
        <f t="shared" ca="1" si="4"/>
        <v>Mike McGillicuddy &amp; Matt Hood</v>
      </c>
      <c r="N13" s="239">
        <v>0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0</v>
      </c>
      <c r="W13" s="223">
        <f t="shared" si="25"/>
        <v>11</v>
      </c>
      <c r="X13" s="224">
        <f t="shared" si="6"/>
        <v>11</v>
      </c>
      <c r="Y13" s="336" t="s">
        <v>224</v>
      </c>
      <c r="Z13" s="337" t="str">
        <f t="shared" si="7"/>
        <v>Jack Zupan &amp; Derrick Cupp</v>
      </c>
      <c r="AA13" s="337">
        <f t="shared" ca="1" si="8"/>
        <v>11</v>
      </c>
      <c r="AB13" s="337">
        <f t="shared" ca="1" si="9"/>
        <v>27</v>
      </c>
      <c r="AC13" s="337">
        <f t="shared" ca="1" si="10"/>
        <v>37</v>
      </c>
      <c r="AD13" s="337">
        <f t="shared" ca="1" si="11"/>
        <v>64</v>
      </c>
      <c r="AE13" s="253">
        <f t="shared" ca="1" si="12"/>
        <v>0.421875</v>
      </c>
      <c r="AF13" s="345">
        <f t="shared" ca="1" si="13"/>
        <v>-49.578125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1087</v>
      </c>
      <c r="C14" s="314">
        <v>5</v>
      </c>
      <c r="D14" s="315">
        <v>7</v>
      </c>
      <c r="E14" s="315">
        <v>8</v>
      </c>
      <c r="F14" s="213">
        <f t="shared" si="0"/>
        <v>20</v>
      </c>
      <c r="G14" s="213">
        <f>C15+D16+E17</f>
        <v>33</v>
      </c>
      <c r="H14" s="213">
        <f t="shared" si="1"/>
        <v>53</v>
      </c>
      <c r="I14" s="214">
        <f t="shared" si="2"/>
        <v>0.37735849056603776</v>
      </c>
      <c r="J14" s="238">
        <v>14</v>
      </c>
      <c r="K14" s="307" t="s">
        <v>1357</v>
      </c>
      <c r="L14" s="219">
        <v>7</v>
      </c>
      <c r="M14" s="218" t="str">
        <f t="shared" ca="1" si="4"/>
        <v>Grant Isom &amp; Michael Schermoly</v>
      </c>
      <c r="N14" s="217">
        <v>11</v>
      </c>
      <c r="O14" s="219">
        <v>6</v>
      </c>
      <c r="P14" s="220">
        <v>11</v>
      </c>
      <c r="Q14" s="221">
        <v>8</v>
      </c>
      <c r="R14" s="244">
        <v>7</v>
      </c>
      <c r="S14" s="245">
        <v>11</v>
      </c>
      <c r="T14" s="246"/>
      <c r="U14" s="243"/>
      <c r="V14" s="223">
        <f t="shared" ref="V14:W14" si="26">(N14+P14+R14+T14)</f>
        <v>29</v>
      </c>
      <c r="W14" s="223">
        <f t="shared" si="26"/>
        <v>25</v>
      </c>
      <c r="X14" s="224">
        <f t="shared" si="6"/>
        <v>54</v>
      </c>
      <c r="Y14" s="332" t="s">
        <v>205</v>
      </c>
      <c r="Z14" s="329" t="str">
        <f t="shared" si="7"/>
        <v>Bond Marrs &amp; Bobby Cupp</v>
      </c>
      <c r="AA14" s="329">
        <f t="shared" ca="1" si="8"/>
        <v>12</v>
      </c>
      <c r="AB14" s="329">
        <f t="shared" ca="1" si="9"/>
        <v>27</v>
      </c>
      <c r="AC14" s="329">
        <f t="shared" ca="1" si="10"/>
        <v>41</v>
      </c>
      <c r="AD14" s="329">
        <f t="shared" ca="1" si="11"/>
        <v>68</v>
      </c>
      <c r="AE14" s="236">
        <f t="shared" ca="1" si="12"/>
        <v>0.39705882352941174</v>
      </c>
      <c r="AF14" s="343">
        <f t="shared" ca="1" si="13"/>
        <v>-49.602941176470587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138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23</v>
      </c>
      <c r="H15" s="235">
        <f t="shared" si="1"/>
        <v>56</v>
      </c>
      <c r="I15" s="236">
        <f t="shared" si="2"/>
        <v>0.5892857142857143</v>
      </c>
      <c r="J15" s="238">
        <f t="shared" ref="J15:J17" ca="1" si="27">IFERROR(RANK(I15,OFFSET($I$2,0,0,COUNTA($I$2:$I$17),1)),)</f>
        <v>4</v>
      </c>
      <c r="K15" s="310" t="s">
        <v>1358</v>
      </c>
      <c r="L15" s="241">
        <v>10</v>
      </c>
      <c r="M15" s="240" t="str">
        <f t="shared" ca="1" si="4"/>
        <v>Jeff Stockham &amp; Chris Long</v>
      </c>
      <c r="N15" s="239">
        <v>6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6</v>
      </c>
      <c r="W15" s="223">
        <f t="shared" si="28"/>
        <v>11</v>
      </c>
      <c r="X15" s="224">
        <f t="shared" si="6"/>
        <v>17</v>
      </c>
      <c r="Y15" s="332" t="s">
        <v>241</v>
      </c>
      <c r="Z15" s="329" t="str">
        <f t="shared" si="7"/>
        <v>Sam Gay &amp; Jeff Nelson</v>
      </c>
      <c r="AA15" s="329">
        <f t="shared" ca="1" si="8"/>
        <v>15</v>
      </c>
      <c r="AB15" s="329">
        <f t="shared" ca="1" si="9"/>
        <v>24</v>
      </c>
      <c r="AC15" s="329">
        <f t="shared" ca="1" si="10"/>
        <v>44</v>
      </c>
      <c r="AD15" s="329">
        <f t="shared" ca="1" si="11"/>
        <v>68</v>
      </c>
      <c r="AE15" s="236">
        <f t="shared" ca="1" si="12"/>
        <v>0.35294117647058826</v>
      </c>
      <c r="AF15" s="341">
        <f t="shared" ca="1" si="13"/>
        <v>-52.647058823529413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1088</v>
      </c>
      <c r="C16" s="318">
        <v>9</v>
      </c>
      <c r="D16" s="319">
        <v>11</v>
      </c>
      <c r="E16" s="317">
        <v>10</v>
      </c>
      <c r="F16" s="235">
        <f t="shared" si="0"/>
        <v>30</v>
      </c>
      <c r="G16" s="235">
        <f>C17+D14+E15</f>
        <v>29</v>
      </c>
      <c r="H16" s="235">
        <f t="shared" si="1"/>
        <v>59</v>
      </c>
      <c r="I16" s="236">
        <f t="shared" si="2"/>
        <v>0.50847457627118642</v>
      </c>
      <c r="J16" s="238">
        <f t="shared" ca="1" si="27"/>
        <v>10</v>
      </c>
      <c r="K16" s="307" t="s">
        <v>1359</v>
      </c>
      <c r="L16" s="219">
        <v>2</v>
      </c>
      <c r="M16" s="218" t="str">
        <f t="shared" ca="1" si="4"/>
        <v>Tom Hunt &amp; Richard Lawrence</v>
      </c>
      <c r="N16" s="217">
        <v>11</v>
      </c>
      <c r="O16" s="219">
        <v>6</v>
      </c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29">(N16+P16+R16+T16)</f>
        <v>19</v>
      </c>
      <c r="W16" s="223">
        <f t="shared" si="29"/>
        <v>17</v>
      </c>
      <c r="X16" s="224">
        <f t="shared" si="6"/>
        <v>36</v>
      </c>
      <c r="Y16" s="332" t="s">
        <v>261</v>
      </c>
      <c r="Z16" s="329" t="str">
        <f t="shared" si="7"/>
        <v>Mike McGillicuddy &amp; Matt Hood</v>
      </c>
      <c r="AA16" s="329">
        <f t="shared" si="8"/>
        <v>14</v>
      </c>
      <c r="AB16" s="329">
        <f t="shared" ca="1" si="9"/>
        <v>20</v>
      </c>
      <c r="AC16" s="329">
        <f t="shared" ca="1" si="10"/>
        <v>44</v>
      </c>
      <c r="AD16" s="329">
        <f t="shared" ca="1" si="11"/>
        <v>64</v>
      </c>
      <c r="AE16" s="236">
        <f t="shared" ca="1" si="12"/>
        <v>0.3125</v>
      </c>
      <c r="AF16" s="341">
        <f t="shared" ca="1" si="13"/>
        <v>-56.6875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137</v>
      </c>
      <c r="C17" s="323">
        <v>11</v>
      </c>
      <c r="D17" s="324">
        <v>8</v>
      </c>
      <c r="E17" s="325">
        <v>11</v>
      </c>
      <c r="F17" s="265">
        <f t="shared" si="0"/>
        <v>30</v>
      </c>
      <c r="G17" s="265">
        <f>C16+D15+E14</f>
        <v>28</v>
      </c>
      <c r="H17" s="265">
        <f t="shared" si="1"/>
        <v>58</v>
      </c>
      <c r="I17" s="266">
        <f t="shared" si="2"/>
        <v>0.51724137931034486</v>
      </c>
      <c r="J17" s="268">
        <f t="shared" ca="1" si="27"/>
        <v>6</v>
      </c>
      <c r="K17" s="311" t="s">
        <v>1360</v>
      </c>
      <c r="L17" s="271">
        <v>15</v>
      </c>
      <c r="M17" s="270" t="str">
        <f t="shared" ca="1" si="4"/>
        <v>Sam Gay &amp; Jeff Nelson</v>
      </c>
      <c r="N17" s="269">
        <v>6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6</v>
      </c>
      <c r="W17" s="277">
        <f t="shared" si="30"/>
        <v>11</v>
      </c>
      <c r="X17" s="278">
        <f t="shared" si="6"/>
        <v>17</v>
      </c>
      <c r="Y17" s="347" t="s">
        <v>237</v>
      </c>
      <c r="Z17" s="274" t="str">
        <f t="shared" si="7"/>
        <v>Connor Callahan &amp; Justin Metcalf</v>
      </c>
      <c r="AA17" s="274">
        <f t="shared" ca="1" si="8"/>
        <v>16</v>
      </c>
      <c r="AB17" s="274">
        <f t="shared" ca="1" si="9"/>
        <v>19</v>
      </c>
      <c r="AC17" s="274">
        <f t="shared" ca="1" si="10"/>
        <v>44</v>
      </c>
      <c r="AD17" s="274">
        <f t="shared" ca="1" si="11"/>
        <v>63</v>
      </c>
      <c r="AE17" s="266">
        <f t="shared" ca="1" si="12"/>
        <v>0.30158730158730157</v>
      </c>
      <c r="AF17" s="384">
        <f t="shared" ca="1" si="13"/>
        <v>-57.698412698412696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135</v>
      </c>
      <c r="D19" s="289">
        <f t="shared" si="31"/>
        <v>143</v>
      </c>
      <c r="E19" s="289">
        <f>SUM(E2:E18)</f>
        <v>141</v>
      </c>
      <c r="F19" s="287">
        <f t="shared" ref="F19:G19" si="32">SUM(F2:F17)</f>
        <v>419</v>
      </c>
      <c r="G19" s="290">
        <f t="shared" si="32"/>
        <v>419</v>
      </c>
      <c r="H19" s="292">
        <f>SUM(H2:H17)/2</f>
        <v>419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133</v>
      </c>
      <c r="O19" s="287">
        <f t="shared" si="33"/>
        <v>133</v>
      </c>
      <c r="P19" s="287">
        <f t="shared" si="33"/>
        <v>78</v>
      </c>
      <c r="Q19" s="287">
        <f t="shared" si="33"/>
        <v>78</v>
      </c>
      <c r="R19" s="287">
        <f t="shared" si="33"/>
        <v>34</v>
      </c>
      <c r="S19" s="287">
        <f t="shared" si="33"/>
        <v>34</v>
      </c>
      <c r="T19" s="287">
        <f t="shared" si="33"/>
        <v>18</v>
      </c>
      <c r="U19" s="287">
        <f t="shared" si="33"/>
        <v>18</v>
      </c>
      <c r="V19" s="287">
        <f t="shared" si="33"/>
        <v>263</v>
      </c>
      <c r="W19" s="287">
        <f t="shared" si="33"/>
        <v>263</v>
      </c>
      <c r="X19" s="287">
        <f>SUM(X2:X17)/2</f>
        <v>263</v>
      </c>
      <c r="Y19" s="287"/>
      <c r="Z19" s="287"/>
      <c r="AA19" s="287"/>
      <c r="AB19" s="287">
        <f t="shared" ref="AB19:AD19" ca="1" si="34">SUM(AB2:AB17)/2</f>
        <v>341</v>
      </c>
      <c r="AC19" s="287">
        <f t="shared" ca="1" si="34"/>
        <v>341</v>
      </c>
      <c r="AD19" s="287">
        <f t="shared" ca="1" si="34"/>
        <v>682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0</v>
      </c>
      <c r="E20" s="326">
        <f t="shared" si="35"/>
        <v>1</v>
      </c>
      <c r="F20" s="296"/>
      <c r="G20" s="296"/>
      <c r="H20" s="297">
        <f>AVERAGE(H2:H17)</f>
        <v>52.375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85.25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00" priority="5" operator="equal">
      <formula>33</formula>
    </cfRule>
  </conditionalFormatting>
  <conditionalFormatting sqref="J2:J17">
    <cfRule type="expression" dxfId="99" priority="7">
      <formula>COUNTIF(J$2:J$17,$J2)&gt;1</formula>
    </cfRule>
  </conditionalFormatting>
  <conditionalFormatting sqref="M2:X17">
    <cfRule type="expression" dxfId="98" priority="1">
      <formula>$T2=11</formula>
    </cfRule>
  </conditionalFormatting>
  <conditionalFormatting sqref="N2:O17">
    <cfRule type="expression" dxfId="97" priority="2">
      <formula>$N2=11</formula>
    </cfRule>
  </conditionalFormatting>
  <conditionalFormatting sqref="P2:Q17">
    <cfRule type="expression" dxfId="96" priority="3">
      <formula>$P2=11</formula>
    </cfRule>
  </conditionalFormatting>
  <conditionalFormatting sqref="R2:S17">
    <cfRule type="expression" dxfId="95" priority="4">
      <formula>$R2=11</formula>
    </cfRule>
  </conditionalFormatting>
  <conditionalFormatting sqref="AG2:AG17">
    <cfRule type="expression" dxfId="94" priority="6">
      <formula>COUNTIF(AG$2:AG$17,$AG2)&gt;1</formula>
    </cfRule>
  </conditionalFormatting>
  <hyperlinks>
    <hyperlink ref="A1" location="Champions!A1" display="Home" xr:uid="{00000000-0004-0000-0D00-000000000000}"/>
    <hyperlink ref="AH1" location="Champions!A1" display="Home" xr:uid="{00000000-0004-0000-0D00-000001000000}"/>
    <hyperlink ref="A19" location="Champions!A1" display="Home" xr:uid="{00000000-0004-0000-0D00-000002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1017</v>
      </c>
      <c r="C2" s="314">
        <v>11</v>
      </c>
      <c r="D2" s="315">
        <v>11</v>
      </c>
      <c r="E2" s="315">
        <v>4</v>
      </c>
      <c r="F2" s="213">
        <f t="shared" ref="F2:F17" si="0">SUM(C2:E2)</f>
        <v>26</v>
      </c>
      <c r="G2" s="213">
        <f>C3+D4+E5</f>
        <v>30</v>
      </c>
      <c r="H2" s="213">
        <f t="shared" ref="H2:H17" si="1">SUM(F2:G2)</f>
        <v>56</v>
      </c>
      <c r="I2" s="214">
        <f t="shared" ref="I2:I17" si="2">IFERROR(F2/H2,"")</f>
        <v>0.4642857142857143</v>
      </c>
      <c r="J2" s="216">
        <f t="shared" ref="J2:J6" ca="1" si="3">IFERROR(RANK(I2,OFFSET($I$2,0,0,COUNTA($I$2:$I$17),1)),)</f>
        <v>10</v>
      </c>
      <c r="K2" s="307" t="s">
        <v>1345</v>
      </c>
      <c r="L2" s="219">
        <v>1</v>
      </c>
      <c r="M2" s="218" t="str">
        <f t="shared" ref="M2:M17" ca="1" si="4">INDEX($A$2:$AJ$17,MATCH(L2,$J$2:$J$17,0),2)</f>
        <v>John Stauffer &amp; Susan Mitts</v>
      </c>
      <c r="N2" s="217">
        <v>11</v>
      </c>
      <c r="O2" s="219">
        <v>4</v>
      </c>
      <c r="P2" s="220">
        <v>11</v>
      </c>
      <c r="Q2" s="221">
        <v>4</v>
      </c>
      <c r="R2" s="217">
        <v>11</v>
      </c>
      <c r="S2" s="219">
        <v>8</v>
      </c>
      <c r="T2" s="222">
        <v>11</v>
      </c>
      <c r="U2" s="221">
        <v>9</v>
      </c>
      <c r="V2" s="223">
        <f t="shared" ref="V2:W2" si="5">(N2+P2+R2+T2)</f>
        <v>44</v>
      </c>
      <c r="W2" s="223">
        <f t="shared" si="5"/>
        <v>25</v>
      </c>
      <c r="X2" s="224">
        <f t="shared" ref="X2:X17" si="6">V2+W2</f>
        <v>69</v>
      </c>
      <c r="Y2" s="332" t="s">
        <v>256</v>
      </c>
      <c r="Z2" s="329" t="str">
        <f t="shared" ref="Z2:Z17" si="7">INDEX($A$2:$B$17,MATCH(Y2,$A$2:$A$17,0),2)</f>
        <v>John Stauffer &amp; Susan Mitts</v>
      </c>
      <c r="AA2" s="329">
        <f t="shared" ref="AA2:AA17" ca="1" si="8">INDEX($B$2:$K$17, MATCH($Z2,$B$2:$B$17,0),9)</f>
        <v>1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38</v>
      </c>
      <c r="AD2" s="329">
        <f t="shared" ref="AD2:AD17" ca="1" si="11">SUM(AB2:AC2)</f>
        <v>115</v>
      </c>
      <c r="AE2" s="236">
        <f t="shared" ref="AE2:AE17" ca="1" si="12">AB2/AD2</f>
        <v>0.66956521739130437</v>
      </c>
      <c r="AF2" s="330">
        <f t="shared" ref="AF2:AF17" ca="1" si="13">AE2-(77-AB2)</f>
        <v>0.66956521739130437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1019</v>
      </c>
      <c r="C3" s="316">
        <v>10</v>
      </c>
      <c r="D3" s="317">
        <v>5</v>
      </c>
      <c r="E3" s="317">
        <v>5</v>
      </c>
      <c r="F3" s="235">
        <f t="shared" si="0"/>
        <v>20</v>
      </c>
      <c r="G3" s="235">
        <f>C2+D5+E4</f>
        <v>33</v>
      </c>
      <c r="H3" s="235">
        <f t="shared" si="1"/>
        <v>53</v>
      </c>
      <c r="I3" s="236">
        <f t="shared" si="2"/>
        <v>0.37735849056603776</v>
      </c>
      <c r="J3" s="238">
        <f t="shared" ca="1" si="3"/>
        <v>13</v>
      </c>
      <c r="K3" s="310" t="s">
        <v>1346</v>
      </c>
      <c r="L3" s="241">
        <v>16</v>
      </c>
      <c r="M3" s="240" t="str">
        <f t="shared" ca="1" si="4"/>
        <v>Allen Meyer &amp; Maki True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221</v>
      </c>
      <c r="Z3" s="329" t="str">
        <f t="shared" si="7"/>
        <v>Eric Santon &amp; Raquel Madison</v>
      </c>
      <c r="AA3" s="329">
        <f t="shared" ca="1" si="8"/>
        <v>3</v>
      </c>
      <c r="AB3" s="329">
        <f t="shared" ca="1" si="9"/>
        <v>75</v>
      </c>
      <c r="AC3" s="329">
        <f t="shared" ca="1" si="10"/>
        <v>49</v>
      </c>
      <c r="AD3" s="329">
        <f t="shared" ca="1" si="11"/>
        <v>124</v>
      </c>
      <c r="AE3" s="236">
        <f t="shared" ca="1" si="12"/>
        <v>0.60483870967741937</v>
      </c>
      <c r="AF3" s="341">
        <f t="shared" ca="1" si="13"/>
        <v>-1.3951612903225805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1021</v>
      </c>
      <c r="C4" s="318">
        <v>7</v>
      </c>
      <c r="D4" s="319">
        <v>9</v>
      </c>
      <c r="E4" s="317">
        <v>11</v>
      </c>
      <c r="F4" s="235">
        <f t="shared" si="0"/>
        <v>27</v>
      </c>
      <c r="G4" s="235">
        <f>C5+D2+E3</f>
        <v>27</v>
      </c>
      <c r="H4" s="235">
        <f t="shared" si="1"/>
        <v>54</v>
      </c>
      <c r="I4" s="236">
        <f t="shared" si="2"/>
        <v>0.5</v>
      </c>
      <c r="J4" s="238">
        <f t="shared" ca="1" si="3"/>
        <v>8</v>
      </c>
      <c r="K4" s="307" t="s">
        <v>1347</v>
      </c>
      <c r="L4" s="219">
        <v>8</v>
      </c>
      <c r="M4" s="218" t="str">
        <f t="shared" ca="1" si="4"/>
        <v>William Hyde &amp; Jacqui jensen</v>
      </c>
      <c r="N4" s="217">
        <v>10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10</v>
      </c>
      <c r="W4" s="223">
        <f t="shared" si="16"/>
        <v>11</v>
      </c>
      <c r="X4" s="224">
        <f t="shared" si="6"/>
        <v>21</v>
      </c>
      <c r="Y4" s="332" t="s">
        <v>268</v>
      </c>
      <c r="Z4" s="329" t="str">
        <f t="shared" si="7"/>
        <v>Bond marrs &amp; Mary Pflanz</v>
      </c>
      <c r="AA4" s="329">
        <f t="shared" ca="1" si="8"/>
        <v>2</v>
      </c>
      <c r="AB4" s="329">
        <f t="shared" ca="1" si="9"/>
        <v>65</v>
      </c>
      <c r="AC4" s="329">
        <f t="shared" ca="1" si="10"/>
        <v>36</v>
      </c>
      <c r="AD4" s="329">
        <f t="shared" ca="1" si="11"/>
        <v>101</v>
      </c>
      <c r="AE4" s="236">
        <f t="shared" ca="1" si="12"/>
        <v>0.64356435643564358</v>
      </c>
      <c r="AF4" s="341">
        <f t="shared" ca="1" si="13"/>
        <v>-11.356435643564357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133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16</v>
      </c>
      <c r="H5" s="252">
        <f t="shared" si="1"/>
        <v>49</v>
      </c>
      <c r="I5" s="253">
        <f t="shared" si="2"/>
        <v>0.67346938775510201</v>
      </c>
      <c r="J5" s="255">
        <f t="shared" ca="1" si="3"/>
        <v>3</v>
      </c>
      <c r="K5" s="310" t="s">
        <v>1348</v>
      </c>
      <c r="L5" s="241">
        <v>9</v>
      </c>
      <c r="M5" s="240" t="str">
        <f t="shared" ca="1" si="4"/>
        <v>Robert Madison &amp; Susan Keefer</v>
      </c>
      <c r="N5" s="239">
        <v>11</v>
      </c>
      <c r="O5" s="241">
        <v>10</v>
      </c>
      <c r="P5" s="256">
        <v>4</v>
      </c>
      <c r="Q5" s="257">
        <v>11</v>
      </c>
      <c r="R5" s="244"/>
      <c r="S5" s="245"/>
      <c r="T5" s="246"/>
      <c r="U5" s="243"/>
      <c r="V5" s="223">
        <f t="shared" ref="V5:W5" si="17">(N5+P5+R5+T5)</f>
        <v>15</v>
      </c>
      <c r="W5" s="223">
        <f t="shared" si="17"/>
        <v>21</v>
      </c>
      <c r="X5" s="224">
        <f t="shared" si="6"/>
        <v>36</v>
      </c>
      <c r="Y5" s="336" t="s">
        <v>224</v>
      </c>
      <c r="Z5" s="337" t="str">
        <f t="shared" si="7"/>
        <v>Vageesh Kumar &amp; Alice Edwards</v>
      </c>
      <c r="AA5" s="337">
        <f t="shared" ca="1" si="8"/>
        <v>4</v>
      </c>
      <c r="AB5" s="337">
        <f t="shared" ca="1" si="9"/>
        <v>62</v>
      </c>
      <c r="AC5" s="337">
        <f t="shared" ca="1" si="10"/>
        <v>40</v>
      </c>
      <c r="AD5" s="337">
        <f t="shared" ca="1" si="11"/>
        <v>102</v>
      </c>
      <c r="AE5" s="253">
        <f t="shared" ca="1" si="12"/>
        <v>0.60784313725490191</v>
      </c>
      <c r="AF5" s="399">
        <f t="shared" ca="1" si="13"/>
        <v>-14.392156862745098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1023</v>
      </c>
      <c r="C6" s="314">
        <v>11</v>
      </c>
      <c r="D6" s="315">
        <v>10</v>
      </c>
      <c r="E6" s="315">
        <v>11</v>
      </c>
      <c r="F6" s="213">
        <f t="shared" si="0"/>
        <v>32</v>
      </c>
      <c r="G6" s="213">
        <f>C7+D8+E9</f>
        <v>24</v>
      </c>
      <c r="H6" s="213">
        <f t="shared" si="1"/>
        <v>56</v>
      </c>
      <c r="I6" s="214">
        <f t="shared" si="2"/>
        <v>0.5714285714285714</v>
      </c>
      <c r="J6" s="238">
        <f t="shared" ca="1" si="3"/>
        <v>4</v>
      </c>
      <c r="K6" s="307" t="s">
        <v>1349</v>
      </c>
      <c r="L6" s="219">
        <v>5</v>
      </c>
      <c r="M6" s="218" t="str">
        <f t="shared" ca="1" si="4"/>
        <v>Gary Mulsow &amp; Callie Bennett</v>
      </c>
      <c r="N6" s="217">
        <v>11</v>
      </c>
      <c r="O6" s="219">
        <v>2</v>
      </c>
      <c r="P6" s="220">
        <v>4</v>
      </c>
      <c r="Q6" s="221">
        <v>11</v>
      </c>
      <c r="R6" s="244"/>
      <c r="S6" s="245"/>
      <c r="T6" s="246"/>
      <c r="U6" s="243"/>
      <c r="V6" s="223">
        <f t="shared" ref="V6:W6" si="18">(N6+P6+R6+T6)</f>
        <v>15</v>
      </c>
      <c r="W6" s="223">
        <f t="shared" si="18"/>
        <v>13</v>
      </c>
      <c r="X6" s="224">
        <f t="shared" si="6"/>
        <v>28</v>
      </c>
      <c r="Y6" s="328" t="s">
        <v>232</v>
      </c>
      <c r="Z6" s="340" t="str">
        <f t="shared" si="7"/>
        <v>Gary Mulsow &amp; Callie Bennett</v>
      </c>
      <c r="AA6" s="340">
        <f t="shared" ca="1" si="8"/>
        <v>5</v>
      </c>
      <c r="AB6" s="340">
        <f t="shared" ca="1" si="9"/>
        <v>48</v>
      </c>
      <c r="AC6" s="340">
        <f t="shared" ca="1" si="10"/>
        <v>39</v>
      </c>
      <c r="AD6" s="340">
        <f t="shared" ca="1" si="11"/>
        <v>87</v>
      </c>
      <c r="AE6" s="214">
        <f t="shared" ca="1" si="12"/>
        <v>0.55172413793103448</v>
      </c>
      <c r="AF6" s="333">
        <f t="shared" ca="1" si="13"/>
        <v>-28.448275862068964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1025</v>
      </c>
      <c r="C7" s="316">
        <v>7</v>
      </c>
      <c r="D7" s="317">
        <v>6</v>
      </c>
      <c r="E7" s="317">
        <v>7</v>
      </c>
      <c r="F7" s="235">
        <f t="shared" si="0"/>
        <v>20</v>
      </c>
      <c r="G7" s="235">
        <f>C6+D9+E8</f>
        <v>33</v>
      </c>
      <c r="H7" s="235">
        <f t="shared" si="1"/>
        <v>53</v>
      </c>
      <c r="I7" s="236">
        <f t="shared" si="2"/>
        <v>0.37735849056603776</v>
      </c>
      <c r="J7" s="238">
        <v>14</v>
      </c>
      <c r="K7" s="310" t="s">
        <v>1350</v>
      </c>
      <c r="L7" s="241">
        <v>12</v>
      </c>
      <c r="M7" s="240" t="str">
        <f t="shared" ca="1" si="4"/>
        <v>Steven Pauwels &amp; Tiffany Blackwell</v>
      </c>
      <c r="N7" s="239">
        <v>2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2</v>
      </c>
      <c r="W7" s="223">
        <f t="shared" si="19"/>
        <v>11</v>
      </c>
      <c r="X7" s="224">
        <f t="shared" si="6"/>
        <v>13</v>
      </c>
      <c r="Y7" s="332" t="s">
        <v>271</v>
      </c>
      <c r="Z7" s="329" t="str">
        <f t="shared" si="7"/>
        <v>Curtis Stoneman &amp; Lauren Liguore</v>
      </c>
      <c r="AA7" s="329">
        <f t="shared" ca="1" si="8"/>
        <v>6</v>
      </c>
      <c r="AB7" s="329">
        <f t="shared" ca="1" si="9"/>
        <v>48</v>
      </c>
      <c r="AC7" s="329">
        <f t="shared" ca="1" si="10"/>
        <v>44</v>
      </c>
      <c r="AD7" s="329">
        <f t="shared" ca="1" si="11"/>
        <v>92</v>
      </c>
      <c r="AE7" s="236">
        <f t="shared" ca="1" si="12"/>
        <v>0.52173913043478259</v>
      </c>
      <c r="AF7" s="341">
        <f t="shared" ca="1" si="13"/>
        <v>-28.478260869565219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1024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26</v>
      </c>
      <c r="H8" s="235">
        <f t="shared" si="1"/>
        <v>59</v>
      </c>
      <c r="I8" s="236">
        <f t="shared" si="2"/>
        <v>0.55932203389830504</v>
      </c>
      <c r="J8" s="238">
        <f t="shared" ref="J8:J17" ca="1" si="20">IFERROR(RANK(I8,OFFSET($I$2,0,0,COUNTA($I$2:$I$17),1)),)</f>
        <v>5</v>
      </c>
      <c r="K8" s="307" t="s">
        <v>1351</v>
      </c>
      <c r="L8" s="219">
        <v>4</v>
      </c>
      <c r="M8" s="218" t="str">
        <f t="shared" ca="1" si="4"/>
        <v>Vageesh Kumar &amp; Alice Edwards</v>
      </c>
      <c r="N8" s="217">
        <v>11</v>
      </c>
      <c r="O8" s="219">
        <v>1</v>
      </c>
      <c r="P8" s="242">
        <v>11</v>
      </c>
      <c r="Q8" s="243">
        <v>4</v>
      </c>
      <c r="R8" s="244">
        <v>8</v>
      </c>
      <c r="S8" s="245">
        <v>11</v>
      </c>
      <c r="T8" s="246"/>
      <c r="U8" s="243"/>
      <c r="V8" s="223">
        <f t="shared" ref="V8:W8" si="21">(N8+P8+R8+T8)</f>
        <v>30</v>
      </c>
      <c r="W8" s="223">
        <f t="shared" si="21"/>
        <v>16</v>
      </c>
      <c r="X8" s="224">
        <f t="shared" si="6"/>
        <v>46</v>
      </c>
      <c r="Y8" s="332" t="s">
        <v>241</v>
      </c>
      <c r="Z8" s="329" t="str">
        <f t="shared" si="7"/>
        <v>Danny Ng &amp; Nicolle Ratliff</v>
      </c>
      <c r="AA8" s="329">
        <f t="shared" ca="1" si="8"/>
        <v>7</v>
      </c>
      <c r="AB8" s="329">
        <f t="shared" ca="1" si="9"/>
        <v>43</v>
      </c>
      <c r="AC8" s="329">
        <f t="shared" ca="1" si="10"/>
        <v>42</v>
      </c>
      <c r="AD8" s="329">
        <f t="shared" ca="1" si="11"/>
        <v>85</v>
      </c>
      <c r="AE8" s="236">
        <f t="shared" ca="1" si="12"/>
        <v>0.50588235294117645</v>
      </c>
      <c r="AF8" s="341">
        <f t="shared" ca="1" si="13"/>
        <v>-33.494117647058822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1361</v>
      </c>
      <c r="C9" s="320">
        <v>9</v>
      </c>
      <c r="D9" s="321">
        <v>11</v>
      </c>
      <c r="E9" s="322">
        <v>6</v>
      </c>
      <c r="F9" s="252">
        <f t="shared" si="0"/>
        <v>26</v>
      </c>
      <c r="G9" s="252">
        <f>C8+D7+E6</f>
        <v>28</v>
      </c>
      <c r="H9" s="252">
        <f t="shared" si="1"/>
        <v>54</v>
      </c>
      <c r="I9" s="253">
        <f t="shared" si="2"/>
        <v>0.48148148148148145</v>
      </c>
      <c r="J9" s="255">
        <f t="shared" ca="1" si="20"/>
        <v>9</v>
      </c>
      <c r="K9" s="310" t="s">
        <v>1352</v>
      </c>
      <c r="L9" s="241">
        <v>13</v>
      </c>
      <c r="M9" s="240" t="str">
        <f t="shared" ca="1" si="4"/>
        <v>Troy Thomasson &amp; Keely Schneider</v>
      </c>
      <c r="N9" s="239">
        <v>1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2">(N9+P9+R9+T9)</f>
        <v>1</v>
      </c>
      <c r="W9" s="223">
        <f t="shared" si="22"/>
        <v>11</v>
      </c>
      <c r="X9" s="224">
        <f t="shared" si="6"/>
        <v>12</v>
      </c>
      <c r="Y9" s="336" t="s">
        <v>237</v>
      </c>
      <c r="Z9" s="337" t="str">
        <f t="shared" si="7"/>
        <v>Robert Madison &amp; Susan Keefer</v>
      </c>
      <c r="AA9" s="337">
        <f t="shared" ca="1" si="8"/>
        <v>9</v>
      </c>
      <c r="AB9" s="337">
        <f t="shared" ca="1" si="9"/>
        <v>41</v>
      </c>
      <c r="AC9" s="337">
        <f t="shared" ca="1" si="10"/>
        <v>49</v>
      </c>
      <c r="AD9" s="337">
        <f t="shared" ca="1" si="11"/>
        <v>90</v>
      </c>
      <c r="AE9" s="253">
        <f t="shared" ca="1" si="12"/>
        <v>0.45555555555555555</v>
      </c>
      <c r="AF9" s="338">
        <f t="shared" ca="1" si="13"/>
        <v>-35.544444444444444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1028</v>
      </c>
      <c r="C10" s="314">
        <v>11</v>
      </c>
      <c r="D10" s="315">
        <v>11</v>
      </c>
      <c r="E10" s="315">
        <v>6</v>
      </c>
      <c r="F10" s="213">
        <f t="shared" si="0"/>
        <v>28</v>
      </c>
      <c r="G10" s="213">
        <f>C11+D12+E13</f>
        <v>26</v>
      </c>
      <c r="H10" s="213">
        <f t="shared" si="1"/>
        <v>54</v>
      </c>
      <c r="I10" s="214">
        <f t="shared" si="2"/>
        <v>0.51851851851851849</v>
      </c>
      <c r="J10" s="238">
        <f t="shared" ca="1" si="20"/>
        <v>7</v>
      </c>
      <c r="K10" s="307" t="s">
        <v>1353</v>
      </c>
      <c r="L10" s="219">
        <v>6</v>
      </c>
      <c r="M10" s="218" t="str">
        <f t="shared" ca="1" si="4"/>
        <v>Curtis Stoneman &amp; Lauren Liguore</v>
      </c>
      <c r="N10" s="217">
        <v>11</v>
      </c>
      <c r="O10" s="219">
        <v>8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18</v>
      </c>
      <c r="W10" s="223">
        <f t="shared" si="23"/>
        <v>19</v>
      </c>
      <c r="X10" s="224">
        <f t="shared" si="6"/>
        <v>37</v>
      </c>
      <c r="Y10" s="332" t="s">
        <v>216</v>
      </c>
      <c r="Z10" s="329" t="str">
        <f t="shared" si="7"/>
        <v>William Hyde &amp; Jacqui jensen</v>
      </c>
      <c r="AA10" s="329">
        <f t="shared" ca="1" si="8"/>
        <v>8</v>
      </c>
      <c r="AB10" s="329">
        <f t="shared" ca="1" si="9"/>
        <v>37</v>
      </c>
      <c r="AC10" s="329">
        <f t="shared" ca="1" si="10"/>
        <v>38</v>
      </c>
      <c r="AD10" s="329">
        <f t="shared" ca="1" si="11"/>
        <v>75</v>
      </c>
      <c r="AE10" s="236">
        <f t="shared" ca="1" si="12"/>
        <v>0.49333333333333335</v>
      </c>
      <c r="AF10" s="341">
        <f t="shared" ca="1" si="13"/>
        <v>-39.506666666666668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1020</v>
      </c>
      <c r="C11" s="316">
        <v>9</v>
      </c>
      <c r="D11" s="317">
        <v>3</v>
      </c>
      <c r="E11" s="317">
        <v>5</v>
      </c>
      <c r="F11" s="235">
        <f t="shared" si="0"/>
        <v>17</v>
      </c>
      <c r="G11" s="235">
        <f>C10+D13+E12</f>
        <v>33</v>
      </c>
      <c r="H11" s="235">
        <f t="shared" si="1"/>
        <v>50</v>
      </c>
      <c r="I11" s="236">
        <f t="shared" si="2"/>
        <v>0.34</v>
      </c>
      <c r="J11" s="238">
        <f t="shared" ca="1" si="20"/>
        <v>16</v>
      </c>
      <c r="K11" s="310" t="s">
        <v>1354</v>
      </c>
      <c r="L11" s="241">
        <v>11</v>
      </c>
      <c r="M11" s="240" t="str">
        <f t="shared" ca="1" si="4"/>
        <v>David Keefer &amp; Erinn Metcalf</v>
      </c>
      <c r="N11" s="239">
        <v>8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4">(N11+P11+R11+T11)</f>
        <v>8</v>
      </c>
      <c r="W11" s="223">
        <f t="shared" si="24"/>
        <v>11</v>
      </c>
      <c r="X11" s="224">
        <f t="shared" si="6"/>
        <v>19</v>
      </c>
      <c r="Y11" s="332" t="s">
        <v>205</v>
      </c>
      <c r="Z11" s="329" t="str">
        <f t="shared" si="7"/>
        <v>Miguel Cartagena &amp; Stephanie Patterson</v>
      </c>
      <c r="AA11" s="329">
        <f t="shared" ca="1" si="8"/>
        <v>10</v>
      </c>
      <c r="AB11" s="329">
        <f t="shared" ca="1" si="9"/>
        <v>31</v>
      </c>
      <c r="AC11" s="329">
        <f t="shared" ca="1" si="10"/>
        <v>41</v>
      </c>
      <c r="AD11" s="329">
        <f t="shared" ca="1" si="11"/>
        <v>72</v>
      </c>
      <c r="AE11" s="236">
        <f t="shared" ca="1" si="12"/>
        <v>0.43055555555555558</v>
      </c>
      <c r="AF11" s="341">
        <f t="shared" ca="1" si="13"/>
        <v>-45.569444444444443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1030</v>
      </c>
      <c r="C12" s="318">
        <v>4</v>
      </c>
      <c r="D12" s="319">
        <v>6</v>
      </c>
      <c r="E12" s="317">
        <v>11</v>
      </c>
      <c r="F12" s="235">
        <f t="shared" si="0"/>
        <v>21</v>
      </c>
      <c r="G12" s="235">
        <f>C13+D10+E11</f>
        <v>27</v>
      </c>
      <c r="H12" s="235">
        <f t="shared" si="1"/>
        <v>48</v>
      </c>
      <c r="I12" s="236">
        <f t="shared" si="2"/>
        <v>0.4375</v>
      </c>
      <c r="J12" s="238">
        <f t="shared" ca="1" si="20"/>
        <v>11</v>
      </c>
      <c r="K12" s="307" t="s">
        <v>1355</v>
      </c>
      <c r="L12" s="219">
        <v>3</v>
      </c>
      <c r="M12" s="218" t="str">
        <f t="shared" ca="1" si="4"/>
        <v>Eric Santon &amp; Raquel Madison</v>
      </c>
      <c r="N12" s="217">
        <v>11</v>
      </c>
      <c r="O12" s="219">
        <v>5</v>
      </c>
      <c r="P12" s="242">
        <v>11</v>
      </c>
      <c r="Q12" s="243">
        <v>7</v>
      </c>
      <c r="R12" s="244">
        <v>11</v>
      </c>
      <c r="S12" s="245">
        <v>10</v>
      </c>
      <c r="T12" s="246">
        <v>9</v>
      </c>
      <c r="U12" s="243">
        <v>11</v>
      </c>
      <c r="V12" s="223">
        <f t="shared" ref="V12:W12" si="25">(N12+P12+R12+T12)</f>
        <v>42</v>
      </c>
      <c r="W12" s="223">
        <f t="shared" si="25"/>
        <v>33</v>
      </c>
      <c r="X12" s="224">
        <f t="shared" si="6"/>
        <v>75</v>
      </c>
      <c r="Y12" s="332" t="s">
        <v>251</v>
      </c>
      <c r="Z12" s="329" t="str">
        <f t="shared" si="7"/>
        <v>David Keefer &amp; Erinn Metcalf</v>
      </c>
      <c r="AA12" s="329">
        <f t="shared" ca="1" si="8"/>
        <v>11</v>
      </c>
      <c r="AB12" s="329">
        <f t="shared" ca="1" si="9"/>
        <v>29</v>
      </c>
      <c r="AC12" s="329">
        <f t="shared" ca="1" si="10"/>
        <v>38</v>
      </c>
      <c r="AD12" s="329">
        <f t="shared" ca="1" si="11"/>
        <v>67</v>
      </c>
      <c r="AE12" s="236">
        <f t="shared" ca="1" si="12"/>
        <v>0.43283582089552236</v>
      </c>
      <c r="AF12" s="343">
        <f t="shared" ca="1" si="13"/>
        <v>-47.567164179104481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1018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13</v>
      </c>
      <c r="H13" s="252">
        <f t="shared" si="1"/>
        <v>46</v>
      </c>
      <c r="I13" s="253">
        <f t="shared" si="2"/>
        <v>0.71739130434782605</v>
      </c>
      <c r="J13" s="255">
        <f t="shared" ca="1" si="20"/>
        <v>1</v>
      </c>
      <c r="K13" s="310" t="s">
        <v>1356</v>
      </c>
      <c r="L13" s="241">
        <v>14</v>
      </c>
      <c r="M13" s="240" t="str">
        <f t="shared" ca="1" si="4"/>
        <v>Michael Schermoly &amp; Brook Vitt</v>
      </c>
      <c r="N13" s="239">
        <v>5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5</v>
      </c>
      <c r="W13" s="223">
        <f t="shared" si="26"/>
        <v>11</v>
      </c>
      <c r="X13" s="224">
        <f t="shared" si="6"/>
        <v>16</v>
      </c>
      <c r="Y13" s="336" t="s">
        <v>261</v>
      </c>
      <c r="Z13" s="337" t="str">
        <f t="shared" si="7"/>
        <v>David Weber &amp; Loras Heck</v>
      </c>
      <c r="AA13" s="337">
        <f t="shared" ca="1" si="8"/>
        <v>15</v>
      </c>
      <c r="AB13" s="337">
        <f t="shared" ca="1" si="9"/>
        <v>26</v>
      </c>
      <c r="AC13" s="337">
        <f t="shared" ca="1" si="10"/>
        <v>43</v>
      </c>
      <c r="AD13" s="337">
        <f t="shared" ca="1" si="11"/>
        <v>69</v>
      </c>
      <c r="AE13" s="253">
        <f t="shared" ca="1" si="12"/>
        <v>0.37681159420289856</v>
      </c>
      <c r="AF13" s="401">
        <f t="shared" ca="1" si="13"/>
        <v>-50.623188405797102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1032</v>
      </c>
      <c r="C14" s="314">
        <v>2</v>
      </c>
      <c r="D14" s="315">
        <v>6</v>
      </c>
      <c r="E14" s="315">
        <v>11</v>
      </c>
      <c r="F14" s="213">
        <f t="shared" si="0"/>
        <v>19</v>
      </c>
      <c r="G14" s="213">
        <f>C15+D16+E17</f>
        <v>32</v>
      </c>
      <c r="H14" s="213">
        <f t="shared" si="1"/>
        <v>51</v>
      </c>
      <c r="I14" s="214">
        <f t="shared" si="2"/>
        <v>0.37254901960784315</v>
      </c>
      <c r="J14" s="238">
        <f t="shared" ca="1" si="20"/>
        <v>15</v>
      </c>
      <c r="K14" s="307" t="s">
        <v>1357</v>
      </c>
      <c r="L14" s="219">
        <v>7</v>
      </c>
      <c r="M14" s="218" t="str">
        <f t="shared" ca="1" si="4"/>
        <v>Danny Ng &amp; Nicolle Ratliff</v>
      </c>
      <c r="N14" s="217">
        <v>11</v>
      </c>
      <c r="O14" s="219">
        <v>5</v>
      </c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7">(N14+P14+R14+T14)</f>
        <v>15</v>
      </c>
      <c r="W14" s="223">
        <f t="shared" si="27"/>
        <v>16</v>
      </c>
      <c r="X14" s="224">
        <f t="shared" si="6"/>
        <v>31</v>
      </c>
      <c r="Y14" s="332" t="s">
        <v>228</v>
      </c>
      <c r="Z14" s="329" t="str">
        <f t="shared" si="7"/>
        <v>Michael Schermoly &amp; Brook Vitt</v>
      </c>
      <c r="AA14" s="329">
        <f t="shared" si="8"/>
        <v>14</v>
      </c>
      <c r="AB14" s="329">
        <f t="shared" ca="1" si="9"/>
        <v>25</v>
      </c>
      <c r="AC14" s="329">
        <f t="shared" ca="1" si="10"/>
        <v>44</v>
      </c>
      <c r="AD14" s="329">
        <f t="shared" ca="1" si="11"/>
        <v>69</v>
      </c>
      <c r="AE14" s="236">
        <f t="shared" ca="1" si="12"/>
        <v>0.36231884057971014</v>
      </c>
      <c r="AF14" s="343">
        <f t="shared" ca="1" si="13"/>
        <v>-51.637681159420289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1033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14</v>
      </c>
      <c r="H15" s="235">
        <f t="shared" si="1"/>
        <v>47</v>
      </c>
      <c r="I15" s="236">
        <f t="shared" si="2"/>
        <v>0.7021276595744681</v>
      </c>
      <c r="J15" s="238">
        <f t="shared" ca="1" si="20"/>
        <v>2</v>
      </c>
      <c r="K15" s="310" t="s">
        <v>1358</v>
      </c>
      <c r="L15" s="241">
        <v>10</v>
      </c>
      <c r="M15" s="240" t="str">
        <f t="shared" ca="1" si="4"/>
        <v>Miguel Cartagena &amp; Stephanie Patterson</v>
      </c>
      <c r="N15" s="239">
        <v>5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5</v>
      </c>
      <c r="W15" s="223">
        <f t="shared" si="28"/>
        <v>11</v>
      </c>
      <c r="X15" s="224">
        <f t="shared" si="6"/>
        <v>16</v>
      </c>
      <c r="Y15" s="332" t="s">
        <v>276</v>
      </c>
      <c r="Z15" s="329" t="str">
        <f t="shared" si="7"/>
        <v>Steven Pauwels &amp; Tiffany Blackwell</v>
      </c>
      <c r="AA15" s="329">
        <f t="shared" ca="1" si="8"/>
        <v>12</v>
      </c>
      <c r="AB15" s="329">
        <f t="shared" ca="1" si="9"/>
        <v>24</v>
      </c>
      <c r="AC15" s="329">
        <f t="shared" ca="1" si="10"/>
        <v>44</v>
      </c>
      <c r="AD15" s="329">
        <f t="shared" ca="1" si="11"/>
        <v>68</v>
      </c>
      <c r="AE15" s="236">
        <f t="shared" ca="1" si="12"/>
        <v>0.35294117647058826</v>
      </c>
      <c r="AF15" s="341">
        <f t="shared" ca="1" si="13"/>
        <v>-52.647058823529413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1029</v>
      </c>
      <c r="C16" s="318">
        <v>11</v>
      </c>
      <c r="D16" s="319">
        <v>11</v>
      </c>
      <c r="E16" s="317">
        <v>8</v>
      </c>
      <c r="F16" s="235">
        <f t="shared" si="0"/>
        <v>30</v>
      </c>
      <c r="G16" s="235">
        <f>C17+D14+E15</f>
        <v>25</v>
      </c>
      <c r="H16" s="235">
        <f t="shared" si="1"/>
        <v>55</v>
      </c>
      <c r="I16" s="236">
        <f t="shared" si="2"/>
        <v>0.54545454545454541</v>
      </c>
      <c r="J16" s="238">
        <f t="shared" ca="1" si="20"/>
        <v>6</v>
      </c>
      <c r="K16" s="307" t="s">
        <v>1359</v>
      </c>
      <c r="L16" s="219">
        <v>2</v>
      </c>
      <c r="M16" s="218" t="str">
        <f t="shared" ca="1" si="4"/>
        <v>Bond marrs &amp; Mary Pflanz</v>
      </c>
      <c r="N16" s="217">
        <v>11</v>
      </c>
      <c r="O16" s="219">
        <v>7</v>
      </c>
      <c r="P16" s="242">
        <v>11</v>
      </c>
      <c r="Q16" s="243">
        <v>4</v>
      </c>
      <c r="R16" s="244">
        <v>10</v>
      </c>
      <c r="S16" s="245">
        <v>11</v>
      </c>
      <c r="T16" s="246"/>
      <c r="U16" s="243"/>
      <c r="V16" s="223">
        <f t="shared" ref="V16:W16" si="29">(N16+P16+R16+T16)</f>
        <v>32</v>
      </c>
      <c r="W16" s="223">
        <f t="shared" si="29"/>
        <v>22</v>
      </c>
      <c r="X16" s="224">
        <f t="shared" si="6"/>
        <v>54</v>
      </c>
      <c r="Y16" s="332" t="s">
        <v>246</v>
      </c>
      <c r="Z16" s="329" t="str">
        <f t="shared" si="7"/>
        <v>Allen Meyer &amp; Maki True</v>
      </c>
      <c r="AA16" s="329">
        <f t="shared" ca="1" si="8"/>
        <v>16</v>
      </c>
      <c r="AB16" s="329">
        <f t="shared" ca="1" si="9"/>
        <v>21</v>
      </c>
      <c r="AC16" s="329">
        <f t="shared" ca="1" si="10"/>
        <v>44</v>
      </c>
      <c r="AD16" s="329">
        <f t="shared" ca="1" si="11"/>
        <v>65</v>
      </c>
      <c r="AE16" s="236">
        <f t="shared" ca="1" si="12"/>
        <v>0.32307692307692309</v>
      </c>
      <c r="AF16" s="333">
        <f t="shared" ca="1" si="13"/>
        <v>-55.676923076923075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1026</v>
      </c>
      <c r="C17" s="323">
        <v>8</v>
      </c>
      <c r="D17" s="324">
        <v>4</v>
      </c>
      <c r="E17" s="325">
        <v>10</v>
      </c>
      <c r="F17" s="265">
        <f t="shared" si="0"/>
        <v>22</v>
      </c>
      <c r="G17" s="265">
        <f>C16+D15+E14</f>
        <v>33</v>
      </c>
      <c r="H17" s="265">
        <f t="shared" si="1"/>
        <v>55</v>
      </c>
      <c r="I17" s="266">
        <f t="shared" si="2"/>
        <v>0.4</v>
      </c>
      <c r="J17" s="268">
        <f t="shared" ca="1" si="20"/>
        <v>12</v>
      </c>
      <c r="K17" s="311" t="s">
        <v>1360</v>
      </c>
      <c r="L17" s="271">
        <v>15</v>
      </c>
      <c r="M17" s="270" t="str">
        <f t="shared" ca="1" si="4"/>
        <v>David Weber &amp; Loras Heck</v>
      </c>
      <c r="N17" s="269">
        <v>7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7</v>
      </c>
      <c r="W17" s="277">
        <f t="shared" si="30"/>
        <v>11</v>
      </c>
      <c r="X17" s="278">
        <f t="shared" si="6"/>
        <v>18</v>
      </c>
      <c r="Y17" s="347" t="s">
        <v>211</v>
      </c>
      <c r="Z17" s="274" t="str">
        <f t="shared" si="7"/>
        <v>Troy Thomasson &amp; Keely Schneider</v>
      </c>
      <c r="AA17" s="274">
        <f t="shared" ca="1" si="8"/>
        <v>13</v>
      </c>
      <c r="AB17" s="274">
        <f t="shared" ca="1" si="9"/>
        <v>21</v>
      </c>
      <c r="AC17" s="274">
        <f t="shared" ca="1" si="10"/>
        <v>44</v>
      </c>
      <c r="AD17" s="274">
        <f t="shared" ca="1" si="11"/>
        <v>65</v>
      </c>
      <c r="AE17" s="266">
        <f t="shared" ca="1" si="12"/>
        <v>0.32307692307692309</v>
      </c>
      <c r="AF17" s="348">
        <f t="shared" ca="1" si="13"/>
        <v>-55.676923076923075</v>
      </c>
      <c r="AG17" s="349">
        <f t="shared" ca="1" si="14"/>
        <v>15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144</v>
      </c>
      <c r="D19" s="289">
        <f t="shared" si="31"/>
        <v>137</v>
      </c>
      <c r="E19" s="289">
        <f>SUM(E2:E18)</f>
        <v>139</v>
      </c>
      <c r="F19" s="287">
        <f t="shared" ref="F19:G19" si="32">SUM(F2:F17)</f>
        <v>420</v>
      </c>
      <c r="G19" s="290">
        <f t="shared" si="32"/>
        <v>420</v>
      </c>
      <c r="H19" s="292">
        <f>SUM(H2:H17)/2</f>
        <v>420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130</v>
      </c>
      <c r="O19" s="287">
        <f t="shared" si="33"/>
        <v>130</v>
      </c>
      <c r="P19" s="287">
        <f t="shared" si="33"/>
        <v>63</v>
      </c>
      <c r="Q19" s="287">
        <f t="shared" si="33"/>
        <v>63</v>
      </c>
      <c r="R19" s="287">
        <f t="shared" si="33"/>
        <v>40</v>
      </c>
      <c r="S19" s="287">
        <f t="shared" si="33"/>
        <v>40</v>
      </c>
      <c r="T19" s="287">
        <f t="shared" si="33"/>
        <v>20</v>
      </c>
      <c r="U19" s="287">
        <f t="shared" si="33"/>
        <v>20</v>
      </c>
      <c r="V19" s="287">
        <f t="shared" si="33"/>
        <v>253</v>
      </c>
      <c r="W19" s="287">
        <f t="shared" si="33"/>
        <v>253</v>
      </c>
      <c r="X19" s="287">
        <f>SUM(X2:X17)/2</f>
        <v>253</v>
      </c>
      <c r="Y19" s="287"/>
      <c r="Z19" s="287"/>
      <c r="AA19" s="287"/>
      <c r="AB19" s="287">
        <f t="shared" ref="AB19:AD19" ca="1" si="34">SUM(AB2:AB17)/2</f>
        <v>336.5</v>
      </c>
      <c r="AC19" s="287">
        <f t="shared" ca="1" si="34"/>
        <v>336.5</v>
      </c>
      <c r="AD19" s="287">
        <f t="shared" ca="1" si="34"/>
        <v>673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1</v>
      </c>
      <c r="F20" s="296"/>
      <c r="G20" s="296"/>
      <c r="H20" s="297">
        <f>AVERAGE(H2:H17)</f>
        <v>52.5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87">
        <f ca="1">AVERAGE(AD2:AD17)</f>
        <v>84.125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93" priority="5" operator="equal">
      <formula>33</formula>
    </cfRule>
  </conditionalFormatting>
  <conditionalFormatting sqref="J2:J17">
    <cfRule type="expression" dxfId="92" priority="7">
      <formula>COUNTIF(J$2:J$17,$J2)&gt;1</formula>
    </cfRule>
  </conditionalFormatting>
  <conditionalFormatting sqref="M2:X17">
    <cfRule type="expression" dxfId="91" priority="1">
      <formula>$T2=11</formula>
    </cfRule>
  </conditionalFormatting>
  <conditionalFormatting sqref="N2:O17">
    <cfRule type="expression" dxfId="90" priority="2">
      <formula>$N2=11</formula>
    </cfRule>
  </conditionalFormatting>
  <conditionalFormatting sqref="P2:Q17">
    <cfRule type="expression" dxfId="89" priority="3">
      <formula>$P2=11</formula>
    </cfRule>
  </conditionalFormatting>
  <conditionalFormatting sqref="R2:S17">
    <cfRule type="expression" dxfId="88" priority="4">
      <formula>$R2=11</formula>
    </cfRule>
  </conditionalFormatting>
  <conditionalFormatting sqref="AG2:AG17">
    <cfRule type="expression" dxfId="87" priority="6">
      <formula>COUNTIF(AG$2:AG$17,$AG2)&gt;1</formula>
    </cfRule>
  </conditionalFormatting>
  <hyperlinks>
    <hyperlink ref="A1" location="Champions!A1" display="Home" xr:uid="{00000000-0004-0000-0E00-000000000000}"/>
    <hyperlink ref="AH1" location="Champions!A1" display="Home" xr:uid="{00000000-0004-0000-0E00-000001000000}"/>
    <hyperlink ref="A19" location="Champions!A1" display="Home" xr:uid="{00000000-0004-0000-0E00-000002000000}"/>
  </hyperlink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991</v>
      </c>
      <c r="C2" s="314">
        <v>11</v>
      </c>
      <c r="D2" s="315">
        <v>11</v>
      </c>
      <c r="E2" s="315">
        <v>11</v>
      </c>
      <c r="F2" s="213">
        <f t="shared" ref="F2:F17" si="0">SUM(C2:E2)</f>
        <v>33</v>
      </c>
      <c r="G2" s="213">
        <f>C3+D4+E5</f>
        <v>16</v>
      </c>
      <c r="H2" s="213">
        <f t="shared" ref="H2:H17" si="1">SUM(F2:G2)</f>
        <v>49</v>
      </c>
      <c r="I2" s="214">
        <f t="shared" ref="I2:I17" si="2">IFERROR(F2/H2,"")</f>
        <v>0.67346938775510201</v>
      </c>
      <c r="J2" s="216">
        <f t="shared" ref="J2:J17" ca="1" si="3">IFERROR(RANK(I2,OFFSET($I$2,0,0,COUNTA($I$2:$I$17),1)),)</f>
        <v>2</v>
      </c>
      <c r="K2" s="307" t="s">
        <v>1345</v>
      </c>
      <c r="L2" s="219">
        <v>1</v>
      </c>
      <c r="M2" s="218" t="str">
        <f t="shared" ref="M2:M17" ca="1" si="4">INDEX($A$2:$AJ$17,MATCH(L2,$J$2:$J$17,0),2)</f>
        <v>Erinn Metcalf &amp; Jamie Myers</v>
      </c>
      <c r="N2" s="217">
        <v>11</v>
      </c>
      <c r="O2" s="219">
        <v>3</v>
      </c>
      <c r="P2" s="220">
        <v>11</v>
      </c>
      <c r="Q2" s="221">
        <v>2</v>
      </c>
      <c r="R2" s="217">
        <v>11</v>
      </c>
      <c r="S2" s="219">
        <v>10</v>
      </c>
      <c r="T2" s="222">
        <v>9</v>
      </c>
      <c r="U2" s="221">
        <v>11</v>
      </c>
      <c r="V2" s="223">
        <f t="shared" ref="V2:W2" si="5">(N2+P2+R2+T2)</f>
        <v>42</v>
      </c>
      <c r="W2" s="223">
        <f t="shared" si="5"/>
        <v>26</v>
      </c>
      <c r="X2" s="224">
        <f t="shared" ref="X2:X17" si="6">V2+W2</f>
        <v>68</v>
      </c>
      <c r="Y2" s="332" t="s">
        <v>224</v>
      </c>
      <c r="Z2" s="329" t="str">
        <f t="shared" ref="Z2:Z17" si="7">INDEX($A$2:$B$17,MATCH(Y2,$A$2:$A$17,0),2)</f>
        <v>Loras Heck &amp; Amanda Miller</v>
      </c>
      <c r="AA2" s="329">
        <f t="shared" ref="AA2:AA17" ca="1" si="8">INDEX($B$2:$K$17, MATCH($Z2,$B$2:$B$17,0),9)</f>
        <v>3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52</v>
      </c>
      <c r="AD2" s="329">
        <f t="shared" ref="AD2:AD17" ca="1" si="11">SUM(AB2:AC2)</f>
        <v>129</v>
      </c>
      <c r="AE2" s="236">
        <f t="shared" ref="AE2:AE17" ca="1" si="12">AB2/AD2</f>
        <v>0.5968992248062015</v>
      </c>
      <c r="AF2" s="330">
        <f t="shared" ref="AF2:AF17" ca="1" si="13">AE2-(77-AB2)</f>
        <v>0.5968992248062015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994</v>
      </c>
      <c r="C3" s="316">
        <v>3</v>
      </c>
      <c r="D3" s="317">
        <v>11</v>
      </c>
      <c r="E3" s="317">
        <v>9</v>
      </c>
      <c r="F3" s="235">
        <f t="shared" si="0"/>
        <v>23</v>
      </c>
      <c r="G3" s="235">
        <f>C2+D5+E4</f>
        <v>27</v>
      </c>
      <c r="H3" s="235">
        <f t="shared" si="1"/>
        <v>50</v>
      </c>
      <c r="I3" s="236">
        <f t="shared" si="2"/>
        <v>0.46</v>
      </c>
      <c r="J3" s="238">
        <f t="shared" ca="1" si="3"/>
        <v>12</v>
      </c>
      <c r="K3" s="310" t="s">
        <v>1346</v>
      </c>
      <c r="L3" s="241">
        <v>16</v>
      </c>
      <c r="M3" s="240" t="str">
        <f t="shared" ca="1" si="4"/>
        <v>Jennifer Hudson &amp; Anchi Zwede</v>
      </c>
      <c r="N3" s="239">
        <v>3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3</v>
      </c>
      <c r="W3" s="223">
        <f t="shared" si="15"/>
        <v>11</v>
      </c>
      <c r="X3" s="224">
        <f t="shared" si="6"/>
        <v>14</v>
      </c>
      <c r="Y3" s="332" t="s">
        <v>251</v>
      </c>
      <c r="Z3" s="329" t="str">
        <f t="shared" si="7"/>
        <v>Erinn Metcalf &amp; Jamie Myers</v>
      </c>
      <c r="AA3" s="329">
        <f t="shared" ca="1" si="8"/>
        <v>1</v>
      </c>
      <c r="AB3" s="329">
        <f t="shared" ca="1" si="9"/>
        <v>75</v>
      </c>
      <c r="AC3" s="329">
        <f t="shared" ca="1" si="10"/>
        <v>39</v>
      </c>
      <c r="AD3" s="329">
        <f t="shared" ca="1" si="11"/>
        <v>114</v>
      </c>
      <c r="AE3" s="236">
        <f t="shared" ca="1" si="12"/>
        <v>0.65789473684210531</v>
      </c>
      <c r="AF3" s="341">
        <f t="shared" ca="1" si="13"/>
        <v>-1.3421052631578947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996</v>
      </c>
      <c r="C4" s="318">
        <v>11</v>
      </c>
      <c r="D4" s="319">
        <v>10</v>
      </c>
      <c r="E4" s="317">
        <v>11</v>
      </c>
      <c r="F4" s="235">
        <f t="shared" si="0"/>
        <v>32</v>
      </c>
      <c r="G4" s="235">
        <f>C5+D2+E3</f>
        <v>28</v>
      </c>
      <c r="H4" s="235">
        <f t="shared" si="1"/>
        <v>60</v>
      </c>
      <c r="I4" s="236">
        <f t="shared" si="2"/>
        <v>0.53333333333333333</v>
      </c>
      <c r="J4" s="238">
        <f t="shared" ca="1" si="3"/>
        <v>6</v>
      </c>
      <c r="K4" s="307" t="s">
        <v>1347</v>
      </c>
      <c r="L4" s="219">
        <v>8</v>
      </c>
      <c r="M4" s="218" t="str">
        <f t="shared" ca="1" si="4"/>
        <v>Tina Kempf &amp; Tiffany Blackwell</v>
      </c>
      <c r="N4" s="217">
        <v>8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8</v>
      </c>
      <c r="W4" s="223">
        <f t="shared" si="16"/>
        <v>11</v>
      </c>
      <c r="X4" s="224">
        <f t="shared" si="6"/>
        <v>19</v>
      </c>
      <c r="Y4" s="332" t="s">
        <v>211</v>
      </c>
      <c r="Z4" s="329" t="str">
        <f t="shared" si="7"/>
        <v>Jacqui Jensen &amp; Shanna Loyd</v>
      </c>
      <c r="AA4" s="329">
        <f t="shared" ca="1" si="8"/>
        <v>12</v>
      </c>
      <c r="AB4" s="329">
        <f t="shared" ca="1" si="9"/>
        <v>55</v>
      </c>
      <c r="AC4" s="329">
        <f t="shared" ca="1" si="10"/>
        <v>53</v>
      </c>
      <c r="AD4" s="329">
        <f t="shared" ca="1" si="11"/>
        <v>108</v>
      </c>
      <c r="AE4" s="236">
        <f t="shared" ca="1" si="12"/>
        <v>0.5092592592592593</v>
      </c>
      <c r="AF4" s="341">
        <f t="shared" ca="1" si="13"/>
        <v>-21.49074074074074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999</v>
      </c>
      <c r="C5" s="320">
        <v>8</v>
      </c>
      <c r="D5" s="321">
        <v>5</v>
      </c>
      <c r="E5" s="322">
        <v>3</v>
      </c>
      <c r="F5" s="252">
        <f t="shared" si="0"/>
        <v>16</v>
      </c>
      <c r="G5" s="252">
        <f>C4+D3+E2</f>
        <v>33</v>
      </c>
      <c r="H5" s="252">
        <f t="shared" si="1"/>
        <v>49</v>
      </c>
      <c r="I5" s="253">
        <f t="shared" si="2"/>
        <v>0.32653061224489793</v>
      </c>
      <c r="J5" s="255">
        <f t="shared" ca="1" si="3"/>
        <v>15</v>
      </c>
      <c r="K5" s="310" t="s">
        <v>1348</v>
      </c>
      <c r="L5" s="241">
        <v>9</v>
      </c>
      <c r="M5" s="240" t="str">
        <f t="shared" ca="1" si="4"/>
        <v>Kristin Heurtin &amp; Stacie Temple</v>
      </c>
      <c r="N5" s="239">
        <v>11</v>
      </c>
      <c r="O5" s="241">
        <v>8</v>
      </c>
      <c r="P5" s="256">
        <v>2</v>
      </c>
      <c r="Q5" s="257">
        <v>11</v>
      </c>
      <c r="R5" s="244"/>
      <c r="S5" s="245"/>
      <c r="T5" s="246"/>
      <c r="U5" s="243"/>
      <c r="V5" s="223">
        <f t="shared" ref="V5:W5" si="17">(N5+P5+R5+T5)</f>
        <v>13</v>
      </c>
      <c r="W5" s="223">
        <f t="shared" si="17"/>
        <v>19</v>
      </c>
      <c r="X5" s="224">
        <f t="shared" si="6"/>
        <v>32</v>
      </c>
      <c r="Y5" s="336" t="s">
        <v>276</v>
      </c>
      <c r="Z5" s="337" t="str">
        <f t="shared" si="7"/>
        <v>Mallory Plungkhen &amp; Kim Lee</v>
      </c>
      <c r="AA5" s="337">
        <f t="shared" ca="1" si="8"/>
        <v>4</v>
      </c>
      <c r="AB5" s="337">
        <f t="shared" ca="1" si="9"/>
        <v>48</v>
      </c>
      <c r="AC5" s="337">
        <f t="shared" ca="1" si="10"/>
        <v>44</v>
      </c>
      <c r="AD5" s="337">
        <f t="shared" ca="1" si="11"/>
        <v>92</v>
      </c>
      <c r="AE5" s="253">
        <f t="shared" ca="1" si="12"/>
        <v>0.52173913043478259</v>
      </c>
      <c r="AF5" s="338">
        <f t="shared" ca="1" si="13"/>
        <v>-28.478260869565219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127</v>
      </c>
      <c r="C6" s="314">
        <v>11</v>
      </c>
      <c r="D6" s="315">
        <v>11</v>
      </c>
      <c r="E6" s="315">
        <v>11</v>
      </c>
      <c r="F6" s="213">
        <f t="shared" si="0"/>
        <v>33</v>
      </c>
      <c r="G6" s="213">
        <f>C7+D8+E9</f>
        <v>20</v>
      </c>
      <c r="H6" s="213">
        <f t="shared" si="1"/>
        <v>53</v>
      </c>
      <c r="I6" s="214">
        <f t="shared" si="2"/>
        <v>0.62264150943396224</v>
      </c>
      <c r="J6" s="238">
        <f t="shared" ca="1" si="3"/>
        <v>3</v>
      </c>
      <c r="K6" s="307" t="s">
        <v>1349</v>
      </c>
      <c r="L6" s="219">
        <v>5</v>
      </c>
      <c r="M6" s="218" t="str">
        <f t="shared" ca="1" si="4"/>
        <v>Stephanie Campbell &amp; Alice Edwards</v>
      </c>
      <c r="N6" s="217">
        <v>7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4">
        <f t="shared" si="6"/>
        <v>18</v>
      </c>
      <c r="Y6" s="328" t="s">
        <v>256</v>
      </c>
      <c r="Z6" s="340" t="str">
        <f t="shared" si="7"/>
        <v>Raquel Madison &amp; Susan Mitts</v>
      </c>
      <c r="AA6" s="340">
        <f t="shared" ca="1" si="8"/>
        <v>10</v>
      </c>
      <c r="AB6" s="340">
        <f t="shared" ca="1" si="9"/>
        <v>48</v>
      </c>
      <c r="AC6" s="340">
        <f t="shared" ca="1" si="10"/>
        <v>52</v>
      </c>
      <c r="AD6" s="340">
        <f t="shared" ca="1" si="11"/>
        <v>100</v>
      </c>
      <c r="AE6" s="214">
        <f t="shared" ca="1" si="12"/>
        <v>0.48</v>
      </c>
      <c r="AF6" s="341">
        <f t="shared" ca="1" si="13"/>
        <v>-28.52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1003</v>
      </c>
      <c r="C7" s="316">
        <v>6</v>
      </c>
      <c r="D7" s="317">
        <v>7</v>
      </c>
      <c r="E7" s="317">
        <v>11</v>
      </c>
      <c r="F7" s="235">
        <f t="shared" si="0"/>
        <v>24</v>
      </c>
      <c r="G7" s="235">
        <f>C6+D9+E8</f>
        <v>26</v>
      </c>
      <c r="H7" s="235">
        <f t="shared" si="1"/>
        <v>50</v>
      </c>
      <c r="I7" s="236">
        <f t="shared" si="2"/>
        <v>0.48</v>
      </c>
      <c r="J7" s="238">
        <f t="shared" ca="1" si="3"/>
        <v>11</v>
      </c>
      <c r="K7" s="310" t="s">
        <v>1350</v>
      </c>
      <c r="L7" s="241">
        <v>12</v>
      </c>
      <c r="M7" s="240" t="str">
        <f t="shared" ca="1" si="4"/>
        <v>Jacqui Jensen &amp; Shanna Loyd</v>
      </c>
      <c r="N7" s="239">
        <v>11</v>
      </c>
      <c r="O7" s="241">
        <v>7</v>
      </c>
      <c r="P7" s="242">
        <v>11</v>
      </c>
      <c r="Q7" s="243">
        <v>8</v>
      </c>
      <c r="R7" s="244">
        <v>10</v>
      </c>
      <c r="S7" s="245">
        <v>11</v>
      </c>
      <c r="T7" s="246"/>
      <c r="U7" s="243"/>
      <c r="V7" s="223">
        <f t="shared" ref="V7:W7" si="19">(N7+P7+R7+T7)</f>
        <v>32</v>
      </c>
      <c r="W7" s="223">
        <f t="shared" si="19"/>
        <v>26</v>
      </c>
      <c r="X7" s="224">
        <f t="shared" si="6"/>
        <v>58</v>
      </c>
      <c r="Y7" s="332" t="s">
        <v>221</v>
      </c>
      <c r="Z7" s="329" t="str">
        <f t="shared" si="7"/>
        <v>Paige Salveter &amp; Kristy Ecton</v>
      </c>
      <c r="AA7" s="329">
        <f t="shared" ca="1" si="8"/>
        <v>15</v>
      </c>
      <c r="AB7" s="329">
        <f t="shared" ca="1" si="9"/>
        <v>48</v>
      </c>
      <c r="AC7" s="329">
        <f t="shared" ca="1" si="10"/>
        <v>61</v>
      </c>
      <c r="AD7" s="329">
        <f t="shared" ca="1" si="11"/>
        <v>109</v>
      </c>
      <c r="AE7" s="236">
        <f t="shared" ca="1" si="12"/>
        <v>0.44036697247706424</v>
      </c>
      <c r="AF7" s="341">
        <f t="shared" ca="1" si="13"/>
        <v>-28.559633027522935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1005</v>
      </c>
      <c r="C8" s="318">
        <v>7</v>
      </c>
      <c r="D8" s="319">
        <v>10</v>
      </c>
      <c r="E8" s="317">
        <v>4</v>
      </c>
      <c r="F8" s="235">
        <f t="shared" si="0"/>
        <v>21</v>
      </c>
      <c r="G8" s="235">
        <f>C9+D6+E7</f>
        <v>33</v>
      </c>
      <c r="H8" s="235">
        <f t="shared" si="1"/>
        <v>54</v>
      </c>
      <c r="I8" s="236">
        <f t="shared" si="2"/>
        <v>0.3888888888888889</v>
      </c>
      <c r="J8" s="238">
        <f t="shared" ca="1" si="3"/>
        <v>14</v>
      </c>
      <c r="K8" s="307" t="s">
        <v>1351</v>
      </c>
      <c r="L8" s="219">
        <v>4</v>
      </c>
      <c r="M8" s="218" t="str">
        <f t="shared" ca="1" si="4"/>
        <v>Mallory Plungkhen &amp; Kim Lee</v>
      </c>
      <c r="N8" s="217">
        <v>11</v>
      </c>
      <c r="O8" s="219">
        <v>9</v>
      </c>
      <c r="P8" s="242">
        <v>8</v>
      </c>
      <c r="Q8" s="243">
        <v>11</v>
      </c>
      <c r="R8" s="244"/>
      <c r="S8" s="245"/>
      <c r="T8" s="246"/>
      <c r="U8" s="243"/>
      <c r="V8" s="223">
        <f t="shared" ref="V8:W8" si="20">(N8+P8+R8+T8)</f>
        <v>19</v>
      </c>
      <c r="W8" s="223">
        <f t="shared" si="20"/>
        <v>20</v>
      </c>
      <c r="X8" s="224">
        <f t="shared" si="6"/>
        <v>39</v>
      </c>
      <c r="Y8" s="332" t="s">
        <v>205</v>
      </c>
      <c r="Z8" s="329" t="str">
        <f t="shared" si="7"/>
        <v>Veronica Marrs &amp; Stacie Scifres</v>
      </c>
      <c r="AA8" s="329">
        <f t="shared" ca="1" si="8"/>
        <v>2</v>
      </c>
      <c r="AB8" s="329">
        <f t="shared" ca="1" si="9"/>
        <v>42</v>
      </c>
      <c r="AC8" s="329">
        <f t="shared" ca="1" si="10"/>
        <v>27</v>
      </c>
      <c r="AD8" s="329">
        <f t="shared" ca="1" si="11"/>
        <v>69</v>
      </c>
      <c r="AE8" s="236">
        <f t="shared" ca="1" si="12"/>
        <v>0.60869565217391308</v>
      </c>
      <c r="AF8" s="333">
        <f t="shared" ca="1" si="13"/>
        <v>-34.391304347826086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997</v>
      </c>
      <c r="C9" s="320">
        <v>11</v>
      </c>
      <c r="D9" s="321">
        <v>11</v>
      </c>
      <c r="E9" s="322">
        <v>4</v>
      </c>
      <c r="F9" s="252">
        <f t="shared" si="0"/>
        <v>26</v>
      </c>
      <c r="G9" s="252">
        <f>C8+D7+E6</f>
        <v>25</v>
      </c>
      <c r="H9" s="252">
        <f t="shared" si="1"/>
        <v>51</v>
      </c>
      <c r="I9" s="253">
        <f t="shared" si="2"/>
        <v>0.50980392156862742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Amy George &amp; Susan Murphy</v>
      </c>
      <c r="N9" s="239">
        <v>9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9</v>
      </c>
      <c r="W9" s="223">
        <f t="shared" si="21"/>
        <v>11</v>
      </c>
      <c r="X9" s="224">
        <f t="shared" si="6"/>
        <v>20</v>
      </c>
      <c r="Y9" s="336" t="s">
        <v>228</v>
      </c>
      <c r="Z9" s="337" t="str">
        <f t="shared" si="7"/>
        <v>Sarah Taber &amp; Stephanie Brittain</v>
      </c>
      <c r="AA9" s="337">
        <f t="shared" ca="1" si="8"/>
        <v>11</v>
      </c>
      <c r="AB9" s="337">
        <f t="shared" ca="1" si="9"/>
        <v>42</v>
      </c>
      <c r="AC9" s="337">
        <f t="shared" ca="1" si="10"/>
        <v>45</v>
      </c>
      <c r="AD9" s="337">
        <f t="shared" ca="1" si="11"/>
        <v>87</v>
      </c>
      <c r="AE9" s="253">
        <f t="shared" ca="1" si="12"/>
        <v>0.48275862068965519</v>
      </c>
      <c r="AF9" s="338">
        <f t="shared" ca="1" si="13"/>
        <v>-34.517241379310342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995</v>
      </c>
      <c r="C10" s="314">
        <v>1</v>
      </c>
      <c r="D10" s="315">
        <v>2</v>
      </c>
      <c r="E10" s="315">
        <v>9</v>
      </c>
      <c r="F10" s="213">
        <f t="shared" si="0"/>
        <v>12</v>
      </c>
      <c r="G10" s="213">
        <f>C11+D12+E13</f>
        <v>33</v>
      </c>
      <c r="H10" s="213">
        <f t="shared" si="1"/>
        <v>45</v>
      </c>
      <c r="I10" s="214">
        <f t="shared" si="2"/>
        <v>0.26666666666666666</v>
      </c>
      <c r="J10" s="238">
        <f t="shared" ca="1" si="3"/>
        <v>16</v>
      </c>
      <c r="K10" s="307" t="s">
        <v>1353</v>
      </c>
      <c r="L10" s="219">
        <v>6</v>
      </c>
      <c r="M10" s="218" t="str">
        <f t="shared" ca="1" si="4"/>
        <v>Carrie Cooper &amp; Keely Schneider</v>
      </c>
      <c r="N10" s="217">
        <v>8</v>
      </c>
      <c r="O10" s="219">
        <v>11</v>
      </c>
      <c r="P10" s="220"/>
      <c r="Q10" s="221"/>
      <c r="R10" s="217"/>
      <c r="S10" s="219"/>
      <c r="T10" s="246"/>
      <c r="U10" s="243"/>
      <c r="V10" s="223">
        <f t="shared" ref="V10:W10" si="22">(N10+P10+R10+T10)</f>
        <v>8</v>
      </c>
      <c r="W10" s="223">
        <f t="shared" si="22"/>
        <v>11</v>
      </c>
      <c r="X10" s="224">
        <f t="shared" si="6"/>
        <v>19</v>
      </c>
      <c r="Y10" s="332" t="s">
        <v>216</v>
      </c>
      <c r="Z10" s="329" t="str">
        <f t="shared" si="7"/>
        <v>Carrie Cooper &amp; Keely Schneider</v>
      </c>
      <c r="AA10" s="329">
        <f t="shared" ca="1" si="8"/>
        <v>6</v>
      </c>
      <c r="AB10" s="329">
        <f t="shared" ca="1" si="9"/>
        <v>40</v>
      </c>
      <c r="AC10" s="329">
        <f t="shared" ca="1" si="10"/>
        <v>39</v>
      </c>
      <c r="AD10" s="329">
        <f t="shared" ca="1" si="11"/>
        <v>79</v>
      </c>
      <c r="AE10" s="236">
        <f t="shared" ca="1" si="12"/>
        <v>0.50632911392405067</v>
      </c>
      <c r="AF10" s="341">
        <f t="shared" ca="1" si="13"/>
        <v>-36.493670886075947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1012</v>
      </c>
      <c r="C11" s="316">
        <v>11</v>
      </c>
      <c r="D11" s="317">
        <v>11</v>
      </c>
      <c r="E11" s="317">
        <v>3</v>
      </c>
      <c r="F11" s="235">
        <f t="shared" si="0"/>
        <v>25</v>
      </c>
      <c r="G11" s="235">
        <f>C10+D13+E12</f>
        <v>22</v>
      </c>
      <c r="H11" s="235">
        <f t="shared" si="1"/>
        <v>47</v>
      </c>
      <c r="I11" s="236">
        <f t="shared" si="2"/>
        <v>0.53191489361702127</v>
      </c>
      <c r="J11" s="238">
        <f t="shared" ca="1" si="3"/>
        <v>7</v>
      </c>
      <c r="K11" s="310" t="s">
        <v>1354</v>
      </c>
      <c r="L11" s="241">
        <v>11</v>
      </c>
      <c r="M11" s="240" t="str">
        <f t="shared" ca="1" si="4"/>
        <v>Sarah Taber &amp; Stephanie Brittain</v>
      </c>
      <c r="N11" s="239">
        <v>11</v>
      </c>
      <c r="O11" s="241">
        <v>8</v>
      </c>
      <c r="P11" s="242">
        <v>7</v>
      </c>
      <c r="Q11" s="243">
        <v>11</v>
      </c>
      <c r="R11" s="244"/>
      <c r="S11" s="245"/>
      <c r="T11" s="246"/>
      <c r="U11" s="243"/>
      <c r="V11" s="223">
        <f t="shared" ref="V11:W11" si="23">(N11+P11+R11+T11)</f>
        <v>18</v>
      </c>
      <c r="W11" s="223">
        <f t="shared" si="23"/>
        <v>19</v>
      </c>
      <c r="X11" s="224">
        <f t="shared" si="6"/>
        <v>37</v>
      </c>
      <c r="Y11" s="332" t="s">
        <v>268</v>
      </c>
      <c r="Z11" s="329" t="str">
        <f t="shared" si="7"/>
        <v>Stephanie Campbell &amp; Alice Edwards</v>
      </c>
      <c r="AA11" s="329">
        <f t="shared" ca="1" si="8"/>
        <v>5</v>
      </c>
      <c r="AB11" s="329">
        <f t="shared" ca="1" si="9"/>
        <v>39</v>
      </c>
      <c r="AC11" s="329">
        <f t="shared" ca="1" si="10"/>
        <v>38</v>
      </c>
      <c r="AD11" s="329">
        <f t="shared" ca="1" si="11"/>
        <v>77</v>
      </c>
      <c r="AE11" s="236">
        <f t="shared" ca="1" si="12"/>
        <v>0.50649350649350644</v>
      </c>
      <c r="AF11" s="333">
        <f t="shared" ca="1" si="13"/>
        <v>-37.493506493506494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128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C13+D10+E11</f>
        <v>13</v>
      </c>
      <c r="H12" s="235">
        <f t="shared" si="1"/>
        <v>46</v>
      </c>
      <c r="I12" s="236">
        <f t="shared" si="2"/>
        <v>0.71739130434782605</v>
      </c>
      <c r="J12" s="238">
        <f t="shared" ca="1" si="3"/>
        <v>1</v>
      </c>
      <c r="K12" s="307" t="s">
        <v>1355</v>
      </c>
      <c r="L12" s="219">
        <v>3</v>
      </c>
      <c r="M12" s="218" t="str">
        <f t="shared" ca="1" si="4"/>
        <v>Loras Heck &amp; Amanda Miller</v>
      </c>
      <c r="N12" s="217">
        <v>11</v>
      </c>
      <c r="O12" s="219">
        <v>6</v>
      </c>
      <c r="P12" s="242">
        <v>11</v>
      </c>
      <c r="Q12" s="243">
        <v>7</v>
      </c>
      <c r="R12" s="244">
        <v>11</v>
      </c>
      <c r="S12" s="245">
        <v>10</v>
      </c>
      <c r="T12" s="246">
        <v>11</v>
      </c>
      <c r="U12" s="243">
        <v>9</v>
      </c>
      <c r="V12" s="223">
        <f t="shared" ref="V12:W12" si="24">(N12+P12+R12+T12)</f>
        <v>44</v>
      </c>
      <c r="W12" s="223">
        <f t="shared" si="24"/>
        <v>32</v>
      </c>
      <c r="X12" s="224">
        <f t="shared" si="6"/>
        <v>76</v>
      </c>
      <c r="Y12" s="332" t="s">
        <v>271</v>
      </c>
      <c r="Z12" s="329" t="str">
        <f t="shared" si="7"/>
        <v>Kristin Heurtin &amp; Stacie Temple</v>
      </c>
      <c r="AA12" s="329">
        <f t="shared" ca="1" si="8"/>
        <v>9</v>
      </c>
      <c r="AB12" s="329">
        <f t="shared" ca="1" si="9"/>
        <v>39</v>
      </c>
      <c r="AC12" s="329">
        <f t="shared" ca="1" si="10"/>
        <v>45</v>
      </c>
      <c r="AD12" s="329">
        <f t="shared" ca="1" si="11"/>
        <v>84</v>
      </c>
      <c r="AE12" s="236">
        <f t="shared" ca="1" si="12"/>
        <v>0.4642857142857143</v>
      </c>
      <c r="AF12" s="375">
        <f t="shared" ca="1" si="13"/>
        <v>-37.535714285714285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1014</v>
      </c>
      <c r="C13" s="320">
        <v>8</v>
      </c>
      <c r="D13" s="321">
        <v>10</v>
      </c>
      <c r="E13" s="322">
        <v>11</v>
      </c>
      <c r="F13" s="252">
        <f t="shared" si="0"/>
        <v>29</v>
      </c>
      <c r="G13" s="252">
        <f>C12+D11+E10</f>
        <v>31</v>
      </c>
      <c r="H13" s="252">
        <f t="shared" si="1"/>
        <v>60</v>
      </c>
      <c r="I13" s="253">
        <f t="shared" si="2"/>
        <v>0.48333333333333334</v>
      </c>
      <c r="J13" s="255">
        <f t="shared" ca="1" si="3"/>
        <v>10</v>
      </c>
      <c r="K13" s="310" t="s">
        <v>1356</v>
      </c>
      <c r="L13" s="241">
        <v>14</v>
      </c>
      <c r="M13" s="240" t="str">
        <f t="shared" ca="1" si="4"/>
        <v>Susie Keefer &amp; Olivia Haney</v>
      </c>
      <c r="N13" s="239">
        <v>6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6</v>
      </c>
      <c r="W13" s="223">
        <f t="shared" si="25"/>
        <v>11</v>
      </c>
      <c r="X13" s="224">
        <f t="shared" si="6"/>
        <v>17</v>
      </c>
      <c r="Y13" s="336" t="s">
        <v>246</v>
      </c>
      <c r="Z13" s="337" t="str">
        <f t="shared" si="7"/>
        <v>Phyllis Norman &amp; Thu Nguyen</v>
      </c>
      <c r="AA13" s="337">
        <f t="shared" ca="1" si="8"/>
        <v>7</v>
      </c>
      <c r="AB13" s="337">
        <f t="shared" ca="1" si="9"/>
        <v>35</v>
      </c>
      <c r="AC13" s="337">
        <f t="shared" ca="1" si="10"/>
        <v>33</v>
      </c>
      <c r="AD13" s="337">
        <f t="shared" ca="1" si="11"/>
        <v>68</v>
      </c>
      <c r="AE13" s="253">
        <f t="shared" ca="1" si="12"/>
        <v>0.51470588235294112</v>
      </c>
      <c r="AF13" s="345">
        <f t="shared" ca="1" si="13"/>
        <v>-41.485294117647058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1009</v>
      </c>
      <c r="C14" s="314">
        <v>9</v>
      </c>
      <c r="D14" s="315">
        <v>5</v>
      </c>
      <c r="E14" s="315">
        <v>9</v>
      </c>
      <c r="F14" s="213">
        <f t="shared" si="0"/>
        <v>23</v>
      </c>
      <c r="G14" s="213">
        <f>C15+D16+E17</f>
        <v>33</v>
      </c>
      <c r="H14" s="213">
        <f t="shared" si="1"/>
        <v>56</v>
      </c>
      <c r="I14" s="214">
        <f t="shared" si="2"/>
        <v>0.4107142857142857</v>
      </c>
      <c r="J14" s="238">
        <f t="shared" ca="1" si="3"/>
        <v>13</v>
      </c>
      <c r="K14" s="307" t="s">
        <v>1357</v>
      </c>
      <c r="L14" s="219">
        <v>7</v>
      </c>
      <c r="M14" s="218" t="str">
        <f t="shared" ca="1" si="4"/>
        <v>Phyllis Norman &amp; Thu Nguyen</v>
      </c>
      <c r="N14" s="217">
        <v>10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10</v>
      </c>
      <c r="W14" s="223">
        <f t="shared" si="26"/>
        <v>11</v>
      </c>
      <c r="X14" s="224">
        <f t="shared" si="6"/>
        <v>21</v>
      </c>
      <c r="Y14" s="332" t="s">
        <v>237</v>
      </c>
      <c r="Z14" s="329" t="str">
        <f t="shared" si="7"/>
        <v>Tina Kempf &amp; Tiffany Blackwell</v>
      </c>
      <c r="AA14" s="329">
        <f t="shared" ca="1" si="8"/>
        <v>8</v>
      </c>
      <c r="AB14" s="329">
        <f t="shared" ca="1" si="9"/>
        <v>34</v>
      </c>
      <c r="AC14" s="329">
        <f t="shared" ca="1" si="10"/>
        <v>36</v>
      </c>
      <c r="AD14" s="329">
        <f t="shared" ca="1" si="11"/>
        <v>70</v>
      </c>
      <c r="AE14" s="236">
        <f t="shared" ca="1" si="12"/>
        <v>0.48571428571428571</v>
      </c>
      <c r="AF14" s="343">
        <f t="shared" ca="1" si="13"/>
        <v>-42.514285714285712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1002</v>
      </c>
      <c r="C15" s="316">
        <v>11</v>
      </c>
      <c r="D15" s="317">
        <v>11</v>
      </c>
      <c r="E15" s="317">
        <v>10</v>
      </c>
      <c r="F15" s="235">
        <f t="shared" si="0"/>
        <v>32</v>
      </c>
      <c r="G15" s="235">
        <f>C14+D17+E16</f>
        <v>27</v>
      </c>
      <c r="H15" s="235">
        <f t="shared" si="1"/>
        <v>59</v>
      </c>
      <c r="I15" s="236">
        <f t="shared" si="2"/>
        <v>0.5423728813559322</v>
      </c>
      <c r="J15" s="238">
        <f t="shared" ca="1" si="3"/>
        <v>5</v>
      </c>
      <c r="K15" s="310" t="s">
        <v>1358</v>
      </c>
      <c r="L15" s="241">
        <v>10</v>
      </c>
      <c r="M15" s="240" t="str">
        <f t="shared" ca="1" si="4"/>
        <v>Raquel Madison &amp; Susan Mitts</v>
      </c>
      <c r="N15" s="239">
        <v>11</v>
      </c>
      <c r="O15" s="241">
        <v>10</v>
      </c>
      <c r="P15" s="242">
        <v>8</v>
      </c>
      <c r="Q15" s="243">
        <v>11</v>
      </c>
      <c r="R15" s="244"/>
      <c r="S15" s="245"/>
      <c r="T15" s="246"/>
      <c r="U15" s="243"/>
      <c r="V15" s="223">
        <f t="shared" ref="V15:W15" si="27">(N15+P15+R15+T15)</f>
        <v>19</v>
      </c>
      <c r="W15" s="223">
        <f t="shared" si="27"/>
        <v>21</v>
      </c>
      <c r="X15" s="224">
        <f t="shared" si="6"/>
        <v>40</v>
      </c>
      <c r="Y15" s="332" t="s">
        <v>261</v>
      </c>
      <c r="Z15" s="329" t="str">
        <f t="shared" si="7"/>
        <v>Amy George &amp; Susan Murphy</v>
      </c>
      <c r="AA15" s="329">
        <f t="shared" ca="1" si="8"/>
        <v>13</v>
      </c>
      <c r="AB15" s="329">
        <f t="shared" ca="1" si="9"/>
        <v>32</v>
      </c>
      <c r="AC15" s="329">
        <f t="shared" ca="1" si="10"/>
        <v>44</v>
      </c>
      <c r="AD15" s="329">
        <f t="shared" ca="1" si="11"/>
        <v>76</v>
      </c>
      <c r="AE15" s="236">
        <f t="shared" ca="1" si="12"/>
        <v>0.42105263157894735</v>
      </c>
      <c r="AF15" s="341">
        <f t="shared" ca="1" si="13"/>
        <v>-44.578947368421055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1000</v>
      </c>
      <c r="C16" s="318">
        <v>4</v>
      </c>
      <c r="D16" s="319">
        <v>11</v>
      </c>
      <c r="E16" s="317">
        <v>11</v>
      </c>
      <c r="F16" s="235">
        <f t="shared" si="0"/>
        <v>26</v>
      </c>
      <c r="G16" s="235">
        <f>C17+D14+E15</f>
        <v>26</v>
      </c>
      <c r="H16" s="235">
        <f t="shared" si="1"/>
        <v>52</v>
      </c>
      <c r="I16" s="236">
        <f t="shared" si="2"/>
        <v>0.5</v>
      </c>
      <c r="J16" s="238">
        <f t="shared" ca="1" si="3"/>
        <v>9</v>
      </c>
      <c r="K16" s="307" t="s">
        <v>1359</v>
      </c>
      <c r="L16" s="219">
        <v>2</v>
      </c>
      <c r="M16" s="218" t="str">
        <f t="shared" ca="1" si="4"/>
        <v>Veronica Marrs &amp; Stacie Scifres</v>
      </c>
      <c r="N16" s="217">
        <v>9</v>
      </c>
      <c r="O16" s="219">
        <v>11</v>
      </c>
      <c r="P16" s="242"/>
      <c r="Q16" s="243"/>
      <c r="R16" s="244"/>
      <c r="S16" s="245"/>
      <c r="T16" s="246"/>
      <c r="U16" s="243"/>
      <c r="V16" s="223">
        <f t="shared" ref="V16:W16" si="28">(N16+P16+R16+T16)</f>
        <v>9</v>
      </c>
      <c r="W16" s="223">
        <f t="shared" si="28"/>
        <v>11</v>
      </c>
      <c r="X16" s="224">
        <f t="shared" si="6"/>
        <v>20</v>
      </c>
      <c r="Y16" s="332" t="s">
        <v>232</v>
      </c>
      <c r="Z16" s="329" t="str">
        <f t="shared" si="7"/>
        <v>Susie Keefer &amp; Olivia Haney</v>
      </c>
      <c r="AA16" s="329">
        <f t="shared" ca="1" si="8"/>
        <v>14</v>
      </c>
      <c r="AB16" s="329">
        <f t="shared" ca="1" si="9"/>
        <v>27</v>
      </c>
      <c r="AC16" s="329">
        <f t="shared" ca="1" si="10"/>
        <v>44</v>
      </c>
      <c r="AD16" s="329">
        <f t="shared" ca="1" si="11"/>
        <v>71</v>
      </c>
      <c r="AE16" s="236">
        <f t="shared" ca="1" si="12"/>
        <v>0.38028169014084506</v>
      </c>
      <c r="AF16" s="333">
        <f t="shared" ca="1" si="13"/>
        <v>-49.619718309859152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1006</v>
      </c>
      <c r="C17" s="323">
        <v>11</v>
      </c>
      <c r="D17" s="324">
        <v>7</v>
      </c>
      <c r="E17" s="325">
        <v>11</v>
      </c>
      <c r="F17" s="265">
        <f t="shared" si="0"/>
        <v>29</v>
      </c>
      <c r="G17" s="265">
        <f>C16+D15+E14</f>
        <v>24</v>
      </c>
      <c r="H17" s="265">
        <f t="shared" si="1"/>
        <v>53</v>
      </c>
      <c r="I17" s="266">
        <f t="shared" si="2"/>
        <v>0.54716981132075471</v>
      </c>
      <c r="J17" s="268">
        <f t="shared" ca="1" si="3"/>
        <v>4</v>
      </c>
      <c r="K17" s="311" t="s">
        <v>1360</v>
      </c>
      <c r="L17" s="271">
        <v>15</v>
      </c>
      <c r="M17" s="270" t="str">
        <f t="shared" ca="1" si="4"/>
        <v>Paige Salveter &amp; Kristy Ecton</v>
      </c>
      <c r="N17" s="269">
        <v>11</v>
      </c>
      <c r="O17" s="271">
        <v>9</v>
      </c>
      <c r="P17" s="272">
        <v>11</v>
      </c>
      <c r="Q17" s="273">
        <v>8</v>
      </c>
      <c r="R17" s="274">
        <v>10</v>
      </c>
      <c r="S17" s="275">
        <v>11</v>
      </c>
      <c r="T17" s="276"/>
      <c r="U17" s="273"/>
      <c r="V17" s="277">
        <f t="shared" ref="V17:W17" si="29">(N17+P17+R17+T17)</f>
        <v>32</v>
      </c>
      <c r="W17" s="277">
        <f t="shared" si="29"/>
        <v>28</v>
      </c>
      <c r="X17" s="278">
        <f t="shared" si="6"/>
        <v>60</v>
      </c>
      <c r="Y17" s="347" t="s">
        <v>241</v>
      </c>
      <c r="Z17" s="274" t="str">
        <f t="shared" si="7"/>
        <v>Jennifer Hudson &amp; Anchi Zwede</v>
      </c>
      <c r="AA17" s="274">
        <f t="shared" ca="1" si="8"/>
        <v>16</v>
      </c>
      <c r="AB17" s="274">
        <f t="shared" ca="1" si="9"/>
        <v>15</v>
      </c>
      <c r="AC17" s="274">
        <f t="shared" ca="1" si="10"/>
        <v>44</v>
      </c>
      <c r="AD17" s="274">
        <f t="shared" ca="1" si="11"/>
        <v>59</v>
      </c>
      <c r="AE17" s="266">
        <f t="shared" ca="1" si="12"/>
        <v>0.25423728813559321</v>
      </c>
      <c r="AF17" s="348">
        <f t="shared" ca="1" si="13"/>
        <v>-61.745762711864408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0">SUM(C2:C17)</f>
        <v>134</v>
      </c>
      <c r="D19" s="289">
        <f t="shared" si="30"/>
        <v>144</v>
      </c>
      <c r="E19" s="289">
        <f>SUM(E2:E18)</f>
        <v>139</v>
      </c>
      <c r="F19" s="287">
        <f t="shared" ref="F19:G19" si="31">SUM(F2:F17)</f>
        <v>417</v>
      </c>
      <c r="G19" s="290">
        <f t="shared" si="31"/>
        <v>417</v>
      </c>
      <c r="H19" s="292">
        <f>SUM(H2:H17)/2</f>
        <v>417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148</v>
      </c>
      <c r="O19" s="287">
        <f t="shared" si="32"/>
        <v>148</v>
      </c>
      <c r="P19" s="287">
        <f t="shared" si="32"/>
        <v>69</v>
      </c>
      <c r="Q19" s="287">
        <f t="shared" si="32"/>
        <v>69</v>
      </c>
      <c r="R19" s="287">
        <f t="shared" si="32"/>
        <v>42</v>
      </c>
      <c r="S19" s="287">
        <f t="shared" si="32"/>
        <v>42</v>
      </c>
      <c r="T19" s="287">
        <f t="shared" si="32"/>
        <v>20</v>
      </c>
      <c r="U19" s="287">
        <f t="shared" si="32"/>
        <v>20</v>
      </c>
      <c r="V19" s="287">
        <f t="shared" si="32"/>
        <v>279</v>
      </c>
      <c r="W19" s="287">
        <f t="shared" si="32"/>
        <v>279</v>
      </c>
      <c r="X19" s="287">
        <f>SUM(X2:X17)/2</f>
        <v>279</v>
      </c>
      <c r="Y19" s="287"/>
      <c r="Z19" s="287"/>
      <c r="AA19" s="287"/>
      <c r="AB19" s="287">
        <f t="shared" ref="AB19:AD19" ca="1" si="33">SUM(AB2:AB17)/2</f>
        <v>348</v>
      </c>
      <c r="AC19" s="287">
        <f t="shared" ca="1" si="33"/>
        <v>348</v>
      </c>
      <c r="AD19" s="287">
        <f t="shared" ca="1" si="33"/>
        <v>696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3</v>
      </c>
      <c r="E20" s="326">
        <f t="shared" si="34"/>
        <v>1</v>
      </c>
      <c r="F20" s="296"/>
      <c r="G20" s="296"/>
      <c r="H20" s="297">
        <f>AVERAGE(H2:H17)</f>
        <v>52.125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2</v>
      </c>
      <c r="T20" s="287"/>
      <c r="U20" s="326">
        <f>COUNTIF(U2:U17, 10)</f>
        <v>0</v>
      </c>
      <c r="V20" s="287"/>
      <c r="W20" s="296"/>
      <c r="X20" s="350">
        <f>SUM(C20:E20,O20,Q20,S20,U20)</f>
        <v>7</v>
      </c>
      <c r="Y20" s="287"/>
      <c r="Z20" s="287"/>
      <c r="AA20" s="287"/>
      <c r="AB20" s="287"/>
      <c r="AC20" s="287"/>
      <c r="AD20" s="287">
        <f ca="1">AVERAGE(AD2:AD17)</f>
        <v>87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86" priority="5" operator="equal">
      <formula>33</formula>
    </cfRule>
  </conditionalFormatting>
  <conditionalFormatting sqref="J2:J17">
    <cfRule type="expression" dxfId="85" priority="7">
      <formula>COUNTIF(J$2:J$17,$J2)&gt;1</formula>
    </cfRule>
  </conditionalFormatting>
  <conditionalFormatting sqref="M2:X17">
    <cfRule type="expression" dxfId="84" priority="1">
      <formula>$T2=11</formula>
    </cfRule>
  </conditionalFormatting>
  <conditionalFormatting sqref="N2:O17">
    <cfRule type="expression" dxfId="83" priority="2">
      <formula>$N2=11</formula>
    </cfRule>
  </conditionalFormatting>
  <conditionalFormatting sqref="P2:Q17">
    <cfRule type="expression" dxfId="82" priority="3">
      <formula>$P2=11</formula>
    </cfRule>
  </conditionalFormatting>
  <conditionalFormatting sqref="R2:S17">
    <cfRule type="expression" dxfId="81" priority="4">
      <formula>$R2=11</formula>
    </cfRule>
  </conditionalFormatting>
  <conditionalFormatting sqref="AG2:AG17">
    <cfRule type="expression" dxfId="80" priority="6">
      <formula>COUNTIF(AG$2:AG$17,$AG2)&gt;1</formula>
    </cfRule>
  </conditionalFormatting>
  <hyperlinks>
    <hyperlink ref="A1" location="Champions!A1" display="Home" xr:uid="{00000000-0004-0000-0F00-000000000000}"/>
    <hyperlink ref="AH1" location="Champions!A1" display="Home" xr:uid="{00000000-0004-0000-0F00-000001000000}"/>
    <hyperlink ref="A19" location="Champions!A1" display="Home" xr:uid="{00000000-0004-0000-0F00-000002000000}"/>
  </hyperlink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36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1362</v>
      </c>
      <c r="C2" s="314">
        <v>8</v>
      </c>
      <c r="D2" s="315">
        <v>10</v>
      </c>
      <c r="E2" s="315">
        <v>9</v>
      </c>
      <c r="F2" s="213">
        <f t="shared" ref="F2:F17" si="0">SUM(C2:E2)</f>
        <v>27</v>
      </c>
      <c r="G2" s="213">
        <f>C3+D4+E5</f>
        <v>33</v>
      </c>
      <c r="H2" s="213">
        <f t="shared" ref="H2:H17" si="1">SUM(F2:G2)</f>
        <v>60</v>
      </c>
      <c r="I2" s="214">
        <f t="shared" ref="I2:I17" si="2">IFERROR(F2/H2,"")</f>
        <v>0.45</v>
      </c>
      <c r="J2" s="216">
        <f t="shared" ref="J2:J13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Phyllis Norman &amp; Amanda Miller</v>
      </c>
      <c r="N2" s="217">
        <v>11</v>
      </c>
      <c r="O2" s="219">
        <v>3</v>
      </c>
      <c r="P2" s="220">
        <v>11</v>
      </c>
      <c r="Q2" s="221">
        <v>3</v>
      </c>
      <c r="R2" s="217">
        <v>11</v>
      </c>
      <c r="S2" s="219">
        <v>8</v>
      </c>
      <c r="T2" s="222">
        <v>5</v>
      </c>
      <c r="U2" s="221">
        <v>11</v>
      </c>
      <c r="V2" s="223">
        <f t="shared" ref="V2:W2" si="5">(N2+P2+R2+T2)</f>
        <v>38</v>
      </c>
      <c r="W2" s="223">
        <f t="shared" si="5"/>
        <v>25</v>
      </c>
      <c r="X2" s="224">
        <f t="shared" ref="X2:X17" si="6">V2+W2</f>
        <v>63</v>
      </c>
      <c r="Y2" s="332" t="s">
        <v>268</v>
      </c>
      <c r="Z2" s="329" t="str">
        <f t="shared" ref="Z2:Z17" si="7">INDEX($A$2:$B$17,MATCH(Y2,$A$2:$A$17,0),2)</f>
        <v>Susan Mitts &amp; Paige Johnson</v>
      </c>
      <c r="AA2" s="329">
        <f t="shared" ref="AA2:AA17" ca="1" si="8">INDEX($B$2:$K$17, MATCH($Z2,$B$2:$B$17,0),9)</f>
        <v>2</v>
      </c>
      <c r="AB2" s="329">
        <f t="shared" ref="AB2:AB17" ca="1" si="9">INDEX($A$2:$AG$17,(MATCH($Z2,$B$2:$B$17,0)),6)+INDEX($M$2:$X$17,MATCH($Z2,$M$2:$M$17,0),10)</f>
        <v>73</v>
      </c>
      <c r="AC2" s="329">
        <f t="shared" ref="AC2:AC17" ca="1" si="10">INDEX($A$2:$AG$17,(MATCH($Z2,$B$2:$B$17,0)),7)+INDEX($M$2:$X$17,MATCH($Z2,$M$2:$M$17,0),11)</f>
        <v>30</v>
      </c>
      <c r="AD2" s="329">
        <f t="shared" ref="AD2:AD17" ca="1" si="11">SUM(AB2:AC2)</f>
        <v>103</v>
      </c>
      <c r="AE2" s="236">
        <f t="shared" ref="AE2:AE17" ca="1" si="12">AB2/AD2</f>
        <v>0.70873786407766992</v>
      </c>
      <c r="AF2" s="330">
        <f t="shared" ref="AF2:AF17" ca="1" si="13">AE2-(77-AB2)</f>
        <v>-3.29126213592233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135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17</v>
      </c>
      <c r="H3" s="235">
        <f t="shared" si="1"/>
        <v>50</v>
      </c>
      <c r="I3" s="236">
        <f t="shared" si="2"/>
        <v>0.66</v>
      </c>
      <c r="J3" s="238">
        <f t="shared" ca="1" si="3"/>
        <v>1</v>
      </c>
      <c r="K3" s="310" t="s">
        <v>1346</v>
      </c>
      <c r="L3" s="241">
        <v>16</v>
      </c>
      <c r="M3" s="240" t="str">
        <f t="shared" ca="1" si="4"/>
        <v>Loras Heck &amp; Susan Murphy</v>
      </c>
      <c r="N3" s="239">
        <v>3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3</v>
      </c>
      <c r="W3" s="223">
        <f t="shared" si="15"/>
        <v>11</v>
      </c>
      <c r="X3" s="224">
        <f t="shared" si="6"/>
        <v>14</v>
      </c>
      <c r="Y3" s="332" t="s">
        <v>211</v>
      </c>
      <c r="Z3" s="329" t="str">
        <f t="shared" si="7"/>
        <v>Phyllis Norman &amp; Amanda Miller</v>
      </c>
      <c r="AA3" s="329">
        <f t="shared" ca="1" si="8"/>
        <v>1</v>
      </c>
      <c r="AB3" s="329">
        <f t="shared" ca="1" si="9"/>
        <v>71</v>
      </c>
      <c r="AC3" s="329">
        <f t="shared" ca="1" si="10"/>
        <v>42</v>
      </c>
      <c r="AD3" s="329">
        <f t="shared" ca="1" si="11"/>
        <v>113</v>
      </c>
      <c r="AE3" s="236">
        <f t="shared" ca="1" si="12"/>
        <v>0.62831858407079644</v>
      </c>
      <c r="AF3" s="333">
        <f t="shared" ca="1" si="13"/>
        <v>-5.3716814159292037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1038</v>
      </c>
      <c r="C4" s="318">
        <v>10</v>
      </c>
      <c r="D4" s="319">
        <v>11</v>
      </c>
      <c r="E4" s="317">
        <v>4</v>
      </c>
      <c r="F4" s="235">
        <f t="shared" si="0"/>
        <v>25</v>
      </c>
      <c r="G4" s="235">
        <f>C5+D2+E3</f>
        <v>32</v>
      </c>
      <c r="H4" s="235">
        <f t="shared" si="1"/>
        <v>57</v>
      </c>
      <c r="I4" s="236">
        <f t="shared" si="2"/>
        <v>0.43859649122807015</v>
      </c>
      <c r="J4" s="238">
        <f t="shared" ca="1" si="3"/>
        <v>13</v>
      </c>
      <c r="K4" s="307" t="s">
        <v>1347</v>
      </c>
      <c r="L4" s="219">
        <v>8</v>
      </c>
      <c r="M4" s="218" t="str">
        <f t="shared" ca="1" si="4"/>
        <v>Dina Mitchell &amp; Olivia Haney</v>
      </c>
      <c r="N4" s="217">
        <v>11</v>
      </c>
      <c r="O4" s="219">
        <v>9</v>
      </c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14</v>
      </c>
      <c r="W4" s="223">
        <f t="shared" si="16"/>
        <v>20</v>
      </c>
      <c r="X4" s="224">
        <f t="shared" si="6"/>
        <v>34</v>
      </c>
      <c r="Y4" s="332" t="s">
        <v>241</v>
      </c>
      <c r="Z4" s="329" t="str">
        <f t="shared" si="7"/>
        <v>Yasmine Humbert &amp; Maria Andrew</v>
      </c>
      <c r="AA4" s="329">
        <f t="shared" ca="1" si="8"/>
        <v>5</v>
      </c>
      <c r="AB4" s="329">
        <f t="shared" ca="1" si="9"/>
        <v>60</v>
      </c>
      <c r="AC4" s="329">
        <f t="shared" ca="1" si="10"/>
        <v>45</v>
      </c>
      <c r="AD4" s="329">
        <f t="shared" ca="1" si="11"/>
        <v>105</v>
      </c>
      <c r="AE4" s="236">
        <f t="shared" ca="1" si="12"/>
        <v>0.5714285714285714</v>
      </c>
      <c r="AF4" s="341">
        <f t="shared" ca="1" si="13"/>
        <v>-16.428571428571427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1040</v>
      </c>
      <c r="C5" s="320">
        <v>11</v>
      </c>
      <c r="D5" s="321">
        <v>5</v>
      </c>
      <c r="E5" s="322">
        <v>11</v>
      </c>
      <c r="F5" s="252">
        <f t="shared" si="0"/>
        <v>27</v>
      </c>
      <c r="G5" s="252">
        <f>C4+D3+E2</f>
        <v>30</v>
      </c>
      <c r="H5" s="252">
        <f t="shared" si="1"/>
        <v>57</v>
      </c>
      <c r="I5" s="253">
        <f t="shared" si="2"/>
        <v>0.47368421052631576</v>
      </c>
      <c r="J5" s="255">
        <f t="shared" ca="1" si="3"/>
        <v>11</v>
      </c>
      <c r="K5" s="310" t="s">
        <v>1348</v>
      </c>
      <c r="L5" s="241">
        <v>9</v>
      </c>
      <c r="M5" s="240" t="str">
        <f t="shared" ca="1" si="4"/>
        <v>Tiffany Blackwell &amp; Samantha Green</v>
      </c>
      <c r="N5" s="239">
        <v>9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9</v>
      </c>
      <c r="W5" s="223">
        <f t="shared" si="17"/>
        <v>11</v>
      </c>
      <c r="X5" s="224">
        <f t="shared" si="6"/>
        <v>20</v>
      </c>
      <c r="Y5" s="336" t="s">
        <v>228</v>
      </c>
      <c r="Z5" s="337" t="str">
        <f t="shared" si="7"/>
        <v>Paige Salveter &amp; Alli Hiatt</v>
      </c>
      <c r="AA5" s="337">
        <f t="shared" ca="1" si="8"/>
        <v>3</v>
      </c>
      <c r="AB5" s="337">
        <f t="shared" ca="1" si="9"/>
        <v>59</v>
      </c>
      <c r="AC5" s="337">
        <f t="shared" ca="1" si="10"/>
        <v>39</v>
      </c>
      <c r="AD5" s="337">
        <f t="shared" ca="1" si="11"/>
        <v>98</v>
      </c>
      <c r="AE5" s="253">
        <f t="shared" ca="1" si="12"/>
        <v>0.60204081632653061</v>
      </c>
      <c r="AF5" s="338">
        <f t="shared" ca="1" si="13"/>
        <v>-17.397959183673468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1042</v>
      </c>
      <c r="C6" s="314">
        <v>4</v>
      </c>
      <c r="D6" s="315">
        <v>4</v>
      </c>
      <c r="E6" s="315">
        <v>3</v>
      </c>
      <c r="F6" s="213">
        <f t="shared" si="0"/>
        <v>11</v>
      </c>
      <c r="G6" s="213">
        <f>C7+D8+E9</f>
        <v>33</v>
      </c>
      <c r="H6" s="213">
        <f t="shared" si="1"/>
        <v>44</v>
      </c>
      <c r="I6" s="214">
        <f t="shared" si="2"/>
        <v>0.25</v>
      </c>
      <c r="J6" s="238">
        <f t="shared" ca="1" si="3"/>
        <v>15</v>
      </c>
      <c r="K6" s="307" t="s">
        <v>1349</v>
      </c>
      <c r="L6" s="219">
        <v>5</v>
      </c>
      <c r="M6" s="218" t="str">
        <f t="shared" ca="1" si="4"/>
        <v>Yasmine Humbert &amp; Maria Andrew</v>
      </c>
      <c r="N6" s="217">
        <v>11</v>
      </c>
      <c r="O6" s="219">
        <v>4</v>
      </c>
      <c r="P6" s="220">
        <v>11</v>
      </c>
      <c r="Q6" s="221">
        <v>7</v>
      </c>
      <c r="R6" s="244">
        <v>8</v>
      </c>
      <c r="S6" s="245">
        <v>11</v>
      </c>
      <c r="T6" s="246"/>
      <c r="U6" s="243"/>
      <c r="V6" s="223">
        <f t="shared" ref="V6:W6" si="18">(N6+P6+R6+T6)</f>
        <v>30</v>
      </c>
      <c r="W6" s="223">
        <f t="shared" si="18"/>
        <v>22</v>
      </c>
      <c r="X6" s="224">
        <f t="shared" si="6"/>
        <v>52</v>
      </c>
      <c r="Y6" s="328" t="s">
        <v>276</v>
      </c>
      <c r="Z6" s="340" t="str">
        <f t="shared" si="7"/>
        <v>Brook Vitt &amp; Cynthia Caldwell</v>
      </c>
      <c r="AA6" s="340">
        <f t="shared" ca="1" si="8"/>
        <v>6</v>
      </c>
      <c r="AB6" s="340">
        <f t="shared" ca="1" si="9"/>
        <v>45</v>
      </c>
      <c r="AC6" s="340">
        <f t="shared" ca="1" si="10"/>
        <v>40</v>
      </c>
      <c r="AD6" s="340">
        <f t="shared" ca="1" si="11"/>
        <v>85</v>
      </c>
      <c r="AE6" s="214">
        <f t="shared" ca="1" si="12"/>
        <v>0.52941176470588236</v>
      </c>
      <c r="AF6" s="333">
        <f t="shared" ca="1" si="13"/>
        <v>-31.470588235294116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1046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21</v>
      </c>
      <c r="H7" s="235">
        <f t="shared" si="1"/>
        <v>54</v>
      </c>
      <c r="I7" s="236">
        <f t="shared" si="2"/>
        <v>0.61111111111111116</v>
      </c>
      <c r="J7" s="238">
        <f t="shared" ca="1" si="3"/>
        <v>3</v>
      </c>
      <c r="K7" s="310" t="s">
        <v>1350</v>
      </c>
      <c r="L7" s="241">
        <v>12</v>
      </c>
      <c r="M7" s="240" t="str">
        <f t="shared" ca="1" si="4"/>
        <v>Erin Hambrick &amp; Thu Nyguen</v>
      </c>
      <c r="N7" s="239">
        <v>4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4</v>
      </c>
      <c r="W7" s="223">
        <f t="shared" si="19"/>
        <v>11</v>
      </c>
      <c r="X7" s="224">
        <f t="shared" si="6"/>
        <v>15</v>
      </c>
      <c r="Y7" s="332" t="s">
        <v>232</v>
      </c>
      <c r="Z7" s="329" t="str">
        <f t="shared" si="7"/>
        <v>Dina Mitchell &amp; Olivia Haney</v>
      </c>
      <c r="AA7" s="329">
        <f t="shared" ca="1" si="8"/>
        <v>8</v>
      </c>
      <c r="AB7" s="329">
        <f t="shared" ca="1" si="9"/>
        <v>45</v>
      </c>
      <c r="AC7" s="329">
        <f t="shared" ca="1" si="10"/>
        <v>46</v>
      </c>
      <c r="AD7" s="329">
        <f t="shared" ca="1" si="11"/>
        <v>91</v>
      </c>
      <c r="AE7" s="236">
        <f t="shared" ca="1" si="12"/>
        <v>0.49450549450549453</v>
      </c>
      <c r="AF7" s="341">
        <f t="shared" ca="1" si="13"/>
        <v>-31.505494505494504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1039</v>
      </c>
      <c r="C8" s="318">
        <v>10</v>
      </c>
      <c r="D8" s="319">
        <v>11</v>
      </c>
      <c r="E8" s="317">
        <v>10</v>
      </c>
      <c r="F8" s="235">
        <f t="shared" si="0"/>
        <v>31</v>
      </c>
      <c r="G8" s="235">
        <f>C9+D6+E7</f>
        <v>26</v>
      </c>
      <c r="H8" s="235">
        <f t="shared" si="1"/>
        <v>57</v>
      </c>
      <c r="I8" s="236">
        <f t="shared" si="2"/>
        <v>0.54385964912280704</v>
      </c>
      <c r="J8" s="238">
        <f t="shared" ca="1" si="3"/>
        <v>8</v>
      </c>
      <c r="K8" s="307" t="s">
        <v>1351</v>
      </c>
      <c r="L8" s="219">
        <v>4</v>
      </c>
      <c r="M8" s="218" t="str">
        <f t="shared" ca="1" si="4"/>
        <v>Tiffiny Humbert &amp; Eileen Joyce</v>
      </c>
      <c r="N8" s="217">
        <v>8</v>
      </c>
      <c r="O8" s="219">
        <v>11</v>
      </c>
      <c r="P8" s="242"/>
      <c r="Q8" s="243"/>
      <c r="R8" s="244"/>
      <c r="S8" s="245"/>
      <c r="T8" s="246"/>
      <c r="U8" s="243"/>
      <c r="V8" s="223">
        <f t="shared" ref="V8:W8" si="20">(N8+P8+R8+T8)</f>
        <v>8</v>
      </c>
      <c r="W8" s="223">
        <f t="shared" si="20"/>
        <v>11</v>
      </c>
      <c r="X8" s="224">
        <f t="shared" si="6"/>
        <v>19</v>
      </c>
      <c r="Y8" s="332" t="s">
        <v>216</v>
      </c>
      <c r="Z8" s="329" t="str">
        <f t="shared" si="7"/>
        <v>Erinn Metcalf &amp; Kristy Ecton</v>
      </c>
      <c r="AA8" s="329">
        <f t="shared" ca="1" si="8"/>
        <v>13</v>
      </c>
      <c r="AB8" s="329">
        <f t="shared" ca="1" si="9"/>
        <v>43</v>
      </c>
      <c r="AC8" s="329">
        <f t="shared" ca="1" si="10"/>
        <v>51</v>
      </c>
      <c r="AD8" s="329">
        <f t="shared" ca="1" si="11"/>
        <v>94</v>
      </c>
      <c r="AE8" s="236">
        <f t="shared" ca="1" si="12"/>
        <v>0.45744680851063829</v>
      </c>
      <c r="AF8" s="333">
        <f t="shared" ca="1" si="13"/>
        <v>-33.542553191489361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1050</v>
      </c>
      <c r="C9" s="320">
        <v>11</v>
      </c>
      <c r="D9" s="321">
        <v>7</v>
      </c>
      <c r="E9" s="322">
        <v>11</v>
      </c>
      <c r="F9" s="252">
        <f t="shared" si="0"/>
        <v>29</v>
      </c>
      <c r="G9" s="252">
        <f>C8+D7+E6</f>
        <v>24</v>
      </c>
      <c r="H9" s="252">
        <f t="shared" si="1"/>
        <v>53</v>
      </c>
      <c r="I9" s="253">
        <f t="shared" si="2"/>
        <v>0.54716981132075471</v>
      </c>
      <c r="J9" s="255">
        <f t="shared" ca="1" si="3"/>
        <v>7</v>
      </c>
      <c r="K9" s="310" t="s">
        <v>1352</v>
      </c>
      <c r="L9" s="241">
        <v>13</v>
      </c>
      <c r="M9" s="240" t="str">
        <f t="shared" ca="1" si="4"/>
        <v>Erinn Metcalf &amp; Kristy Ecton</v>
      </c>
      <c r="N9" s="239">
        <v>11</v>
      </c>
      <c r="O9" s="241">
        <v>8</v>
      </c>
      <c r="P9" s="256">
        <v>7</v>
      </c>
      <c r="Q9" s="257">
        <v>11</v>
      </c>
      <c r="R9" s="239"/>
      <c r="S9" s="241"/>
      <c r="T9" s="246"/>
      <c r="U9" s="243"/>
      <c r="V9" s="223">
        <f t="shared" ref="V9:W9" si="21">(N9+P9+R9+T9)</f>
        <v>18</v>
      </c>
      <c r="W9" s="223">
        <f t="shared" si="21"/>
        <v>19</v>
      </c>
      <c r="X9" s="224">
        <f t="shared" si="6"/>
        <v>37</v>
      </c>
      <c r="Y9" s="336" t="s">
        <v>256</v>
      </c>
      <c r="Z9" s="337" t="str">
        <f t="shared" si="7"/>
        <v>Mary Pflanz &amp; Molly Hunt</v>
      </c>
      <c r="AA9" s="337">
        <f t="shared" ca="1" si="8"/>
        <v>10</v>
      </c>
      <c r="AB9" s="337">
        <f t="shared" ca="1" si="9"/>
        <v>42</v>
      </c>
      <c r="AC9" s="337">
        <f t="shared" ca="1" si="10"/>
        <v>49</v>
      </c>
      <c r="AD9" s="337">
        <f t="shared" ca="1" si="11"/>
        <v>91</v>
      </c>
      <c r="AE9" s="253">
        <f t="shared" ca="1" si="12"/>
        <v>0.46153846153846156</v>
      </c>
      <c r="AF9" s="338">
        <f t="shared" ca="1" si="13"/>
        <v>-34.53846153846154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1043</v>
      </c>
      <c r="C10" s="314">
        <v>11</v>
      </c>
      <c r="D10" s="315">
        <v>8</v>
      </c>
      <c r="E10" s="315">
        <v>11</v>
      </c>
      <c r="F10" s="213">
        <f t="shared" si="0"/>
        <v>30</v>
      </c>
      <c r="G10" s="213">
        <f>C11+D12+E13</f>
        <v>23</v>
      </c>
      <c r="H10" s="213">
        <f t="shared" si="1"/>
        <v>53</v>
      </c>
      <c r="I10" s="214">
        <f t="shared" si="2"/>
        <v>0.56603773584905659</v>
      </c>
      <c r="J10" s="238">
        <f t="shared" ca="1" si="3"/>
        <v>5</v>
      </c>
      <c r="K10" s="307" t="s">
        <v>1353</v>
      </c>
      <c r="L10" s="219">
        <v>6</v>
      </c>
      <c r="M10" s="218" t="str">
        <f t="shared" ca="1" si="4"/>
        <v>Brook Vitt &amp; Cynthia Caldwell</v>
      </c>
      <c r="N10" s="217">
        <v>11</v>
      </c>
      <c r="O10" s="219">
        <v>8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18</v>
      </c>
      <c r="W10" s="223">
        <f t="shared" si="22"/>
        <v>19</v>
      </c>
      <c r="X10" s="224">
        <f t="shared" si="6"/>
        <v>37</v>
      </c>
      <c r="Y10" s="332" t="s">
        <v>251</v>
      </c>
      <c r="Z10" s="329" t="str">
        <f t="shared" si="7"/>
        <v>Tiffiny Humbert &amp; Eileen Joyce</v>
      </c>
      <c r="AA10" s="329">
        <f t="shared" ca="1" si="8"/>
        <v>4</v>
      </c>
      <c r="AB10" s="329">
        <f t="shared" ca="1" si="9"/>
        <v>41</v>
      </c>
      <c r="AC10" s="329">
        <f t="shared" ca="1" si="10"/>
        <v>33</v>
      </c>
      <c r="AD10" s="329">
        <f t="shared" ca="1" si="11"/>
        <v>74</v>
      </c>
      <c r="AE10" s="236">
        <f t="shared" ca="1" si="12"/>
        <v>0.55405405405405406</v>
      </c>
      <c r="AF10" s="341">
        <f t="shared" ca="1" si="13"/>
        <v>-35.445945945945944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1056</v>
      </c>
      <c r="C11" s="316">
        <v>4</v>
      </c>
      <c r="D11" s="317">
        <v>6</v>
      </c>
      <c r="E11" s="317">
        <v>5</v>
      </c>
      <c r="F11" s="235">
        <f t="shared" si="0"/>
        <v>15</v>
      </c>
      <c r="G11" s="235">
        <f>C10+D13+E12</f>
        <v>33</v>
      </c>
      <c r="H11" s="235">
        <f t="shared" si="1"/>
        <v>48</v>
      </c>
      <c r="I11" s="236">
        <f t="shared" si="2"/>
        <v>0.3125</v>
      </c>
      <c r="J11" s="238">
        <f t="shared" ca="1" si="3"/>
        <v>14</v>
      </c>
      <c r="K11" s="310" t="s">
        <v>1354</v>
      </c>
      <c r="L11" s="241">
        <v>11</v>
      </c>
      <c r="M11" s="240" t="str">
        <f t="shared" ca="1" si="4"/>
        <v>Raquel Madison &amp; Tasha Evatt</v>
      </c>
      <c r="N11" s="239">
        <v>8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8</v>
      </c>
      <c r="W11" s="223">
        <f t="shared" si="23"/>
        <v>11</v>
      </c>
      <c r="X11" s="224">
        <f t="shared" si="6"/>
        <v>19</v>
      </c>
      <c r="Y11" s="332" t="s">
        <v>237</v>
      </c>
      <c r="Z11" s="329" t="str">
        <f t="shared" si="7"/>
        <v>Brenna Gray &amp; Valerie Dubois</v>
      </c>
      <c r="AA11" s="329">
        <f t="shared" ca="1" si="8"/>
        <v>7</v>
      </c>
      <c r="AB11" s="329">
        <f t="shared" ca="1" si="9"/>
        <v>39</v>
      </c>
      <c r="AC11" s="329">
        <f t="shared" ca="1" si="10"/>
        <v>35</v>
      </c>
      <c r="AD11" s="329">
        <f t="shared" ca="1" si="11"/>
        <v>74</v>
      </c>
      <c r="AE11" s="236">
        <f t="shared" ca="1" si="12"/>
        <v>0.52702702702702697</v>
      </c>
      <c r="AF11" s="341">
        <f t="shared" ca="1" si="13"/>
        <v>-37.472972972972975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1048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C13+D10+E11</f>
        <v>22</v>
      </c>
      <c r="H12" s="235">
        <f t="shared" si="1"/>
        <v>55</v>
      </c>
      <c r="I12" s="236">
        <f t="shared" si="2"/>
        <v>0.6</v>
      </c>
      <c r="J12" s="238">
        <f t="shared" ca="1" si="3"/>
        <v>4</v>
      </c>
      <c r="K12" s="307" t="s">
        <v>1355</v>
      </c>
      <c r="L12" s="219">
        <v>3</v>
      </c>
      <c r="M12" s="218" t="str">
        <f t="shared" ca="1" si="4"/>
        <v>Paige Salveter &amp; Alli Hiatt</v>
      </c>
      <c r="N12" s="217">
        <v>11</v>
      </c>
      <c r="O12" s="219">
        <v>0</v>
      </c>
      <c r="P12" s="242">
        <v>11</v>
      </c>
      <c r="Q12" s="243">
        <v>7</v>
      </c>
      <c r="R12" s="244">
        <v>4</v>
      </c>
      <c r="S12" s="245">
        <v>11</v>
      </c>
      <c r="T12" s="246"/>
      <c r="U12" s="243"/>
      <c r="V12" s="223">
        <f t="shared" ref="V12:W12" si="24">(N12+P12+R12+T12)</f>
        <v>26</v>
      </c>
      <c r="W12" s="223">
        <f t="shared" si="24"/>
        <v>18</v>
      </c>
      <c r="X12" s="224">
        <f t="shared" si="6"/>
        <v>44</v>
      </c>
      <c r="Y12" s="332" t="s">
        <v>271</v>
      </c>
      <c r="Z12" s="329" t="str">
        <f t="shared" si="7"/>
        <v>Tiffany Blackwell &amp; Samantha Green</v>
      </c>
      <c r="AA12" s="329">
        <f t="shared" ca="1" si="8"/>
        <v>9</v>
      </c>
      <c r="AB12" s="329">
        <f t="shared" ca="1" si="9"/>
        <v>36</v>
      </c>
      <c r="AC12" s="329">
        <f t="shared" ca="1" si="10"/>
        <v>35</v>
      </c>
      <c r="AD12" s="329">
        <f t="shared" ca="1" si="11"/>
        <v>71</v>
      </c>
      <c r="AE12" s="236">
        <f t="shared" ca="1" si="12"/>
        <v>0.50704225352112675</v>
      </c>
      <c r="AF12" s="343">
        <f t="shared" ca="1" si="13"/>
        <v>-40.492957746478872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1059</v>
      </c>
      <c r="C13" s="320">
        <v>9</v>
      </c>
      <c r="D13" s="321">
        <v>11</v>
      </c>
      <c r="E13" s="322">
        <v>8</v>
      </c>
      <c r="F13" s="252">
        <f t="shared" si="0"/>
        <v>28</v>
      </c>
      <c r="G13" s="252">
        <f>C12+D11+E10</f>
        <v>28</v>
      </c>
      <c r="H13" s="252">
        <f t="shared" si="1"/>
        <v>56</v>
      </c>
      <c r="I13" s="253">
        <f t="shared" si="2"/>
        <v>0.5</v>
      </c>
      <c r="J13" s="255">
        <f t="shared" ca="1" si="3"/>
        <v>10</v>
      </c>
      <c r="K13" s="310" t="s">
        <v>1356</v>
      </c>
      <c r="L13" s="241">
        <v>14</v>
      </c>
      <c r="M13" s="240" t="str">
        <f t="shared" ca="1" si="4"/>
        <v>Patty Kimberling &amp; Jamie Myers</v>
      </c>
      <c r="N13" s="239">
        <v>0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0</v>
      </c>
      <c r="W13" s="223">
        <f t="shared" si="25"/>
        <v>11</v>
      </c>
      <c r="X13" s="224">
        <f t="shared" si="6"/>
        <v>11</v>
      </c>
      <c r="Y13" s="336" t="s">
        <v>221</v>
      </c>
      <c r="Z13" s="337" t="str">
        <f t="shared" si="7"/>
        <v>Raquel Madison &amp; Tasha Evatt</v>
      </c>
      <c r="AA13" s="337">
        <f t="shared" ca="1" si="8"/>
        <v>11</v>
      </c>
      <c r="AB13" s="337">
        <f t="shared" ca="1" si="9"/>
        <v>35</v>
      </c>
      <c r="AC13" s="337">
        <f t="shared" ca="1" si="10"/>
        <v>41</v>
      </c>
      <c r="AD13" s="337">
        <f t="shared" ca="1" si="11"/>
        <v>76</v>
      </c>
      <c r="AE13" s="253">
        <f t="shared" ca="1" si="12"/>
        <v>0.46052631578947367</v>
      </c>
      <c r="AF13" s="345">
        <f t="shared" ca="1" si="13"/>
        <v>-41.539473684210527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1037</v>
      </c>
      <c r="C14" s="314">
        <v>0</v>
      </c>
      <c r="D14" s="315">
        <v>6</v>
      </c>
      <c r="E14" s="315">
        <v>5</v>
      </c>
      <c r="F14" s="213">
        <f t="shared" si="0"/>
        <v>11</v>
      </c>
      <c r="G14" s="213">
        <f>C15+D16+E17</f>
        <v>33</v>
      </c>
      <c r="H14" s="213">
        <f t="shared" si="1"/>
        <v>44</v>
      </c>
      <c r="I14" s="214">
        <f t="shared" si="2"/>
        <v>0.25</v>
      </c>
      <c r="J14" s="238">
        <v>16</v>
      </c>
      <c r="K14" s="307" t="s">
        <v>1357</v>
      </c>
      <c r="L14" s="219">
        <v>7</v>
      </c>
      <c r="M14" s="218" t="str">
        <f t="shared" ca="1" si="4"/>
        <v>Brenna Gray &amp; Valerie Dubois</v>
      </c>
      <c r="N14" s="217">
        <v>10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10</v>
      </c>
      <c r="W14" s="223">
        <f t="shared" si="26"/>
        <v>11</v>
      </c>
      <c r="X14" s="224">
        <f t="shared" si="6"/>
        <v>21</v>
      </c>
      <c r="Y14" s="332" t="s">
        <v>205</v>
      </c>
      <c r="Z14" s="329" t="str">
        <f t="shared" si="7"/>
        <v>Erin Hambrick &amp; Thu Nyguen</v>
      </c>
      <c r="AA14" s="329">
        <f t="shared" ca="1" si="8"/>
        <v>12</v>
      </c>
      <c r="AB14" s="329">
        <f t="shared" ca="1" si="9"/>
        <v>31</v>
      </c>
      <c r="AC14" s="329">
        <f t="shared" ca="1" si="10"/>
        <v>44</v>
      </c>
      <c r="AD14" s="329">
        <f t="shared" ca="1" si="11"/>
        <v>75</v>
      </c>
      <c r="AE14" s="236">
        <f t="shared" ca="1" si="12"/>
        <v>0.41333333333333333</v>
      </c>
      <c r="AF14" s="343">
        <f t="shared" ca="1" si="13"/>
        <v>-45.586666666666666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134</v>
      </c>
      <c r="C15" s="316">
        <v>11</v>
      </c>
      <c r="D15" s="317">
        <v>11</v>
      </c>
      <c r="E15" s="317">
        <v>7</v>
      </c>
      <c r="F15" s="235">
        <f t="shared" si="0"/>
        <v>29</v>
      </c>
      <c r="G15" s="235">
        <f>C14+D17+E16</f>
        <v>16</v>
      </c>
      <c r="H15" s="235">
        <f t="shared" si="1"/>
        <v>45</v>
      </c>
      <c r="I15" s="236">
        <f t="shared" si="2"/>
        <v>0.64444444444444449</v>
      </c>
      <c r="J15" s="238">
        <f t="shared" ref="J15:J17" ca="1" si="27">IFERROR(RANK(I15,OFFSET($I$2,0,0,COUNTA($I$2:$I$17),1)),)</f>
        <v>2</v>
      </c>
      <c r="K15" s="310" t="s">
        <v>1358</v>
      </c>
      <c r="L15" s="241">
        <v>10</v>
      </c>
      <c r="M15" s="240" t="str">
        <f t="shared" ca="1" si="4"/>
        <v>Mary Pflanz &amp; Molly Hunt</v>
      </c>
      <c r="N15" s="239">
        <v>11</v>
      </c>
      <c r="O15" s="241">
        <v>10</v>
      </c>
      <c r="P15" s="242">
        <v>3</v>
      </c>
      <c r="Q15" s="243">
        <v>11</v>
      </c>
      <c r="R15" s="244"/>
      <c r="S15" s="245"/>
      <c r="T15" s="246"/>
      <c r="U15" s="243"/>
      <c r="V15" s="223">
        <f t="shared" ref="V15:W15" si="28">(N15+P15+R15+T15)</f>
        <v>14</v>
      </c>
      <c r="W15" s="223">
        <f t="shared" si="28"/>
        <v>21</v>
      </c>
      <c r="X15" s="224">
        <f t="shared" si="6"/>
        <v>35</v>
      </c>
      <c r="Y15" s="332" t="s">
        <v>246</v>
      </c>
      <c r="Z15" s="329" t="str">
        <f t="shared" si="7"/>
        <v>Patty Kimberling &amp; Jamie Myers</v>
      </c>
      <c r="AA15" s="329">
        <f t="shared" ca="1" si="8"/>
        <v>14</v>
      </c>
      <c r="AB15" s="329">
        <f t="shared" ca="1" si="9"/>
        <v>15</v>
      </c>
      <c r="AC15" s="329">
        <f t="shared" ca="1" si="10"/>
        <v>44</v>
      </c>
      <c r="AD15" s="329">
        <f t="shared" ca="1" si="11"/>
        <v>59</v>
      </c>
      <c r="AE15" s="236">
        <f t="shared" ca="1" si="12"/>
        <v>0.25423728813559321</v>
      </c>
      <c r="AF15" s="341">
        <f t="shared" ca="1" si="13"/>
        <v>-61.745762711864408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1041</v>
      </c>
      <c r="C16" s="318">
        <v>5</v>
      </c>
      <c r="D16" s="319">
        <v>11</v>
      </c>
      <c r="E16" s="317">
        <v>11</v>
      </c>
      <c r="F16" s="235">
        <f t="shared" si="0"/>
        <v>27</v>
      </c>
      <c r="G16" s="235">
        <f>C17+D14+E15</f>
        <v>24</v>
      </c>
      <c r="H16" s="235">
        <f t="shared" si="1"/>
        <v>51</v>
      </c>
      <c r="I16" s="236">
        <f t="shared" si="2"/>
        <v>0.52941176470588236</v>
      </c>
      <c r="J16" s="238">
        <f t="shared" ca="1" si="27"/>
        <v>9</v>
      </c>
      <c r="K16" s="307" t="s">
        <v>1359</v>
      </c>
      <c r="L16" s="219">
        <v>2</v>
      </c>
      <c r="M16" s="218" t="str">
        <f t="shared" ca="1" si="4"/>
        <v>Susan Mitts &amp; Paige Johnson</v>
      </c>
      <c r="N16" s="217">
        <v>11</v>
      </c>
      <c r="O16" s="219">
        <v>2</v>
      </c>
      <c r="P16" s="242">
        <v>11</v>
      </c>
      <c r="Q16" s="243">
        <v>3</v>
      </c>
      <c r="R16" s="244">
        <v>11</v>
      </c>
      <c r="S16" s="245">
        <v>4</v>
      </c>
      <c r="T16" s="246">
        <v>11</v>
      </c>
      <c r="U16" s="243">
        <v>5</v>
      </c>
      <c r="V16" s="223">
        <f t="shared" ref="V16:W16" si="29">(N16+P16+R16+T16)</f>
        <v>44</v>
      </c>
      <c r="W16" s="223">
        <f t="shared" si="29"/>
        <v>14</v>
      </c>
      <c r="X16" s="224">
        <f t="shared" si="6"/>
        <v>58</v>
      </c>
      <c r="Y16" s="332" t="s">
        <v>261</v>
      </c>
      <c r="Z16" s="329" t="str">
        <f t="shared" si="7"/>
        <v>Loras Heck &amp; Susan Murphy</v>
      </c>
      <c r="AA16" s="329">
        <f t="shared" si="8"/>
        <v>16</v>
      </c>
      <c r="AB16" s="329">
        <f t="shared" ca="1" si="9"/>
        <v>14</v>
      </c>
      <c r="AC16" s="329">
        <f t="shared" ca="1" si="10"/>
        <v>44</v>
      </c>
      <c r="AD16" s="329">
        <f t="shared" ca="1" si="11"/>
        <v>58</v>
      </c>
      <c r="AE16" s="236">
        <f t="shared" ca="1" si="12"/>
        <v>0.2413793103448276</v>
      </c>
      <c r="AF16" s="341">
        <f t="shared" ca="1" si="13"/>
        <v>-62.758620689655174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1053</v>
      </c>
      <c r="C17" s="323">
        <v>11</v>
      </c>
      <c r="D17" s="324">
        <v>5</v>
      </c>
      <c r="E17" s="325">
        <v>11</v>
      </c>
      <c r="F17" s="265">
        <f t="shared" si="0"/>
        <v>27</v>
      </c>
      <c r="G17" s="265">
        <f>C16+D15+E14</f>
        <v>21</v>
      </c>
      <c r="H17" s="265">
        <f t="shared" si="1"/>
        <v>48</v>
      </c>
      <c r="I17" s="266">
        <f t="shared" si="2"/>
        <v>0.5625</v>
      </c>
      <c r="J17" s="268">
        <f t="shared" ca="1" si="27"/>
        <v>6</v>
      </c>
      <c r="K17" s="311" t="s">
        <v>1360</v>
      </c>
      <c r="L17" s="271">
        <v>15</v>
      </c>
      <c r="M17" s="270" t="str">
        <f t="shared" ca="1" si="4"/>
        <v>Phoebe Davenport &amp; Sheila Goins</v>
      </c>
      <c r="N17" s="269">
        <v>2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2</v>
      </c>
      <c r="W17" s="277">
        <f t="shared" si="30"/>
        <v>11</v>
      </c>
      <c r="X17" s="278">
        <f t="shared" si="6"/>
        <v>13</v>
      </c>
      <c r="Y17" s="347" t="s">
        <v>224</v>
      </c>
      <c r="Z17" s="274" t="str">
        <f t="shared" si="7"/>
        <v>Phoebe Davenport &amp; Sheila Goins</v>
      </c>
      <c r="AA17" s="274">
        <f t="shared" ca="1" si="8"/>
        <v>15</v>
      </c>
      <c r="AB17" s="274">
        <f t="shared" ca="1" si="9"/>
        <v>13</v>
      </c>
      <c r="AC17" s="274">
        <f t="shared" ca="1" si="10"/>
        <v>44</v>
      </c>
      <c r="AD17" s="274">
        <f t="shared" ca="1" si="11"/>
        <v>57</v>
      </c>
      <c r="AE17" s="266">
        <f t="shared" ca="1" si="12"/>
        <v>0.22807017543859648</v>
      </c>
      <c r="AF17" s="384">
        <f t="shared" ca="1" si="13"/>
        <v>-63.771929824561404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138</v>
      </c>
      <c r="D19" s="289">
        <f t="shared" si="31"/>
        <v>139</v>
      </c>
      <c r="E19" s="289">
        <f>SUM(E2:E18)</f>
        <v>139</v>
      </c>
      <c r="F19" s="287">
        <f t="shared" ref="F19:G19" si="32">SUM(F2:F17)</f>
        <v>416</v>
      </c>
      <c r="G19" s="290">
        <f t="shared" si="32"/>
        <v>416</v>
      </c>
      <c r="H19" s="292">
        <f>SUM(H2:H17)/2</f>
        <v>416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132</v>
      </c>
      <c r="O19" s="287">
        <f t="shared" si="33"/>
        <v>132</v>
      </c>
      <c r="P19" s="287">
        <f t="shared" si="33"/>
        <v>64</v>
      </c>
      <c r="Q19" s="287">
        <f t="shared" si="33"/>
        <v>64</v>
      </c>
      <c r="R19" s="287">
        <f t="shared" si="33"/>
        <v>34</v>
      </c>
      <c r="S19" s="287">
        <f t="shared" si="33"/>
        <v>34</v>
      </c>
      <c r="T19" s="287">
        <f t="shared" si="33"/>
        <v>16</v>
      </c>
      <c r="U19" s="287">
        <f t="shared" si="33"/>
        <v>16</v>
      </c>
      <c r="V19" s="287">
        <f t="shared" si="33"/>
        <v>246</v>
      </c>
      <c r="W19" s="287">
        <f t="shared" si="33"/>
        <v>246</v>
      </c>
      <c r="X19" s="287">
        <f>SUM(X2:X17)/2</f>
        <v>246</v>
      </c>
      <c r="Y19" s="287"/>
      <c r="Z19" s="287"/>
      <c r="AA19" s="287"/>
      <c r="AB19" s="287">
        <f t="shared" ref="AB19:AD19" ca="1" si="34">SUM(AB2:AB17)/2</f>
        <v>331</v>
      </c>
      <c r="AC19" s="287">
        <f t="shared" ca="1" si="34"/>
        <v>331</v>
      </c>
      <c r="AD19" s="287">
        <f t="shared" ca="1" si="34"/>
        <v>662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2</v>
      </c>
      <c r="D20" s="326">
        <f t="shared" si="35"/>
        <v>1</v>
      </c>
      <c r="E20" s="326">
        <f t="shared" si="35"/>
        <v>1</v>
      </c>
      <c r="F20" s="296"/>
      <c r="G20" s="296"/>
      <c r="H20" s="297">
        <f>AVERAGE(H2:H17)</f>
        <v>52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98">
        <f ca="1">AVERAGE(AD2:AD17)</f>
        <v>82.75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79" priority="5" operator="equal">
      <formula>33</formula>
    </cfRule>
  </conditionalFormatting>
  <conditionalFormatting sqref="J2:J17">
    <cfRule type="expression" dxfId="78" priority="7">
      <formula>COUNTIF(J$2:J$17,$J2)&gt;1</formula>
    </cfRule>
  </conditionalFormatting>
  <conditionalFormatting sqref="M2:X17">
    <cfRule type="expression" dxfId="77" priority="1">
      <formula>$T2=11</formula>
    </cfRule>
  </conditionalFormatting>
  <conditionalFormatting sqref="N2:O17">
    <cfRule type="expression" dxfId="76" priority="2">
      <formula>$N2=11</formula>
    </cfRule>
  </conditionalFormatting>
  <conditionalFormatting sqref="P2:Q17">
    <cfRule type="expression" dxfId="75" priority="3">
      <formula>$P2=11</formula>
    </cfRule>
  </conditionalFormatting>
  <conditionalFormatting sqref="R2:S17">
    <cfRule type="expression" dxfId="74" priority="4">
      <formula>$R2=11</formula>
    </cfRule>
  </conditionalFormatting>
  <conditionalFormatting sqref="AG2:AG17">
    <cfRule type="expression" dxfId="73" priority="6">
      <formula>COUNTIF(AG$2:AG$17,$AG2)&gt;1</formula>
    </cfRule>
  </conditionalFormatting>
  <hyperlinks>
    <hyperlink ref="A1" location="Champions!A1" display="Home" xr:uid="{00000000-0004-0000-1000-000000000000}"/>
    <hyperlink ref="AH1" location="Champions!A1" display="Home" xr:uid="{00000000-0004-0000-1000-000001000000}"/>
    <hyperlink ref="A19" location="Champions!A1" display="Home" xr:uid="{00000000-0004-0000-1000-000002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29.5429687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965</v>
      </c>
      <c r="C2" s="314">
        <v>11</v>
      </c>
      <c r="D2" s="315">
        <v>11</v>
      </c>
      <c r="E2" s="315">
        <v>5</v>
      </c>
      <c r="F2" s="213">
        <f t="shared" ref="F2:F17" si="0">SUM(C2:E2)</f>
        <v>27</v>
      </c>
      <c r="G2" s="213">
        <f>C3+D4+E5</f>
        <v>24</v>
      </c>
      <c r="H2" s="213">
        <f t="shared" ref="H2:H17" si="1">SUM(F2:G2)</f>
        <v>51</v>
      </c>
      <c r="I2" s="214">
        <f t="shared" ref="I2:I17" si="2">IFERROR(F2/H2,"")</f>
        <v>0.52941176470588236</v>
      </c>
      <c r="J2" s="216">
        <f t="shared" ref="J2:J13" ca="1" si="3">IFERROR(RANK(I2,OFFSET($I$2,0,0,COUNTA($I$2:$I$17),1)),)</f>
        <v>7</v>
      </c>
      <c r="K2" s="307" t="s">
        <v>1345</v>
      </c>
      <c r="L2" s="219">
        <v>1</v>
      </c>
      <c r="M2" s="218" t="str">
        <f t="shared" ref="M2:M17" ca="1" si="4">INDEX($A$2:$AJ$17,MATCH(L2,$J$2:$J$17,0),2)</f>
        <v>Bond marrs &amp; David Weber</v>
      </c>
      <c r="N2" s="217">
        <v>11</v>
      </c>
      <c r="O2" s="219">
        <v>4</v>
      </c>
      <c r="P2" s="220">
        <v>11</v>
      </c>
      <c r="Q2" s="221">
        <v>10</v>
      </c>
      <c r="R2" s="217">
        <v>5</v>
      </c>
      <c r="S2" s="219">
        <v>11</v>
      </c>
      <c r="T2" s="222"/>
      <c r="U2" s="221"/>
      <c r="V2" s="223">
        <f t="shared" ref="V2:W2" si="5">(N2+P2+R2+T2)</f>
        <v>27</v>
      </c>
      <c r="W2" s="223">
        <f t="shared" si="5"/>
        <v>25</v>
      </c>
      <c r="X2" s="224">
        <f t="shared" ref="X2:X17" si="6">V2+W2</f>
        <v>52</v>
      </c>
      <c r="Y2" s="332" t="s">
        <v>256</v>
      </c>
      <c r="Z2" s="329" t="str">
        <f t="shared" ref="Z2:Z17" si="7">INDEX($A$2:$B$17,MATCH(Y2,$A$2:$A$17,0),2)</f>
        <v>Troy Thomasson &amp; Justin Winner</v>
      </c>
      <c r="AA2" s="329">
        <f t="shared" ref="AA2:AA17" ca="1" si="8">INDEX($B$2:$K$17, MATCH($Z2,$B$2:$B$17,0),9)</f>
        <v>2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40</v>
      </c>
      <c r="AD2" s="329">
        <f t="shared" ref="AD2:AD17" ca="1" si="11">SUM(AB2:AC2)</f>
        <v>117</v>
      </c>
      <c r="AE2" s="236">
        <f t="shared" ref="AE2:AE17" ca="1" si="12">AB2/AD2</f>
        <v>0.65811965811965811</v>
      </c>
      <c r="AF2" s="400">
        <f t="shared" ref="AF2:AF17" ca="1" si="13">AE2-(77-AB2)</f>
        <v>0.65811965811965811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967</v>
      </c>
      <c r="C3" s="316">
        <v>3</v>
      </c>
      <c r="D3" s="317">
        <v>8</v>
      </c>
      <c r="E3" s="317">
        <v>11</v>
      </c>
      <c r="F3" s="235">
        <f t="shared" si="0"/>
        <v>22</v>
      </c>
      <c r="G3" s="235">
        <f>C2+D5+E4</f>
        <v>29</v>
      </c>
      <c r="H3" s="235">
        <f t="shared" si="1"/>
        <v>51</v>
      </c>
      <c r="I3" s="236">
        <f t="shared" si="2"/>
        <v>0.43137254901960786</v>
      </c>
      <c r="J3" s="238">
        <f t="shared" ca="1" si="3"/>
        <v>13</v>
      </c>
      <c r="K3" s="310" t="s">
        <v>1346</v>
      </c>
      <c r="L3" s="241">
        <v>16</v>
      </c>
      <c r="M3" s="240" t="str">
        <f t="shared" ca="1" si="4"/>
        <v>Tom Spenceri &amp; Avery Woodard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232</v>
      </c>
      <c r="Z3" s="329" t="str">
        <f t="shared" si="7"/>
        <v>Curtis Stoneman &amp; Travis Horn</v>
      </c>
      <c r="AA3" s="329">
        <f t="shared" ca="1" si="8"/>
        <v>12</v>
      </c>
      <c r="AB3" s="329">
        <f t="shared" ca="1" si="9"/>
        <v>63</v>
      </c>
      <c r="AC3" s="329">
        <f t="shared" ca="1" si="10"/>
        <v>54</v>
      </c>
      <c r="AD3" s="329">
        <f t="shared" ca="1" si="11"/>
        <v>117</v>
      </c>
      <c r="AE3" s="236">
        <f t="shared" ca="1" si="12"/>
        <v>0.53846153846153844</v>
      </c>
      <c r="AF3" s="341">
        <f t="shared" ca="1" si="13"/>
        <v>-13.461538461538462</v>
      </c>
      <c r="AG3" s="342">
        <f t="shared" ca="1" si="14"/>
        <v>2</v>
      </c>
      <c r="AH3" s="398"/>
    </row>
    <row r="4" spans="1:34" ht="15" customHeight="1">
      <c r="A4" s="309" t="s">
        <v>216</v>
      </c>
      <c r="B4" s="107" t="s">
        <v>969</v>
      </c>
      <c r="C4" s="318">
        <v>10</v>
      </c>
      <c r="D4" s="319">
        <v>10</v>
      </c>
      <c r="E4" s="317">
        <v>7</v>
      </c>
      <c r="F4" s="235">
        <f t="shared" si="0"/>
        <v>27</v>
      </c>
      <c r="G4" s="235">
        <f>C5+D2+E3</f>
        <v>33</v>
      </c>
      <c r="H4" s="235">
        <f t="shared" si="1"/>
        <v>60</v>
      </c>
      <c r="I4" s="236">
        <f t="shared" si="2"/>
        <v>0.45</v>
      </c>
      <c r="J4" s="238">
        <f t="shared" ca="1" si="3"/>
        <v>11</v>
      </c>
      <c r="K4" s="307" t="s">
        <v>1347</v>
      </c>
      <c r="L4" s="219">
        <v>8</v>
      </c>
      <c r="M4" s="218" t="str">
        <f t="shared" ca="1" si="4"/>
        <v>Jack Zupan &amp; Steven Pauwels</v>
      </c>
      <c r="N4" s="217">
        <v>8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8</v>
      </c>
      <c r="W4" s="223">
        <f t="shared" si="16"/>
        <v>11</v>
      </c>
      <c r="X4" s="224">
        <f t="shared" si="6"/>
        <v>19</v>
      </c>
      <c r="Y4" s="332" t="s">
        <v>228</v>
      </c>
      <c r="Z4" s="329" t="str">
        <f t="shared" si="7"/>
        <v>Bond marrs &amp; David Weber</v>
      </c>
      <c r="AA4" s="329">
        <f t="shared" ca="1" si="8"/>
        <v>1</v>
      </c>
      <c r="AB4" s="329">
        <f t="shared" ca="1" si="9"/>
        <v>60</v>
      </c>
      <c r="AC4" s="329">
        <f t="shared" ca="1" si="10"/>
        <v>41</v>
      </c>
      <c r="AD4" s="329">
        <f t="shared" ca="1" si="11"/>
        <v>101</v>
      </c>
      <c r="AE4" s="236">
        <f t="shared" ca="1" si="12"/>
        <v>0.59405940594059403</v>
      </c>
      <c r="AF4" s="341">
        <f t="shared" ca="1" si="13"/>
        <v>-16.405940594059405</v>
      </c>
      <c r="AG4" s="342">
        <f t="shared" ca="1" si="14"/>
        <v>3</v>
      </c>
      <c r="AH4" s="398"/>
    </row>
    <row r="5" spans="1:34" ht="15" customHeight="1">
      <c r="A5" s="310" t="s">
        <v>221</v>
      </c>
      <c r="B5" s="109" t="s">
        <v>972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23</v>
      </c>
      <c r="H5" s="252">
        <f t="shared" si="1"/>
        <v>56</v>
      </c>
      <c r="I5" s="253">
        <f t="shared" si="2"/>
        <v>0.5892857142857143</v>
      </c>
      <c r="J5" s="255">
        <f t="shared" ca="1" si="3"/>
        <v>4</v>
      </c>
      <c r="K5" s="310" t="s">
        <v>1348</v>
      </c>
      <c r="L5" s="241">
        <v>9</v>
      </c>
      <c r="M5" s="240" t="str">
        <f t="shared" ca="1" si="4"/>
        <v>john stauffer &amp; Pat Doolan</v>
      </c>
      <c r="N5" s="239">
        <v>11</v>
      </c>
      <c r="O5" s="241">
        <v>8</v>
      </c>
      <c r="P5" s="256">
        <v>10</v>
      </c>
      <c r="Q5" s="257">
        <v>11</v>
      </c>
      <c r="R5" s="244"/>
      <c r="S5" s="245"/>
      <c r="T5" s="246"/>
      <c r="U5" s="243"/>
      <c r="V5" s="223">
        <f t="shared" ref="V5:W5" si="17">(N5+P5+R5+T5)</f>
        <v>21</v>
      </c>
      <c r="W5" s="223">
        <f t="shared" si="17"/>
        <v>19</v>
      </c>
      <c r="X5" s="224">
        <f t="shared" si="6"/>
        <v>40</v>
      </c>
      <c r="Y5" s="336" t="s">
        <v>224</v>
      </c>
      <c r="Z5" s="337" t="str">
        <f t="shared" si="7"/>
        <v>Connor Callahan &amp; Grant Isom</v>
      </c>
      <c r="AA5" s="337">
        <f t="shared" ca="1" si="8"/>
        <v>14</v>
      </c>
      <c r="AB5" s="337">
        <f t="shared" ca="1" si="9"/>
        <v>48</v>
      </c>
      <c r="AC5" s="337">
        <f t="shared" ca="1" si="10"/>
        <v>54</v>
      </c>
      <c r="AD5" s="337">
        <f t="shared" ca="1" si="11"/>
        <v>102</v>
      </c>
      <c r="AE5" s="253">
        <f t="shared" ca="1" si="12"/>
        <v>0.47058823529411764</v>
      </c>
      <c r="AF5" s="338">
        <f t="shared" ca="1" si="13"/>
        <v>-28.529411764705884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974</v>
      </c>
      <c r="C6" s="314">
        <v>4</v>
      </c>
      <c r="D6" s="315">
        <v>11</v>
      </c>
      <c r="E6" s="315">
        <v>5</v>
      </c>
      <c r="F6" s="213">
        <f t="shared" si="0"/>
        <v>20</v>
      </c>
      <c r="G6" s="213">
        <f>C7+D8+E9</f>
        <v>31</v>
      </c>
      <c r="H6" s="213">
        <f t="shared" si="1"/>
        <v>51</v>
      </c>
      <c r="I6" s="214">
        <f t="shared" si="2"/>
        <v>0.39215686274509803</v>
      </c>
      <c r="J6" s="238">
        <f t="shared" ca="1" si="3"/>
        <v>14</v>
      </c>
      <c r="K6" s="307" t="s">
        <v>1349</v>
      </c>
      <c r="L6" s="219">
        <v>5</v>
      </c>
      <c r="M6" s="218" t="str">
        <f t="shared" ca="1" si="4"/>
        <v>Joe Lucas &amp; Tom Hunt</v>
      </c>
      <c r="N6" s="217">
        <v>7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4">
        <f t="shared" si="6"/>
        <v>18</v>
      </c>
      <c r="Y6" s="328" t="s">
        <v>276</v>
      </c>
      <c r="Z6" s="340" t="str">
        <f t="shared" si="7"/>
        <v>john stauffer &amp; Pat Doolan</v>
      </c>
      <c r="AA6" s="340">
        <f t="shared" ca="1" si="8"/>
        <v>9</v>
      </c>
      <c r="AB6" s="340">
        <f t="shared" ca="1" si="9"/>
        <v>46</v>
      </c>
      <c r="AC6" s="340">
        <f t="shared" ca="1" si="10"/>
        <v>45</v>
      </c>
      <c r="AD6" s="340">
        <f t="shared" ca="1" si="11"/>
        <v>91</v>
      </c>
      <c r="AE6" s="214">
        <f t="shared" ca="1" si="12"/>
        <v>0.50549450549450547</v>
      </c>
      <c r="AF6" s="341">
        <f t="shared" ca="1" si="13"/>
        <v>-30.494505494505496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966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16</v>
      </c>
      <c r="H7" s="235">
        <f t="shared" si="1"/>
        <v>49</v>
      </c>
      <c r="I7" s="236">
        <f t="shared" si="2"/>
        <v>0.67346938775510201</v>
      </c>
      <c r="J7" s="238">
        <f t="shared" ca="1" si="3"/>
        <v>1</v>
      </c>
      <c r="K7" s="310" t="s">
        <v>1350</v>
      </c>
      <c r="L7" s="241">
        <v>12</v>
      </c>
      <c r="M7" s="240" t="str">
        <f t="shared" ca="1" si="4"/>
        <v>Curtis Stoneman &amp; Travis Horn</v>
      </c>
      <c r="N7" s="239">
        <v>11</v>
      </c>
      <c r="O7" s="241">
        <v>7</v>
      </c>
      <c r="P7" s="242">
        <v>11</v>
      </c>
      <c r="Q7" s="243">
        <v>1</v>
      </c>
      <c r="R7" s="244">
        <v>11</v>
      </c>
      <c r="S7" s="245">
        <v>5</v>
      </c>
      <c r="T7" s="246">
        <v>6</v>
      </c>
      <c r="U7" s="243">
        <v>11</v>
      </c>
      <c r="V7" s="223">
        <f t="shared" ref="V7:W7" si="19">(N7+P7+R7+T7)</f>
        <v>39</v>
      </c>
      <c r="W7" s="223">
        <f t="shared" si="19"/>
        <v>24</v>
      </c>
      <c r="X7" s="224">
        <f t="shared" si="6"/>
        <v>63</v>
      </c>
      <c r="Y7" s="332" t="s">
        <v>221</v>
      </c>
      <c r="Z7" s="329" t="str">
        <f t="shared" si="7"/>
        <v>Scott Siemers &amp; Marc Richard</v>
      </c>
      <c r="AA7" s="329">
        <f t="shared" ca="1" si="8"/>
        <v>4</v>
      </c>
      <c r="AB7" s="329">
        <f t="shared" ca="1" si="9"/>
        <v>45</v>
      </c>
      <c r="AC7" s="329">
        <f t="shared" ca="1" si="10"/>
        <v>42</v>
      </c>
      <c r="AD7" s="329">
        <f t="shared" ca="1" si="11"/>
        <v>87</v>
      </c>
      <c r="AE7" s="236">
        <f t="shared" ca="1" si="12"/>
        <v>0.51724137931034486</v>
      </c>
      <c r="AF7" s="333">
        <f t="shared" ca="1" si="13"/>
        <v>-31.482758620689655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125</v>
      </c>
      <c r="C8" s="318">
        <v>11</v>
      </c>
      <c r="D8" s="319">
        <v>9</v>
      </c>
      <c r="E8" s="317">
        <v>4</v>
      </c>
      <c r="F8" s="235">
        <f t="shared" si="0"/>
        <v>24</v>
      </c>
      <c r="G8" s="235">
        <f>C9+D6+E7</f>
        <v>30</v>
      </c>
      <c r="H8" s="235">
        <f t="shared" si="1"/>
        <v>54</v>
      </c>
      <c r="I8" s="236">
        <f t="shared" si="2"/>
        <v>0.44444444444444442</v>
      </c>
      <c r="J8" s="238">
        <f t="shared" ca="1" si="3"/>
        <v>12</v>
      </c>
      <c r="K8" s="307" t="s">
        <v>1351</v>
      </c>
      <c r="L8" s="219">
        <v>4</v>
      </c>
      <c r="M8" s="218" t="str">
        <f t="shared" ca="1" si="4"/>
        <v>Scott Siemers &amp; Marc Richard</v>
      </c>
      <c r="N8" s="217">
        <v>11</v>
      </c>
      <c r="O8" s="219">
        <v>8</v>
      </c>
      <c r="P8" s="242">
        <v>1</v>
      </c>
      <c r="Q8" s="243">
        <v>11</v>
      </c>
      <c r="R8" s="244"/>
      <c r="S8" s="245"/>
      <c r="T8" s="246"/>
      <c r="U8" s="243"/>
      <c r="V8" s="223">
        <f t="shared" ref="V8:W8" si="20">(N8+P8+R8+T8)</f>
        <v>12</v>
      </c>
      <c r="W8" s="223">
        <f t="shared" si="20"/>
        <v>19</v>
      </c>
      <c r="X8" s="224">
        <f t="shared" si="6"/>
        <v>31</v>
      </c>
      <c r="Y8" s="332" t="s">
        <v>246</v>
      </c>
      <c r="Z8" s="329" t="str">
        <f t="shared" si="7"/>
        <v>Andy Lockard &amp; Grif Sims</v>
      </c>
      <c r="AA8" s="329">
        <f t="shared" ca="1" si="8"/>
        <v>6</v>
      </c>
      <c r="AB8" s="329">
        <f t="shared" ca="1" si="9"/>
        <v>44</v>
      </c>
      <c r="AC8" s="329">
        <f t="shared" ca="1" si="10"/>
        <v>46</v>
      </c>
      <c r="AD8" s="329">
        <f t="shared" ca="1" si="11"/>
        <v>90</v>
      </c>
      <c r="AE8" s="236">
        <f t="shared" ca="1" si="12"/>
        <v>0.48888888888888887</v>
      </c>
      <c r="AF8" s="341">
        <f t="shared" ca="1" si="13"/>
        <v>-32.511111111111113</v>
      </c>
      <c r="AG8" s="334">
        <f t="shared" ca="1" si="14"/>
        <v>7</v>
      </c>
      <c r="AH8" s="398"/>
    </row>
    <row r="9" spans="1:34" ht="15" customHeight="1">
      <c r="A9" s="310" t="s">
        <v>237</v>
      </c>
      <c r="B9" s="109" t="s">
        <v>970</v>
      </c>
      <c r="C9" s="320">
        <v>8</v>
      </c>
      <c r="D9" s="321">
        <v>8</v>
      </c>
      <c r="E9" s="322">
        <v>11</v>
      </c>
      <c r="F9" s="252">
        <f t="shared" si="0"/>
        <v>27</v>
      </c>
      <c r="G9" s="252">
        <f>C8+D7+E6</f>
        <v>27</v>
      </c>
      <c r="H9" s="252">
        <f t="shared" si="1"/>
        <v>54</v>
      </c>
      <c r="I9" s="253">
        <f t="shared" si="2"/>
        <v>0.5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Robert Madison &amp; Danny Ng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261</v>
      </c>
      <c r="Z9" s="337" t="str">
        <f t="shared" si="7"/>
        <v>Keith Campbell &amp; Jeff Stockham</v>
      </c>
      <c r="AA9" s="337">
        <f t="shared" si="8"/>
        <v>3</v>
      </c>
      <c r="AB9" s="337">
        <f t="shared" ca="1" si="9"/>
        <v>41</v>
      </c>
      <c r="AC9" s="337">
        <f t="shared" ca="1" si="10"/>
        <v>32</v>
      </c>
      <c r="AD9" s="337">
        <f t="shared" ca="1" si="11"/>
        <v>73</v>
      </c>
      <c r="AE9" s="253">
        <f t="shared" ca="1" si="12"/>
        <v>0.56164383561643838</v>
      </c>
      <c r="AF9" s="399">
        <f t="shared" ca="1" si="13"/>
        <v>-35.438356164383563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980</v>
      </c>
      <c r="C10" s="314">
        <v>7</v>
      </c>
      <c r="D10" s="315">
        <v>4</v>
      </c>
      <c r="E10" s="315">
        <v>8</v>
      </c>
      <c r="F10" s="213">
        <f t="shared" si="0"/>
        <v>19</v>
      </c>
      <c r="G10" s="213">
        <f>C11+D12+E13</f>
        <v>33</v>
      </c>
      <c r="H10" s="213">
        <f t="shared" si="1"/>
        <v>52</v>
      </c>
      <c r="I10" s="214">
        <f t="shared" si="2"/>
        <v>0.36538461538461536</v>
      </c>
      <c r="J10" s="238">
        <f t="shared" ca="1" si="3"/>
        <v>15</v>
      </c>
      <c r="K10" s="307" t="s">
        <v>1353</v>
      </c>
      <c r="L10" s="219">
        <v>6</v>
      </c>
      <c r="M10" s="218" t="str">
        <f t="shared" ca="1" si="4"/>
        <v>Andy Lockard &amp; Grif Sims</v>
      </c>
      <c r="N10" s="217">
        <v>11</v>
      </c>
      <c r="O10" s="219">
        <v>10</v>
      </c>
      <c r="P10" s="220">
        <v>4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15</v>
      </c>
      <c r="W10" s="223">
        <f t="shared" si="22"/>
        <v>21</v>
      </c>
      <c r="X10" s="224">
        <f t="shared" si="6"/>
        <v>36</v>
      </c>
      <c r="Y10" s="332" t="s">
        <v>251</v>
      </c>
      <c r="Z10" s="329" t="str">
        <f t="shared" si="7"/>
        <v>Mike Klender &amp; Josh Draves-Kellerman</v>
      </c>
      <c r="AA10" s="329">
        <f t="shared" ca="1" si="8"/>
        <v>10</v>
      </c>
      <c r="AB10" s="329">
        <f t="shared" ca="1" si="9"/>
        <v>38</v>
      </c>
      <c r="AC10" s="329">
        <f t="shared" ca="1" si="10"/>
        <v>46</v>
      </c>
      <c r="AD10" s="329">
        <f t="shared" ca="1" si="11"/>
        <v>84</v>
      </c>
      <c r="AE10" s="236">
        <f t="shared" ca="1" si="12"/>
        <v>0.45238095238095238</v>
      </c>
      <c r="AF10" s="341">
        <f t="shared" ca="1" si="13"/>
        <v>-38.547619047619051</v>
      </c>
      <c r="AG10" s="342">
        <f t="shared" ca="1" si="14"/>
        <v>9</v>
      </c>
      <c r="AH10" s="398"/>
    </row>
    <row r="11" spans="1:34" ht="15" customHeight="1">
      <c r="A11" s="309" t="s">
        <v>246</v>
      </c>
      <c r="B11" s="107" t="s">
        <v>981</v>
      </c>
      <c r="C11" s="316">
        <v>11</v>
      </c>
      <c r="D11" s="317">
        <v>7</v>
      </c>
      <c r="E11" s="317">
        <v>11</v>
      </c>
      <c r="F11" s="235">
        <f t="shared" si="0"/>
        <v>29</v>
      </c>
      <c r="G11" s="235">
        <f>C10+D13+E12</f>
        <v>25</v>
      </c>
      <c r="H11" s="235">
        <f t="shared" si="1"/>
        <v>54</v>
      </c>
      <c r="I11" s="236">
        <f t="shared" si="2"/>
        <v>0.53703703703703709</v>
      </c>
      <c r="J11" s="238">
        <f t="shared" ca="1" si="3"/>
        <v>6</v>
      </c>
      <c r="K11" s="310" t="s">
        <v>1354</v>
      </c>
      <c r="L11" s="241">
        <v>11</v>
      </c>
      <c r="M11" s="240" t="str">
        <f t="shared" ca="1" si="4"/>
        <v>William Hyde &amp; Bill Roller</v>
      </c>
      <c r="N11" s="239">
        <v>10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10</v>
      </c>
      <c r="W11" s="223">
        <f t="shared" si="23"/>
        <v>11</v>
      </c>
      <c r="X11" s="224">
        <f t="shared" si="6"/>
        <v>21</v>
      </c>
      <c r="Y11" s="332" t="s">
        <v>216</v>
      </c>
      <c r="Z11" s="329" t="str">
        <f t="shared" si="7"/>
        <v>William Hyde &amp; Bill Roller</v>
      </c>
      <c r="AA11" s="329">
        <f t="shared" ca="1" si="8"/>
        <v>11</v>
      </c>
      <c r="AB11" s="329">
        <f t="shared" ca="1" si="9"/>
        <v>37</v>
      </c>
      <c r="AC11" s="329">
        <f t="shared" ca="1" si="10"/>
        <v>44</v>
      </c>
      <c r="AD11" s="329">
        <f t="shared" ca="1" si="11"/>
        <v>81</v>
      </c>
      <c r="AE11" s="236">
        <f t="shared" ca="1" si="12"/>
        <v>0.4567901234567901</v>
      </c>
      <c r="AF11" s="333">
        <f t="shared" ca="1" si="13"/>
        <v>-39.543209876543209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985</v>
      </c>
      <c r="C12" s="318">
        <v>6</v>
      </c>
      <c r="D12" s="319">
        <v>11</v>
      </c>
      <c r="E12" s="317">
        <v>7</v>
      </c>
      <c r="F12" s="235">
        <f t="shared" si="0"/>
        <v>24</v>
      </c>
      <c r="G12" s="235">
        <f>C13+D10+E11</f>
        <v>26</v>
      </c>
      <c r="H12" s="235">
        <f t="shared" si="1"/>
        <v>50</v>
      </c>
      <c r="I12" s="236">
        <f t="shared" si="2"/>
        <v>0.48</v>
      </c>
      <c r="J12" s="238">
        <f t="shared" ca="1" si="3"/>
        <v>10</v>
      </c>
      <c r="K12" s="307" t="s">
        <v>1355</v>
      </c>
      <c r="L12" s="219">
        <v>3</v>
      </c>
      <c r="M12" s="218" t="str">
        <f t="shared" ca="1" si="4"/>
        <v>Keith Campbell &amp; Jeff Stockham</v>
      </c>
      <c r="N12" s="217">
        <v>8</v>
      </c>
      <c r="O12" s="219">
        <v>11</v>
      </c>
      <c r="P12" s="242"/>
      <c r="Q12" s="243"/>
      <c r="R12" s="244"/>
      <c r="S12" s="245"/>
      <c r="T12" s="246"/>
      <c r="U12" s="243"/>
      <c r="V12" s="223">
        <f t="shared" ref="V12:W12" si="24">(N12+P12+R12+T12)</f>
        <v>8</v>
      </c>
      <c r="W12" s="223">
        <f t="shared" si="24"/>
        <v>11</v>
      </c>
      <c r="X12" s="224">
        <f t="shared" si="6"/>
        <v>19</v>
      </c>
      <c r="Y12" s="332" t="s">
        <v>205</v>
      </c>
      <c r="Z12" s="329" t="str">
        <f t="shared" si="7"/>
        <v>John Stolte &amp; Michael Schermoly</v>
      </c>
      <c r="AA12" s="329">
        <f t="shared" ca="1" si="8"/>
        <v>7</v>
      </c>
      <c r="AB12" s="329">
        <f t="shared" ca="1" si="9"/>
        <v>36</v>
      </c>
      <c r="AC12" s="329">
        <f t="shared" ca="1" si="10"/>
        <v>35</v>
      </c>
      <c r="AD12" s="329">
        <f t="shared" ca="1" si="11"/>
        <v>71</v>
      </c>
      <c r="AE12" s="236">
        <f t="shared" ca="1" si="12"/>
        <v>0.50704225352112675</v>
      </c>
      <c r="AF12" s="343">
        <f t="shared" ca="1" si="13"/>
        <v>-40.492957746478872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124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21</v>
      </c>
      <c r="H13" s="252">
        <f t="shared" si="1"/>
        <v>54</v>
      </c>
      <c r="I13" s="253">
        <f t="shared" si="2"/>
        <v>0.61111111111111116</v>
      </c>
      <c r="J13" s="255">
        <f t="shared" ca="1" si="3"/>
        <v>2</v>
      </c>
      <c r="K13" s="310" t="s">
        <v>1356</v>
      </c>
      <c r="L13" s="241">
        <v>14</v>
      </c>
      <c r="M13" s="240" t="str">
        <f t="shared" ca="1" si="4"/>
        <v>Connor Callahan &amp; Grant Isom</v>
      </c>
      <c r="N13" s="239">
        <v>11</v>
      </c>
      <c r="O13" s="241">
        <v>8</v>
      </c>
      <c r="P13" s="256">
        <v>11</v>
      </c>
      <c r="Q13" s="257">
        <v>4</v>
      </c>
      <c r="R13" s="244">
        <v>6</v>
      </c>
      <c r="S13" s="245">
        <v>11</v>
      </c>
      <c r="T13" s="246"/>
      <c r="U13" s="243"/>
      <c r="V13" s="223">
        <f t="shared" ref="V13:W13" si="25">(N13+P13+R13+T13)</f>
        <v>28</v>
      </c>
      <c r="W13" s="223">
        <f t="shared" si="25"/>
        <v>23</v>
      </c>
      <c r="X13" s="224">
        <f t="shared" si="6"/>
        <v>51</v>
      </c>
      <c r="Y13" s="336" t="s">
        <v>237</v>
      </c>
      <c r="Z13" s="337" t="str">
        <f t="shared" si="7"/>
        <v>Jack Zupan &amp; Steven Pauwels</v>
      </c>
      <c r="AA13" s="337">
        <f t="shared" ca="1" si="8"/>
        <v>8</v>
      </c>
      <c r="AB13" s="337">
        <f t="shared" ca="1" si="9"/>
        <v>35</v>
      </c>
      <c r="AC13" s="337">
        <f t="shared" ca="1" si="10"/>
        <v>38</v>
      </c>
      <c r="AD13" s="337">
        <f t="shared" ca="1" si="11"/>
        <v>73</v>
      </c>
      <c r="AE13" s="253">
        <f t="shared" ca="1" si="12"/>
        <v>0.47945205479452052</v>
      </c>
      <c r="AF13" s="345">
        <f t="shared" ca="1" si="13"/>
        <v>-41.520547945205479</v>
      </c>
      <c r="AG13" s="402">
        <f t="shared" ca="1" si="14"/>
        <v>12</v>
      </c>
      <c r="AH13" s="398"/>
    </row>
    <row r="14" spans="1:34" ht="15" customHeight="1">
      <c r="A14" s="307" t="s">
        <v>261</v>
      </c>
      <c r="B14" s="107" t="s">
        <v>986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C15+D16+E17</f>
        <v>21</v>
      </c>
      <c r="H14" s="213">
        <f t="shared" si="1"/>
        <v>54</v>
      </c>
      <c r="I14" s="214">
        <f t="shared" si="2"/>
        <v>0.61111111111111116</v>
      </c>
      <c r="J14" s="238">
        <v>3</v>
      </c>
      <c r="K14" s="307" t="s">
        <v>1357</v>
      </c>
      <c r="L14" s="219">
        <v>7</v>
      </c>
      <c r="M14" s="218" t="str">
        <f t="shared" ca="1" si="4"/>
        <v>John Stolte &amp; Michael Schermoly</v>
      </c>
      <c r="N14" s="217">
        <v>9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9</v>
      </c>
      <c r="W14" s="223">
        <f t="shared" si="26"/>
        <v>11</v>
      </c>
      <c r="X14" s="224">
        <f t="shared" si="6"/>
        <v>20</v>
      </c>
      <c r="Y14" s="332" t="s">
        <v>268</v>
      </c>
      <c r="Z14" s="329" t="str">
        <f t="shared" si="7"/>
        <v>Joe Lucas &amp; Tom Hunt</v>
      </c>
      <c r="AA14" s="329">
        <f t="shared" ca="1" si="8"/>
        <v>5</v>
      </c>
      <c r="AB14" s="329">
        <f t="shared" ca="1" si="9"/>
        <v>34</v>
      </c>
      <c r="AC14" s="329">
        <f t="shared" ca="1" si="10"/>
        <v>31</v>
      </c>
      <c r="AD14" s="329">
        <f t="shared" ca="1" si="11"/>
        <v>65</v>
      </c>
      <c r="AE14" s="236">
        <f t="shared" ca="1" si="12"/>
        <v>0.52307692307692311</v>
      </c>
      <c r="AF14" s="343">
        <f t="shared" ca="1" si="13"/>
        <v>-42.476923076923079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975</v>
      </c>
      <c r="C15" s="316">
        <v>5</v>
      </c>
      <c r="D15" s="317">
        <v>11</v>
      </c>
      <c r="E15" s="317">
        <v>11</v>
      </c>
      <c r="F15" s="235">
        <f t="shared" si="0"/>
        <v>27</v>
      </c>
      <c r="G15" s="235">
        <f>C14+D17+E16</f>
        <v>20</v>
      </c>
      <c r="H15" s="235">
        <f t="shared" si="1"/>
        <v>47</v>
      </c>
      <c r="I15" s="236">
        <f t="shared" si="2"/>
        <v>0.57446808510638303</v>
      </c>
      <c r="J15" s="238">
        <f t="shared" ref="J15:J17" ca="1" si="27">IFERROR(RANK(I15,OFFSET($I$2,0,0,COUNTA($I$2:$I$17),1)),)</f>
        <v>5</v>
      </c>
      <c r="K15" s="310" t="s">
        <v>1358</v>
      </c>
      <c r="L15" s="241">
        <v>10</v>
      </c>
      <c r="M15" s="240" t="str">
        <f t="shared" ca="1" si="4"/>
        <v>Mike Klender &amp; Josh Draves-Kellerman</v>
      </c>
      <c r="N15" s="239">
        <v>11</v>
      </c>
      <c r="O15" s="241">
        <v>9</v>
      </c>
      <c r="P15" s="242">
        <v>3</v>
      </c>
      <c r="Q15" s="243">
        <v>11</v>
      </c>
      <c r="R15" s="244"/>
      <c r="S15" s="245"/>
      <c r="T15" s="246"/>
      <c r="U15" s="243"/>
      <c r="V15" s="223">
        <f t="shared" ref="V15:W15" si="28">(N15+P15+R15+T15)</f>
        <v>14</v>
      </c>
      <c r="W15" s="223">
        <f t="shared" si="28"/>
        <v>20</v>
      </c>
      <c r="X15" s="224">
        <f t="shared" si="6"/>
        <v>34</v>
      </c>
      <c r="Y15" s="332" t="s">
        <v>211</v>
      </c>
      <c r="Z15" s="329" t="str">
        <f t="shared" si="7"/>
        <v>Robert Madison &amp; Danny Ng</v>
      </c>
      <c r="AA15" s="329">
        <f t="shared" ca="1" si="8"/>
        <v>13</v>
      </c>
      <c r="AB15" s="329">
        <f t="shared" ca="1" si="9"/>
        <v>30</v>
      </c>
      <c r="AC15" s="329">
        <f t="shared" ca="1" si="10"/>
        <v>40</v>
      </c>
      <c r="AD15" s="329">
        <f t="shared" ca="1" si="11"/>
        <v>70</v>
      </c>
      <c r="AE15" s="236">
        <f t="shared" ca="1" si="12"/>
        <v>0.42857142857142855</v>
      </c>
      <c r="AF15" s="341">
        <f t="shared" ca="1" si="13"/>
        <v>-46.571428571428569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968</v>
      </c>
      <c r="C16" s="318">
        <v>4</v>
      </c>
      <c r="D16" s="319">
        <v>8</v>
      </c>
      <c r="E16" s="317">
        <v>3</v>
      </c>
      <c r="F16" s="235">
        <f t="shared" si="0"/>
        <v>15</v>
      </c>
      <c r="G16" s="235">
        <f>C17+D14+E15</f>
        <v>33</v>
      </c>
      <c r="H16" s="235">
        <f t="shared" si="1"/>
        <v>48</v>
      </c>
      <c r="I16" s="236">
        <f t="shared" si="2"/>
        <v>0.3125</v>
      </c>
      <c r="J16" s="238">
        <f t="shared" ca="1" si="27"/>
        <v>16</v>
      </c>
      <c r="K16" s="307" t="s">
        <v>1359</v>
      </c>
      <c r="L16" s="219">
        <v>2</v>
      </c>
      <c r="M16" s="218" t="str">
        <f t="shared" ca="1" si="4"/>
        <v>Troy Thomasson &amp; Justin Winner</v>
      </c>
      <c r="N16" s="217">
        <v>11</v>
      </c>
      <c r="O16" s="219">
        <v>4</v>
      </c>
      <c r="P16" s="242">
        <v>11</v>
      </c>
      <c r="Q16" s="243">
        <v>3</v>
      </c>
      <c r="R16" s="244">
        <v>11</v>
      </c>
      <c r="S16" s="245">
        <v>6</v>
      </c>
      <c r="T16" s="246">
        <v>11</v>
      </c>
      <c r="U16" s="243">
        <v>6</v>
      </c>
      <c r="V16" s="223">
        <f t="shared" ref="V16:W16" si="29">(N16+P16+R16+T16)</f>
        <v>44</v>
      </c>
      <c r="W16" s="223">
        <f t="shared" si="29"/>
        <v>19</v>
      </c>
      <c r="X16" s="224">
        <f t="shared" si="6"/>
        <v>63</v>
      </c>
      <c r="Y16" s="332" t="s">
        <v>241</v>
      </c>
      <c r="Z16" s="329" t="str">
        <f t="shared" si="7"/>
        <v>Mark Murphy &amp; Carson Sanford</v>
      </c>
      <c r="AA16" s="329">
        <f t="shared" ca="1" si="8"/>
        <v>15</v>
      </c>
      <c r="AB16" s="329">
        <f t="shared" ca="1" si="9"/>
        <v>23</v>
      </c>
      <c r="AC16" s="329">
        <f t="shared" ca="1" si="10"/>
        <v>44</v>
      </c>
      <c r="AD16" s="329">
        <f t="shared" ca="1" si="11"/>
        <v>67</v>
      </c>
      <c r="AE16" s="236">
        <f t="shared" ca="1" si="12"/>
        <v>0.34328358208955223</v>
      </c>
      <c r="AF16" s="341">
        <f t="shared" ca="1" si="13"/>
        <v>-53.656716417910445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973</v>
      </c>
      <c r="C17" s="323">
        <v>11</v>
      </c>
      <c r="D17" s="324">
        <v>6</v>
      </c>
      <c r="E17" s="325">
        <v>8</v>
      </c>
      <c r="F17" s="265">
        <f t="shared" si="0"/>
        <v>25</v>
      </c>
      <c r="G17" s="265">
        <f>C16+D15+E14</f>
        <v>26</v>
      </c>
      <c r="H17" s="265">
        <f t="shared" si="1"/>
        <v>51</v>
      </c>
      <c r="I17" s="266">
        <f t="shared" si="2"/>
        <v>0.49019607843137253</v>
      </c>
      <c r="J17" s="268">
        <f t="shared" ca="1" si="27"/>
        <v>9</v>
      </c>
      <c r="K17" s="311" t="s">
        <v>1360</v>
      </c>
      <c r="L17" s="271">
        <v>15</v>
      </c>
      <c r="M17" s="270" t="str">
        <f t="shared" ca="1" si="4"/>
        <v>Mark Murphy &amp; Carson Sanford</v>
      </c>
      <c r="N17" s="269">
        <v>4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4</v>
      </c>
      <c r="W17" s="277">
        <f t="shared" si="30"/>
        <v>11</v>
      </c>
      <c r="X17" s="278">
        <f t="shared" si="6"/>
        <v>15</v>
      </c>
      <c r="Y17" s="347" t="s">
        <v>271</v>
      </c>
      <c r="Z17" s="274" t="str">
        <f t="shared" si="7"/>
        <v>Tom Spenceri &amp; Avery Woodard</v>
      </c>
      <c r="AA17" s="274">
        <f t="shared" ca="1" si="8"/>
        <v>16</v>
      </c>
      <c r="AB17" s="274">
        <f t="shared" ca="1" si="9"/>
        <v>19</v>
      </c>
      <c r="AC17" s="274">
        <f t="shared" ca="1" si="10"/>
        <v>44</v>
      </c>
      <c r="AD17" s="274">
        <f t="shared" ca="1" si="11"/>
        <v>63</v>
      </c>
      <c r="AE17" s="266">
        <f t="shared" ca="1" si="12"/>
        <v>0.30158730158730157</v>
      </c>
      <c r="AF17" s="348">
        <f t="shared" ca="1" si="13"/>
        <v>-57.698412698412696</v>
      </c>
      <c r="AG17" s="403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135</v>
      </c>
      <c r="D19" s="289">
        <f t="shared" si="31"/>
        <v>148</v>
      </c>
      <c r="E19" s="289">
        <f>SUM(E2:E18)</f>
        <v>135</v>
      </c>
      <c r="F19" s="287">
        <f t="shared" ref="F19:G19" si="32">SUM(F2:F17)</f>
        <v>418</v>
      </c>
      <c r="G19" s="290">
        <f t="shared" si="32"/>
        <v>418</v>
      </c>
      <c r="H19" s="292">
        <f>SUM(H2:H17)/2</f>
        <v>418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146</v>
      </c>
      <c r="O19" s="287">
        <f t="shared" si="33"/>
        <v>146</v>
      </c>
      <c r="P19" s="287">
        <f t="shared" si="33"/>
        <v>62</v>
      </c>
      <c r="Q19" s="287">
        <f t="shared" si="33"/>
        <v>62</v>
      </c>
      <c r="R19" s="287">
        <f t="shared" si="33"/>
        <v>33</v>
      </c>
      <c r="S19" s="287">
        <f t="shared" si="33"/>
        <v>33</v>
      </c>
      <c r="T19" s="287">
        <f t="shared" si="33"/>
        <v>17</v>
      </c>
      <c r="U19" s="287">
        <f t="shared" si="33"/>
        <v>17</v>
      </c>
      <c r="V19" s="287">
        <f t="shared" si="33"/>
        <v>258</v>
      </c>
      <c r="W19" s="287">
        <f t="shared" si="33"/>
        <v>258</v>
      </c>
      <c r="X19" s="287">
        <f>SUM(X2:X17)/2</f>
        <v>258</v>
      </c>
      <c r="Y19" s="287"/>
      <c r="Z19" s="287"/>
      <c r="AA19" s="287"/>
      <c r="AB19" s="287">
        <f t="shared" ref="AB19:AD19" ca="1" si="34">SUM(AB2:AB17)/2</f>
        <v>338</v>
      </c>
      <c r="AC19" s="287">
        <f t="shared" ca="1" si="34"/>
        <v>338</v>
      </c>
      <c r="AD19" s="287">
        <f t="shared" ca="1" si="34"/>
        <v>676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0</v>
      </c>
      <c r="F20" s="296"/>
      <c r="G20" s="296"/>
      <c r="H20" s="297">
        <f>AVERAGE(H2:H17)</f>
        <v>52.25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87">
        <f ca="1">AVERAGE(AD2:AD17)</f>
        <v>84.5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72" priority="5" operator="equal">
      <formula>33</formula>
    </cfRule>
  </conditionalFormatting>
  <conditionalFormatting sqref="J2:J17">
    <cfRule type="expression" dxfId="71" priority="7">
      <formula>COUNTIF(J$2:J$17,$J2)&gt;1</formula>
    </cfRule>
  </conditionalFormatting>
  <conditionalFormatting sqref="M2:X17">
    <cfRule type="expression" dxfId="70" priority="1">
      <formula>$T2=11</formula>
    </cfRule>
  </conditionalFormatting>
  <conditionalFormatting sqref="N2:O17">
    <cfRule type="expression" dxfId="69" priority="2">
      <formula>$N2=11</formula>
    </cfRule>
  </conditionalFormatting>
  <conditionalFormatting sqref="P2:Q17">
    <cfRule type="expression" dxfId="68" priority="3">
      <formula>$P2=11</formula>
    </cfRule>
  </conditionalFormatting>
  <conditionalFormatting sqref="R2:S17">
    <cfRule type="expression" dxfId="67" priority="4">
      <formula>$R2=11</formula>
    </cfRule>
  </conditionalFormatting>
  <conditionalFormatting sqref="AG2:AG17">
    <cfRule type="expression" dxfId="66" priority="6">
      <formula>COUNTIF(AG$2:AG$17,$AG2)&gt;1</formula>
    </cfRule>
  </conditionalFormatting>
  <hyperlinks>
    <hyperlink ref="A1" location="Champions!A1" display="Home" xr:uid="{00000000-0004-0000-1100-000000000000}"/>
    <hyperlink ref="AH1" location="Champions!A1" display="Home" xr:uid="{00000000-0004-0000-1100-000001000000}"/>
    <hyperlink ref="A19" location="Champions!A1" display="Home" xr:uid="{00000000-0004-0000-1100-000002000000}"/>
  </hyperlinks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36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2" width="8.26953125" customWidth="1"/>
    <col min="13" max="13" width="36.7265625" customWidth="1"/>
    <col min="14" max="21" width="6.26953125" customWidth="1"/>
    <col min="22" max="24" width="7.7265625" customWidth="1"/>
    <col min="25" max="25" width="6.81640625" customWidth="1"/>
    <col min="26" max="26" width="29.5429687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946</v>
      </c>
      <c r="C2" s="314">
        <v>4</v>
      </c>
      <c r="D2" s="315">
        <v>8</v>
      </c>
      <c r="E2" s="315">
        <v>6</v>
      </c>
      <c r="F2" s="213">
        <f t="shared" ref="F2:F17" si="0">SUM(C2:E2)</f>
        <v>18</v>
      </c>
      <c r="G2" s="213">
        <f>C3+D4+E5</f>
        <v>33</v>
      </c>
      <c r="H2" s="213">
        <f t="shared" ref="H2:H17" si="1">SUM(F2:G2)</f>
        <v>51</v>
      </c>
      <c r="I2" s="214">
        <f t="shared" ref="I2:I17" si="2">IFERROR(F2/H2,"")</f>
        <v>0.35294117647058826</v>
      </c>
      <c r="J2" s="216">
        <f t="shared" ref="J2:J17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Brook Vitt &amp; Curtis Stoneman</v>
      </c>
      <c r="N2" s="217">
        <v>11</v>
      </c>
      <c r="O2" s="219">
        <v>1</v>
      </c>
      <c r="P2" s="220">
        <v>11</v>
      </c>
      <c r="Q2" s="221">
        <v>10</v>
      </c>
      <c r="R2" s="217">
        <v>11</v>
      </c>
      <c r="S2" s="219">
        <v>6</v>
      </c>
      <c r="T2" s="222">
        <v>11</v>
      </c>
      <c r="U2" s="221">
        <v>8</v>
      </c>
      <c r="V2" s="223">
        <f t="shared" ref="V2:W2" si="5">(N2+P2+R2+T2)</f>
        <v>44</v>
      </c>
      <c r="W2" s="223">
        <f t="shared" si="5"/>
        <v>25</v>
      </c>
      <c r="X2" s="224">
        <f t="shared" ref="X2:X17" si="6">V2+W2</f>
        <v>69</v>
      </c>
      <c r="Y2" s="332" t="s">
        <v>232</v>
      </c>
      <c r="Z2" s="329" t="str">
        <f t="shared" ref="Z2:Z17" si="7">INDEX($A$2:$B$17,MATCH(Y2,$A$2:$A$17,0),2)</f>
        <v>Brook Vitt &amp; Curtis Stoneman</v>
      </c>
      <c r="AA2" s="329">
        <f t="shared" ref="AA2:AA17" ca="1" si="8">INDEX($B$2:$K$17, MATCH($Z2,$B$2:$B$17,0),9)</f>
        <v>1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36</v>
      </c>
      <c r="AD2" s="329">
        <f t="shared" ref="AD2:AD17" ca="1" si="11">SUM(AB2:AC2)</f>
        <v>113</v>
      </c>
      <c r="AE2" s="236">
        <f t="shared" ref="AE2:AE17" ca="1" si="12">AB2/AD2</f>
        <v>0.68141592920353977</v>
      </c>
      <c r="AF2" s="400">
        <f t="shared" ref="AF2:AF17" ca="1" si="13">AE2-(77-AB2)</f>
        <v>0.68141592920353977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947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Julie Gibson &amp; Dane Plummer</v>
      </c>
      <c r="N3" s="239">
        <v>1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1</v>
      </c>
      <c r="W3" s="223">
        <f t="shared" si="15"/>
        <v>11</v>
      </c>
      <c r="X3" s="224">
        <f t="shared" si="6"/>
        <v>12</v>
      </c>
      <c r="Y3" s="332" t="s">
        <v>261</v>
      </c>
      <c r="Z3" s="329" t="str">
        <f t="shared" si="7"/>
        <v>Tracy Lockton &amp; Miguel Cartagena</v>
      </c>
      <c r="AA3" s="329">
        <f t="shared" ca="1" si="8"/>
        <v>3</v>
      </c>
      <c r="AB3" s="329">
        <f t="shared" ca="1" si="9"/>
        <v>74</v>
      </c>
      <c r="AC3" s="329">
        <f t="shared" ca="1" si="10"/>
        <v>48</v>
      </c>
      <c r="AD3" s="329">
        <f t="shared" ca="1" si="11"/>
        <v>122</v>
      </c>
      <c r="AE3" s="236">
        <f t="shared" ca="1" si="12"/>
        <v>0.60655737704918034</v>
      </c>
      <c r="AF3" s="341">
        <f t="shared" ca="1" si="13"/>
        <v>-2.3934426229508197</v>
      </c>
      <c r="AG3" s="342">
        <f t="shared" ca="1" si="14"/>
        <v>2</v>
      </c>
      <c r="AH3" s="398"/>
    </row>
    <row r="4" spans="1:34" ht="15" customHeight="1">
      <c r="A4" s="309" t="s">
        <v>216</v>
      </c>
      <c r="B4" s="107" t="s">
        <v>949</v>
      </c>
      <c r="C4" s="318">
        <v>11</v>
      </c>
      <c r="D4" s="319">
        <v>11</v>
      </c>
      <c r="E4" s="317">
        <v>6</v>
      </c>
      <c r="F4" s="235">
        <f t="shared" si="0"/>
        <v>28</v>
      </c>
      <c r="G4" s="235">
        <f>C5+D2+E3</f>
        <v>25</v>
      </c>
      <c r="H4" s="235">
        <f t="shared" si="1"/>
        <v>53</v>
      </c>
      <c r="I4" s="236">
        <f t="shared" si="2"/>
        <v>0.52830188679245282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Lindsey Kalivoda &amp; Eric Santon</v>
      </c>
      <c r="N4" s="217">
        <v>11</v>
      </c>
      <c r="O4" s="219">
        <v>7</v>
      </c>
      <c r="P4" s="242">
        <v>10</v>
      </c>
      <c r="Q4" s="243">
        <v>11</v>
      </c>
      <c r="R4" s="244"/>
      <c r="S4" s="245"/>
      <c r="T4" s="246"/>
      <c r="U4" s="243"/>
      <c r="V4" s="223">
        <f t="shared" ref="V4:W4" si="16">(N4+P4+R4+T4)</f>
        <v>21</v>
      </c>
      <c r="W4" s="223">
        <f t="shared" si="16"/>
        <v>18</v>
      </c>
      <c r="X4" s="224">
        <f t="shared" si="6"/>
        <v>39</v>
      </c>
      <c r="Y4" s="332" t="s">
        <v>237</v>
      </c>
      <c r="Z4" s="329" t="str">
        <f t="shared" si="7"/>
        <v>Samantha Aleman &amp; Jordan Haas</v>
      </c>
      <c r="AA4" s="329">
        <f t="shared" ca="1" si="8"/>
        <v>4</v>
      </c>
      <c r="AB4" s="329">
        <f t="shared" ca="1" si="9"/>
        <v>57</v>
      </c>
      <c r="AC4" s="329">
        <f t="shared" ca="1" si="10"/>
        <v>45</v>
      </c>
      <c r="AD4" s="329">
        <f t="shared" ca="1" si="11"/>
        <v>102</v>
      </c>
      <c r="AE4" s="236">
        <f t="shared" ca="1" si="12"/>
        <v>0.55882352941176472</v>
      </c>
      <c r="AF4" s="341">
        <f t="shared" ca="1" si="13"/>
        <v>-19.441176470588236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951</v>
      </c>
      <c r="C5" s="320">
        <v>6</v>
      </c>
      <c r="D5" s="321">
        <v>2</v>
      </c>
      <c r="E5" s="322">
        <v>11</v>
      </c>
      <c r="F5" s="252">
        <f t="shared" si="0"/>
        <v>19</v>
      </c>
      <c r="G5" s="252">
        <f>C4+D3+E2</f>
        <v>28</v>
      </c>
      <c r="H5" s="252">
        <f t="shared" si="1"/>
        <v>47</v>
      </c>
      <c r="I5" s="253">
        <f t="shared" si="2"/>
        <v>0.40425531914893614</v>
      </c>
      <c r="J5" s="255">
        <f t="shared" ca="1" si="3"/>
        <v>11</v>
      </c>
      <c r="K5" s="310" t="s">
        <v>1348</v>
      </c>
      <c r="L5" s="241">
        <v>9</v>
      </c>
      <c r="M5" s="240" t="str">
        <f t="shared" ca="1" si="4"/>
        <v>Paige Salveter &amp; Gary Mulsow</v>
      </c>
      <c r="N5" s="239">
        <v>7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7</v>
      </c>
      <c r="W5" s="223">
        <f t="shared" si="17"/>
        <v>11</v>
      </c>
      <c r="X5" s="224">
        <f t="shared" si="6"/>
        <v>18</v>
      </c>
      <c r="Y5" s="336" t="s">
        <v>268</v>
      </c>
      <c r="Z5" s="337" t="str">
        <f t="shared" si="7"/>
        <v>Susan Mitts &amp; andrew Murchie</v>
      </c>
      <c r="AA5" s="337">
        <f t="shared" ca="1" si="8"/>
        <v>10</v>
      </c>
      <c r="AB5" s="337">
        <f t="shared" ca="1" si="9"/>
        <v>56</v>
      </c>
      <c r="AC5" s="337">
        <f t="shared" ca="1" si="10"/>
        <v>46</v>
      </c>
      <c r="AD5" s="337">
        <f t="shared" ca="1" si="11"/>
        <v>102</v>
      </c>
      <c r="AE5" s="253">
        <f t="shared" ca="1" si="12"/>
        <v>0.5490196078431373</v>
      </c>
      <c r="AF5" s="338">
        <f t="shared" ca="1" si="13"/>
        <v>-20.450980392156861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954</v>
      </c>
      <c r="C6" s="314">
        <v>8</v>
      </c>
      <c r="D6" s="315">
        <v>2</v>
      </c>
      <c r="E6" s="315">
        <v>5</v>
      </c>
      <c r="F6" s="213">
        <f t="shared" si="0"/>
        <v>15</v>
      </c>
      <c r="G6" s="213">
        <f>C7+D8+E9</f>
        <v>33</v>
      </c>
      <c r="H6" s="213">
        <f t="shared" si="1"/>
        <v>48</v>
      </c>
      <c r="I6" s="214">
        <f t="shared" si="2"/>
        <v>0.3125</v>
      </c>
      <c r="J6" s="238">
        <f t="shared" ca="1" si="3"/>
        <v>15</v>
      </c>
      <c r="K6" s="307" t="s">
        <v>1349</v>
      </c>
      <c r="L6" s="219">
        <v>5</v>
      </c>
      <c r="M6" s="218" t="str">
        <f t="shared" ca="1" si="4"/>
        <v>Erinn Metcalf &amp; Robert Madison</v>
      </c>
      <c r="N6" s="217">
        <v>11</v>
      </c>
      <c r="O6" s="219">
        <v>4</v>
      </c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18</v>
      </c>
      <c r="W6" s="223">
        <f t="shared" si="18"/>
        <v>15</v>
      </c>
      <c r="X6" s="224">
        <f t="shared" si="6"/>
        <v>33</v>
      </c>
      <c r="Y6" s="328" t="s">
        <v>256</v>
      </c>
      <c r="Z6" s="340" t="str">
        <f t="shared" si="7"/>
        <v>Erinn Metcalf &amp; Robert Madison</v>
      </c>
      <c r="AA6" s="340">
        <f t="shared" ca="1" si="8"/>
        <v>5</v>
      </c>
      <c r="AB6" s="340">
        <f t="shared" ca="1" si="9"/>
        <v>51</v>
      </c>
      <c r="AC6" s="340">
        <f t="shared" ca="1" si="10"/>
        <v>38</v>
      </c>
      <c r="AD6" s="340">
        <f t="shared" ca="1" si="11"/>
        <v>89</v>
      </c>
      <c r="AE6" s="214">
        <f t="shared" ca="1" si="12"/>
        <v>0.5730337078651685</v>
      </c>
      <c r="AF6" s="341">
        <f t="shared" ca="1" si="13"/>
        <v>-25.426966292134832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956</v>
      </c>
      <c r="C7" s="316">
        <v>11</v>
      </c>
      <c r="D7" s="317">
        <v>3</v>
      </c>
      <c r="E7" s="317">
        <v>2</v>
      </c>
      <c r="F7" s="235">
        <f t="shared" si="0"/>
        <v>16</v>
      </c>
      <c r="G7" s="235">
        <f>C6+D9+E8</f>
        <v>30</v>
      </c>
      <c r="H7" s="235">
        <f t="shared" si="1"/>
        <v>46</v>
      </c>
      <c r="I7" s="236">
        <f t="shared" si="2"/>
        <v>0.34782608695652173</v>
      </c>
      <c r="J7" s="238">
        <f t="shared" ca="1" si="3"/>
        <v>13</v>
      </c>
      <c r="K7" s="310" t="s">
        <v>1350</v>
      </c>
      <c r="L7" s="241">
        <v>12</v>
      </c>
      <c r="M7" s="240" t="str">
        <f t="shared" ca="1" si="4"/>
        <v>Laura Schoenekase &amp; Avery Woodard</v>
      </c>
      <c r="N7" s="239">
        <v>4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4</v>
      </c>
      <c r="W7" s="223">
        <f t="shared" si="19"/>
        <v>11</v>
      </c>
      <c r="X7" s="224">
        <f t="shared" si="6"/>
        <v>15</v>
      </c>
      <c r="Y7" s="332" t="s">
        <v>271</v>
      </c>
      <c r="Z7" s="329" t="str">
        <f t="shared" si="7"/>
        <v>Lindsey Kalivoda &amp; Eric Santon</v>
      </c>
      <c r="AA7" s="329">
        <f t="shared" ca="1" si="8"/>
        <v>8</v>
      </c>
      <c r="AB7" s="329">
        <f t="shared" ca="1" si="9"/>
        <v>51</v>
      </c>
      <c r="AC7" s="329">
        <f t="shared" ca="1" si="10"/>
        <v>45</v>
      </c>
      <c r="AD7" s="329">
        <f t="shared" ca="1" si="11"/>
        <v>96</v>
      </c>
      <c r="AE7" s="236">
        <f t="shared" ca="1" si="12"/>
        <v>0.53125</v>
      </c>
      <c r="AF7" s="341">
        <f t="shared" ca="1" si="13"/>
        <v>-25.46875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120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11</v>
      </c>
      <c r="H8" s="235">
        <f t="shared" si="1"/>
        <v>44</v>
      </c>
      <c r="I8" s="236">
        <f t="shared" si="2"/>
        <v>0.75</v>
      </c>
      <c r="J8" s="238">
        <f t="shared" ca="1" si="3"/>
        <v>1</v>
      </c>
      <c r="K8" s="307" t="s">
        <v>1351</v>
      </c>
      <c r="L8" s="219">
        <v>4</v>
      </c>
      <c r="M8" s="218" t="str">
        <f t="shared" ca="1" si="4"/>
        <v>Samantha Aleman &amp; Jordan Haas</v>
      </c>
      <c r="N8" s="217">
        <v>11</v>
      </c>
      <c r="O8" s="219">
        <v>8</v>
      </c>
      <c r="P8" s="242">
        <v>11</v>
      </c>
      <c r="Q8" s="243">
        <v>7</v>
      </c>
      <c r="R8" s="244">
        <v>6</v>
      </c>
      <c r="S8" s="245">
        <v>11</v>
      </c>
      <c r="T8" s="246"/>
      <c r="U8" s="243"/>
      <c r="V8" s="223">
        <f t="shared" ref="V8:W8" si="20">(N8+P8+R8+T8)</f>
        <v>28</v>
      </c>
      <c r="W8" s="223">
        <f t="shared" si="20"/>
        <v>26</v>
      </c>
      <c r="X8" s="224">
        <f t="shared" si="6"/>
        <v>54</v>
      </c>
      <c r="Y8" s="332" t="s">
        <v>211</v>
      </c>
      <c r="Z8" s="329" t="str">
        <f t="shared" si="7"/>
        <v>Loras Heck &amp; Bond Marrs</v>
      </c>
      <c r="AA8" s="329">
        <f t="shared" ca="1" si="8"/>
        <v>2</v>
      </c>
      <c r="AB8" s="329">
        <f t="shared" ca="1" si="9"/>
        <v>50</v>
      </c>
      <c r="AC8" s="329">
        <f t="shared" ca="1" si="10"/>
        <v>26</v>
      </c>
      <c r="AD8" s="329">
        <f t="shared" ca="1" si="11"/>
        <v>76</v>
      </c>
      <c r="AE8" s="236">
        <f t="shared" ca="1" si="12"/>
        <v>0.65789473684210531</v>
      </c>
      <c r="AF8" s="341">
        <f t="shared" ca="1" si="13"/>
        <v>-26.342105263157894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957</v>
      </c>
      <c r="C9" s="320">
        <v>7</v>
      </c>
      <c r="D9" s="321">
        <v>11</v>
      </c>
      <c r="E9" s="322">
        <v>11</v>
      </c>
      <c r="F9" s="252">
        <f t="shared" si="0"/>
        <v>29</v>
      </c>
      <c r="G9" s="252">
        <f>C8+D7+E6</f>
        <v>19</v>
      </c>
      <c r="H9" s="252">
        <f t="shared" si="1"/>
        <v>48</v>
      </c>
      <c r="I9" s="253">
        <f t="shared" si="2"/>
        <v>0.60416666666666663</v>
      </c>
      <c r="J9" s="255">
        <f t="shared" ca="1" si="3"/>
        <v>4</v>
      </c>
      <c r="K9" s="310" t="s">
        <v>1352</v>
      </c>
      <c r="L9" s="241">
        <v>13</v>
      </c>
      <c r="M9" s="240" t="str">
        <f t="shared" ca="1" si="4"/>
        <v>Alice Edwards &amp; Steven Pauwels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241</v>
      </c>
      <c r="Z9" s="337" t="str">
        <f t="shared" si="7"/>
        <v>Shanna Loyd &amp; Troy Thomasson</v>
      </c>
      <c r="AA9" s="337">
        <f t="shared" ca="1" si="8"/>
        <v>6</v>
      </c>
      <c r="AB9" s="337">
        <f t="shared" ca="1" si="9"/>
        <v>45</v>
      </c>
      <c r="AC9" s="337">
        <f t="shared" ca="1" si="10"/>
        <v>40</v>
      </c>
      <c r="AD9" s="337">
        <f t="shared" ca="1" si="11"/>
        <v>85</v>
      </c>
      <c r="AE9" s="253">
        <f t="shared" ca="1" si="12"/>
        <v>0.52941176470588236</v>
      </c>
      <c r="AF9" s="338">
        <f t="shared" ca="1" si="13"/>
        <v>-31.470588235294116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959</v>
      </c>
      <c r="C10" s="314">
        <v>11</v>
      </c>
      <c r="D10" s="315">
        <v>11</v>
      </c>
      <c r="E10" s="315">
        <v>8</v>
      </c>
      <c r="F10" s="213">
        <f t="shared" si="0"/>
        <v>30</v>
      </c>
      <c r="G10" s="213">
        <f>C11+D12+E13</f>
        <v>22</v>
      </c>
      <c r="H10" s="213">
        <f t="shared" si="1"/>
        <v>52</v>
      </c>
      <c r="I10" s="214">
        <f t="shared" si="2"/>
        <v>0.57692307692307687</v>
      </c>
      <c r="J10" s="238">
        <f t="shared" ca="1" si="3"/>
        <v>6</v>
      </c>
      <c r="K10" s="307" t="s">
        <v>1353</v>
      </c>
      <c r="L10" s="219">
        <v>6</v>
      </c>
      <c r="M10" s="218" t="str">
        <f t="shared" ca="1" si="4"/>
        <v>Shanna Loyd &amp; Troy Thomasson</v>
      </c>
      <c r="N10" s="217">
        <v>11</v>
      </c>
      <c r="O10" s="219">
        <v>7</v>
      </c>
      <c r="P10" s="220">
        <v>4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15</v>
      </c>
      <c r="W10" s="223">
        <f t="shared" si="22"/>
        <v>18</v>
      </c>
      <c r="X10" s="224">
        <f t="shared" si="6"/>
        <v>33</v>
      </c>
      <c r="Y10" s="332" t="s">
        <v>246</v>
      </c>
      <c r="Z10" s="329" t="str">
        <f t="shared" si="7"/>
        <v>Paige Salveter &amp; Gary Mulsow</v>
      </c>
      <c r="AA10" s="329">
        <f t="shared" ca="1" si="8"/>
        <v>9</v>
      </c>
      <c r="AB10" s="329">
        <f t="shared" ca="1" si="9"/>
        <v>31</v>
      </c>
      <c r="AC10" s="329">
        <f t="shared" ca="1" si="10"/>
        <v>33</v>
      </c>
      <c r="AD10" s="329">
        <f t="shared" ca="1" si="11"/>
        <v>64</v>
      </c>
      <c r="AE10" s="236">
        <f t="shared" ca="1" si="12"/>
        <v>0.484375</v>
      </c>
      <c r="AF10" s="341">
        <f t="shared" ca="1" si="13"/>
        <v>-45.515625</v>
      </c>
      <c r="AG10" s="342">
        <f t="shared" ca="1" si="14"/>
        <v>9</v>
      </c>
      <c r="AH10" s="398"/>
    </row>
    <row r="11" spans="1:34" ht="15" customHeight="1">
      <c r="A11" s="309" t="s">
        <v>246</v>
      </c>
      <c r="B11" s="107" t="s">
        <v>952</v>
      </c>
      <c r="C11" s="316">
        <v>6</v>
      </c>
      <c r="D11" s="317">
        <v>7</v>
      </c>
      <c r="E11" s="317">
        <v>11</v>
      </c>
      <c r="F11" s="235">
        <f t="shared" si="0"/>
        <v>24</v>
      </c>
      <c r="G11" s="235">
        <f>C10+D13+E12</f>
        <v>22</v>
      </c>
      <c r="H11" s="235">
        <f t="shared" si="1"/>
        <v>46</v>
      </c>
      <c r="I11" s="236">
        <f t="shared" si="2"/>
        <v>0.52173913043478259</v>
      </c>
      <c r="J11" s="238">
        <f t="shared" ca="1" si="3"/>
        <v>9</v>
      </c>
      <c r="K11" s="310" t="s">
        <v>1354</v>
      </c>
      <c r="L11" s="241">
        <v>11</v>
      </c>
      <c r="M11" s="240" t="str">
        <f t="shared" ca="1" si="4"/>
        <v>Angela Hagen &amp; Elliott Freirich</v>
      </c>
      <c r="N11" s="239">
        <v>7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7</v>
      </c>
      <c r="W11" s="223">
        <f t="shared" si="23"/>
        <v>11</v>
      </c>
      <c r="X11" s="224">
        <f t="shared" si="6"/>
        <v>18</v>
      </c>
      <c r="Y11" s="332" t="s">
        <v>216</v>
      </c>
      <c r="Z11" s="329" t="str">
        <f t="shared" si="7"/>
        <v>stephanie patterson &amp; Matt Ward</v>
      </c>
      <c r="AA11" s="329">
        <f t="shared" ca="1" si="8"/>
        <v>7</v>
      </c>
      <c r="AB11" s="329">
        <f t="shared" ca="1" si="9"/>
        <v>30</v>
      </c>
      <c r="AC11" s="329">
        <f t="shared" ca="1" si="10"/>
        <v>36</v>
      </c>
      <c r="AD11" s="329">
        <f t="shared" ca="1" si="11"/>
        <v>66</v>
      </c>
      <c r="AE11" s="236">
        <f t="shared" ca="1" si="12"/>
        <v>0.45454545454545453</v>
      </c>
      <c r="AF11" s="341">
        <f t="shared" ca="1" si="13"/>
        <v>-46.545454545454547</v>
      </c>
      <c r="AG11" s="342">
        <f t="shared" ca="1" si="14"/>
        <v>10</v>
      </c>
      <c r="AH11" s="398"/>
    </row>
    <row r="12" spans="1:34" ht="15" customHeight="1">
      <c r="A12" s="309" t="s">
        <v>251</v>
      </c>
      <c r="B12" s="107" t="s">
        <v>948</v>
      </c>
      <c r="C12" s="318">
        <v>8</v>
      </c>
      <c r="D12" s="319">
        <v>5</v>
      </c>
      <c r="E12" s="317">
        <v>0</v>
      </c>
      <c r="F12" s="235">
        <f t="shared" si="0"/>
        <v>13</v>
      </c>
      <c r="G12" s="235">
        <f>C13+D10+E11</f>
        <v>33</v>
      </c>
      <c r="H12" s="235">
        <f t="shared" si="1"/>
        <v>46</v>
      </c>
      <c r="I12" s="236">
        <f t="shared" si="2"/>
        <v>0.28260869565217389</v>
      </c>
      <c r="J12" s="238">
        <f t="shared" ca="1" si="3"/>
        <v>16</v>
      </c>
      <c r="K12" s="307" t="s">
        <v>1355</v>
      </c>
      <c r="L12" s="219">
        <v>3</v>
      </c>
      <c r="M12" s="218" t="str">
        <f t="shared" ca="1" si="4"/>
        <v>Tracy Lockton &amp; Miguel Cartagena</v>
      </c>
      <c r="N12" s="217">
        <v>11</v>
      </c>
      <c r="O12" s="219">
        <v>6</v>
      </c>
      <c r="P12" s="242">
        <v>11</v>
      </c>
      <c r="Q12" s="243">
        <v>4</v>
      </c>
      <c r="R12" s="244">
        <v>11</v>
      </c>
      <c r="S12" s="245">
        <v>8</v>
      </c>
      <c r="T12" s="246">
        <v>8</v>
      </c>
      <c r="U12" s="243">
        <v>11</v>
      </c>
      <c r="V12" s="223">
        <f t="shared" ref="V12:W12" si="24">(N12+P12+R12+T12)</f>
        <v>41</v>
      </c>
      <c r="W12" s="223">
        <f t="shared" si="24"/>
        <v>29</v>
      </c>
      <c r="X12" s="224">
        <f t="shared" si="6"/>
        <v>70</v>
      </c>
      <c r="Y12" s="332" t="s">
        <v>221</v>
      </c>
      <c r="Z12" s="329" t="str">
        <f t="shared" si="7"/>
        <v>Angela Hagen &amp; Elliott Freirich</v>
      </c>
      <c r="AA12" s="329">
        <f t="shared" ca="1" si="8"/>
        <v>11</v>
      </c>
      <c r="AB12" s="329">
        <f t="shared" ca="1" si="9"/>
        <v>26</v>
      </c>
      <c r="AC12" s="329">
        <f t="shared" ca="1" si="10"/>
        <v>39</v>
      </c>
      <c r="AD12" s="329">
        <f t="shared" ca="1" si="11"/>
        <v>65</v>
      </c>
      <c r="AE12" s="236">
        <f t="shared" ca="1" si="12"/>
        <v>0.4</v>
      </c>
      <c r="AF12" s="375">
        <f t="shared" ca="1" si="13"/>
        <v>-50.6</v>
      </c>
      <c r="AG12" s="404">
        <f t="shared" ca="1" si="14"/>
        <v>11</v>
      </c>
      <c r="AH12" s="398"/>
    </row>
    <row r="13" spans="1:34" ht="15" customHeight="1">
      <c r="A13" s="310" t="s">
        <v>256</v>
      </c>
      <c r="B13" s="109" t="s">
        <v>955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23</v>
      </c>
      <c r="H13" s="252">
        <f t="shared" si="1"/>
        <v>56</v>
      </c>
      <c r="I13" s="253">
        <f t="shared" si="2"/>
        <v>0.5892857142857143</v>
      </c>
      <c r="J13" s="255">
        <f t="shared" ca="1" si="3"/>
        <v>5</v>
      </c>
      <c r="K13" s="310" t="s">
        <v>1356</v>
      </c>
      <c r="L13" s="241">
        <v>14</v>
      </c>
      <c r="M13" s="240" t="str">
        <f t="shared" ca="1" si="4"/>
        <v>Jacqui jensen &amp; Danny Ng</v>
      </c>
      <c r="N13" s="239">
        <v>6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6</v>
      </c>
      <c r="W13" s="223">
        <f t="shared" si="25"/>
        <v>11</v>
      </c>
      <c r="X13" s="224">
        <f t="shared" si="6"/>
        <v>17</v>
      </c>
      <c r="Y13" s="336" t="s">
        <v>228</v>
      </c>
      <c r="Z13" s="337" t="str">
        <f t="shared" si="7"/>
        <v>Alice Edwards &amp; Steven Pauwels</v>
      </c>
      <c r="AA13" s="337">
        <f t="shared" ca="1" si="8"/>
        <v>13</v>
      </c>
      <c r="AB13" s="337">
        <f t="shared" ca="1" si="9"/>
        <v>24</v>
      </c>
      <c r="AC13" s="337">
        <f t="shared" ca="1" si="10"/>
        <v>41</v>
      </c>
      <c r="AD13" s="337">
        <f t="shared" ca="1" si="11"/>
        <v>65</v>
      </c>
      <c r="AE13" s="253">
        <f t="shared" ca="1" si="12"/>
        <v>0.36923076923076925</v>
      </c>
      <c r="AF13" s="401">
        <f t="shared" ca="1" si="13"/>
        <v>-52.630769230769232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121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C15+D16+E17</f>
        <v>19</v>
      </c>
      <c r="H14" s="213">
        <f t="shared" si="1"/>
        <v>52</v>
      </c>
      <c r="I14" s="214">
        <f t="shared" si="2"/>
        <v>0.63461538461538458</v>
      </c>
      <c r="J14" s="238">
        <f t="shared" ca="1" si="3"/>
        <v>3</v>
      </c>
      <c r="K14" s="307" t="s">
        <v>1357</v>
      </c>
      <c r="L14" s="219">
        <v>7</v>
      </c>
      <c r="M14" s="218" t="str">
        <f t="shared" ca="1" si="4"/>
        <v>stephanie patterson &amp; Matt Ward</v>
      </c>
      <c r="N14" s="217">
        <v>2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2</v>
      </c>
      <c r="W14" s="223">
        <f t="shared" si="26"/>
        <v>11</v>
      </c>
      <c r="X14" s="224">
        <f t="shared" si="6"/>
        <v>13</v>
      </c>
      <c r="Y14" s="332" t="s">
        <v>276</v>
      </c>
      <c r="Z14" s="329" t="str">
        <f t="shared" si="7"/>
        <v>Jacqui jensen &amp; Danny Ng</v>
      </c>
      <c r="AA14" s="329">
        <f t="shared" ca="1" si="8"/>
        <v>14</v>
      </c>
      <c r="AB14" s="329">
        <f t="shared" ca="1" si="9"/>
        <v>23</v>
      </c>
      <c r="AC14" s="329">
        <f t="shared" ca="1" si="10"/>
        <v>44</v>
      </c>
      <c r="AD14" s="329">
        <f t="shared" ca="1" si="11"/>
        <v>67</v>
      </c>
      <c r="AE14" s="236">
        <f t="shared" ca="1" si="12"/>
        <v>0.34328358208955223</v>
      </c>
      <c r="AF14" s="343">
        <f t="shared" ca="1" si="13"/>
        <v>-53.656716417910445</v>
      </c>
      <c r="AG14" s="404">
        <f t="shared" ca="1" si="14"/>
        <v>13</v>
      </c>
      <c r="AH14" s="398"/>
    </row>
    <row r="15" spans="1:34" ht="15" customHeight="1">
      <c r="A15" s="309" t="s">
        <v>268</v>
      </c>
      <c r="B15" s="107" t="s">
        <v>963</v>
      </c>
      <c r="C15" s="316">
        <v>8</v>
      </c>
      <c r="D15" s="317">
        <v>11</v>
      </c>
      <c r="E15" s="317">
        <v>7</v>
      </c>
      <c r="F15" s="235">
        <f t="shared" si="0"/>
        <v>26</v>
      </c>
      <c r="G15" s="235">
        <f>C14+D17+E16</f>
        <v>27</v>
      </c>
      <c r="H15" s="235">
        <f t="shared" si="1"/>
        <v>53</v>
      </c>
      <c r="I15" s="236">
        <f t="shared" si="2"/>
        <v>0.49056603773584906</v>
      </c>
      <c r="J15" s="238">
        <f t="shared" ca="1" si="3"/>
        <v>10</v>
      </c>
      <c r="K15" s="310" t="s">
        <v>1358</v>
      </c>
      <c r="L15" s="241">
        <v>10</v>
      </c>
      <c r="M15" s="240" t="str">
        <f t="shared" ca="1" si="4"/>
        <v>Susan Mitts &amp; andrew Murchie</v>
      </c>
      <c r="N15" s="239">
        <v>11</v>
      </c>
      <c r="O15" s="241">
        <v>2</v>
      </c>
      <c r="P15" s="242">
        <v>11</v>
      </c>
      <c r="Q15" s="243">
        <v>6</v>
      </c>
      <c r="R15" s="244">
        <v>8</v>
      </c>
      <c r="S15" s="245">
        <v>11</v>
      </c>
      <c r="T15" s="246"/>
      <c r="U15" s="243"/>
      <c r="V15" s="223">
        <f t="shared" ref="V15:W15" si="27">(N15+P15+R15+T15)</f>
        <v>30</v>
      </c>
      <c r="W15" s="223">
        <f t="shared" si="27"/>
        <v>19</v>
      </c>
      <c r="X15" s="224">
        <f t="shared" si="6"/>
        <v>49</v>
      </c>
      <c r="Y15" s="332" t="s">
        <v>205</v>
      </c>
      <c r="Z15" s="329" t="str">
        <f t="shared" si="7"/>
        <v>Laura Schoenekase &amp; Avery Woodard</v>
      </c>
      <c r="AA15" s="329">
        <f t="shared" ca="1" si="8"/>
        <v>12</v>
      </c>
      <c r="AB15" s="329">
        <f t="shared" ca="1" si="9"/>
        <v>22</v>
      </c>
      <c r="AC15" s="329">
        <f t="shared" ca="1" si="10"/>
        <v>44</v>
      </c>
      <c r="AD15" s="329">
        <f t="shared" ca="1" si="11"/>
        <v>66</v>
      </c>
      <c r="AE15" s="236">
        <f t="shared" ca="1" si="12"/>
        <v>0.33333333333333331</v>
      </c>
      <c r="AF15" s="333">
        <f t="shared" ca="1" si="13"/>
        <v>-54.666666666666664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950</v>
      </c>
      <c r="C16" s="318">
        <v>11</v>
      </c>
      <c r="D16" s="319">
        <v>8</v>
      </c>
      <c r="E16" s="317">
        <v>11</v>
      </c>
      <c r="F16" s="235">
        <f t="shared" si="0"/>
        <v>30</v>
      </c>
      <c r="G16" s="235">
        <f>C17+D14+E15</f>
        <v>27</v>
      </c>
      <c r="H16" s="235">
        <f t="shared" si="1"/>
        <v>57</v>
      </c>
      <c r="I16" s="236">
        <f t="shared" si="2"/>
        <v>0.52631578947368418</v>
      </c>
      <c r="J16" s="238">
        <f t="shared" ca="1" si="3"/>
        <v>8</v>
      </c>
      <c r="K16" s="307" t="s">
        <v>1359</v>
      </c>
      <c r="L16" s="219">
        <v>2</v>
      </c>
      <c r="M16" s="218" t="str">
        <f t="shared" ca="1" si="4"/>
        <v>Loras Heck &amp; Bond Marrs</v>
      </c>
      <c r="N16" s="217">
        <v>11</v>
      </c>
      <c r="O16" s="219">
        <v>3</v>
      </c>
      <c r="P16" s="242">
        <v>6</v>
      </c>
      <c r="Q16" s="243">
        <v>11</v>
      </c>
      <c r="R16" s="244"/>
      <c r="S16" s="245"/>
      <c r="T16" s="246"/>
      <c r="U16" s="243"/>
      <c r="V16" s="223">
        <f t="shared" ref="V16:W16" si="28">(N16+P16+R16+T16)</f>
        <v>17</v>
      </c>
      <c r="W16" s="223">
        <f t="shared" si="28"/>
        <v>14</v>
      </c>
      <c r="X16" s="224">
        <f t="shared" si="6"/>
        <v>31</v>
      </c>
      <c r="Y16" s="332" t="s">
        <v>224</v>
      </c>
      <c r="Z16" s="329" t="str">
        <f t="shared" si="7"/>
        <v>Amy George &amp; Michael Schermoly</v>
      </c>
      <c r="AA16" s="329">
        <f t="shared" ca="1" si="8"/>
        <v>15</v>
      </c>
      <c r="AB16" s="329">
        <f t="shared" ca="1" si="9"/>
        <v>18</v>
      </c>
      <c r="AC16" s="329">
        <f t="shared" ca="1" si="10"/>
        <v>44</v>
      </c>
      <c r="AD16" s="329">
        <f t="shared" ca="1" si="11"/>
        <v>62</v>
      </c>
      <c r="AE16" s="236">
        <f t="shared" ca="1" si="12"/>
        <v>0.29032258064516131</v>
      </c>
      <c r="AF16" s="341">
        <f t="shared" ca="1" si="13"/>
        <v>-58.70967741935484</v>
      </c>
      <c r="AG16" s="334">
        <f t="shared" ca="1" si="14"/>
        <v>15</v>
      </c>
      <c r="AH16" s="398"/>
    </row>
    <row r="17" spans="1:34" ht="15" customHeight="1">
      <c r="A17" s="311" t="s">
        <v>276</v>
      </c>
      <c r="B17" s="262" t="s">
        <v>961</v>
      </c>
      <c r="C17" s="323">
        <v>9</v>
      </c>
      <c r="D17" s="324">
        <v>5</v>
      </c>
      <c r="E17" s="325">
        <v>3</v>
      </c>
      <c r="F17" s="265">
        <f t="shared" si="0"/>
        <v>17</v>
      </c>
      <c r="G17" s="265">
        <f>C16+D15+E14</f>
        <v>33</v>
      </c>
      <c r="H17" s="265">
        <f t="shared" si="1"/>
        <v>50</v>
      </c>
      <c r="I17" s="266">
        <f t="shared" si="2"/>
        <v>0.34</v>
      </c>
      <c r="J17" s="268">
        <f t="shared" ca="1" si="3"/>
        <v>14</v>
      </c>
      <c r="K17" s="311" t="s">
        <v>1360</v>
      </c>
      <c r="L17" s="271">
        <v>15</v>
      </c>
      <c r="M17" s="270" t="str">
        <f t="shared" ca="1" si="4"/>
        <v>Amy George &amp; Michael Schermoly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29">(N17+P17+R17+T17)</f>
        <v>3</v>
      </c>
      <c r="W17" s="277">
        <f t="shared" si="29"/>
        <v>11</v>
      </c>
      <c r="X17" s="278">
        <f t="shared" si="6"/>
        <v>14</v>
      </c>
      <c r="Y17" s="347" t="s">
        <v>251</v>
      </c>
      <c r="Z17" s="274" t="str">
        <f t="shared" si="7"/>
        <v>Julie Gibson &amp; Dane Plummer</v>
      </c>
      <c r="AA17" s="274">
        <f t="shared" ca="1" si="8"/>
        <v>16</v>
      </c>
      <c r="AB17" s="274">
        <f t="shared" ca="1" si="9"/>
        <v>14</v>
      </c>
      <c r="AC17" s="274">
        <f t="shared" ca="1" si="10"/>
        <v>44</v>
      </c>
      <c r="AD17" s="274">
        <f t="shared" ca="1" si="11"/>
        <v>58</v>
      </c>
      <c r="AE17" s="266">
        <f t="shared" ca="1" si="12"/>
        <v>0.2413793103448276</v>
      </c>
      <c r="AF17" s="348">
        <f t="shared" ca="1" si="13"/>
        <v>-62.758620689655174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0">SUM(C2:C17)</f>
        <v>144</v>
      </c>
      <c r="D19" s="289">
        <f t="shared" si="30"/>
        <v>128</v>
      </c>
      <c r="E19" s="289">
        <f>SUM(E2:E18)</f>
        <v>125</v>
      </c>
      <c r="F19" s="287">
        <f t="shared" ref="F19:G19" si="31">SUM(F2:F17)</f>
        <v>397</v>
      </c>
      <c r="G19" s="290">
        <f t="shared" si="31"/>
        <v>397</v>
      </c>
      <c r="H19" s="292">
        <f>SUM(H2:H17)/2</f>
        <v>397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126</v>
      </c>
      <c r="O19" s="287">
        <f t="shared" si="32"/>
        <v>126</v>
      </c>
      <c r="P19" s="287">
        <f t="shared" si="32"/>
        <v>71</v>
      </c>
      <c r="Q19" s="287">
        <f t="shared" si="32"/>
        <v>71</v>
      </c>
      <c r="R19" s="287">
        <f t="shared" si="32"/>
        <v>36</v>
      </c>
      <c r="S19" s="287">
        <f t="shared" si="32"/>
        <v>36</v>
      </c>
      <c r="T19" s="287">
        <f t="shared" si="32"/>
        <v>19</v>
      </c>
      <c r="U19" s="287">
        <f t="shared" si="32"/>
        <v>19</v>
      </c>
      <c r="V19" s="287">
        <f t="shared" si="32"/>
        <v>252</v>
      </c>
      <c r="W19" s="287">
        <f t="shared" si="32"/>
        <v>252</v>
      </c>
      <c r="X19" s="287">
        <f>SUM(X2:X17)/2</f>
        <v>252</v>
      </c>
      <c r="Y19" s="287"/>
      <c r="Z19" s="287"/>
      <c r="AA19" s="287"/>
      <c r="AB19" s="287">
        <f t="shared" ref="AB19:AD19" ca="1" si="33">SUM(AB2:AB17)/2</f>
        <v>324.5</v>
      </c>
      <c r="AC19" s="287">
        <f t="shared" ca="1" si="33"/>
        <v>324.5</v>
      </c>
      <c r="AD19" s="287">
        <f t="shared" ca="1" si="33"/>
        <v>649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0</v>
      </c>
      <c r="E20" s="326">
        <f t="shared" si="34"/>
        <v>0</v>
      </c>
      <c r="F20" s="296"/>
      <c r="G20" s="296"/>
      <c r="H20" s="297">
        <f>AVERAGE(H2:H17)</f>
        <v>49.625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7"/>
      <c r="Z20" s="287"/>
      <c r="AA20" s="287"/>
      <c r="AB20" s="287"/>
      <c r="AC20" s="287"/>
      <c r="AD20" s="287">
        <f ca="1">AVERAGE(AD2:AD17)</f>
        <v>81.125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65" priority="5" operator="equal">
      <formula>33</formula>
    </cfRule>
  </conditionalFormatting>
  <conditionalFormatting sqref="J2:J17">
    <cfRule type="expression" dxfId="64" priority="7">
      <formula>COUNTIF(J$2:J$17,$J2)&gt;1</formula>
    </cfRule>
  </conditionalFormatting>
  <conditionalFormatting sqref="M2:X17">
    <cfRule type="expression" dxfId="63" priority="1">
      <formula>$T2=11</formula>
    </cfRule>
  </conditionalFormatting>
  <conditionalFormatting sqref="N2:O17">
    <cfRule type="expression" dxfId="62" priority="2">
      <formula>$N2=11</formula>
    </cfRule>
  </conditionalFormatting>
  <conditionalFormatting sqref="P2:Q17">
    <cfRule type="expression" dxfId="61" priority="3">
      <formula>$P2=11</formula>
    </cfRule>
  </conditionalFormatting>
  <conditionalFormatting sqref="R2:S17">
    <cfRule type="expression" dxfId="60" priority="4">
      <formula>$R2=11</formula>
    </cfRule>
  </conditionalFormatting>
  <conditionalFormatting sqref="AG2:AG17">
    <cfRule type="expression" dxfId="59" priority="6">
      <formula>COUNTIF(AG$2:AG$17,$AG2)&gt;1</formula>
    </cfRule>
  </conditionalFormatting>
  <hyperlinks>
    <hyperlink ref="A1" location="Champions!A1" display="Home" xr:uid="{00000000-0004-0000-1200-000000000000}"/>
    <hyperlink ref="AH1" location="Champions!A1" display="Home" xr:uid="{00000000-0004-0000-1200-000001000000}"/>
    <hyperlink ref="A19" location="Champions!A1" display="Home" xr:uid="{00000000-0004-0000-1200-000002000000}"/>
  </hyperlink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40.816406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453125" customWidth="1"/>
    <col min="11" max="11" width="7.453125" customWidth="1"/>
    <col min="12" max="12" width="8.453125" customWidth="1"/>
    <col min="13" max="13" width="41.26953125" customWidth="1"/>
    <col min="14" max="21" width="6.26953125" customWidth="1"/>
    <col min="22" max="24" width="7.7265625" customWidth="1"/>
    <col min="25" max="25" width="6.81640625" customWidth="1"/>
    <col min="26" max="26" width="41.81640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414" t="s">
        <v>1367</v>
      </c>
      <c r="B2" s="415" t="s">
        <v>912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416">
        <f>C3+D4+E5</f>
        <v>10</v>
      </c>
      <c r="H2" s="416">
        <f t="shared" ref="H2:H17" si="1">SUM(F2:G2)</f>
        <v>43</v>
      </c>
      <c r="I2" s="417">
        <f t="shared" ref="I2:I17" si="2">IFERROR(F2/H2,"")</f>
        <v>0.76744186046511631</v>
      </c>
      <c r="J2" s="418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499" t="s">
        <v>207</v>
      </c>
      <c r="M2" s="218" t="str">
        <f t="shared" ref="M2:M17" ca="1" si="5">IFERROR(INDEX($A$2:$K$17,MATCH(L2,$K$2:$K$17,0),2),)</f>
        <v>Erinn Metcalf &amp; Keely Schneider</v>
      </c>
      <c r="N2" s="421"/>
      <c r="O2" s="422"/>
      <c r="P2" s="220">
        <v>11</v>
      </c>
      <c r="Q2" s="221">
        <v>2</v>
      </c>
      <c r="R2" s="217">
        <v>6</v>
      </c>
      <c r="S2" s="219">
        <v>11</v>
      </c>
      <c r="T2" s="222"/>
      <c r="U2" s="221"/>
      <c r="V2" s="223">
        <f t="shared" ref="V2:W2" si="6">(N2+P2+R2+T2)</f>
        <v>17</v>
      </c>
      <c r="W2" s="223">
        <f t="shared" si="6"/>
        <v>13</v>
      </c>
      <c r="X2" s="223">
        <f t="shared" ref="X2:X17" si="7">V2+W2</f>
        <v>30</v>
      </c>
      <c r="Y2" s="329"/>
      <c r="Z2" s="329" t="s">
        <v>921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17</v>
      </c>
      <c r="AD2" s="329">
        <f t="shared" ref="AD2:AD17" ca="1" si="11">SUM(AB2:AC2)</f>
        <v>84</v>
      </c>
      <c r="AE2" s="236">
        <f t="shared" ref="AE2:AE17" ca="1" si="12">AB2/AD2</f>
        <v>0.79761904761904767</v>
      </c>
      <c r="AF2" s="330">
        <f t="shared" ref="AF2:AF17" ca="1" si="13">AE2-(100-AB2)</f>
        <v>-32.202380952380949</v>
      </c>
      <c r="AG2" s="423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913</v>
      </c>
      <c r="C3" s="105">
        <v>3</v>
      </c>
      <c r="D3" s="106">
        <v>11</v>
      </c>
      <c r="E3" s="106">
        <v>11</v>
      </c>
      <c r="F3" s="235">
        <f t="shared" si="0"/>
        <v>25</v>
      </c>
      <c r="G3" s="235">
        <f>C2+D5+E4</f>
        <v>30</v>
      </c>
      <c r="H3" s="235">
        <f t="shared" si="1"/>
        <v>55</v>
      </c>
      <c r="I3" s="236">
        <f t="shared" si="2"/>
        <v>0.45454545454545453</v>
      </c>
      <c r="J3" s="424">
        <f t="shared" ca="1" si="3"/>
        <v>2</v>
      </c>
      <c r="K3" s="425" t="str">
        <f t="shared" ca="1" si="4"/>
        <v>D1-2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117</v>
      </c>
      <c r="AA3" s="329" t="str">
        <f t="shared" ca="1" si="8"/>
        <v>D4-1</v>
      </c>
      <c r="AB3" s="329">
        <f t="shared" ca="1" si="9"/>
        <v>60</v>
      </c>
      <c r="AC3" s="329">
        <f t="shared" ca="1" si="10"/>
        <v>36</v>
      </c>
      <c r="AD3" s="329">
        <f t="shared" ca="1" si="11"/>
        <v>96</v>
      </c>
      <c r="AE3" s="236">
        <f t="shared" ca="1" si="12"/>
        <v>0.625</v>
      </c>
      <c r="AF3" s="341">
        <f t="shared" ca="1" si="13"/>
        <v>-39.375</v>
      </c>
      <c r="AG3" s="428">
        <f t="shared" ca="1" si="14"/>
        <v>2</v>
      </c>
      <c r="AH3" s="398"/>
    </row>
    <row r="4" spans="1:34" ht="15" customHeight="1">
      <c r="A4" s="244" t="s">
        <v>1367</v>
      </c>
      <c r="B4" s="107" t="s">
        <v>915</v>
      </c>
      <c r="C4" s="107">
        <v>11</v>
      </c>
      <c r="D4" s="108">
        <v>4</v>
      </c>
      <c r="E4" s="106">
        <v>9</v>
      </c>
      <c r="F4" s="235">
        <f t="shared" si="0"/>
        <v>24</v>
      </c>
      <c r="G4" s="235">
        <f>C5+D2+E3</f>
        <v>29</v>
      </c>
      <c r="H4" s="235">
        <f t="shared" si="1"/>
        <v>53</v>
      </c>
      <c r="I4" s="236">
        <f t="shared" si="2"/>
        <v>0.45283018867924529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Blythe Roberts &amp; Susan Murphy</v>
      </c>
      <c r="N4" s="421"/>
      <c r="O4" s="422"/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2</v>
      </c>
      <c r="W4" s="223">
        <f t="shared" si="16"/>
        <v>11</v>
      </c>
      <c r="X4" s="223">
        <f t="shared" si="7"/>
        <v>13</v>
      </c>
      <c r="Y4" s="329"/>
      <c r="Z4" s="329" t="s">
        <v>912</v>
      </c>
      <c r="AA4" s="329" t="str">
        <f t="shared" ca="1" si="8"/>
        <v>D1-1</v>
      </c>
      <c r="AB4" s="329">
        <f t="shared" ca="1" si="9"/>
        <v>50</v>
      </c>
      <c r="AC4" s="329">
        <f t="shared" ca="1" si="10"/>
        <v>23</v>
      </c>
      <c r="AD4" s="329">
        <f t="shared" ca="1" si="11"/>
        <v>73</v>
      </c>
      <c r="AE4" s="236">
        <f t="shared" ca="1" si="12"/>
        <v>0.68493150684931503</v>
      </c>
      <c r="AF4" s="333">
        <f t="shared" ca="1" si="13"/>
        <v>-49.315068493150683</v>
      </c>
      <c r="AG4" s="428">
        <f t="shared" ca="1" si="14"/>
        <v>3</v>
      </c>
      <c r="AH4" s="398"/>
    </row>
    <row r="5" spans="1:34" ht="15" customHeight="1">
      <c r="A5" s="239" t="s">
        <v>1367</v>
      </c>
      <c r="B5" s="109" t="s">
        <v>918</v>
      </c>
      <c r="C5" s="109">
        <v>7</v>
      </c>
      <c r="D5" s="110">
        <v>10</v>
      </c>
      <c r="E5" s="111">
        <v>3</v>
      </c>
      <c r="F5" s="252">
        <f t="shared" si="0"/>
        <v>20</v>
      </c>
      <c r="G5" s="252">
        <f>C4+D3+E2</f>
        <v>33</v>
      </c>
      <c r="H5" s="252">
        <f t="shared" si="1"/>
        <v>53</v>
      </c>
      <c r="I5" s="253">
        <f t="shared" si="2"/>
        <v>0.37735849056603776</v>
      </c>
      <c r="J5" s="429">
        <f t="shared" ca="1" si="3"/>
        <v>4</v>
      </c>
      <c r="K5" s="430" t="str">
        <f t="shared" ca="1" si="4"/>
        <v>D1-4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931</v>
      </c>
      <c r="AA5" s="337" t="str">
        <f t="shared" ca="1" si="8"/>
        <v>D3-1</v>
      </c>
      <c r="AB5" s="337">
        <f t="shared" ca="1" si="9"/>
        <v>40</v>
      </c>
      <c r="AC5" s="337">
        <f t="shared" ca="1" si="10"/>
        <v>33</v>
      </c>
      <c r="AD5" s="337">
        <f t="shared" ca="1" si="11"/>
        <v>73</v>
      </c>
      <c r="AE5" s="253">
        <f t="shared" ca="1" si="12"/>
        <v>0.54794520547945202</v>
      </c>
      <c r="AF5" s="399">
        <f t="shared" ca="1" si="13"/>
        <v>-59.452054794520549</v>
      </c>
      <c r="AG5" s="431">
        <f t="shared" ca="1" si="14"/>
        <v>4</v>
      </c>
      <c r="AH5" s="398"/>
    </row>
    <row r="6" spans="1:34" ht="15" customHeight="1">
      <c r="A6" s="217" t="s">
        <v>1368</v>
      </c>
      <c r="B6" s="107" t="s">
        <v>920</v>
      </c>
      <c r="C6" s="148">
        <v>7</v>
      </c>
      <c r="D6" s="165">
        <v>6</v>
      </c>
      <c r="E6" s="165">
        <v>1</v>
      </c>
      <c r="F6" s="213">
        <f t="shared" si="0"/>
        <v>14</v>
      </c>
      <c r="G6" s="213">
        <f>C7+D8+E9</f>
        <v>33</v>
      </c>
      <c r="H6" s="213">
        <f t="shared" si="1"/>
        <v>47</v>
      </c>
      <c r="I6" s="214">
        <f t="shared" si="2"/>
        <v>0.2978723404255319</v>
      </c>
      <c r="J6" s="424">
        <f ca="1">IFERROR(RANK(F6,OFFSET($F$6,0,0,COUNTA($F$6:$F$9),1)),)</f>
        <v>4</v>
      </c>
      <c r="K6" s="419" t="str">
        <f t="shared" ca="1" si="4"/>
        <v>D2-4</v>
      </c>
      <c r="L6" s="499" t="s">
        <v>225</v>
      </c>
      <c r="M6" s="218" t="str">
        <f t="shared" ca="1" si="5"/>
        <v>Paige Salveter &amp; stephanie patterson</v>
      </c>
      <c r="N6" s="421"/>
      <c r="O6" s="422"/>
      <c r="P6" s="220">
        <v>11</v>
      </c>
      <c r="Q6" s="221">
        <v>1</v>
      </c>
      <c r="R6" s="244">
        <v>11</v>
      </c>
      <c r="S6" s="245">
        <v>6</v>
      </c>
      <c r="T6" s="246">
        <v>12</v>
      </c>
      <c r="U6" s="243">
        <v>5</v>
      </c>
      <c r="V6" s="223">
        <f t="shared" ref="V6:W6" si="18">(N6+P6+R6+T6)</f>
        <v>34</v>
      </c>
      <c r="W6" s="223">
        <f t="shared" si="18"/>
        <v>12</v>
      </c>
      <c r="X6" s="223">
        <f t="shared" si="7"/>
        <v>46</v>
      </c>
      <c r="Y6" s="340"/>
      <c r="Z6" s="340" t="s">
        <v>925</v>
      </c>
      <c r="AA6" s="340" t="str">
        <f t="shared" ca="1" si="8"/>
        <v>D2-2</v>
      </c>
      <c r="AB6" s="340">
        <f t="shared" ca="1" si="9"/>
        <v>40</v>
      </c>
      <c r="AC6" s="340">
        <f t="shared" ca="1" si="10"/>
        <v>44</v>
      </c>
      <c r="AD6" s="340">
        <f t="shared" ca="1" si="11"/>
        <v>84</v>
      </c>
      <c r="AE6" s="214">
        <f t="shared" ca="1" si="12"/>
        <v>0.47619047619047616</v>
      </c>
      <c r="AF6" s="341">
        <f t="shared" ca="1" si="13"/>
        <v>-59.523809523809526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923</v>
      </c>
      <c r="C7" s="105">
        <v>11</v>
      </c>
      <c r="D7" s="106">
        <v>3</v>
      </c>
      <c r="E7" s="106">
        <v>9</v>
      </c>
      <c r="F7" s="235">
        <f t="shared" si="0"/>
        <v>23</v>
      </c>
      <c r="G7" s="235">
        <f>C6+D9+E8</f>
        <v>29</v>
      </c>
      <c r="H7" s="235">
        <f t="shared" si="1"/>
        <v>52</v>
      </c>
      <c r="I7" s="236">
        <f t="shared" si="2"/>
        <v>0.44230769230769229</v>
      </c>
      <c r="J7" s="433">
        <v>3</v>
      </c>
      <c r="K7" s="425" t="str">
        <f t="shared" si="4"/>
        <v>D2-3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19">(N7+P7+R7+T7)</f>
        <v>0</v>
      </c>
      <c r="W7" s="223">
        <f t="shared" si="19"/>
        <v>0</v>
      </c>
      <c r="X7" s="223">
        <f t="shared" si="7"/>
        <v>0</v>
      </c>
      <c r="Y7" s="329"/>
      <c r="Z7" s="329" t="s">
        <v>926</v>
      </c>
      <c r="AA7" s="329" t="str">
        <f t="shared" ca="1" si="8"/>
        <v>D3-2</v>
      </c>
      <c r="AB7" s="329">
        <f t="shared" ca="1" si="9"/>
        <v>32</v>
      </c>
      <c r="AC7" s="329">
        <f t="shared" ca="1" si="10"/>
        <v>24</v>
      </c>
      <c r="AD7" s="329">
        <f t="shared" ca="1" si="11"/>
        <v>56</v>
      </c>
      <c r="AE7" s="236">
        <f t="shared" ca="1" si="12"/>
        <v>0.5714285714285714</v>
      </c>
      <c r="AF7" s="333">
        <f t="shared" ca="1" si="13"/>
        <v>-67.428571428571431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925</v>
      </c>
      <c r="C8" s="107">
        <v>1</v>
      </c>
      <c r="D8" s="108">
        <v>11</v>
      </c>
      <c r="E8" s="106">
        <v>11</v>
      </c>
      <c r="F8" s="235">
        <f t="shared" si="0"/>
        <v>23</v>
      </c>
      <c r="G8" s="235">
        <f>C9+D6+E7</f>
        <v>26</v>
      </c>
      <c r="H8" s="235">
        <f t="shared" si="1"/>
        <v>49</v>
      </c>
      <c r="I8" s="236">
        <f t="shared" si="2"/>
        <v>0.46938775510204084</v>
      </c>
      <c r="J8" s="424">
        <f t="shared" ref="J8:J9" ca="1" si="20">IFERROR(RANK(F8,OFFSET($F$6,0,0,COUNTA($F$6:$F$9),1)),)</f>
        <v>2</v>
      </c>
      <c r="K8" s="425" t="str">
        <f t="shared" ca="1" si="4"/>
        <v>D2-2</v>
      </c>
      <c r="L8" s="499" t="s">
        <v>253</v>
      </c>
      <c r="M8" s="218" t="str">
        <f t="shared" ca="1" si="5"/>
        <v>JoAnn Figueroa &amp; stephanie brittain</v>
      </c>
      <c r="N8" s="421"/>
      <c r="O8" s="422"/>
      <c r="P8" s="242">
        <v>1</v>
      </c>
      <c r="Q8" s="243">
        <v>11</v>
      </c>
      <c r="R8" s="244"/>
      <c r="S8" s="245"/>
      <c r="T8" s="246"/>
      <c r="U8" s="243"/>
      <c r="V8" s="223">
        <f t="shared" ref="V8:W8" si="21">(N8+P8+R8+T8)</f>
        <v>1</v>
      </c>
      <c r="W8" s="223">
        <f t="shared" si="21"/>
        <v>11</v>
      </c>
      <c r="X8" s="223">
        <f t="shared" si="7"/>
        <v>12</v>
      </c>
      <c r="Y8" s="329"/>
      <c r="Z8" s="329" t="s">
        <v>913</v>
      </c>
      <c r="AA8" s="329" t="str">
        <f t="shared" ca="1" si="8"/>
        <v>D1-2</v>
      </c>
      <c r="AB8" s="329">
        <f t="shared" ca="1" si="9"/>
        <v>31</v>
      </c>
      <c r="AC8" s="329">
        <f t="shared" ca="1" si="10"/>
        <v>41</v>
      </c>
      <c r="AD8" s="329">
        <f t="shared" ca="1" si="11"/>
        <v>72</v>
      </c>
      <c r="AE8" s="236">
        <f t="shared" ca="1" si="12"/>
        <v>0.43055555555555558</v>
      </c>
      <c r="AF8" s="341">
        <f t="shared" ca="1" si="13"/>
        <v>-68.569444444444443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921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5</v>
      </c>
      <c r="H9" s="252">
        <f t="shared" si="1"/>
        <v>38</v>
      </c>
      <c r="I9" s="253">
        <f t="shared" si="2"/>
        <v>0.86842105263157898</v>
      </c>
      <c r="J9" s="429">
        <f t="shared" ca="1" si="20"/>
        <v>1</v>
      </c>
      <c r="K9" s="430" t="str">
        <f t="shared" ca="1" si="4"/>
        <v>D2-1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916</v>
      </c>
      <c r="AA9" s="337" t="str">
        <f t="shared" ca="1" si="8"/>
        <v>D4-2</v>
      </c>
      <c r="AB9" s="337">
        <f t="shared" ca="1" si="9"/>
        <v>30</v>
      </c>
      <c r="AC9" s="337">
        <f t="shared" ca="1" si="10"/>
        <v>42</v>
      </c>
      <c r="AD9" s="337">
        <f t="shared" ca="1" si="11"/>
        <v>72</v>
      </c>
      <c r="AE9" s="253">
        <f t="shared" ca="1" si="12"/>
        <v>0.41666666666666669</v>
      </c>
      <c r="AF9" s="399">
        <f t="shared" ca="1" si="13"/>
        <v>-69.583333333333329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1370</v>
      </c>
      <c r="C10" s="148">
        <v>9</v>
      </c>
      <c r="D10" s="165">
        <v>1</v>
      </c>
      <c r="E10" s="165">
        <v>3</v>
      </c>
      <c r="F10" s="213">
        <f t="shared" si="0"/>
        <v>13</v>
      </c>
      <c r="G10" s="213">
        <f>C11+D12+E13</f>
        <v>33</v>
      </c>
      <c r="H10" s="213">
        <f t="shared" si="1"/>
        <v>46</v>
      </c>
      <c r="I10" s="214">
        <f t="shared" si="2"/>
        <v>0.28260869565217389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499" t="s">
        <v>243</v>
      </c>
      <c r="M10" s="218" t="str">
        <f t="shared" ca="1" si="5"/>
        <v>Cynthia Machael &amp; Candace Asbell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945</v>
      </c>
      <c r="AA10" s="329" t="str">
        <f t="shared" ca="1" si="8"/>
        <v>D4-3</v>
      </c>
      <c r="AB10" s="329">
        <f t="shared" ca="1" si="9"/>
        <v>25</v>
      </c>
      <c r="AC10" s="329">
        <f t="shared" ca="1" si="10"/>
        <v>30</v>
      </c>
      <c r="AD10" s="329">
        <f t="shared" ca="1" si="11"/>
        <v>55</v>
      </c>
      <c r="AE10" s="236">
        <f t="shared" ca="1" si="12"/>
        <v>0.45454545454545453</v>
      </c>
      <c r="AF10" s="341">
        <f t="shared" ca="1" si="13"/>
        <v>-74.545454545454547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934</v>
      </c>
      <c r="C11" s="105">
        <v>11</v>
      </c>
      <c r="D11" s="106">
        <v>10</v>
      </c>
      <c r="E11" s="106">
        <v>1</v>
      </c>
      <c r="F11" s="235">
        <f t="shared" si="0"/>
        <v>22</v>
      </c>
      <c r="G11" s="235">
        <f>C10+D13+E12</f>
        <v>31</v>
      </c>
      <c r="H11" s="235">
        <f t="shared" si="1"/>
        <v>53</v>
      </c>
      <c r="I11" s="236">
        <f t="shared" si="2"/>
        <v>0.41509433962264153</v>
      </c>
      <c r="J11" s="424">
        <f t="shared" ca="1" si="23"/>
        <v>3</v>
      </c>
      <c r="K11" s="425" t="str">
        <f t="shared" ca="1" si="4"/>
        <v>D3-3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915</v>
      </c>
      <c r="AA11" s="329" t="str">
        <f t="shared" ca="1" si="8"/>
        <v>D1-3</v>
      </c>
      <c r="AB11" s="329">
        <f t="shared" ca="1" si="9"/>
        <v>24</v>
      </c>
      <c r="AC11" s="329">
        <f t="shared" ca="1" si="10"/>
        <v>29</v>
      </c>
      <c r="AD11" s="329">
        <f t="shared" ca="1" si="11"/>
        <v>53</v>
      </c>
      <c r="AE11" s="236">
        <f t="shared" ca="1" si="12"/>
        <v>0.45283018867924529</v>
      </c>
      <c r="AF11" s="341">
        <f t="shared" ca="1" si="13"/>
        <v>-75.547169811320757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926</v>
      </c>
      <c r="C12" s="107">
        <v>9</v>
      </c>
      <c r="D12" s="108">
        <v>11</v>
      </c>
      <c r="E12" s="106">
        <v>11</v>
      </c>
      <c r="F12" s="235">
        <f t="shared" si="0"/>
        <v>31</v>
      </c>
      <c r="G12" s="235">
        <f>C13+D10+E11</f>
        <v>13</v>
      </c>
      <c r="H12" s="235">
        <f t="shared" si="1"/>
        <v>44</v>
      </c>
      <c r="I12" s="236">
        <f t="shared" si="2"/>
        <v>0.70454545454545459</v>
      </c>
      <c r="J12" s="424">
        <f t="shared" ca="1" si="23"/>
        <v>2</v>
      </c>
      <c r="K12" s="425" t="str">
        <f t="shared" ca="1" si="4"/>
        <v>D3-2</v>
      </c>
      <c r="L12" s="499" t="s">
        <v>230</v>
      </c>
      <c r="M12" s="218" t="str">
        <f t="shared" ca="1" si="5"/>
        <v>Nancy Wedel &amp; Alice Edwards</v>
      </c>
      <c r="N12" s="421"/>
      <c r="O12" s="422"/>
      <c r="P12" s="242">
        <v>11</v>
      </c>
      <c r="Q12" s="243">
        <v>7</v>
      </c>
      <c r="R12" s="244">
        <v>6</v>
      </c>
      <c r="S12" s="245">
        <v>11</v>
      </c>
      <c r="T12" s="246"/>
      <c r="U12" s="243"/>
      <c r="V12" s="223">
        <f t="shared" ref="V12:W12" si="26">(N12+P12+R12+T12)</f>
        <v>17</v>
      </c>
      <c r="W12" s="223">
        <f t="shared" si="26"/>
        <v>18</v>
      </c>
      <c r="X12" s="223">
        <f t="shared" si="7"/>
        <v>35</v>
      </c>
      <c r="Y12" s="329"/>
      <c r="Z12" s="329" t="s">
        <v>923</v>
      </c>
      <c r="AA12" s="329" t="str">
        <f t="shared" si="8"/>
        <v>D2-3</v>
      </c>
      <c r="AB12" s="329">
        <f t="shared" ca="1" si="9"/>
        <v>23</v>
      </c>
      <c r="AC12" s="329">
        <f t="shared" ca="1" si="10"/>
        <v>29</v>
      </c>
      <c r="AD12" s="329">
        <f t="shared" ca="1" si="11"/>
        <v>52</v>
      </c>
      <c r="AE12" s="236">
        <f t="shared" ca="1" si="12"/>
        <v>0.44230769230769229</v>
      </c>
      <c r="AF12" s="343">
        <f t="shared" ca="1" si="13"/>
        <v>-76.557692307692307</v>
      </c>
      <c r="AG12" s="435">
        <f t="shared" ca="1" si="14"/>
        <v>11</v>
      </c>
      <c r="AH12" s="398"/>
    </row>
    <row r="13" spans="1:34" ht="15" customHeight="1">
      <c r="A13" s="239" t="s">
        <v>1369</v>
      </c>
      <c r="B13" s="109" t="s">
        <v>931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22</v>
      </c>
      <c r="H13" s="252">
        <f t="shared" si="1"/>
        <v>55</v>
      </c>
      <c r="I13" s="253">
        <f t="shared" si="2"/>
        <v>0.6</v>
      </c>
      <c r="J13" s="429">
        <f t="shared" ca="1" si="23"/>
        <v>1</v>
      </c>
      <c r="K13" s="430" t="str">
        <f t="shared" ca="1" si="4"/>
        <v>D3-1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934</v>
      </c>
      <c r="AA13" s="337" t="str">
        <f t="shared" ca="1" si="8"/>
        <v>D3-3</v>
      </c>
      <c r="AB13" s="337">
        <f t="shared" ca="1" si="9"/>
        <v>22</v>
      </c>
      <c r="AC13" s="337">
        <f t="shared" ca="1" si="10"/>
        <v>31</v>
      </c>
      <c r="AD13" s="337">
        <f t="shared" ca="1" si="11"/>
        <v>53</v>
      </c>
      <c r="AE13" s="253">
        <f t="shared" ca="1" si="12"/>
        <v>0.41509433962264153</v>
      </c>
      <c r="AF13" s="345">
        <f t="shared" ca="1" si="13"/>
        <v>-77.584905660377359</v>
      </c>
      <c r="AG13" s="436">
        <f t="shared" ca="1" si="14"/>
        <v>12</v>
      </c>
      <c r="AH13" s="398"/>
    </row>
    <row r="14" spans="1:34" ht="15" customHeight="1">
      <c r="A14" s="217" t="s">
        <v>1371</v>
      </c>
      <c r="B14" s="107" t="s">
        <v>117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213">
        <f>C15+D16+E17</f>
        <v>12</v>
      </c>
      <c r="H14" s="213">
        <f t="shared" si="1"/>
        <v>45</v>
      </c>
      <c r="I14" s="214">
        <f t="shared" si="2"/>
        <v>0.73333333333333328</v>
      </c>
      <c r="J14" s="424">
        <f t="shared" ref="J14:J17" ca="1" si="28">IFERROR(RANK(F14,OFFSET($F$14,0,0,COUNTA($F$14:$F$17),1)),)</f>
        <v>1</v>
      </c>
      <c r="K14" s="419" t="str">
        <f t="shared" ca="1" si="4"/>
        <v>D4-1</v>
      </c>
      <c r="L14" s="499" t="s">
        <v>263</v>
      </c>
      <c r="M14" s="218" t="str">
        <f t="shared" ca="1" si="5"/>
        <v>Angie Eason &amp; Stephanie Campbell</v>
      </c>
      <c r="N14" s="421"/>
      <c r="O14" s="422"/>
      <c r="P14" s="220">
        <v>11</v>
      </c>
      <c r="Q14" s="221">
        <v>6</v>
      </c>
      <c r="R14" s="244">
        <v>11</v>
      </c>
      <c r="S14" s="245">
        <v>6</v>
      </c>
      <c r="T14" s="246">
        <v>5</v>
      </c>
      <c r="U14" s="243">
        <v>12</v>
      </c>
      <c r="V14" s="223">
        <f t="shared" ref="V14:W14" si="29">(N14+P14+R14+T14)</f>
        <v>27</v>
      </c>
      <c r="W14" s="223">
        <f t="shared" si="29"/>
        <v>24</v>
      </c>
      <c r="X14" s="223">
        <f t="shared" si="7"/>
        <v>51</v>
      </c>
      <c r="Y14" s="329"/>
      <c r="Z14" s="329" t="s">
        <v>918</v>
      </c>
      <c r="AA14" s="329" t="str">
        <f t="shared" ca="1" si="8"/>
        <v>D1-4</v>
      </c>
      <c r="AB14" s="329">
        <f t="shared" ca="1" si="9"/>
        <v>20</v>
      </c>
      <c r="AC14" s="329">
        <f t="shared" ca="1" si="10"/>
        <v>33</v>
      </c>
      <c r="AD14" s="329">
        <f t="shared" ca="1" si="11"/>
        <v>53</v>
      </c>
      <c r="AE14" s="236">
        <f t="shared" ca="1" si="12"/>
        <v>0.37735849056603776</v>
      </c>
      <c r="AF14" s="343">
        <f t="shared" ca="1" si="13"/>
        <v>-79.622641509433961</v>
      </c>
      <c r="AG14" s="435">
        <f t="shared" ca="1" si="14"/>
        <v>13</v>
      </c>
      <c r="AH14" s="398"/>
    </row>
    <row r="15" spans="1:34" ht="15" customHeight="1">
      <c r="A15" s="244" t="s">
        <v>1371</v>
      </c>
      <c r="B15" s="107" t="s">
        <v>916</v>
      </c>
      <c r="C15" s="105">
        <v>6</v>
      </c>
      <c r="D15" s="106">
        <v>11</v>
      </c>
      <c r="E15" s="106">
        <v>11</v>
      </c>
      <c r="F15" s="235">
        <f t="shared" si="0"/>
        <v>28</v>
      </c>
      <c r="G15" s="235">
        <f>C14+D17+E16</f>
        <v>31</v>
      </c>
      <c r="H15" s="235">
        <f t="shared" si="1"/>
        <v>59</v>
      </c>
      <c r="I15" s="236">
        <f t="shared" si="2"/>
        <v>0.47457627118644069</v>
      </c>
      <c r="J15" s="424">
        <f t="shared" ca="1" si="28"/>
        <v>2</v>
      </c>
      <c r="K15" s="425" t="str">
        <f t="shared" ca="1" si="4"/>
        <v>D4-2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942</v>
      </c>
      <c r="AA15" s="329" t="str">
        <f t="shared" ca="1" si="8"/>
        <v>D4-4</v>
      </c>
      <c r="AB15" s="329">
        <f t="shared" ca="1" si="9"/>
        <v>20</v>
      </c>
      <c r="AC15" s="329">
        <f t="shared" ca="1" si="10"/>
        <v>33</v>
      </c>
      <c r="AD15" s="329">
        <f t="shared" ca="1" si="11"/>
        <v>53</v>
      </c>
      <c r="AE15" s="236">
        <f t="shared" ca="1" si="12"/>
        <v>0.37735849056603776</v>
      </c>
      <c r="AF15" s="341">
        <f t="shared" ca="1" si="13"/>
        <v>-79.622641509433961</v>
      </c>
      <c r="AG15" s="432">
        <f t="shared" ca="1" si="14"/>
        <v>13</v>
      </c>
      <c r="AH15" s="398"/>
    </row>
    <row r="16" spans="1:34" ht="15" customHeight="1">
      <c r="A16" s="244" t="s">
        <v>1371</v>
      </c>
      <c r="B16" s="107" t="s">
        <v>942</v>
      </c>
      <c r="C16" s="107">
        <v>8</v>
      </c>
      <c r="D16" s="108">
        <v>2</v>
      </c>
      <c r="E16" s="106">
        <v>10</v>
      </c>
      <c r="F16" s="235">
        <f t="shared" si="0"/>
        <v>20</v>
      </c>
      <c r="G16" s="235">
        <f>C17+D14+E15</f>
        <v>33</v>
      </c>
      <c r="H16" s="235">
        <f t="shared" si="1"/>
        <v>53</v>
      </c>
      <c r="I16" s="236">
        <f t="shared" si="2"/>
        <v>0.37735849056603776</v>
      </c>
      <c r="J16" s="424">
        <f t="shared" ca="1" si="28"/>
        <v>4</v>
      </c>
      <c r="K16" s="425" t="str">
        <f t="shared" ca="1" si="4"/>
        <v>D4-4</v>
      </c>
      <c r="L16" s="499" t="s">
        <v>218</v>
      </c>
      <c r="M16" s="437" t="str">
        <f t="shared" ca="1" si="5"/>
        <v>Susan Mitts &amp; Shelly Olufson</v>
      </c>
      <c r="N16" s="421"/>
      <c r="O16" s="422"/>
      <c r="P16" s="242">
        <v>6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6</v>
      </c>
      <c r="W16" s="223">
        <f t="shared" si="31"/>
        <v>11</v>
      </c>
      <c r="X16" s="223">
        <f t="shared" si="7"/>
        <v>17</v>
      </c>
      <c r="Y16" s="329"/>
      <c r="Z16" s="329" t="s">
        <v>920</v>
      </c>
      <c r="AA16" s="329" t="str">
        <f t="shared" ca="1" si="8"/>
        <v>D2-4</v>
      </c>
      <c r="AB16" s="329">
        <f t="shared" ca="1" si="9"/>
        <v>14</v>
      </c>
      <c r="AC16" s="329">
        <f t="shared" ca="1" si="10"/>
        <v>33</v>
      </c>
      <c r="AD16" s="329">
        <f t="shared" ca="1" si="11"/>
        <v>47</v>
      </c>
      <c r="AE16" s="236">
        <f t="shared" ca="1" si="12"/>
        <v>0.2978723404255319</v>
      </c>
      <c r="AF16" s="341">
        <f t="shared" ca="1" si="13"/>
        <v>-85.702127659574472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945</v>
      </c>
      <c r="C17" s="109">
        <v>11</v>
      </c>
      <c r="D17" s="110">
        <v>10</v>
      </c>
      <c r="E17" s="111">
        <v>4</v>
      </c>
      <c r="F17" s="252">
        <f t="shared" si="0"/>
        <v>25</v>
      </c>
      <c r="G17" s="252">
        <f>C16+D15+E14</f>
        <v>30</v>
      </c>
      <c r="H17" s="252">
        <f t="shared" si="1"/>
        <v>55</v>
      </c>
      <c r="I17" s="253">
        <f t="shared" si="2"/>
        <v>0.45454545454545453</v>
      </c>
      <c r="J17" s="429">
        <f t="shared" ca="1" si="28"/>
        <v>3</v>
      </c>
      <c r="K17" s="430" t="str">
        <f t="shared" ca="1" si="4"/>
        <v>D4-3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1370</v>
      </c>
      <c r="AA17" s="337" t="str">
        <f t="shared" ca="1" si="8"/>
        <v>D3-4</v>
      </c>
      <c r="AB17" s="337">
        <f t="shared" ca="1" si="9"/>
        <v>13</v>
      </c>
      <c r="AC17" s="337">
        <f t="shared" ca="1" si="10"/>
        <v>33</v>
      </c>
      <c r="AD17" s="337">
        <f t="shared" ca="1" si="11"/>
        <v>46</v>
      </c>
      <c r="AE17" s="253">
        <f t="shared" ca="1" si="12"/>
        <v>0.28260869565217389</v>
      </c>
      <c r="AF17" s="338">
        <f t="shared" ca="1" si="13"/>
        <v>-86.717391304347828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290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287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138</v>
      </c>
      <c r="D19" s="289">
        <f t="shared" si="33"/>
        <v>134</v>
      </c>
      <c r="E19" s="289">
        <f>SUM(E2:E18)</f>
        <v>128</v>
      </c>
      <c r="F19" s="287">
        <f t="shared" ref="F19:G19" si="34">SUM(F2:F17)</f>
        <v>400</v>
      </c>
      <c r="G19" s="290">
        <f t="shared" si="34"/>
        <v>400</v>
      </c>
      <c r="H19" s="292">
        <f>SUM(H2:H17)/2</f>
        <v>400</v>
      </c>
      <c r="I19" s="293" t="s">
        <v>1340</v>
      </c>
      <c r="J19" s="287"/>
      <c r="K19" s="443" t="s">
        <v>1339</v>
      </c>
      <c r="L19" s="287"/>
      <c r="M19" s="287"/>
      <c r="N19" s="294"/>
      <c r="O19" s="294"/>
      <c r="P19" s="287">
        <f t="shared" ref="P19:W19" si="35">SUM(P2:P17)</f>
        <v>60</v>
      </c>
      <c r="Q19" s="287">
        <f t="shared" si="35"/>
        <v>60</v>
      </c>
      <c r="R19" s="287">
        <f t="shared" si="35"/>
        <v>34</v>
      </c>
      <c r="S19" s="287">
        <f t="shared" si="35"/>
        <v>34</v>
      </c>
      <c r="T19" s="287">
        <f t="shared" si="35"/>
        <v>17</v>
      </c>
      <c r="U19" s="287">
        <f t="shared" si="35"/>
        <v>17</v>
      </c>
      <c r="V19" s="287">
        <f t="shared" si="35"/>
        <v>111</v>
      </c>
      <c r="W19" s="287">
        <f t="shared" si="35"/>
        <v>111</v>
      </c>
      <c r="X19" s="287">
        <f>SUM(X2:X17)/2</f>
        <v>111</v>
      </c>
      <c r="Y19" s="287"/>
      <c r="Z19" s="287"/>
      <c r="AA19" s="287"/>
      <c r="AB19" s="287">
        <f t="shared" ref="AB19:AD19" ca="1" si="36">SUM(AB2:AB17)/2</f>
        <v>255.5</v>
      </c>
      <c r="AC19" s="287">
        <f t="shared" ca="1" si="36"/>
        <v>255.5</v>
      </c>
      <c r="AD19" s="287">
        <f t="shared" ca="1" si="36"/>
        <v>511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0</v>
      </c>
      <c r="D20" s="326">
        <f t="shared" si="37"/>
        <v>3</v>
      </c>
      <c r="E20" s="326">
        <f t="shared" si="37"/>
        <v>1</v>
      </c>
      <c r="F20" s="296"/>
      <c r="G20" s="296"/>
      <c r="H20" s="297">
        <f>AVERAGE(H2:H17)</f>
        <v>50</v>
      </c>
      <c r="I20" s="293" t="s">
        <v>1341</v>
      </c>
      <c r="J20" s="287"/>
      <c r="K20" s="398"/>
      <c r="L20" s="287"/>
      <c r="M20" s="287"/>
      <c r="N20" s="294"/>
      <c r="O20" s="294"/>
      <c r="P20" s="287"/>
      <c r="Q20" s="444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87">
        <f ca="1">AVERAGE(AD2:AD17)</f>
        <v>63.875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94"/>
      <c r="O21" s="294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8" priority="4" operator="equal">
      <formula>33</formula>
    </cfRule>
  </conditionalFormatting>
  <conditionalFormatting sqref="M2:U17">
    <cfRule type="expression" dxfId="57" priority="1">
      <formula>$T2&gt;U2</formula>
    </cfRule>
  </conditionalFormatting>
  <conditionalFormatting sqref="P2:Q17">
    <cfRule type="expression" dxfId="56" priority="2">
      <formula>$P2=11</formula>
    </cfRule>
  </conditionalFormatting>
  <conditionalFormatting sqref="R2:S17">
    <cfRule type="expression" dxfId="55" priority="3">
      <formula>$R2=11</formula>
    </cfRule>
  </conditionalFormatting>
  <hyperlinks>
    <hyperlink ref="A1" location="Champions!A1" display="Home" xr:uid="{00000000-0004-0000-1300-000000000000}"/>
    <hyperlink ref="AH1" location="Champions!A1" display="Home" xr:uid="{00000000-0004-0000-1300-000001000000}"/>
    <hyperlink ref="A19" location="Champions!A1" display="Home" xr:uid="{00000000-0004-0000-1300-000002000000}"/>
    <hyperlink ref="K19" location="Champions!A1" display="Home" xr:uid="{00000000-0004-0000-1300-000003000000}"/>
  </hyperlinks>
  <pageMargins left="0.7" right="0.7" top="0.75" bottom="0.75" header="0" footer="0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7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7.54296875" customWidth="1"/>
    <col min="13" max="13" width="26.1796875" customWidth="1"/>
    <col min="14" max="21" width="6.26953125" customWidth="1"/>
    <col min="22" max="24" width="7.7265625" customWidth="1"/>
    <col min="25" max="25" width="6.81640625" customWidth="1"/>
    <col min="26" max="26" width="29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885</v>
      </c>
      <c r="C2" s="148">
        <v>9</v>
      </c>
      <c r="D2" s="165">
        <v>11</v>
      </c>
      <c r="E2" s="165">
        <v>11</v>
      </c>
      <c r="F2" s="213">
        <f t="shared" ref="F2:F17" si="0">SUM(C2:E2)</f>
        <v>31</v>
      </c>
      <c r="G2" s="213">
        <f>C3+D4+E5</f>
        <v>27</v>
      </c>
      <c r="H2" s="213">
        <f t="shared" ref="H2:H17" si="1">SUM(F2:G2)</f>
        <v>58</v>
      </c>
      <c r="I2" s="214">
        <f t="shared" ref="I2:I17" si="2">IFERROR(F2/H2,"")</f>
        <v>0.53448275862068961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499" t="s">
        <v>207</v>
      </c>
      <c r="M2" s="218" t="str">
        <f t="array" aca="1" ref="M2" ca="1">IFERROR(INDEX($A$2:$K$17,MATCH(L2,$K$2:$K$17,0),2),)</f>
        <v>Kelcei Glasgow &amp; Robert Madison</v>
      </c>
      <c r="N2" s="421"/>
      <c r="O2" s="422"/>
      <c r="P2" s="220">
        <v>11</v>
      </c>
      <c r="Q2" s="221">
        <v>7</v>
      </c>
      <c r="R2" s="217">
        <v>11</v>
      </c>
      <c r="S2" s="219">
        <v>10</v>
      </c>
      <c r="T2" s="222">
        <v>14</v>
      </c>
      <c r="U2" s="221">
        <v>16</v>
      </c>
      <c r="V2" s="223">
        <f t="shared" ref="V2:W2" si="5">(N2+P2+R2+T2)</f>
        <v>36</v>
      </c>
      <c r="W2" s="223">
        <f t="shared" si="5"/>
        <v>33</v>
      </c>
      <c r="X2" s="223">
        <f t="shared" ref="X2:X17" si="6">V2+W2</f>
        <v>69</v>
      </c>
      <c r="Y2" s="329"/>
      <c r="Z2" s="329" t="s">
        <v>906</v>
      </c>
      <c r="AA2" s="340" t="str">
        <f t="shared" ref="AA2:AA17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71</v>
      </c>
      <c r="AC2" s="329">
        <f t="shared" ref="AC2:AC17" ca="1" si="9">IFERROR((INDEX($A$2:$H$17,MATCH($Z2,$B$2:$B$17,0),7))+INDEX($M$2:$X$17,MATCH($Z2,$M$2:$M$17,0),11),INDEX($B$2:$G$17,MATCH($Z2,$B$2:$B$17,0),6))</f>
        <v>39</v>
      </c>
      <c r="AD2" s="329">
        <f t="shared" ref="AD2:AD17" ca="1" si="10">SUM(AB2:AC2)</f>
        <v>110</v>
      </c>
      <c r="AE2" s="236">
        <f t="shared" ref="AE2:AE17" ca="1" si="11">AB2/AD2</f>
        <v>0.6454545454545455</v>
      </c>
      <c r="AF2" s="330">
        <f t="shared" ref="AF2:AF17" ca="1" si="12">AE2-(100-AB2)</f>
        <v>-28.354545454545455</v>
      </c>
      <c r="AG2" s="423">
        <f t="shared" ref="AG2:AG17" ca="1" si="13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864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15</v>
      </c>
      <c r="H3" s="235">
        <f t="shared" si="1"/>
        <v>48</v>
      </c>
      <c r="I3" s="236">
        <f t="shared" si="2"/>
        <v>0.6875</v>
      </c>
      <c r="J3" s="424">
        <f t="shared" ca="1" si="3"/>
        <v>1</v>
      </c>
      <c r="K3" s="425" t="str">
        <f t="shared" ca="1" si="4"/>
        <v>D1-1</v>
      </c>
      <c r="L3" s="500"/>
      <c r="M3" s="240"/>
      <c r="N3" s="426"/>
      <c r="O3" s="427"/>
      <c r="P3" s="242"/>
      <c r="Q3" s="243"/>
      <c r="R3" s="244"/>
      <c r="S3" s="245"/>
      <c r="T3" s="246"/>
      <c r="U3" s="243"/>
      <c r="V3" s="223">
        <f t="shared" ref="V3:W3" si="14">(N3+P3+R3+T3)</f>
        <v>0</v>
      </c>
      <c r="W3" s="223">
        <f t="shared" si="14"/>
        <v>0</v>
      </c>
      <c r="X3" s="223">
        <f t="shared" si="6"/>
        <v>0</v>
      </c>
      <c r="Y3" s="329"/>
      <c r="Z3" s="329" t="s">
        <v>864</v>
      </c>
      <c r="AA3" s="329" t="str">
        <f t="shared" ca="1" si="7"/>
        <v>D1-1</v>
      </c>
      <c r="AB3" s="329">
        <f t="shared" ca="1" si="8"/>
        <v>69</v>
      </c>
      <c r="AC3" s="329">
        <f t="shared" ca="1" si="9"/>
        <v>48</v>
      </c>
      <c r="AD3" s="329">
        <f t="shared" ca="1" si="10"/>
        <v>117</v>
      </c>
      <c r="AE3" s="236">
        <f t="shared" ca="1" si="11"/>
        <v>0.58974358974358976</v>
      </c>
      <c r="AF3" s="341">
        <f t="shared" ca="1" si="12"/>
        <v>-30.410256410256409</v>
      </c>
      <c r="AG3" s="428">
        <f t="shared" ca="1" si="13"/>
        <v>2</v>
      </c>
      <c r="AH3" s="398"/>
    </row>
    <row r="4" spans="1:34" ht="15" customHeight="1">
      <c r="A4" s="244" t="s">
        <v>1367</v>
      </c>
      <c r="B4" s="107" t="s">
        <v>887</v>
      </c>
      <c r="C4" s="107">
        <v>11</v>
      </c>
      <c r="D4" s="108">
        <v>8</v>
      </c>
      <c r="E4" s="106">
        <v>2</v>
      </c>
      <c r="F4" s="235">
        <f t="shared" si="0"/>
        <v>21</v>
      </c>
      <c r="G4" s="235">
        <f>C5+D2+E3</f>
        <v>27</v>
      </c>
      <c r="H4" s="235">
        <f t="shared" si="1"/>
        <v>48</v>
      </c>
      <c r="I4" s="236">
        <f t="shared" si="2"/>
        <v>0.4375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array" aca="1" ref="M4" ca="1">IFERROR(INDEX($A$2:$K$17,MATCH(L4,$K$2:$K$17,0),2),)</f>
        <v>john stauffer &amp; Juergen Massey</v>
      </c>
      <c r="N4" s="421"/>
      <c r="O4" s="422"/>
      <c r="P4" s="242">
        <v>7</v>
      </c>
      <c r="Q4" s="243">
        <v>11</v>
      </c>
      <c r="R4" s="244"/>
      <c r="S4" s="245"/>
      <c r="T4" s="246"/>
      <c r="U4" s="243"/>
      <c r="V4" s="223">
        <f t="shared" ref="V4:W4" si="15">(N4+P4+R4+T4)</f>
        <v>7</v>
      </c>
      <c r="W4" s="223">
        <f t="shared" si="15"/>
        <v>11</v>
      </c>
      <c r="X4" s="223">
        <f t="shared" si="6"/>
        <v>18</v>
      </c>
      <c r="Y4" s="329"/>
      <c r="Z4" s="329" t="s">
        <v>893</v>
      </c>
      <c r="AA4" s="329" t="str">
        <f t="shared" ca="1" si="7"/>
        <v>D2-1</v>
      </c>
      <c r="AB4" s="329">
        <f t="shared" ca="1" si="8"/>
        <v>50</v>
      </c>
      <c r="AC4" s="329">
        <f t="shared" ca="1" si="9"/>
        <v>32</v>
      </c>
      <c r="AD4" s="329">
        <f t="shared" ca="1" si="10"/>
        <v>82</v>
      </c>
      <c r="AE4" s="236">
        <f t="shared" ca="1" si="11"/>
        <v>0.6097560975609756</v>
      </c>
      <c r="AF4" s="333">
        <f t="shared" ca="1" si="12"/>
        <v>-49.390243902439025</v>
      </c>
      <c r="AG4" s="432">
        <f t="shared" ca="1" si="13"/>
        <v>3</v>
      </c>
      <c r="AH4" s="398"/>
    </row>
    <row r="5" spans="1:34" ht="15" customHeight="1">
      <c r="A5" s="239" t="s">
        <v>1367</v>
      </c>
      <c r="B5" s="109" t="s">
        <v>890</v>
      </c>
      <c r="C5" s="109">
        <v>5</v>
      </c>
      <c r="D5" s="110">
        <v>4</v>
      </c>
      <c r="E5" s="111">
        <v>8</v>
      </c>
      <c r="F5" s="252">
        <f t="shared" si="0"/>
        <v>17</v>
      </c>
      <c r="G5" s="252">
        <f>C4+D3+E2</f>
        <v>33</v>
      </c>
      <c r="H5" s="252">
        <f t="shared" si="1"/>
        <v>50</v>
      </c>
      <c r="I5" s="253">
        <f t="shared" si="2"/>
        <v>0.34</v>
      </c>
      <c r="J5" s="429">
        <f t="shared" ca="1" si="3"/>
        <v>4</v>
      </c>
      <c r="K5" s="430" t="str">
        <f t="shared" ca="1" si="4"/>
        <v>D1-4</v>
      </c>
      <c r="L5" s="500"/>
      <c r="M5" s="240"/>
      <c r="N5" s="426"/>
      <c r="O5" s="427"/>
      <c r="P5" s="256"/>
      <c r="Q5" s="257"/>
      <c r="R5" s="244"/>
      <c r="S5" s="245"/>
      <c r="T5" s="246"/>
      <c r="U5" s="243"/>
      <c r="V5" s="223">
        <f t="shared" ref="V5:W5" si="16">(N5+P5+R5+T5)</f>
        <v>0</v>
      </c>
      <c r="W5" s="223">
        <f t="shared" si="16"/>
        <v>0</v>
      </c>
      <c r="X5" s="223">
        <f t="shared" si="6"/>
        <v>0</v>
      </c>
      <c r="Y5" s="337"/>
      <c r="Z5" s="337" t="s">
        <v>898</v>
      </c>
      <c r="AA5" s="337" t="str">
        <f t="shared" ca="1" si="7"/>
        <v>D2-2</v>
      </c>
      <c r="AB5" s="337">
        <f t="shared" ca="1" si="8"/>
        <v>43</v>
      </c>
      <c r="AC5" s="337">
        <f t="shared" ca="1" si="9"/>
        <v>37</v>
      </c>
      <c r="AD5" s="337">
        <f t="shared" ca="1" si="10"/>
        <v>80</v>
      </c>
      <c r="AE5" s="253">
        <f t="shared" ca="1" si="11"/>
        <v>0.53749999999999998</v>
      </c>
      <c r="AF5" s="338">
        <f t="shared" ca="1" si="12"/>
        <v>-56.462499999999999</v>
      </c>
      <c r="AG5" s="434">
        <f t="shared" ca="1" si="13"/>
        <v>4</v>
      </c>
      <c r="AH5" s="398"/>
    </row>
    <row r="6" spans="1:34" ht="15" customHeight="1">
      <c r="A6" s="217" t="s">
        <v>1368</v>
      </c>
      <c r="B6" s="107" t="s">
        <v>892</v>
      </c>
      <c r="C6" s="148">
        <v>11</v>
      </c>
      <c r="D6" s="165">
        <v>11</v>
      </c>
      <c r="E6" s="165">
        <v>5</v>
      </c>
      <c r="F6" s="213">
        <f t="shared" si="0"/>
        <v>27</v>
      </c>
      <c r="G6" s="213">
        <f>C7+D8+E9</f>
        <v>22</v>
      </c>
      <c r="H6" s="213">
        <f t="shared" si="1"/>
        <v>49</v>
      </c>
      <c r="I6" s="214">
        <f t="shared" si="2"/>
        <v>0.55102040816326525</v>
      </c>
      <c r="J6" s="424">
        <f t="shared" ref="J6:J9" ca="1" si="17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array" aca="1" ref="M6" ca="1">IFERROR(INDEX($A$2:$K$17,MATCH(L6,$K$2:$K$17,0),2),)</f>
        <v>Curtis Stoneman &amp; David Duntz</v>
      </c>
      <c r="N6" s="421"/>
      <c r="O6" s="422"/>
      <c r="P6" s="220">
        <v>11</v>
      </c>
      <c r="Q6" s="221">
        <v>3</v>
      </c>
      <c r="R6" s="244">
        <v>10</v>
      </c>
      <c r="S6" s="245">
        <v>11</v>
      </c>
      <c r="T6" s="246"/>
      <c r="U6" s="243"/>
      <c r="V6" s="223">
        <f t="shared" ref="V6:W6" si="18">(N6+P6+R6+T6)</f>
        <v>21</v>
      </c>
      <c r="W6" s="223">
        <f t="shared" si="18"/>
        <v>14</v>
      </c>
      <c r="X6" s="223">
        <f t="shared" si="6"/>
        <v>35</v>
      </c>
      <c r="Y6" s="340"/>
      <c r="Z6" s="340" t="s">
        <v>902</v>
      </c>
      <c r="AA6" s="340" t="str">
        <f t="shared" ca="1" si="7"/>
        <v>D3-1</v>
      </c>
      <c r="AB6" s="340">
        <f t="shared" ca="1" si="8"/>
        <v>40</v>
      </c>
      <c r="AC6" s="340">
        <f t="shared" ca="1" si="9"/>
        <v>31</v>
      </c>
      <c r="AD6" s="340">
        <f t="shared" ca="1" si="10"/>
        <v>71</v>
      </c>
      <c r="AE6" s="214">
        <f t="shared" ca="1" si="11"/>
        <v>0.56338028169014087</v>
      </c>
      <c r="AF6" s="341">
        <f t="shared" ca="1" si="12"/>
        <v>-59.436619718309856</v>
      </c>
      <c r="AG6" s="432">
        <f t="shared" ca="1" si="13"/>
        <v>5</v>
      </c>
      <c r="AH6" s="398"/>
    </row>
    <row r="7" spans="1:34" ht="15" customHeight="1">
      <c r="A7" s="244" t="s">
        <v>1368</v>
      </c>
      <c r="B7" s="107" t="s">
        <v>895</v>
      </c>
      <c r="C7" s="105">
        <v>5</v>
      </c>
      <c r="D7" s="106">
        <v>2</v>
      </c>
      <c r="E7" s="106">
        <v>1</v>
      </c>
      <c r="F7" s="235">
        <f t="shared" si="0"/>
        <v>8</v>
      </c>
      <c r="G7" s="235">
        <f>C6+D9+E8</f>
        <v>33</v>
      </c>
      <c r="H7" s="235">
        <f t="shared" si="1"/>
        <v>41</v>
      </c>
      <c r="I7" s="236">
        <f t="shared" si="2"/>
        <v>0.1951219512195122</v>
      </c>
      <c r="J7" s="424">
        <f t="shared" ca="1" si="17"/>
        <v>4</v>
      </c>
      <c r="K7" s="425" t="str">
        <f t="shared" ca="1" si="4"/>
        <v>D2-4</v>
      </c>
      <c r="L7" s="500"/>
      <c r="M7" s="240"/>
      <c r="N7" s="426"/>
      <c r="O7" s="427"/>
      <c r="P7" s="242"/>
      <c r="Q7" s="243"/>
      <c r="R7" s="244"/>
      <c r="S7" s="245"/>
      <c r="T7" s="246"/>
      <c r="U7" s="243"/>
      <c r="V7" s="223">
        <f t="shared" ref="V7:W7" si="19">(N7+P7+R7+T7)</f>
        <v>0</v>
      </c>
      <c r="W7" s="223">
        <f t="shared" si="19"/>
        <v>0</v>
      </c>
      <c r="X7" s="223">
        <f t="shared" si="6"/>
        <v>0</v>
      </c>
      <c r="Y7" s="329"/>
      <c r="Z7" s="329" t="s">
        <v>885</v>
      </c>
      <c r="AA7" s="329" t="str">
        <f t="shared" ca="1" si="7"/>
        <v>D1-2</v>
      </c>
      <c r="AB7" s="329">
        <f t="shared" ca="1" si="8"/>
        <v>39</v>
      </c>
      <c r="AC7" s="329">
        <f t="shared" ca="1" si="9"/>
        <v>38</v>
      </c>
      <c r="AD7" s="329">
        <f t="shared" ca="1" si="10"/>
        <v>77</v>
      </c>
      <c r="AE7" s="236">
        <f t="shared" ca="1" si="11"/>
        <v>0.50649350649350644</v>
      </c>
      <c r="AF7" s="341">
        <f t="shared" ca="1" si="12"/>
        <v>-60.493506493506494</v>
      </c>
      <c r="AG7" s="432">
        <f t="shared" ca="1" si="13"/>
        <v>6</v>
      </c>
      <c r="AH7" s="398"/>
    </row>
    <row r="8" spans="1:34" ht="15" customHeight="1">
      <c r="A8" s="244" t="s">
        <v>1368</v>
      </c>
      <c r="B8" s="107" t="s">
        <v>898</v>
      </c>
      <c r="C8" s="107">
        <v>11</v>
      </c>
      <c r="D8" s="108">
        <v>6</v>
      </c>
      <c r="E8" s="106">
        <v>11</v>
      </c>
      <c r="F8" s="235">
        <f t="shared" si="0"/>
        <v>28</v>
      </c>
      <c r="G8" s="235">
        <f>C9+D6+E7</f>
        <v>19</v>
      </c>
      <c r="H8" s="235">
        <f t="shared" si="1"/>
        <v>47</v>
      </c>
      <c r="I8" s="236">
        <f t="shared" si="2"/>
        <v>0.5957446808510638</v>
      </c>
      <c r="J8" s="424">
        <f t="shared" ca="1" si="17"/>
        <v>2</v>
      </c>
      <c r="K8" s="425" t="str">
        <f t="shared" ca="1" si="4"/>
        <v>D2-2</v>
      </c>
      <c r="L8" s="499" t="s">
        <v>253</v>
      </c>
      <c r="M8" s="218" t="str">
        <f t="array" aca="1" ref="M8" ca="1">IFERROR(INDEX($A$2:$K$17,MATCH(L8,$K$2:$K$17,0),2),)</f>
        <v>Eric Kwete &amp; Matt Ward</v>
      </c>
      <c r="N8" s="421"/>
      <c r="O8" s="422"/>
      <c r="P8" s="242">
        <v>3</v>
      </c>
      <c r="Q8" s="243">
        <v>11</v>
      </c>
      <c r="R8" s="244"/>
      <c r="S8" s="245"/>
      <c r="T8" s="246"/>
      <c r="U8" s="243"/>
      <c r="V8" s="223">
        <f t="shared" ref="V8:W8" si="20">(N8+P8+R8+T8)</f>
        <v>3</v>
      </c>
      <c r="W8" s="223">
        <f t="shared" si="20"/>
        <v>11</v>
      </c>
      <c r="X8" s="223">
        <f t="shared" si="6"/>
        <v>14</v>
      </c>
      <c r="Y8" s="329"/>
      <c r="Z8" s="329" t="s">
        <v>888</v>
      </c>
      <c r="AA8" s="329" t="str">
        <f t="shared" ca="1" si="7"/>
        <v>D4-2</v>
      </c>
      <c r="AB8" s="329">
        <f t="shared" ca="1" si="8"/>
        <v>35</v>
      </c>
      <c r="AC8" s="329">
        <f t="shared" ca="1" si="9"/>
        <v>32</v>
      </c>
      <c r="AD8" s="329">
        <f t="shared" ca="1" si="10"/>
        <v>67</v>
      </c>
      <c r="AE8" s="236">
        <f t="shared" ca="1" si="11"/>
        <v>0.52238805970149249</v>
      </c>
      <c r="AF8" s="341">
        <f t="shared" ca="1" si="12"/>
        <v>-64.477611940298502</v>
      </c>
      <c r="AG8" s="432">
        <f t="shared" ca="1" si="13"/>
        <v>7</v>
      </c>
      <c r="AH8" s="398"/>
    </row>
    <row r="9" spans="1:34" ht="15" customHeight="1">
      <c r="A9" s="239" t="s">
        <v>1368</v>
      </c>
      <c r="B9" s="109" t="s">
        <v>893</v>
      </c>
      <c r="C9" s="109">
        <v>7</v>
      </c>
      <c r="D9" s="110">
        <v>11</v>
      </c>
      <c r="E9" s="111">
        <v>11</v>
      </c>
      <c r="F9" s="252">
        <f t="shared" si="0"/>
        <v>29</v>
      </c>
      <c r="G9" s="252">
        <f>C8+D7+E6</f>
        <v>18</v>
      </c>
      <c r="H9" s="252">
        <f t="shared" si="1"/>
        <v>47</v>
      </c>
      <c r="I9" s="253">
        <f t="shared" si="2"/>
        <v>0.61702127659574468</v>
      </c>
      <c r="J9" s="429">
        <f t="shared" ca="1" si="17"/>
        <v>1</v>
      </c>
      <c r="K9" s="430" t="str">
        <f t="shared" ca="1" si="4"/>
        <v>D2-1</v>
      </c>
      <c r="L9" s="500"/>
      <c r="M9" s="240"/>
      <c r="N9" s="426"/>
      <c r="O9" s="427"/>
      <c r="P9" s="256"/>
      <c r="Q9" s="257"/>
      <c r="R9" s="239"/>
      <c r="S9" s="241"/>
      <c r="T9" s="246"/>
      <c r="U9" s="243"/>
      <c r="V9" s="223">
        <f t="shared" ref="V9:W9" si="21">(N9+P9+R9+T9)</f>
        <v>0</v>
      </c>
      <c r="W9" s="223">
        <f t="shared" si="21"/>
        <v>0</v>
      </c>
      <c r="X9" s="223">
        <f t="shared" si="6"/>
        <v>0</v>
      </c>
      <c r="Y9" s="337"/>
      <c r="Z9" s="337" t="s">
        <v>899</v>
      </c>
      <c r="AA9" s="337" t="str">
        <f t="shared" ca="1" si="7"/>
        <v>D3-2</v>
      </c>
      <c r="AB9" s="337">
        <f t="shared" ca="1" si="8"/>
        <v>31</v>
      </c>
      <c r="AC9" s="337">
        <f t="shared" ca="1" si="9"/>
        <v>31</v>
      </c>
      <c r="AD9" s="337">
        <f t="shared" ca="1" si="10"/>
        <v>62</v>
      </c>
      <c r="AE9" s="253">
        <f t="shared" ca="1" si="11"/>
        <v>0.5</v>
      </c>
      <c r="AF9" s="338">
        <f t="shared" ca="1" si="12"/>
        <v>-68.5</v>
      </c>
      <c r="AG9" s="434">
        <f t="shared" ca="1" si="13"/>
        <v>8</v>
      </c>
      <c r="AH9" s="398"/>
    </row>
    <row r="10" spans="1:34" ht="15" customHeight="1">
      <c r="A10" s="217" t="s">
        <v>1369</v>
      </c>
      <c r="B10" s="107" t="s">
        <v>901</v>
      </c>
      <c r="C10" s="148">
        <v>11</v>
      </c>
      <c r="D10" s="165">
        <v>7</v>
      </c>
      <c r="E10" s="165">
        <v>5</v>
      </c>
      <c r="F10" s="213">
        <f t="shared" si="0"/>
        <v>23</v>
      </c>
      <c r="G10" s="213">
        <f>C11+D12+E13</f>
        <v>25</v>
      </c>
      <c r="H10" s="213">
        <f t="shared" si="1"/>
        <v>48</v>
      </c>
      <c r="I10" s="214">
        <f t="shared" si="2"/>
        <v>0.47916666666666669</v>
      </c>
      <c r="J10" s="424">
        <f t="shared" ref="J10:J13" ca="1" si="22">IFERROR(RANK(F10,OFFSET($F$10,0,0,COUNTA($F$10:$F$13),1)),)</f>
        <v>3</v>
      </c>
      <c r="K10" s="419" t="str">
        <f t="shared" ca="1" si="4"/>
        <v>D3-3</v>
      </c>
      <c r="L10" s="499" t="s">
        <v>243</v>
      </c>
      <c r="M10" s="218" t="str">
        <f t="array" aca="1" ref="M10" ca="1">IFERROR(INDEX($A$2:$K$17,MATCH(L10,$K$2:$K$17,0),2),)</f>
        <v>Jordan Haas &amp; Robert Humble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7</v>
      </c>
      <c r="W10" s="223">
        <f t="shared" si="23"/>
        <v>11</v>
      </c>
      <c r="X10" s="223">
        <f t="shared" si="6"/>
        <v>18</v>
      </c>
      <c r="Y10" s="329"/>
      <c r="Z10" s="329" t="s">
        <v>892</v>
      </c>
      <c r="AA10" s="329" t="str">
        <f t="shared" ca="1" si="7"/>
        <v>D2-3</v>
      </c>
      <c r="AB10" s="329">
        <f t="shared" ca="1" si="8"/>
        <v>27</v>
      </c>
      <c r="AC10" s="329">
        <f t="shared" ca="1" si="9"/>
        <v>22</v>
      </c>
      <c r="AD10" s="329">
        <f t="shared" ca="1" si="10"/>
        <v>49</v>
      </c>
      <c r="AE10" s="236">
        <f t="shared" ca="1" si="11"/>
        <v>0.55102040816326525</v>
      </c>
      <c r="AF10" s="341">
        <f t="shared" ca="1" si="12"/>
        <v>-72.448979591836732</v>
      </c>
      <c r="AG10" s="432">
        <f t="shared" ca="1" si="13"/>
        <v>9</v>
      </c>
      <c r="AH10" s="398"/>
    </row>
    <row r="11" spans="1:34" ht="15" customHeight="1">
      <c r="A11" s="244" t="s">
        <v>1369</v>
      </c>
      <c r="B11" s="107" t="s">
        <v>903</v>
      </c>
      <c r="C11" s="105">
        <v>3</v>
      </c>
      <c r="D11" s="106">
        <v>9</v>
      </c>
      <c r="E11" s="106">
        <v>2</v>
      </c>
      <c r="F11" s="235">
        <f t="shared" si="0"/>
        <v>14</v>
      </c>
      <c r="G11" s="235">
        <f>C10+D13+E12</f>
        <v>33</v>
      </c>
      <c r="H11" s="235">
        <f t="shared" si="1"/>
        <v>47</v>
      </c>
      <c r="I11" s="236">
        <f t="shared" si="2"/>
        <v>0.2978723404255319</v>
      </c>
      <c r="J11" s="424">
        <f t="shared" ca="1" si="22"/>
        <v>4</v>
      </c>
      <c r="K11" s="425" t="str">
        <f t="shared" ca="1" si="4"/>
        <v>D3-4</v>
      </c>
      <c r="L11" s="500"/>
      <c r="M11" s="240"/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4">(N11+P11+R11+T11)</f>
        <v>0</v>
      </c>
      <c r="W11" s="223">
        <f t="shared" si="24"/>
        <v>0</v>
      </c>
      <c r="X11" s="223">
        <f t="shared" si="6"/>
        <v>0</v>
      </c>
      <c r="Y11" s="329"/>
      <c r="Z11" s="329" t="s">
        <v>901</v>
      </c>
      <c r="AA11" s="329" t="str">
        <f t="shared" ca="1" si="7"/>
        <v>D3-3</v>
      </c>
      <c r="AB11" s="329">
        <f t="shared" ca="1" si="8"/>
        <v>23</v>
      </c>
      <c r="AC11" s="329">
        <f t="shared" ca="1" si="9"/>
        <v>25</v>
      </c>
      <c r="AD11" s="329">
        <f t="shared" ca="1" si="10"/>
        <v>48</v>
      </c>
      <c r="AE11" s="236">
        <f t="shared" ca="1" si="11"/>
        <v>0.47916666666666669</v>
      </c>
      <c r="AF11" s="341">
        <f t="shared" ca="1" si="12"/>
        <v>-76.520833333333329</v>
      </c>
      <c r="AG11" s="432">
        <f t="shared" ca="1" si="13"/>
        <v>10</v>
      </c>
      <c r="AH11" s="398"/>
    </row>
    <row r="12" spans="1:34" ht="15" customHeight="1">
      <c r="A12" s="244" t="s">
        <v>1369</v>
      </c>
      <c r="B12" s="107" t="s">
        <v>899</v>
      </c>
      <c r="C12" s="107">
        <v>6</v>
      </c>
      <c r="D12" s="108">
        <v>11</v>
      </c>
      <c r="E12" s="106">
        <v>11</v>
      </c>
      <c r="F12" s="235">
        <f t="shared" si="0"/>
        <v>28</v>
      </c>
      <c r="G12" s="235">
        <f>C13+D10+E11</f>
        <v>20</v>
      </c>
      <c r="H12" s="235">
        <f t="shared" si="1"/>
        <v>48</v>
      </c>
      <c r="I12" s="236">
        <f t="shared" si="2"/>
        <v>0.58333333333333337</v>
      </c>
      <c r="J12" s="424">
        <f t="shared" ca="1" si="22"/>
        <v>2</v>
      </c>
      <c r="K12" s="425" t="str">
        <f t="shared" ca="1" si="4"/>
        <v>D3-2</v>
      </c>
      <c r="L12" s="499" t="s">
        <v>230</v>
      </c>
      <c r="M12" s="218" t="str">
        <f t="array" aca="1" ref="M12" ca="1">IFERROR(INDEX($A$2:$K$17,MATCH(L12,$K$2:$K$17,0),2),)</f>
        <v>scott siemers &amp; Jack Zupan</v>
      </c>
      <c r="N12" s="421"/>
      <c r="O12" s="422"/>
      <c r="P12" s="242">
        <v>11</v>
      </c>
      <c r="Q12" s="243">
        <v>7</v>
      </c>
      <c r="R12" s="244">
        <v>4</v>
      </c>
      <c r="S12" s="245">
        <v>11</v>
      </c>
      <c r="T12" s="246"/>
      <c r="U12" s="243"/>
      <c r="V12" s="223">
        <f t="shared" ref="V12:W12" si="25">(N12+P12+R12+T12)</f>
        <v>15</v>
      </c>
      <c r="W12" s="223">
        <f t="shared" si="25"/>
        <v>18</v>
      </c>
      <c r="X12" s="223">
        <f t="shared" si="6"/>
        <v>33</v>
      </c>
      <c r="Y12" s="329"/>
      <c r="Z12" s="329" t="s">
        <v>887</v>
      </c>
      <c r="AA12" s="329" t="str">
        <f t="shared" ca="1" si="7"/>
        <v>D1-3</v>
      </c>
      <c r="AB12" s="329">
        <f t="shared" ca="1" si="8"/>
        <v>21</v>
      </c>
      <c r="AC12" s="329">
        <f t="shared" ca="1" si="9"/>
        <v>27</v>
      </c>
      <c r="AD12" s="329">
        <f t="shared" ca="1" si="10"/>
        <v>48</v>
      </c>
      <c r="AE12" s="236">
        <f t="shared" ca="1" si="11"/>
        <v>0.4375</v>
      </c>
      <c r="AF12" s="375">
        <f t="shared" ca="1" si="12"/>
        <v>-78.5625</v>
      </c>
      <c r="AG12" s="446">
        <f t="shared" ca="1" si="13"/>
        <v>11</v>
      </c>
      <c r="AH12" s="398"/>
    </row>
    <row r="13" spans="1:34" ht="15" customHeight="1">
      <c r="A13" s="239" t="s">
        <v>1369</v>
      </c>
      <c r="B13" s="109" t="s">
        <v>902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20</v>
      </c>
      <c r="H13" s="252">
        <f t="shared" si="1"/>
        <v>53</v>
      </c>
      <c r="I13" s="253">
        <f t="shared" si="2"/>
        <v>0.62264150943396224</v>
      </c>
      <c r="J13" s="429">
        <f t="shared" ca="1" si="22"/>
        <v>1</v>
      </c>
      <c r="K13" s="430" t="str">
        <f t="shared" ca="1" si="4"/>
        <v>D3-1</v>
      </c>
      <c r="L13" s="500"/>
      <c r="M13" s="240"/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6">(N13+P13+R13+T13)</f>
        <v>0</v>
      </c>
      <c r="W13" s="223">
        <f t="shared" si="26"/>
        <v>0</v>
      </c>
      <c r="X13" s="223">
        <f t="shared" si="6"/>
        <v>0</v>
      </c>
      <c r="Y13" s="337"/>
      <c r="Z13" s="337" t="s">
        <v>909</v>
      </c>
      <c r="AA13" s="337" t="str">
        <f t="shared" ca="1" si="7"/>
        <v>D4-3</v>
      </c>
      <c r="AB13" s="337">
        <f t="shared" ca="1" si="8"/>
        <v>20</v>
      </c>
      <c r="AC13" s="337">
        <f t="shared" ca="1" si="9"/>
        <v>25</v>
      </c>
      <c r="AD13" s="337">
        <f t="shared" ca="1" si="10"/>
        <v>45</v>
      </c>
      <c r="AE13" s="253">
        <f t="shared" ca="1" si="11"/>
        <v>0.44444444444444442</v>
      </c>
      <c r="AF13" s="345">
        <f t="shared" ca="1" si="12"/>
        <v>-79.555555555555557</v>
      </c>
      <c r="AG13" s="436">
        <f t="shared" ca="1" si="13"/>
        <v>12</v>
      </c>
      <c r="AH13" s="398"/>
    </row>
    <row r="14" spans="1:34" ht="15" customHeight="1">
      <c r="A14" s="217" t="s">
        <v>1371</v>
      </c>
      <c r="B14" s="107" t="s">
        <v>888</v>
      </c>
      <c r="C14" s="148">
        <v>6</v>
      </c>
      <c r="D14" s="165">
        <v>11</v>
      </c>
      <c r="E14" s="165">
        <v>11</v>
      </c>
      <c r="F14" s="213">
        <f t="shared" si="0"/>
        <v>28</v>
      </c>
      <c r="G14" s="213">
        <f>C15+D16+E17</f>
        <v>21</v>
      </c>
      <c r="H14" s="213">
        <f t="shared" si="1"/>
        <v>49</v>
      </c>
      <c r="I14" s="214">
        <f t="shared" si="2"/>
        <v>0.5714285714285714</v>
      </c>
      <c r="J14" s="424">
        <f t="shared" ref="J14:J17" ca="1" si="27">IFERROR(RANK(F14,OFFSET($F$14,0,0,COUNTA($F$14:$F$17),1)),)</f>
        <v>2</v>
      </c>
      <c r="K14" s="419" t="str">
        <f t="shared" ca="1" si="4"/>
        <v>D4-2</v>
      </c>
      <c r="L14" s="499" t="s">
        <v>263</v>
      </c>
      <c r="M14" s="218" t="str">
        <f t="array" aca="1" ref="M14" ca="1">IFERROR(INDEX($A$2:$K$17,MATCH(L14,$K$2:$K$17,0),2),)</f>
        <v>Vageesh Kumar &amp; Justin Hoffman</v>
      </c>
      <c r="N14" s="421"/>
      <c r="O14" s="422"/>
      <c r="P14" s="220">
        <v>11</v>
      </c>
      <c r="Q14" s="221">
        <v>8</v>
      </c>
      <c r="R14" s="244">
        <v>11</v>
      </c>
      <c r="S14" s="245">
        <v>4</v>
      </c>
      <c r="T14" s="246">
        <v>16</v>
      </c>
      <c r="U14" s="243">
        <v>14</v>
      </c>
      <c r="V14" s="223">
        <f t="shared" ref="V14:W14" si="28">(N14+P14+R14+T14)</f>
        <v>38</v>
      </c>
      <c r="W14" s="223">
        <f t="shared" si="28"/>
        <v>26</v>
      </c>
      <c r="X14" s="223">
        <f t="shared" si="6"/>
        <v>64</v>
      </c>
      <c r="Y14" s="329"/>
      <c r="Z14" s="329" t="s">
        <v>890</v>
      </c>
      <c r="AA14" s="329" t="str">
        <f t="shared" ca="1" si="7"/>
        <v>D1-4</v>
      </c>
      <c r="AB14" s="329">
        <f t="shared" ca="1" si="8"/>
        <v>17</v>
      </c>
      <c r="AC14" s="329">
        <f t="shared" ca="1" si="9"/>
        <v>33</v>
      </c>
      <c r="AD14" s="329">
        <f t="shared" ca="1" si="10"/>
        <v>50</v>
      </c>
      <c r="AE14" s="236">
        <f t="shared" ca="1" si="11"/>
        <v>0.34</v>
      </c>
      <c r="AF14" s="375">
        <f t="shared" ca="1" si="12"/>
        <v>-82.66</v>
      </c>
      <c r="AG14" s="446">
        <f t="shared" ca="1" si="13"/>
        <v>13</v>
      </c>
      <c r="AH14" s="398"/>
    </row>
    <row r="15" spans="1:34" ht="15" customHeight="1">
      <c r="A15" s="244" t="s">
        <v>1371</v>
      </c>
      <c r="B15" s="447" t="s">
        <v>906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13</v>
      </c>
      <c r="H15" s="235">
        <f t="shared" si="1"/>
        <v>46</v>
      </c>
      <c r="I15" s="236">
        <f t="shared" si="2"/>
        <v>0.71739130434782605</v>
      </c>
      <c r="J15" s="424">
        <f t="shared" ca="1" si="27"/>
        <v>1</v>
      </c>
      <c r="K15" s="425" t="str">
        <f t="shared" ca="1" si="4"/>
        <v>D4-1</v>
      </c>
      <c r="L15" s="500"/>
      <c r="M15" s="240"/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29">(N15+P15+R15+T15)</f>
        <v>0</v>
      </c>
      <c r="W15" s="223">
        <f t="shared" si="29"/>
        <v>0</v>
      </c>
      <c r="X15" s="223">
        <f t="shared" si="6"/>
        <v>0</v>
      </c>
      <c r="Y15" s="329"/>
      <c r="Z15" s="329" t="s">
        <v>903</v>
      </c>
      <c r="AA15" s="329" t="str">
        <f t="shared" ca="1" si="7"/>
        <v>D3-4</v>
      </c>
      <c r="AB15" s="329">
        <f t="shared" ca="1" si="8"/>
        <v>14</v>
      </c>
      <c r="AC15" s="329">
        <f t="shared" ca="1" si="9"/>
        <v>33</v>
      </c>
      <c r="AD15" s="329">
        <f t="shared" ca="1" si="10"/>
        <v>47</v>
      </c>
      <c r="AE15" s="236">
        <f t="shared" ca="1" si="11"/>
        <v>0.2978723404255319</v>
      </c>
      <c r="AF15" s="341">
        <f t="shared" ca="1" si="12"/>
        <v>-85.702127659574472</v>
      </c>
      <c r="AG15" s="432">
        <f t="shared" ca="1" si="13"/>
        <v>14</v>
      </c>
      <c r="AH15" s="398"/>
    </row>
    <row r="16" spans="1:34" ht="15" customHeight="1">
      <c r="A16" s="244" t="s">
        <v>1371</v>
      </c>
      <c r="B16" s="107" t="s">
        <v>909</v>
      </c>
      <c r="C16" s="107">
        <v>11</v>
      </c>
      <c r="D16" s="108">
        <v>5</v>
      </c>
      <c r="E16" s="106">
        <v>4</v>
      </c>
      <c r="F16" s="235">
        <f t="shared" si="0"/>
        <v>20</v>
      </c>
      <c r="G16" s="235">
        <f>C17+D14+E15</f>
        <v>25</v>
      </c>
      <c r="H16" s="235">
        <f t="shared" si="1"/>
        <v>45</v>
      </c>
      <c r="I16" s="236">
        <f t="shared" si="2"/>
        <v>0.44444444444444442</v>
      </c>
      <c r="J16" s="424">
        <f t="shared" ca="1" si="27"/>
        <v>3</v>
      </c>
      <c r="K16" s="425" t="str">
        <f t="shared" ca="1" si="4"/>
        <v>D4-3</v>
      </c>
      <c r="L16" s="499" t="s">
        <v>218</v>
      </c>
      <c r="M16" s="437" t="str">
        <f t="array" aca="1" ref="M16" ca="1">IFERROR(INDEX($A$2:$K$17,MATCH(L16,$K$2:$K$17,0),2),)</f>
        <v>Trevor Stone &amp; Allen Meyer</v>
      </c>
      <c r="N16" s="421"/>
      <c r="O16" s="422"/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30">(N16+P16+R16+T16)</f>
        <v>8</v>
      </c>
      <c r="W16" s="223">
        <f t="shared" si="30"/>
        <v>11</v>
      </c>
      <c r="X16" s="223">
        <f t="shared" si="6"/>
        <v>19</v>
      </c>
      <c r="Y16" s="329"/>
      <c r="Z16" s="329" t="s">
        <v>910</v>
      </c>
      <c r="AA16" s="329" t="str">
        <f t="shared" ca="1" si="7"/>
        <v>D4-4</v>
      </c>
      <c r="AB16" s="329">
        <f t="shared" ca="1" si="8"/>
        <v>11</v>
      </c>
      <c r="AC16" s="329">
        <f t="shared" ca="1" si="9"/>
        <v>33</v>
      </c>
      <c r="AD16" s="329">
        <f t="shared" ca="1" si="10"/>
        <v>44</v>
      </c>
      <c r="AE16" s="236">
        <f t="shared" ca="1" si="11"/>
        <v>0.25</v>
      </c>
      <c r="AF16" s="341">
        <f t="shared" ca="1" si="12"/>
        <v>-88.75</v>
      </c>
      <c r="AG16" s="432">
        <f t="shared" ca="1" si="13"/>
        <v>15</v>
      </c>
      <c r="AH16" s="398"/>
    </row>
    <row r="17" spans="1:34" ht="15" customHeight="1">
      <c r="A17" s="239" t="s">
        <v>1371</v>
      </c>
      <c r="B17" s="109" t="s">
        <v>910</v>
      </c>
      <c r="C17" s="109">
        <v>3</v>
      </c>
      <c r="D17" s="110">
        <v>3</v>
      </c>
      <c r="E17" s="111">
        <v>5</v>
      </c>
      <c r="F17" s="252">
        <f t="shared" si="0"/>
        <v>11</v>
      </c>
      <c r="G17" s="252">
        <f>C16+D15+E14</f>
        <v>33</v>
      </c>
      <c r="H17" s="252">
        <f t="shared" si="1"/>
        <v>44</v>
      </c>
      <c r="I17" s="253">
        <f t="shared" si="2"/>
        <v>0.25</v>
      </c>
      <c r="J17" s="429">
        <f t="shared" ca="1" si="27"/>
        <v>4</v>
      </c>
      <c r="K17" s="430" t="str">
        <f t="shared" ca="1" si="4"/>
        <v>D4-4</v>
      </c>
      <c r="L17" s="500"/>
      <c r="M17" s="438"/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1">(N17+P17+R17+T17)</f>
        <v>0</v>
      </c>
      <c r="W17" s="223">
        <f t="shared" si="31"/>
        <v>0</v>
      </c>
      <c r="X17" s="223">
        <f t="shared" si="6"/>
        <v>0</v>
      </c>
      <c r="Y17" s="337"/>
      <c r="Z17" s="337" t="s">
        <v>895</v>
      </c>
      <c r="AA17" s="337" t="str">
        <f t="shared" ca="1" si="7"/>
        <v>D2-4</v>
      </c>
      <c r="AB17" s="337">
        <f t="shared" ca="1" si="8"/>
        <v>8</v>
      </c>
      <c r="AC17" s="337">
        <f t="shared" ca="1" si="9"/>
        <v>33</v>
      </c>
      <c r="AD17" s="337">
        <f t="shared" ca="1" si="10"/>
        <v>41</v>
      </c>
      <c r="AE17" s="253">
        <f t="shared" ca="1" si="11"/>
        <v>0.1951219512195122</v>
      </c>
      <c r="AF17" s="399">
        <f t="shared" ca="1" si="12"/>
        <v>-91.804878048780495</v>
      </c>
      <c r="AG17" s="431">
        <f t="shared" ca="1" si="13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287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2">SUM(C2:C17)</f>
        <v>132</v>
      </c>
      <c r="D19" s="289">
        <f t="shared" si="32"/>
        <v>132</v>
      </c>
      <c r="E19" s="289">
        <f>SUM(E2:E18)</f>
        <v>120</v>
      </c>
      <c r="F19" s="290">
        <f t="shared" ref="F19:G19" si="33">SUM(F2:F17)</f>
        <v>384</v>
      </c>
      <c r="G19" s="290">
        <f t="shared" si="33"/>
        <v>384</v>
      </c>
      <c r="H19" s="292">
        <f>SUM(H2:H17)/2</f>
        <v>384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4">SUM(N2:N17)</f>
        <v>0</v>
      </c>
      <c r="O19" s="287">
        <f t="shared" si="34"/>
        <v>0</v>
      </c>
      <c r="P19" s="287">
        <f t="shared" si="34"/>
        <v>69</v>
      </c>
      <c r="Q19" s="287">
        <f t="shared" si="34"/>
        <v>69</v>
      </c>
      <c r="R19" s="287">
        <f t="shared" si="34"/>
        <v>36</v>
      </c>
      <c r="S19" s="287">
        <f t="shared" si="34"/>
        <v>36</v>
      </c>
      <c r="T19" s="287">
        <f t="shared" si="34"/>
        <v>30</v>
      </c>
      <c r="U19" s="287">
        <f t="shared" si="34"/>
        <v>30</v>
      </c>
      <c r="V19" s="287">
        <f t="shared" si="34"/>
        <v>135</v>
      </c>
      <c r="W19" s="287">
        <f t="shared" si="34"/>
        <v>135</v>
      </c>
      <c r="X19" s="287">
        <f>SUM(X2:X17)/2</f>
        <v>135</v>
      </c>
      <c r="Y19" s="287"/>
      <c r="Z19" s="287"/>
      <c r="AA19" s="287"/>
      <c r="AB19" s="287">
        <f t="shared" ref="AB19:AD19" ca="1" si="35">SUM(AB2:AB17)/2</f>
        <v>259.5</v>
      </c>
      <c r="AC19" s="287">
        <f t="shared" ca="1" si="35"/>
        <v>259.5</v>
      </c>
      <c r="AD19" s="287">
        <f t="shared" ca="1" si="35"/>
        <v>519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6">COUNTIF(C2:C17, 10)</f>
        <v>0</v>
      </c>
      <c r="D20" s="326">
        <f t="shared" si="36"/>
        <v>0</v>
      </c>
      <c r="E20" s="326">
        <f t="shared" si="36"/>
        <v>0</v>
      </c>
      <c r="F20" s="296"/>
      <c r="G20" s="296"/>
      <c r="H20" s="297">
        <f>AVERAGE(H2:H17)</f>
        <v>48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8"/>
      <c r="Z20" s="288"/>
      <c r="AA20" s="287"/>
      <c r="AB20" s="287"/>
      <c r="AC20" s="287"/>
      <c r="AD20" s="287">
        <f ca="1">AVERAGE(AD2:AD17)</f>
        <v>64.875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4" priority="1" operator="equal">
      <formula>33</formula>
    </cfRule>
  </conditionalFormatting>
  <conditionalFormatting sqref="M2:U17">
    <cfRule type="expression" dxfId="53" priority="2">
      <formula>$T2&gt;U2</formula>
    </cfRule>
  </conditionalFormatting>
  <conditionalFormatting sqref="P2:Q17">
    <cfRule type="expression" dxfId="52" priority="3">
      <formula>$P2=11</formula>
    </cfRule>
  </conditionalFormatting>
  <conditionalFormatting sqref="R2:S17">
    <cfRule type="expression" dxfId="51" priority="4">
      <formula>$R2=11</formula>
    </cfRule>
  </conditionalFormatting>
  <hyperlinks>
    <hyperlink ref="A1" location="Champions!A1" display="Home" xr:uid="{00000000-0004-0000-1400-000000000000}"/>
    <hyperlink ref="AH1" location="Champions!A1" display="Home" xr:uid="{00000000-0004-0000-1400-000001000000}"/>
    <hyperlink ref="A19" location="Champions!A1" display="Home" xr:uid="{00000000-0004-0000-1400-000002000000}"/>
    <hyperlink ref="K19" location="Champions!A1" display="Home" xr:uid="{00000000-0004-0000-1400-000003000000}"/>
  </hyperlinks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1.4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453125" customWidth="1"/>
    <col min="11" max="11" width="7.453125" customWidth="1"/>
    <col min="12" max="12" width="7.54296875" customWidth="1"/>
    <col min="13" max="13" width="27.1796875" customWidth="1"/>
    <col min="14" max="21" width="6.26953125" customWidth="1"/>
    <col min="22" max="24" width="7.7265625" customWidth="1"/>
    <col min="25" max="25" width="6.81640625" customWidth="1"/>
    <col min="26" max="26" width="29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865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18</v>
      </c>
      <c r="H2" s="213">
        <f t="shared" ref="H2:H17" si="1">SUM(F2:G2)</f>
        <v>51</v>
      </c>
      <c r="I2" s="214">
        <f t="shared" ref="I2:I17" si="2">IFERROR(F2/H2,"")</f>
        <v>0.6470588235294118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499" t="s">
        <v>207</v>
      </c>
      <c r="M2" s="218" t="str">
        <f t="shared" ref="M2:M17" ca="1" si="5">IFERROR(INDEX($A$2:$K$17,MATCH(L2,$K$2:$K$17,0),2),)</f>
        <v>Shanna Loyd &amp; Mark Murphy</v>
      </c>
      <c r="N2" s="421"/>
      <c r="O2" s="422"/>
      <c r="P2" s="220">
        <v>5</v>
      </c>
      <c r="Q2" s="221">
        <v>11</v>
      </c>
      <c r="R2" s="217"/>
      <c r="S2" s="219"/>
      <c r="T2" s="222"/>
      <c r="U2" s="221"/>
      <c r="V2" s="223">
        <f t="shared" ref="V2:W2" si="6">(N2+P2+R2+T2)</f>
        <v>5</v>
      </c>
      <c r="W2" s="223">
        <f t="shared" si="6"/>
        <v>11</v>
      </c>
      <c r="X2" s="223">
        <f t="shared" ref="X2:X17" si="7">V2+W2</f>
        <v>16</v>
      </c>
      <c r="Y2" s="329"/>
      <c r="Z2" s="329" t="s">
        <v>109</v>
      </c>
      <c r="AA2" s="329" t="str">
        <f t="shared" ref="AA2:AA17" ca="1" si="8">IFERROR(INDEX($A$2:$K$17,MATCH(Z2,$B$2:$B$17,0),11),)</f>
        <v>D1-2</v>
      </c>
      <c r="AB2" s="329">
        <f t="shared" ref="AB2:AB17" ca="1" si="9">IFERROR((INDEX($A$2:$H$17,MATCH($Z2,$B$2:$B$17,0),6))+INDEX($M$2:$X$17,MATCH($Z2,$M$2:$M$17,0),10),INDEX($B$2:$G$17,MATCH($Z2,$B$2:$B$17,0),5))</f>
        <v>62</v>
      </c>
      <c r="AC2" s="329">
        <f t="shared" ref="AC2:AC17" ca="1" si="10">IFERROR((INDEX($A$2:$H$17,MATCH($Z2,$B$2:$B$17,0),7))+INDEX($M$2:$X$17,MATCH($Z2,$M$2:$M$17,0),11),INDEX($B$2:$G$17,MATCH($Z2,$B$2:$B$17,0),6))</f>
        <v>44</v>
      </c>
      <c r="AD2" s="329">
        <f t="shared" ref="AD2:AD17" ca="1" si="11">SUM(AB2:AC2)</f>
        <v>106</v>
      </c>
      <c r="AE2" s="360">
        <f t="shared" ref="AE2:AE17" ca="1" si="12">AB2/AD2</f>
        <v>0.58490566037735847</v>
      </c>
      <c r="AF2" s="330">
        <f t="shared" ref="AF2:AF17" ca="1" si="13">AE2-(100-AB2)</f>
        <v>-37.415094339622641</v>
      </c>
      <c r="AG2" s="448">
        <v>1</v>
      </c>
      <c r="AH2" s="398"/>
    </row>
    <row r="3" spans="1:34" ht="15" customHeight="1">
      <c r="A3" s="244" t="s">
        <v>1367</v>
      </c>
      <c r="B3" s="447" t="s">
        <v>109</v>
      </c>
      <c r="C3" s="105">
        <v>8</v>
      </c>
      <c r="D3" s="106">
        <v>11</v>
      </c>
      <c r="E3" s="106">
        <v>11</v>
      </c>
      <c r="F3" s="235">
        <f t="shared" si="0"/>
        <v>30</v>
      </c>
      <c r="G3" s="235">
        <f>C2+D5+E4</f>
        <v>23</v>
      </c>
      <c r="H3" s="235">
        <f t="shared" si="1"/>
        <v>53</v>
      </c>
      <c r="I3" s="236">
        <f t="shared" si="2"/>
        <v>0.56603773584905659</v>
      </c>
      <c r="J3" s="424">
        <f t="shared" ca="1" si="3"/>
        <v>2</v>
      </c>
      <c r="K3" s="425" t="str">
        <f t="shared" ca="1" si="4"/>
        <v>D1-2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4">(N3+P3+R3+T3)</f>
        <v>0</v>
      </c>
      <c r="W3" s="223">
        <f t="shared" si="14"/>
        <v>0</v>
      </c>
      <c r="X3" s="223">
        <f t="shared" si="7"/>
        <v>0</v>
      </c>
      <c r="Y3" s="329"/>
      <c r="Z3" s="329" t="s">
        <v>110</v>
      </c>
      <c r="AA3" s="329" t="str">
        <f t="shared" ca="1" si="8"/>
        <v>D4-2</v>
      </c>
      <c r="AB3" s="329">
        <f t="shared" ca="1" si="9"/>
        <v>63</v>
      </c>
      <c r="AC3" s="329">
        <f t="shared" ca="1" si="10"/>
        <v>43</v>
      </c>
      <c r="AD3" s="329">
        <f t="shared" ca="1" si="11"/>
        <v>106</v>
      </c>
      <c r="AE3" s="360">
        <f t="shared" ca="1" si="12"/>
        <v>0.59433962264150941</v>
      </c>
      <c r="AF3" s="341">
        <f t="shared" ca="1" si="13"/>
        <v>-36.405660377358494</v>
      </c>
      <c r="AG3" s="449">
        <v>2</v>
      </c>
      <c r="AH3" s="398"/>
    </row>
    <row r="4" spans="1:34" ht="15" customHeight="1">
      <c r="A4" s="244" t="s">
        <v>1367</v>
      </c>
      <c r="B4" s="107" t="s">
        <v>1372</v>
      </c>
      <c r="C4" s="107">
        <v>11</v>
      </c>
      <c r="D4" s="108">
        <v>3</v>
      </c>
      <c r="E4" s="106">
        <v>8</v>
      </c>
      <c r="F4" s="235">
        <f t="shared" si="0"/>
        <v>22</v>
      </c>
      <c r="G4" s="235">
        <f>C5+D2+E3</f>
        <v>32</v>
      </c>
      <c r="H4" s="235">
        <f t="shared" si="1"/>
        <v>54</v>
      </c>
      <c r="I4" s="236">
        <f t="shared" si="2"/>
        <v>0.40740740740740738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Keely Schneider &amp; Curtis Stoneman</v>
      </c>
      <c r="N4" s="421"/>
      <c r="O4" s="422"/>
      <c r="P4" s="242">
        <v>11</v>
      </c>
      <c r="Q4" s="243">
        <v>5</v>
      </c>
      <c r="R4" s="244">
        <v>11</v>
      </c>
      <c r="S4" s="245">
        <v>8</v>
      </c>
      <c r="T4" s="246">
        <v>10</v>
      </c>
      <c r="U4" s="243">
        <v>10</v>
      </c>
      <c r="V4" s="223">
        <f t="shared" ref="V4:W4" si="15">(N4+P4+R4+T4)</f>
        <v>32</v>
      </c>
      <c r="W4" s="223">
        <f t="shared" si="15"/>
        <v>23</v>
      </c>
      <c r="X4" s="223">
        <f t="shared" si="7"/>
        <v>55</v>
      </c>
      <c r="Y4" s="329"/>
      <c r="Z4" s="329" t="s">
        <v>873</v>
      </c>
      <c r="AA4" s="329" t="str">
        <f t="shared" ca="1" si="8"/>
        <v>D3-2</v>
      </c>
      <c r="AB4" s="329">
        <f t="shared" ca="1" si="9"/>
        <v>46</v>
      </c>
      <c r="AC4" s="329">
        <f t="shared" ca="1" si="10"/>
        <v>46</v>
      </c>
      <c r="AD4" s="329">
        <f t="shared" ca="1" si="11"/>
        <v>92</v>
      </c>
      <c r="AE4" s="360">
        <f t="shared" ca="1" si="12"/>
        <v>0.5</v>
      </c>
      <c r="AF4" s="333">
        <f t="shared" ca="1" si="13"/>
        <v>-53.5</v>
      </c>
      <c r="AG4" s="428">
        <f t="shared" ref="AG4:AG17" ca="1" si="16">RANK($AF4,OFFSET($AF$2,0,0,COUNTA($AF$2:$AF$17),1))</f>
        <v>3</v>
      </c>
      <c r="AH4" s="398"/>
    </row>
    <row r="5" spans="1:34" ht="15" customHeight="1">
      <c r="A5" s="239" t="s">
        <v>1367</v>
      </c>
      <c r="B5" s="109" t="s">
        <v>868</v>
      </c>
      <c r="C5" s="109">
        <v>10</v>
      </c>
      <c r="D5" s="110">
        <v>4</v>
      </c>
      <c r="E5" s="111">
        <v>7</v>
      </c>
      <c r="F5" s="252">
        <f t="shared" si="0"/>
        <v>21</v>
      </c>
      <c r="G5" s="252">
        <f>C4+D3+E2</f>
        <v>33</v>
      </c>
      <c r="H5" s="252">
        <f t="shared" si="1"/>
        <v>54</v>
      </c>
      <c r="I5" s="253">
        <f t="shared" si="2"/>
        <v>0.3888888888888889</v>
      </c>
      <c r="J5" s="429">
        <f t="shared" ca="1" si="3"/>
        <v>4</v>
      </c>
      <c r="K5" s="430" t="str">
        <f t="shared" ca="1" si="4"/>
        <v>D1-4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872</v>
      </c>
      <c r="AA5" s="337" t="str">
        <f t="shared" ca="1" si="8"/>
        <v>D2-2</v>
      </c>
      <c r="AB5" s="337">
        <f t="shared" ca="1" si="9"/>
        <v>45</v>
      </c>
      <c r="AC5" s="337">
        <f t="shared" ca="1" si="10"/>
        <v>42</v>
      </c>
      <c r="AD5" s="337">
        <f t="shared" ca="1" si="11"/>
        <v>87</v>
      </c>
      <c r="AE5" s="369">
        <f t="shared" ca="1" si="12"/>
        <v>0.51724137931034486</v>
      </c>
      <c r="AF5" s="338">
        <f t="shared" ca="1" si="13"/>
        <v>-54.482758620689658</v>
      </c>
      <c r="AG5" s="434">
        <f t="shared" ca="1" si="16"/>
        <v>4</v>
      </c>
      <c r="AH5" s="398"/>
    </row>
    <row r="6" spans="1:34" ht="15" customHeight="1">
      <c r="A6" s="217" t="s">
        <v>1368</v>
      </c>
      <c r="B6" s="107" t="s">
        <v>869</v>
      </c>
      <c r="C6" s="148">
        <v>9</v>
      </c>
      <c r="D6" s="165">
        <v>11</v>
      </c>
      <c r="E6" s="165">
        <v>7</v>
      </c>
      <c r="F6" s="213">
        <f t="shared" si="0"/>
        <v>27</v>
      </c>
      <c r="G6" s="213">
        <f>C7+D8+E9</f>
        <v>31</v>
      </c>
      <c r="H6" s="213">
        <f t="shared" si="1"/>
        <v>58</v>
      </c>
      <c r="I6" s="214">
        <f t="shared" si="2"/>
        <v>0.46551724137931033</v>
      </c>
      <c r="J6" s="433">
        <v>3</v>
      </c>
      <c r="K6" s="419" t="str">
        <f t="shared" si="4"/>
        <v>D2-3</v>
      </c>
      <c r="L6" s="499" t="s">
        <v>225</v>
      </c>
      <c r="M6" s="218" t="str">
        <f t="shared" ca="1" si="5"/>
        <v>Mary Thornton &amp; Keith August</v>
      </c>
      <c r="N6" s="421"/>
      <c r="O6" s="422"/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3">
        <f t="shared" si="7"/>
        <v>18</v>
      </c>
      <c r="Y6" s="340"/>
      <c r="Z6" s="340" t="s">
        <v>870</v>
      </c>
      <c r="AA6" s="340" t="str">
        <f t="shared" ca="1" si="8"/>
        <v>D2-1</v>
      </c>
      <c r="AB6" s="340">
        <f t="shared" ca="1" si="9"/>
        <v>40</v>
      </c>
      <c r="AC6" s="340">
        <f t="shared" ca="1" si="10"/>
        <v>30</v>
      </c>
      <c r="AD6" s="340">
        <f t="shared" ca="1" si="11"/>
        <v>70</v>
      </c>
      <c r="AE6" s="354">
        <f t="shared" ca="1" si="12"/>
        <v>0.5714285714285714</v>
      </c>
      <c r="AF6" s="341">
        <f t="shared" ca="1" si="13"/>
        <v>-59.428571428571431</v>
      </c>
      <c r="AG6" s="432">
        <f t="shared" ca="1" si="16"/>
        <v>5</v>
      </c>
      <c r="AH6" s="398"/>
    </row>
    <row r="7" spans="1:34" ht="15" customHeight="1">
      <c r="A7" s="244" t="s">
        <v>1368</v>
      </c>
      <c r="B7" s="107" t="s">
        <v>870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19</v>
      </c>
      <c r="H7" s="235">
        <f t="shared" si="1"/>
        <v>52</v>
      </c>
      <c r="I7" s="236">
        <f t="shared" si="2"/>
        <v>0.63461538461538458</v>
      </c>
      <c r="J7" s="424">
        <f t="shared" ref="J7:J9" ca="1" si="19">IFERROR(RANK(F7,OFFSET($F$6,0,0,COUNTA($F$6:$F$9),1)),)</f>
        <v>1</v>
      </c>
      <c r="K7" s="425" t="str">
        <f t="shared" ca="1" si="4"/>
        <v>D2-1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878</v>
      </c>
      <c r="AA7" s="329" t="str">
        <f t="shared" ca="1" si="8"/>
        <v>D3-1</v>
      </c>
      <c r="AB7" s="329">
        <f t="shared" ca="1" si="9"/>
        <v>38</v>
      </c>
      <c r="AC7" s="329">
        <f t="shared" ca="1" si="10"/>
        <v>26</v>
      </c>
      <c r="AD7" s="329">
        <f t="shared" ca="1" si="11"/>
        <v>64</v>
      </c>
      <c r="AE7" s="360">
        <f t="shared" ca="1" si="12"/>
        <v>0.59375</v>
      </c>
      <c r="AF7" s="341">
        <f t="shared" ca="1" si="13"/>
        <v>-61.40625</v>
      </c>
      <c r="AG7" s="432">
        <f t="shared" ca="1" si="16"/>
        <v>6</v>
      </c>
      <c r="AH7" s="398"/>
    </row>
    <row r="8" spans="1:34" ht="15" customHeight="1">
      <c r="A8" s="244" t="s">
        <v>1368</v>
      </c>
      <c r="B8" s="107" t="s">
        <v>872</v>
      </c>
      <c r="C8" s="107">
        <v>11</v>
      </c>
      <c r="D8" s="108">
        <v>9</v>
      </c>
      <c r="E8" s="106">
        <v>7</v>
      </c>
      <c r="F8" s="235">
        <f t="shared" si="0"/>
        <v>27</v>
      </c>
      <c r="G8" s="235">
        <f>C9+D6+E7</f>
        <v>26</v>
      </c>
      <c r="H8" s="235">
        <f t="shared" si="1"/>
        <v>53</v>
      </c>
      <c r="I8" s="236">
        <f t="shared" si="2"/>
        <v>0.50943396226415094</v>
      </c>
      <c r="J8" s="424">
        <f t="shared" ca="1" si="19"/>
        <v>2</v>
      </c>
      <c r="K8" s="425" t="str">
        <f t="shared" ca="1" si="4"/>
        <v>D2-2</v>
      </c>
      <c r="L8" s="499" t="s">
        <v>253</v>
      </c>
      <c r="M8" s="218" t="str">
        <f t="shared" ca="1" si="5"/>
        <v>Brook Vitt &amp; Greg Romer</v>
      </c>
      <c r="N8" s="421"/>
      <c r="O8" s="422"/>
      <c r="P8" s="242">
        <v>11</v>
      </c>
      <c r="Q8" s="243">
        <v>7</v>
      </c>
      <c r="R8" s="244">
        <v>8</v>
      </c>
      <c r="S8" s="245">
        <v>11</v>
      </c>
      <c r="T8" s="246"/>
      <c r="U8" s="243"/>
      <c r="V8" s="223">
        <f t="shared" ref="V8:W8" si="21">(N8+P8+R8+T8)</f>
        <v>19</v>
      </c>
      <c r="W8" s="223">
        <f t="shared" si="21"/>
        <v>18</v>
      </c>
      <c r="X8" s="223">
        <f t="shared" si="7"/>
        <v>37</v>
      </c>
      <c r="Y8" s="329"/>
      <c r="Z8" s="329" t="s">
        <v>865</v>
      </c>
      <c r="AA8" s="329" t="str">
        <f t="shared" ca="1" si="8"/>
        <v>D1-1</v>
      </c>
      <c r="AB8" s="329">
        <f t="shared" ca="1" si="9"/>
        <v>38</v>
      </c>
      <c r="AC8" s="329">
        <f t="shared" ca="1" si="10"/>
        <v>29</v>
      </c>
      <c r="AD8" s="329">
        <f t="shared" ca="1" si="11"/>
        <v>67</v>
      </c>
      <c r="AE8" s="236">
        <f t="shared" ca="1" si="12"/>
        <v>0.56716417910447758</v>
      </c>
      <c r="AF8" s="341">
        <f t="shared" ca="1" si="13"/>
        <v>-61.432835820895519</v>
      </c>
      <c r="AG8" s="432">
        <f t="shared" ca="1" si="16"/>
        <v>7</v>
      </c>
      <c r="AH8" s="398"/>
    </row>
    <row r="9" spans="1:34" ht="15" customHeight="1">
      <c r="A9" s="239" t="s">
        <v>1368</v>
      </c>
      <c r="B9" s="109" t="s">
        <v>875</v>
      </c>
      <c r="C9" s="109">
        <v>4</v>
      </c>
      <c r="D9" s="110">
        <v>3</v>
      </c>
      <c r="E9" s="111">
        <v>11</v>
      </c>
      <c r="F9" s="252">
        <f t="shared" si="0"/>
        <v>18</v>
      </c>
      <c r="G9" s="252">
        <f>C8+D7+E6</f>
        <v>29</v>
      </c>
      <c r="H9" s="252">
        <f t="shared" si="1"/>
        <v>47</v>
      </c>
      <c r="I9" s="253">
        <f t="shared" si="2"/>
        <v>0.38297872340425532</v>
      </c>
      <c r="J9" s="429">
        <f t="shared" ca="1" si="19"/>
        <v>4</v>
      </c>
      <c r="K9" s="430" t="str">
        <f t="shared" ca="1" si="4"/>
        <v>D2-4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1373</v>
      </c>
      <c r="AA9" s="337" t="str">
        <f t="shared" ca="1" si="8"/>
        <v>D4-1</v>
      </c>
      <c r="AB9" s="337">
        <f t="shared" ca="1" si="9"/>
        <v>37</v>
      </c>
      <c r="AC9" s="337">
        <f t="shared" ca="1" si="10"/>
        <v>25</v>
      </c>
      <c r="AD9" s="337">
        <f t="shared" ca="1" si="11"/>
        <v>62</v>
      </c>
      <c r="AE9" s="369">
        <f t="shared" ca="1" si="12"/>
        <v>0.59677419354838712</v>
      </c>
      <c r="AF9" s="338">
        <f t="shared" ca="1" si="13"/>
        <v>-62.403225806451616</v>
      </c>
      <c r="AG9" s="434">
        <f t="shared" ca="1" si="16"/>
        <v>8</v>
      </c>
      <c r="AH9" s="398"/>
    </row>
    <row r="10" spans="1:34" ht="15" customHeight="1">
      <c r="A10" s="217" t="s">
        <v>1369</v>
      </c>
      <c r="B10" s="107" t="s">
        <v>878</v>
      </c>
      <c r="C10" s="148">
        <v>11</v>
      </c>
      <c r="D10" s="165">
        <v>11</v>
      </c>
      <c r="E10" s="165">
        <v>11</v>
      </c>
      <c r="F10" s="213">
        <f t="shared" si="0"/>
        <v>33</v>
      </c>
      <c r="G10" s="213">
        <f>C11+D12+E13</f>
        <v>15</v>
      </c>
      <c r="H10" s="213">
        <f t="shared" si="1"/>
        <v>48</v>
      </c>
      <c r="I10" s="214">
        <f t="shared" si="2"/>
        <v>0.6875</v>
      </c>
      <c r="J10" s="424">
        <f t="shared" ref="J10:J13" ca="1" si="23">IFERROR(RANK(F10,OFFSET($F$10,0,0,COUNTA($F$10:$F$13),1)),)</f>
        <v>1</v>
      </c>
      <c r="K10" s="419" t="str">
        <f t="shared" ca="1" si="4"/>
        <v>D3-1</v>
      </c>
      <c r="L10" s="499" t="s">
        <v>243</v>
      </c>
      <c r="M10" s="218" t="str">
        <f t="shared" ca="1" si="5"/>
        <v>Loras Heck &amp; Avery Woodard</v>
      </c>
      <c r="N10" s="421"/>
      <c r="O10" s="422"/>
      <c r="P10" s="220">
        <v>5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5</v>
      </c>
      <c r="W10" s="223">
        <f t="shared" si="24"/>
        <v>11</v>
      </c>
      <c r="X10" s="223">
        <f t="shared" si="7"/>
        <v>16</v>
      </c>
      <c r="Y10" s="329"/>
      <c r="Z10" s="329" t="s">
        <v>869</v>
      </c>
      <c r="AA10" s="329" t="str">
        <f t="shared" si="8"/>
        <v>D2-3</v>
      </c>
      <c r="AB10" s="329">
        <f t="shared" ca="1" si="9"/>
        <v>27</v>
      </c>
      <c r="AC10" s="329">
        <f t="shared" ca="1" si="10"/>
        <v>31</v>
      </c>
      <c r="AD10" s="329">
        <f t="shared" ca="1" si="11"/>
        <v>58</v>
      </c>
      <c r="AE10" s="360">
        <f t="shared" ca="1" si="12"/>
        <v>0.46551724137931033</v>
      </c>
      <c r="AF10" s="341">
        <f t="shared" ca="1" si="13"/>
        <v>-72.534482758620683</v>
      </c>
      <c r="AG10" s="432">
        <f t="shared" ca="1" si="16"/>
        <v>9</v>
      </c>
      <c r="AH10" s="398"/>
    </row>
    <row r="11" spans="1:34" ht="15" customHeight="1">
      <c r="A11" s="244" t="s">
        <v>1369</v>
      </c>
      <c r="B11" s="107" t="s">
        <v>879</v>
      </c>
      <c r="C11" s="105">
        <v>2</v>
      </c>
      <c r="D11" s="106">
        <v>9</v>
      </c>
      <c r="E11" s="106">
        <v>6</v>
      </c>
      <c r="F11" s="235">
        <f t="shared" si="0"/>
        <v>17</v>
      </c>
      <c r="G11" s="235">
        <f>C10+D13+E12</f>
        <v>33</v>
      </c>
      <c r="H11" s="235">
        <f t="shared" si="1"/>
        <v>50</v>
      </c>
      <c r="I11" s="236">
        <f t="shared" si="2"/>
        <v>0.34</v>
      </c>
      <c r="J11" s="424">
        <f t="shared" ca="1" si="23"/>
        <v>4</v>
      </c>
      <c r="K11" s="425" t="str">
        <f t="shared" ca="1" si="4"/>
        <v>D3-4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881</v>
      </c>
      <c r="AA11" s="329" t="str">
        <f t="shared" ca="1" si="8"/>
        <v>D3-3</v>
      </c>
      <c r="AB11" s="329">
        <f t="shared" ca="1" si="9"/>
        <v>26</v>
      </c>
      <c r="AC11" s="329">
        <f t="shared" ca="1" si="10"/>
        <v>27</v>
      </c>
      <c r="AD11" s="329">
        <f t="shared" ca="1" si="11"/>
        <v>53</v>
      </c>
      <c r="AE11" s="360">
        <f t="shared" ca="1" si="12"/>
        <v>0.49056603773584906</v>
      </c>
      <c r="AF11" s="341">
        <f t="shared" ca="1" si="13"/>
        <v>-73.509433962264154</v>
      </c>
      <c r="AG11" s="432">
        <f t="shared" ca="1" si="16"/>
        <v>10</v>
      </c>
      <c r="AH11" s="398"/>
    </row>
    <row r="12" spans="1:34" ht="15" customHeight="1">
      <c r="A12" s="244" t="s">
        <v>1369</v>
      </c>
      <c r="B12" s="107" t="s">
        <v>873</v>
      </c>
      <c r="C12" s="107">
        <v>7</v>
      </c>
      <c r="D12" s="108">
        <v>9</v>
      </c>
      <c r="E12" s="106">
        <v>11</v>
      </c>
      <c r="F12" s="235">
        <f t="shared" si="0"/>
        <v>27</v>
      </c>
      <c r="G12" s="235">
        <f>C13+D10+E11</f>
        <v>28</v>
      </c>
      <c r="H12" s="235">
        <f t="shared" si="1"/>
        <v>55</v>
      </c>
      <c r="I12" s="236">
        <f t="shared" si="2"/>
        <v>0.49090909090909091</v>
      </c>
      <c r="J12" s="424">
        <f t="shared" ca="1" si="23"/>
        <v>2</v>
      </c>
      <c r="K12" s="425" t="str">
        <f t="shared" ca="1" si="4"/>
        <v>D3-2</v>
      </c>
      <c r="L12" s="499" t="s">
        <v>230</v>
      </c>
      <c r="M12" s="218" t="str">
        <f t="shared" ca="1" si="5"/>
        <v>Amy George &amp; Gary Mulsow</v>
      </c>
      <c r="N12" s="421"/>
      <c r="O12" s="422"/>
      <c r="P12" s="242">
        <v>11</v>
      </c>
      <c r="Q12" s="243">
        <v>5</v>
      </c>
      <c r="R12" s="244">
        <v>7</v>
      </c>
      <c r="S12" s="245">
        <v>11</v>
      </c>
      <c r="T12" s="246"/>
      <c r="U12" s="243"/>
      <c r="V12" s="223">
        <f t="shared" ref="V12:W12" si="26">(N12+P12+R12+T12)</f>
        <v>18</v>
      </c>
      <c r="W12" s="223">
        <f t="shared" si="26"/>
        <v>16</v>
      </c>
      <c r="X12" s="223">
        <f t="shared" si="7"/>
        <v>34</v>
      </c>
      <c r="Y12" s="329"/>
      <c r="Z12" s="329" t="s">
        <v>882</v>
      </c>
      <c r="AA12" s="329" t="str">
        <f t="shared" ca="1" si="8"/>
        <v>D4-3</v>
      </c>
      <c r="AB12" s="329">
        <f t="shared" ca="1" si="9"/>
        <v>23</v>
      </c>
      <c r="AC12" s="329">
        <f t="shared" ca="1" si="10"/>
        <v>26</v>
      </c>
      <c r="AD12" s="329">
        <f t="shared" ca="1" si="11"/>
        <v>49</v>
      </c>
      <c r="AE12" s="360">
        <f t="shared" ca="1" si="12"/>
        <v>0.46938775510204084</v>
      </c>
      <c r="AF12" s="375">
        <f t="shared" ca="1" si="13"/>
        <v>-76.530612244897952</v>
      </c>
      <c r="AG12" s="446">
        <f t="shared" ca="1" si="16"/>
        <v>11</v>
      </c>
      <c r="AH12" s="398"/>
    </row>
    <row r="13" spans="1:34" ht="15" customHeight="1">
      <c r="A13" s="239" t="s">
        <v>1369</v>
      </c>
      <c r="B13" s="109" t="s">
        <v>881</v>
      </c>
      <c r="C13" s="109">
        <v>11</v>
      </c>
      <c r="D13" s="110">
        <v>11</v>
      </c>
      <c r="E13" s="111">
        <v>4</v>
      </c>
      <c r="F13" s="252">
        <f t="shared" si="0"/>
        <v>26</v>
      </c>
      <c r="G13" s="252">
        <f>C12+D11+E10</f>
        <v>27</v>
      </c>
      <c r="H13" s="252">
        <f t="shared" si="1"/>
        <v>53</v>
      </c>
      <c r="I13" s="253">
        <f t="shared" si="2"/>
        <v>0.49056603773584906</v>
      </c>
      <c r="J13" s="429">
        <f t="shared" ca="1" si="23"/>
        <v>3</v>
      </c>
      <c r="K13" s="430" t="str">
        <f t="shared" ca="1" si="4"/>
        <v>D3-3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1372</v>
      </c>
      <c r="AA13" s="337" t="str">
        <f t="shared" ca="1" si="8"/>
        <v>D1-3</v>
      </c>
      <c r="AB13" s="337">
        <f t="shared" ca="1" si="9"/>
        <v>22</v>
      </c>
      <c r="AC13" s="337">
        <f t="shared" ca="1" si="10"/>
        <v>32</v>
      </c>
      <c r="AD13" s="337">
        <f t="shared" ca="1" si="11"/>
        <v>54</v>
      </c>
      <c r="AE13" s="369">
        <f t="shared" ca="1" si="12"/>
        <v>0.40740740740740738</v>
      </c>
      <c r="AF13" s="401">
        <f t="shared" ca="1" si="13"/>
        <v>-77.592592592592595</v>
      </c>
      <c r="AG13" s="436">
        <f t="shared" ca="1" si="16"/>
        <v>12</v>
      </c>
      <c r="AH13" s="398"/>
    </row>
    <row r="14" spans="1:34" ht="15" customHeight="1">
      <c r="A14" s="217" t="s">
        <v>1371</v>
      </c>
      <c r="B14" s="107" t="s">
        <v>882</v>
      </c>
      <c r="C14" s="148">
        <v>5</v>
      </c>
      <c r="D14" s="165">
        <v>7</v>
      </c>
      <c r="E14" s="165">
        <v>11</v>
      </c>
      <c r="F14" s="213">
        <f t="shared" si="0"/>
        <v>23</v>
      </c>
      <c r="G14" s="213">
        <f>C15+D16+E17</f>
        <v>26</v>
      </c>
      <c r="H14" s="213">
        <f t="shared" si="1"/>
        <v>49</v>
      </c>
      <c r="I14" s="214">
        <f t="shared" si="2"/>
        <v>0.46938775510204084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18" t="str">
        <f t="shared" ca="1" si="5"/>
        <v>Mindy McCalla  &amp; Rob Hurtado</v>
      </c>
      <c r="N14" s="421"/>
      <c r="O14" s="422"/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4</v>
      </c>
      <c r="W14" s="223">
        <f t="shared" si="29"/>
        <v>11</v>
      </c>
      <c r="X14" s="223">
        <f t="shared" si="7"/>
        <v>15</v>
      </c>
      <c r="Y14" s="329"/>
      <c r="Z14" s="329" t="s">
        <v>868</v>
      </c>
      <c r="AA14" s="329" t="str">
        <f t="shared" ca="1" si="8"/>
        <v>D1-4</v>
      </c>
      <c r="AB14" s="329">
        <f t="shared" ca="1" si="9"/>
        <v>21</v>
      </c>
      <c r="AC14" s="329">
        <f t="shared" ca="1" si="10"/>
        <v>33</v>
      </c>
      <c r="AD14" s="329">
        <f t="shared" ca="1" si="11"/>
        <v>54</v>
      </c>
      <c r="AE14" s="360">
        <f t="shared" ca="1" si="12"/>
        <v>0.3888888888888889</v>
      </c>
      <c r="AF14" s="343">
        <f t="shared" ca="1" si="13"/>
        <v>-78.611111111111114</v>
      </c>
      <c r="AG14" s="435">
        <f t="shared" ca="1" si="16"/>
        <v>13</v>
      </c>
      <c r="AH14" s="398"/>
    </row>
    <row r="15" spans="1:34" ht="15" customHeight="1">
      <c r="A15" s="244" t="s">
        <v>1371</v>
      </c>
      <c r="B15" s="107" t="s">
        <v>1373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14</v>
      </c>
      <c r="H15" s="235">
        <f t="shared" si="1"/>
        <v>47</v>
      </c>
      <c r="I15" s="236">
        <f t="shared" si="2"/>
        <v>0.7021276595744681</v>
      </c>
      <c r="J15" s="424">
        <f t="shared" ca="1" si="28"/>
        <v>1</v>
      </c>
      <c r="K15" s="425" t="str">
        <f t="shared" ca="1" si="4"/>
        <v>D4-1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875</v>
      </c>
      <c r="AA15" s="329" t="str">
        <f t="shared" ca="1" si="8"/>
        <v>D2-4</v>
      </c>
      <c r="AB15" s="329">
        <f t="shared" ca="1" si="9"/>
        <v>18</v>
      </c>
      <c r="AC15" s="329">
        <f t="shared" ca="1" si="10"/>
        <v>29</v>
      </c>
      <c r="AD15" s="329">
        <f t="shared" ca="1" si="11"/>
        <v>47</v>
      </c>
      <c r="AE15" s="360">
        <f t="shared" ca="1" si="12"/>
        <v>0.38297872340425532</v>
      </c>
      <c r="AF15" s="341">
        <f t="shared" ca="1" si="13"/>
        <v>-81.61702127659575</v>
      </c>
      <c r="AG15" s="432">
        <f t="shared" ca="1" si="16"/>
        <v>14</v>
      </c>
      <c r="AH15" s="398"/>
    </row>
    <row r="16" spans="1:34" ht="15" customHeight="1">
      <c r="A16" s="244" t="s">
        <v>1371</v>
      </c>
      <c r="B16" s="107" t="s">
        <v>110</v>
      </c>
      <c r="C16" s="107">
        <v>11</v>
      </c>
      <c r="D16" s="108">
        <v>11</v>
      </c>
      <c r="E16" s="106">
        <v>9</v>
      </c>
      <c r="F16" s="235">
        <f t="shared" si="0"/>
        <v>31</v>
      </c>
      <c r="G16" s="235">
        <f>C17+D14+E15</f>
        <v>20</v>
      </c>
      <c r="H16" s="235">
        <f t="shared" si="1"/>
        <v>51</v>
      </c>
      <c r="I16" s="236">
        <f t="shared" si="2"/>
        <v>0.60784313725490191</v>
      </c>
      <c r="J16" s="424">
        <f t="shared" ca="1" si="28"/>
        <v>2</v>
      </c>
      <c r="K16" s="425" t="str">
        <f t="shared" ca="1" si="4"/>
        <v>D4-2</v>
      </c>
      <c r="L16" s="499" t="s">
        <v>218</v>
      </c>
      <c r="M16" s="450" t="str">
        <f t="shared" ca="1" si="5"/>
        <v>Thu Nguyen &amp; Eric Santon</v>
      </c>
      <c r="N16" s="421"/>
      <c r="O16" s="422"/>
      <c r="P16" s="242">
        <v>11</v>
      </c>
      <c r="Q16" s="243">
        <v>4</v>
      </c>
      <c r="R16" s="244">
        <v>11</v>
      </c>
      <c r="S16" s="245">
        <v>7</v>
      </c>
      <c r="T16" s="246">
        <v>10</v>
      </c>
      <c r="U16" s="243">
        <v>10</v>
      </c>
      <c r="V16" s="223">
        <f t="shared" ref="V16:W16" si="31">(N16+P16+R16+T16)</f>
        <v>32</v>
      </c>
      <c r="W16" s="223">
        <f t="shared" si="31"/>
        <v>21</v>
      </c>
      <c r="X16" s="223">
        <f t="shared" si="7"/>
        <v>53</v>
      </c>
      <c r="Y16" s="329"/>
      <c r="Z16" s="329" t="s">
        <v>879</v>
      </c>
      <c r="AA16" s="329" t="str">
        <f t="shared" ca="1" si="8"/>
        <v>D3-4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360">
        <f t="shared" ca="1" si="12"/>
        <v>0.34</v>
      </c>
      <c r="AF16" s="341">
        <f t="shared" ca="1" si="13"/>
        <v>-82.66</v>
      </c>
      <c r="AG16" s="432">
        <f t="shared" ca="1" si="16"/>
        <v>15</v>
      </c>
      <c r="AH16" s="398"/>
    </row>
    <row r="17" spans="1:34" ht="15" customHeight="1">
      <c r="A17" s="239" t="s">
        <v>1371</v>
      </c>
      <c r="B17" s="109" t="s">
        <v>884</v>
      </c>
      <c r="C17" s="109">
        <v>2</v>
      </c>
      <c r="D17" s="110">
        <v>0</v>
      </c>
      <c r="E17" s="111">
        <v>4</v>
      </c>
      <c r="F17" s="252">
        <f t="shared" si="0"/>
        <v>6</v>
      </c>
      <c r="G17" s="252">
        <f>C16+D15+E14</f>
        <v>33</v>
      </c>
      <c r="H17" s="252">
        <f t="shared" si="1"/>
        <v>39</v>
      </c>
      <c r="I17" s="253">
        <f t="shared" si="2"/>
        <v>0.15384615384615385</v>
      </c>
      <c r="J17" s="429">
        <f t="shared" ca="1" si="28"/>
        <v>4</v>
      </c>
      <c r="K17" s="430" t="str">
        <f t="shared" ca="1" si="4"/>
        <v>D4-4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884</v>
      </c>
      <c r="AA17" s="337" t="str">
        <f t="shared" ca="1" si="8"/>
        <v>D4-4</v>
      </c>
      <c r="AB17" s="337">
        <f t="shared" ca="1" si="9"/>
        <v>6</v>
      </c>
      <c r="AC17" s="337">
        <f t="shared" ca="1" si="10"/>
        <v>33</v>
      </c>
      <c r="AD17" s="337">
        <f t="shared" ca="1" si="11"/>
        <v>39</v>
      </c>
      <c r="AE17" s="369">
        <f t="shared" ca="1" si="12"/>
        <v>0.15384615384615385</v>
      </c>
      <c r="AF17" s="399">
        <f t="shared" ca="1" si="13"/>
        <v>-93.84615384615384</v>
      </c>
      <c r="AG17" s="431">
        <f t="shared" ca="1" si="16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135</v>
      </c>
      <c r="D19" s="289">
        <f t="shared" si="33"/>
        <v>132</v>
      </c>
      <c r="E19" s="289">
        <f>SUM(E2:E18)</f>
        <v>140</v>
      </c>
      <c r="F19" s="290">
        <f t="shared" ref="F19:G19" si="34">SUM(F2:F17)</f>
        <v>407</v>
      </c>
      <c r="G19" s="290">
        <f t="shared" si="34"/>
        <v>407</v>
      </c>
      <c r="H19" s="292">
        <f>SUM(H2:H17)/2</f>
        <v>407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65</v>
      </c>
      <c r="Q19" s="287">
        <f t="shared" si="35"/>
        <v>65</v>
      </c>
      <c r="R19" s="287">
        <f t="shared" si="35"/>
        <v>37</v>
      </c>
      <c r="S19" s="287">
        <f t="shared" si="35"/>
        <v>37</v>
      </c>
      <c r="T19" s="287">
        <f t="shared" si="35"/>
        <v>20</v>
      </c>
      <c r="U19" s="287">
        <f t="shared" si="35"/>
        <v>20</v>
      </c>
      <c r="V19" s="287">
        <f t="shared" si="35"/>
        <v>122</v>
      </c>
      <c r="W19" s="287">
        <f t="shared" si="35"/>
        <v>122</v>
      </c>
      <c r="X19" s="287">
        <f>SUM(X2:X17)/2</f>
        <v>122</v>
      </c>
      <c r="Y19" s="287"/>
      <c r="Z19" s="287"/>
      <c r="AA19" s="287"/>
      <c r="AB19" s="287">
        <f t="shared" ref="AB19:AD19" ca="1" si="36">SUM(AB2:AB17)/2</f>
        <v>264.5</v>
      </c>
      <c r="AC19" s="287">
        <f t="shared" ca="1" si="36"/>
        <v>264.5</v>
      </c>
      <c r="AD19" s="287">
        <f t="shared" ca="1" si="36"/>
        <v>529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50.875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2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87">
        <f ca="1">AVERAGE(AD2:AD17)</f>
        <v>66.125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0" priority="1" operator="equal">
      <formula>33</formula>
    </cfRule>
  </conditionalFormatting>
  <conditionalFormatting sqref="M2:U17">
    <cfRule type="expression" dxfId="49" priority="2">
      <formula>$T2&gt;U2</formula>
    </cfRule>
  </conditionalFormatting>
  <conditionalFormatting sqref="P2:Q17">
    <cfRule type="expression" dxfId="48" priority="3">
      <formula>$P2=11</formula>
    </cfRule>
  </conditionalFormatting>
  <conditionalFormatting sqref="R2:S17">
    <cfRule type="expression" dxfId="47" priority="4">
      <formula>$R2=11</formula>
    </cfRule>
  </conditionalFormatting>
  <hyperlinks>
    <hyperlink ref="A1" location="Champions!A1" display="Home" xr:uid="{00000000-0004-0000-1500-000000000000}"/>
    <hyperlink ref="AH1" location="Champions!A1" display="Home" xr:uid="{00000000-0004-0000-1500-000001000000}"/>
    <hyperlink ref="A19" location="Champions!A1" display="Home" xr:uid="{00000000-0004-0000-1500-000002000000}"/>
    <hyperlink ref="K19" location="Champions!A1" display="Home" xr:uid="{00000000-0004-0000-1500-000003000000}"/>
  </hyperlinks>
  <pageMargins left="0.7" right="0.7" top="0.75" bottom="0.75" header="0" footer="0"/>
  <pageSetup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30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31" customWidth="1"/>
    <col min="14" max="21" width="6.26953125" customWidth="1"/>
    <col min="22" max="24" width="7.7265625" customWidth="1"/>
    <col min="25" max="25" width="6.81640625" customWidth="1"/>
    <col min="26" max="26" width="30.81640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842</v>
      </c>
      <c r="C2" s="148">
        <v>1</v>
      </c>
      <c r="D2" s="165">
        <v>10</v>
      </c>
      <c r="E2" s="165">
        <v>4</v>
      </c>
      <c r="F2" s="213">
        <f t="shared" ref="F2:F17" si="0">SUM(C2:E2)</f>
        <v>15</v>
      </c>
      <c r="G2" s="213">
        <f>C3+D4+E5</f>
        <v>33</v>
      </c>
      <c r="H2" s="213">
        <f t="shared" ref="H2:H17" si="1">SUM(F2:G2)</f>
        <v>48</v>
      </c>
      <c r="I2" s="214">
        <f t="shared" ref="I2:I17" si="2">IFERROR(F2/H2,"")</f>
        <v>0.3125</v>
      </c>
      <c r="J2" s="445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499" t="s">
        <v>207</v>
      </c>
      <c r="M2" s="218" t="str">
        <f t="shared" ref="M2:M17" ca="1" si="5">IFERROR(INDEX($A$2:$K$17,MATCH(L2,$K$2:$K$17,0),2),)</f>
        <v>John Stauffer &amp; Troy Thomasson</v>
      </c>
      <c r="N2" s="421"/>
      <c r="O2" s="422"/>
      <c r="P2" s="220">
        <v>11</v>
      </c>
      <c r="Q2" s="221">
        <v>6</v>
      </c>
      <c r="R2" s="217">
        <v>4</v>
      </c>
      <c r="S2" s="219">
        <v>11</v>
      </c>
      <c r="T2" s="222"/>
      <c r="U2" s="221"/>
      <c r="V2" s="223">
        <f t="shared" ref="V2:W2" si="6">(N2+P2+R2+T2)</f>
        <v>15</v>
      </c>
      <c r="W2" s="223">
        <f t="shared" si="6"/>
        <v>17</v>
      </c>
      <c r="X2" s="223">
        <f t="shared" ref="X2:X17" si="7">V2+W2</f>
        <v>32</v>
      </c>
      <c r="Y2" s="329"/>
      <c r="Z2" s="329" t="s">
        <v>105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66</v>
      </c>
      <c r="AC2" s="329">
        <f t="shared" ref="AC2:AC17" ca="1" si="10">IFERROR((INDEX($A$2:$H$17,MATCH($Z2,$B$2:$B$17,0),7))+INDEX($M$2:$X$17,MATCH($Z2,$M$2:$M$17,0),11),INDEX($B$2:$G$17,MATCH($Z2,$B$2:$B$17,0),6))</f>
        <v>31</v>
      </c>
      <c r="AD2" s="329">
        <f t="shared" ref="AD2:AD17" ca="1" si="11">SUM(AB2:AC2)</f>
        <v>97</v>
      </c>
      <c r="AE2" s="236">
        <f t="shared" ref="AE2:AE17" ca="1" si="12">AB2/AD2</f>
        <v>0.68041237113402064</v>
      </c>
      <c r="AF2" s="330">
        <f t="shared" ref="AF2:AF17" ca="1" si="13">AE2-(100-AB2)</f>
        <v>-33.319587628865982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843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424">
        <f t="shared" ca="1" si="3"/>
        <v>1</v>
      </c>
      <c r="K3" s="425" t="str">
        <f t="shared" ca="1" si="4"/>
        <v>D1-1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106</v>
      </c>
      <c r="AA3" s="329" t="str">
        <f t="shared" ca="1" si="8"/>
        <v>D2-2</v>
      </c>
      <c r="AB3" s="329">
        <f t="shared" ca="1" si="9"/>
        <v>58</v>
      </c>
      <c r="AC3" s="329">
        <f t="shared" ca="1" si="10"/>
        <v>47</v>
      </c>
      <c r="AD3" s="329">
        <f t="shared" ca="1" si="11"/>
        <v>105</v>
      </c>
      <c r="AE3" s="236">
        <f t="shared" ca="1" si="12"/>
        <v>0.55238095238095242</v>
      </c>
      <c r="AF3" s="341">
        <f t="shared" ca="1" si="13"/>
        <v>-41.44761904761905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846</v>
      </c>
      <c r="C4" s="107">
        <v>4</v>
      </c>
      <c r="D4" s="108">
        <v>11</v>
      </c>
      <c r="E4" s="106">
        <v>4</v>
      </c>
      <c r="F4" s="235">
        <f t="shared" si="0"/>
        <v>19</v>
      </c>
      <c r="G4" s="235">
        <f>C5+D2+E3</f>
        <v>32</v>
      </c>
      <c r="H4" s="235">
        <f t="shared" si="1"/>
        <v>51</v>
      </c>
      <c r="I4" s="236">
        <f t="shared" si="2"/>
        <v>0.37254901960784315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Mike McGillicuddy &amp; Keith Campbell</v>
      </c>
      <c r="N4" s="421"/>
      <c r="O4" s="422"/>
      <c r="P4" s="242">
        <v>6</v>
      </c>
      <c r="Q4" s="243">
        <v>11</v>
      </c>
      <c r="R4" s="244"/>
      <c r="S4" s="245"/>
      <c r="T4" s="246"/>
      <c r="U4" s="243"/>
      <c r="V4" s="223">
        <f t="shared" ref="V4:W4" si="16">(N4+P4+R4+T4)</f>
        <v>6</v>
      </c>
      <c r="W4" s="223">
        <f t="shared" si="16"/>
        <v>11</v>
      </c>
      <c r="X4" s="223">
        <f t="shared" si="7"/>
        <v>17</v>
      </c>
      <c r="Y4" s="329"/>
      <c r="Z4" s="329" t="s">
        <v>860</v>
      </c>
      <c r="AA4" s="329" t="str">
        <f t="shared" ca="1" si="8"/>
        <v>D4-1</v>
      </c>
      <c r="AB4" s="329">
        <f t="shared" ca="1" si="9"/>
        <v>52</v>
      </c>
      <c r="AC4" s="329">
        <f t="shared" ca="1" si="10"/>
        <v>38</v>
      </c>
      <c r="AD4" s="329">
        <f t="shared" ca="1" si="11"/>
        <v>90</v>
      </c>
      <c r="AE4" s="236">
        <f t="shared" ca="1" si="12"/>
        <v>0.57777777777777772</v>
      </c>
      <c r="AF4" s="341">
        <f t="shared" ca="1" si="13"/>
        <v>-47.422222222222224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862</v>
      </c>
      <c r="C5" s="109">
        <v>11</v>
      </c>
      <c r="D5" s="110">
        <v>7</v>
      </c>
      <c r="E5" s="111">
        <v>11</v>
      </c>
      <c r="F5" s="252">
        <f t="shared" si="0"/>
        <v>29</v>
      </c>
      <c r="G5" s="252">
        <f>C4+D3+E2</f>
        <v>19</v>
      </c>
      <c r="H5" s="252">
        <f t="shared" si="1"/>
        <v>48</v>
      </c>
      <c r="I5" s="253">
        <f t="shared" si="2"/>
        <v>0.60416666666666663</v>
      </c>
      <c r="J5" s="429">
        <f t="shared" ca="1" si="3"/>
        <v>2</v>
      </c>
      <c r="K5" s="430" t="str">
        <f t="shared" ca="1" si="4"/>
        <v>D1-2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843</v>
      </c>
      <c r="AA5" s="337" t="str">
        <f t="shared" ca="1" si="8"/>
        <v>D1-1</v>
      </c>
      <c r="AB5" s="337">
        <f t="shared" ca="1" si="9"/>
        <v>48</v>
      </c>
      <c r="AC5" s="337">
        <f t="shared" ca="1" si="10"/>
        <v>29</v>
      </c>
      <c r="AD5" s="337">
        <f t="shared" ca="1" si="11"/>
        <v>77</v>
      </c>
      <c r="AE5" s="253">
        <f t="shared" ca="1" si="12"/>
        <v>0.62337662337662336</v>
      </c>
      <c r="AF5" s="338">
        <f t="shared" ca="1" si="13"/>
        <v>-51.376623376623378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850</v>
      </c>
      <c r="C6" s="148">
        <v>7</v>
      </c>
      <c r="D6" s="165">
        <v>9</v>
      </c>
      <c r="E6" s="165">
        <v>0</v>
      </c>
      <c r="F6" s="213">
        <f t="shared" si="0"/>
        <v>16</v>
      </c>
      <c r="G6" s="213">
        <f>C7+D8+E9</f>
        <v>33</v>
      </c>
      <c r="H6" s="213">
        <f t="shared" si="1"/>
        <v>49</v>
      </c>
      <c r="I6" s="214">
        <f t="shared" si="2"/>
        <v>0.32653061224489793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shared" ca="1" si="5"/>
        <v>Steve Schanker &amp; Maulik Nanavati</v>
      </c>
      <c r="N6" s="421"/>
      <c r="O6" s="422"/>
      <c r="P6" s="220">
        <v>11</v>
      </c>
      <c r="Q6" s="221">
        <v>8</v>
      </c>
      <c r="R6" s="244">
        <v>11</v>
      </c>
      <c r="S6" s="245">
        <v>4</v>
      </c>
      <c r="T6" s="246">
        <v>11</v>
      </c>
      <c r="U6" s="243">
        <v>10</v>
      </c>
      <c r="V6" s="223">
        <f t="shared" ref="V6:W6" si="19">(N6+P6+R6+T6)</f>
        <v>33</v>
      </c>
      <c r="W6" s="223">
        <f t="shared" si="19"/>
        <v>22</v>
      </c>
      <c r="X6" s="223">
        <f t="shared" si="7"/>
        <v>55</v>
      </c>
      <c r="Y6" s="340"/>
      <c r="Z6" s="340" t="s">
        <v>853</v>
      </c>
      <c r="AA6" s="340" t="str">
        <f t="shared" si="8"/>
        <v>D3-2</v>
      </c>
      <c r="AB6" s="340">
        <f t="shared" ca="1" si="9"/>
        <v>39</v>
      </c>
      <c r="AC6" s="340">
        <f t="shared" ca="1" si="10"/>
        <v>41</v>
      </c>
      <c r="AD6" s="340">
        <f t="shared" ca="1" si="11"/>
        <v>80</v>
      </c>
      <c r="AE6" s="214">
        <f t="shared" ca="1" si="12"/>
        <v>0.48749999999999999</v>
      </c>
      <c r="AF6" s="341">
        <f t="shared" ca="1" si="13"/>
        <v>-60.512500000000003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852</v>
      </c>
      <c r="C7" s="105">
        <v>11</v>
      </c>
      <c r="D7" s="106">
        <v>1</v>
      </c>
      <c r="E7" s="106">
        <v>2</v>
      </c>
      <c r="F7" s="235">
        <f t="shared" si="0"/>
        <v>14</v>
      </c>
      <c r="G7" s="235">
        <f>C6+D9+E8</f>
        <v>25</v>
      </c>
      <c r="H7" s="235">
        <f t="shared" si="1"/>
        <v>39</v>
      </c>
      <c r="I7" s="236">
        <f t="shared" si="2"/>
        <v>0.35897435897435898</v>
      </c>
      <c r="J7" s="424">
        <f t="shared" ca="1" si="18"/>
        <v>4</v>
      </c>
      <c r="K7" s="425" t="str">
        <f t="shared" ca="1" si="4"/>
        <v>D2-4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862</v>
      </c>
      <c r="AA7" s="329" t="str">
        <f t="shared" ca="1" si="8"/>
        <v>D1-2</v>
      </c>
      <c r="AB7" s="329">
        <f t="shared" ca="1" si="9"/>
        <v>37</v>
      </c>
      <c r="AC7" s="329">
        <f t="shared" ca="1" si="10"/>
        <v>30</v>
      </c>
      <c r="AD7" s="329">
        <f t="shared" ca="1" si="11"/>
        <v>67</v>
      </c>
      <c r="AE7" s="236">
        <f t="shared" ca="1" si="12"/>
        <v>0.55223880597014929</v>
      </c>
      <c r="AF7" s="341">
        <f t="shared" ca="1" si="13"/>
        <v>-62.447761194029852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106</v>
      </c>
      <c r="C8" s="107">
        <v>8</v>
      </c>
      <c r="D8" s="108">
        <v>11</v>
      </c>
      <c r="E8" s="106">
        <v>7</v>
      </c>
      <c r="F8" s="235">
        <f t="shared" si="0"/>
        <v>26</v>
      </c>
      <c r="G8" s="235">
        <f>C9+D6+E7</f>
        <v>22</v>
      </c>
      <c r="H8" s="235">
        <f t="shared" si="1"/>
        <v>48</v>
      </c>
      <c r="I8" s="236">
        <f t="shared" si="2"/>
        <v>0.54166666666666663</v>
      </c>
      <c r="J8" s="424">
        <f t="shared" ca="1" si="18"/>
        <v>2</v>
      </c>
      <c r="K8" s="425" t="str">
        <f t="shared" ca="1" si="4"/>
        <v>D2-2</v>
      </c>
      <c r="L8" s="499" t="s">
        <v>253</v>
      </c>
      <c r="M8" s="218" t="str">
        <f t="shared" ca="1" si="5"/>
        <v>Justin Hoffman &amp; Spencer Terpstra</v>
      </c>
      <c r="N8" s="421"/>
      <c r="O8" s="422"/>
      <c r="P8" s="242">
        <v>8</v>
      </c>
      <c r="Q8" s="243">
        <v>11</v>
      </c>
      <c r="R8" s="244"/>
      <c r="S8" s="245"/>
      <c r="T8" s="246"/>
      <c r="U8" s="243"/>
      <c r="V8" s="223">
        <f t="shared" ref="V8:W8" si="21">(N8+P8+R8+T8)</f>
        <v>8</v>
      </c>
      <c r="W8" s="223">
        <f t="shared" si="21"/>
        <v>11</v>
      </c>
      <c r="X8" s="223">
        <f t="shared" si="7"/>
        <v>19</v>
      </c>
      <c r="Y8" s="329"/>
      <c r="Z8" s="329" t="s">
        <v>854</v>
      </c>
      <c r="AA8" s="329" t="str">
        <f t="shared" ca="1" si="8"/>
        <v>D3-1</v>
      </c>
      <c r="AB8" s="329">
        <f t="shared" ca="1" si="9"/>
        <v>37</v>
      </c>
      <c r="AC8" s="329">
        <f t="shared" ca="1" si="10"/>
        <v>37</v>
      </c>
      <c r="AD8" s="329">
        <f t="shared" ca="1" si="11"/>
        <v>74</v>
      </c>
      <c r="AE8" s="236">
        <f t="shared" ca="1" si="12"/>
        <v>0.5</v>
      </c>
      <c r="AF8" s="333">
        <f t="shared" ca="1" si="13"/>
        <v>-62.5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105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9</v>
      </c>
      <c r="H9" s="252">
        <f t="shared" si="1"/>
        <v>42</v>
      </c>
      <c r="I9" s="253">
        <f t="shared" si="2"/>
        <v>0.7857142857142857</v>
      </c>
      <c r="J9" s="429">
        <f t="shared" ca="1" si="18"/>
        <v>1</v>
      </c>
      <c r="K9" s="430" t="str">
        <f t="shared" ca="1" si="4"/>
        <v>D2-1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847</v>
      </c>
      <c r="AA9" s="337" t="str">
        <f t="shared" ca="1" si="8"/>
        <v>D4-2</v>
      </c>
      <c r="AB9" s="337">
        <f t="shared" ca="1" si="9"/>
        <v>35</v>
      </c>
      <c r="AC9" s="337">
        <f t="shared" ca="1" si="10"/>
        <v>32</v>
      </c>
      <c r="AD9" s="337">
        <f t="shared" ca="1" si="11"/>
        <v>67</v>
      </c>
      <c r="AE9" s="253">
        <f t="shared" ca="1" si="12"/>
        <v>0.52238805970149249</v>
      </c>
      <c r="AF9" s="338">
        <f t="shared" ca="1" si="13"/>
        <v>-64.477611940298502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853</v>
      </c>
      <c r="C10" s="148">
        <v>9</v>
      </c>
      <c r="D10" s="165">
        <v>11</v>
      </c>
      <c r="E10" s="165">
        <v>11</v>
      </c>
      <c r="F10" s="213">
        <f t="shared" si="0"/>
        <v>31</v>
      </c>
      <c r="G10" s="213">
        <f>C11+D12+E13</f>
        <v>30</v>
      </c>
      <c r="H10" s="213">
        <f t="shared" si="1"/>
        <v>61</v>
      </c>
      <c r="I10" s="214">
        <f t="shared" si="2"/>
        <v>0.50819672131147542</v>
      </c>
      <c r="J10" s="424">
        <v>2</v>
      </c>
      <c r="K10" s="419" t="str">
        <f t="shared" si="4"/>
        <v>D3-2</v>
      </c>
      <c r="L10" s="499" t="s">
        <v>243</v>
      </c>
      <c r="M10" s="218" t="str">
        <f t="shared" ca="1" si="5"/>
        <v>Curtis Stoneman &amp; Armando Reyes</v>
      </c>
      <c r="N10" s="421"/>
      <c r="O10" s="422"/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6</v>
      </c>
      <c r="W10" s="223">
        <f t="shared" si="23"/>
        <v>11</v>
      </c>
      <c r="X10" s="223">
        <f t="shared" si="7"/>
        <v>17</v>
      </c>
      <c r="Y10" s="329"/>
      <c r="Z10" s="329" t="s">
        <v>855</v>
      </c>
      <c r="AA10" s="329" t="str">
        <f t="shared" ca="1" si="8"/>
        <v>D3-3</v>
      </c>
      <c r="AB10" s="329">
        <f t="shared" ca="1" si="9"/>
        <v>28</v>
      </c>
      <c r="AC10" s="329">
        <f t="shared" ca="1" si="10"/>
        <v>23</v>
      </c>
      <c r="AD10" s="329">
        <f t="shared" ca="1" si="11"/>
        <v>51</v>
      </c>
      <c r="AE10" s="236">
        <f t="shared" ca="1" si="12"/>
        <v>0.5490196078431373</v>
      </c>
      <c r="AF10" s="341">
        <f t="shared" ca="1" si="13"/>
        <v>-71.450980392156865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855</v>
      </c>
      <c r="C11" s="105">
        <v>11</v>
      </c>
      <c r="D11" s="106">
        <v>6</v>
      </c>
      <c r="E11" s="106">
        <v>11</v>
      </c>
      <c r="F11" s="235">
        <f t="shared" si="0"/>
        <v>28</v>
      </c>
      <c r="G11" s="235">
        <f>C10+D13+E12</f>
        <v>23</v>
      </c>
      <c r="H11" s="235">
        <f t="shared" si="1"/>
        <v>51</v>
      </c>
      <c r="I11" s="236">
        <f t="shared" si="2"/>
        <v>0.5490196078431373</v>
      </c>
      <c r="J11" s="424">
        <f t="shared" ref="J11:J13" ca="1" si="24">IFERROR(RANK(F11,OFFSET($F$10,0,0,COUNTA($F$10:$F$13),1)),)</f>
        <v>3</v>
      </c>
      <c r="K11" s="425" t="str">
        <f t="shared" ca="1" si="4"/>
        <v>D3-3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859</v>
      </c>
      <c r="AA11" s="329" t="str">
        <f t="shared" ca="1" si="8"/>
        <v>D4-3</v>
      </c>
      <c r="AB11" s="329">
        <f t="shared" ca="1" si="9"/>
        <v>25</v>
      </c>
      <c r="AC11" s="329">
        <f t="shared" ca="1" si="10"/>
        <v>33</v>
      </c>
      <c r="AD11" s="329">
        <f t="shared" ca="1" si="11"/>
        <v>58</v>
      </c>
      <c r="AE11" s="236">
        <f t="shared" ca="1" si="12"/>
        <v>0.43103448275862066</v>
      </c>
      <c r="AF11" s="341">
        <f t="shared" ca="1" si="13"/>
        <v>-74.568965517241381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856</v>
      </c>
      <c r="C12" s="107">
        <v>9</v>
      </c>
      <c r="D12" s="108">
        <v>10</v>
      </c>
      <c r="E12" s="106">
        <v>3</v>
      </c>
      <c r="F12" s="235">
        <f t="shared" si="0"/>
        <v>22</v>
      </c>
      <c r="G12" s="235">
        <f>C13+D10+E11</f>
        <v>33</v>
      </c>
      <c r="H12" s="235">
        <f t="shared" si="1"/>
        <v>55</v>
      </c>
      <c r="I12" s="236">
        <f t="shared" si="2"/>
        <v>0.4</v>
      </c>
      <c r="J12" s="424">
        <f t="shared" ca="1" si="24"/>
        <v>4</v>
      </c>
      <c r="K12" s="425" t="str">
        <f t="shared" ca="1" si="4"/>
        <v>D3-4</v>
      </c>
      <c r="L12" s="499" t="s">
        <v>230</v>
      </c>
      <c r="M12" s="218" t="str">
        <f t="shared" ca="1" si="5"/>
        <v>Irwin Don &amp; Roy True</v>
      </c>
      <c r="N12" s="421"/>
      <c r="O12" s="422"/>
      <c r="P12" s="242">
        <v>11</v>
      </c>
      <c r="Q12" s="243">
        <v>6</v>
      </c>
      <c r="R12" s="244">
        <v>11</v>
      </c>
      <c r="S12" s="245">
        <v>8</v>
      </c>
      <c r="T12" s="246">
        <v>10</v>
      </c>
      <c r="U12" s="243">
        <v>11</v>
      </c>
      <c r="V12" s="223">
        <f t="shared" ref="V12:W12" si="26">(N12+P12+R12+T12)</f>
        <v>32</v>
      </c>
      <c r="W12" s="223">
        <f t="shared" si="26"/>
        <v>25</v>
      </c>
      <c r="X12" s="223">
        <f t="shared" si="7"/>
        <v>57</v>
      </c>
      <c r="Y12" s="329"/>
      <c r="Z12" s="329" t="s">
        <v>856</v>
      </c>
      <c r="AA12" s="329" t="str">
        <f t="shared" ca="1" si="8"/>
        <v>D3-4</v>
      </c>
      <c r="AB12" s="329">
        <f t="shared" ca="1" si="9"/>
        <v>22</v>
      </c>
      <c r="AC12" s="329">
        <f t="shared" ca="1" si="10"/>
        <v>33</v>
      </c>
      <c r="AD12" s="329">
        <f t="shared" ca="1" si="11"/>
        <v>55</v>
      </c>
      <c r="AE12" s="236">
        <f t="shared" ca="1" si="12"/>
        <v>0.4</v>
      </c>
      <c r="AF12" s="375">
        <f t="shared" ca="1" si="13"/>
        <v>-77.599999999999994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854</v>
      </c>
      <c r="C13" s="109">
        <v>11</v>
      </c>
      <c r="D13" s="110">
        <v>11</v>
      </c>
      <c r="E13" s="111">
        <v>9</v>
      </c>
      <c r="F13" s="252">
        <f t="shared" si="0"/>
        <v>31</v>
      </c>
      <c r="G13" s="252">
        <f>C12+D11+E10</f>
        <v>26</v>
      </c>
      <c r="H13" s="252">
        <f t="shared" si="1"/>
        <v>57</v>
      </c>
      <c r="I13" s="253">
        <f t="shared" si="2"/>
        <v>0.54385964912280704</v>
      </c>
      <c r="J13" s="429">
        <f t="shared" ca="1" si="24"/>
        <v>1</v>
      </c>
      <c r="K13" s="430" t="str">
        <f t="shared" ca="1" si="4"/>
        <v>D3-1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846</v>
      </c>
      <c r="AA13" s="337" t="str">
        <f t="shared" ca="1" si="8"/>
        <v>D1-3</v>
      </c>
      <c r="AB13" s="337">
        <f t="shared" ca="1" si="9"/>
        <v>19</v>
      </c>
      <c r="AC13" s="337">
        <f t="shared" ca="1" si="10"/>
        <v>32</v>
      </c>
      <c r="AD13" s="337">
        <f t="shared" ca="1" si="11"/>
        <v>51</v>
      </c>
      <c r="AE13" s="253">
        <f t="shared" ca="1" si="12"/>
        <v>0.37254901960784315</v>
      </c>
      <c r="AF13" s="401">
        <f t="shared" ca="1" si="13"/>
        <v>-80.627450980392155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859</v>
      </c>
      <c r="C14" s="148">
        <v>7</v>
      </c>
      <c r="D14" s="165">
        <v>9</v>
      </c>
      <c r="E14" s="165">
        <v>9</v>
      </c>
      <c r="F14" s="213">
        <f t="shared" si="0"/>
        <v>25</v>
      </c>
      <c r="G14" s="213">
        <f>C15+D16+E17</f>
        <v>33</v>
      </c>
      <c r="H14" s="213">
        <f t="shared" si="1"/>
        <v>58</v>
      </c>
      <c r="I14" s="214">
        <f t="shared" si="2"/>
        <v>0.43103448275862066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18" t="str">
        <f t="shared" ca="1" si="5"/>
        <v>Jeff stockham &amp; Jack Zupan</v>
      </c>
      <c r="N14" s="421"/>
      <c r="O14" s="422"/>
      <c r="P14" s="220">
        <v>11</v>
      </c>
      <c r="Q14" s="221">
        <v>8</v>
      </c>
      <c r="R14" s="244">
        <v>8</v>
      </c>
      <c r="S14" s="245">
        <v>11</v>
      </c>
      <c r="T14" s="246"/>
      <c r="U14" s="243"/>
      <c r="V14" s="223">
        <f t="shared" ref="V14:W14" si="29">(N14+P14+R14+T14)</f>
        <v>19</v>
      </c>
      <c r="W14" s="223">
        <f t="shared" si="29"/>
        <v>19</v>
      </c>
      <c r="X14" s="223">
        <f t="shared" si="7"/>
        <v>38</v>
      </c>
      <c r="Y14" s="329"/>
      <c r="Z14" s="329" t="s">
        <v>864</v>
      </c>
      <c r="AA14" s="329" t="str">
        <f t="shared" ca="1" si="8"/>
        <v>D4-4</v>
      </c>
      <c r="AB14" s="329">
        <f t="shared" ca="1" si="9"/>
        <v>17</v>
      </c>
      <c r="AC14" s="329">
        <f t="shared" ca="1" si="10"/>
        <v>31</v>
      </c>
      <c r="AD14" s="329">
        <f t="shared" ca="1" si="11"/>
        <v>48</v>
      </c>
      <c r="AE14" s="236">
        <f t="shared" ca="1" si="12"/>
        <v>0.35416666666666669</v>
      </c>
      <c r="AF14" s="375">
        <f t="shared" ca="1" si="13"/>
        <v>-82.645833333333329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847</v>
      </c>
      <c r="C15" s="105">
        <v>11</v>
      </c>
      <c r="D15" s="106">
        <v>11</v>
      </c>
      <c r="E15" s="106">
        <v>7</v>
      </c>
      <c r="F15" s="235">
        <f t="shared" si="0"/>
        <v>29</v>
      </c>
      <c r="G15" s="235">
        <f>C14+D17+E16</f>
        <v>21</v>
      </c>
      <c r="H15" s="235">
        <f t="shared" si="1"/>
        <v>50</v>
      </c>
      <c r="I15" s="236">
        <f t="shared" si="2"/>
        <v>0.57999999999999996</v>
      </c>
      <c r="J15" s="424">
        <f t="shared" ca="1" si="28"/>
        <v>2</v>
      </c>
      <c r="K15" s="425" t="str">
        <f t="shared" ca="1" si="4"/>
        <v>D4-2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850</v>
      </c>
      <c r="AA15" s="329" t="str">
        <f t="shared" ca="1" si="8"/>
        <v>D2-3</v>
      </c>
      <c r="AB15" s="329">
        <f t="shared" ca="1" si="9"/>
        <v>16</v>
      </c>
      <c r="AC15" s="329">
        <f t="shared" ca="1" si="10"/>
        <v>33</v>
      </c>
      <c r="AD15" s="329">
        <f t="shared" ca="1" si="11"/>
        <v>49</v>
      </c>
      <c r="AE15" s="236">
        <f t="shared" ca="1" si="12"/>
        <v>0.32653061224489793</v>
      </c>
      <c r="AF15" s="341">
        <f t="shared" ca="1" si="13"/>
        <v>-83.673469387755105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860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19</v>
      </c>
      <c r="H16" s="235">
        <f t="shared" si="1"/>
        <v>52</v>
      </c>
      <c r="I16" s="236">
        <f t="shared" si="2"/>
        <v>0.63461538461538458</v>
      </c>
      <c r="J16" s="424">
        <f t="shared" ca="1" si="28"/>
        <v>1</v>
      </c>
      <c r="K16" s="425" t="str">
        <f t="shared" ca="1" si="4"/>
        <v>D4-1</v>
      </c>
      <c r="L16" s="499" t="s">
        <v>218</v>
      </c>
      <c r="M16" s="437" t="str">
        <f t="shared" ca="1" si="5"/>
        <v>Scott Siemers &amp; Christopher P. Elmore</v>
      </c>
      <c r="N16" s="421"/>
      <c r="O16" s="422"/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8</v>
      </c>
      <c r="W16" s="223">
        <f t="shared" si="31"/>
        <v>11</v>
      </c>
      <c r="X16" s="223">
        <f t="shared" si="7"/>
        <v>19</v>
      </c>
      <c r="Y16" s="329"/>
      <c r="Z16" s="329" t="s">
        <v>842</v>
      </c>
      <c r="AA16" s="329" t="str">
        <f t="shared" ca="1" si="8"/>
        <v>D1-4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360">
        <f t="shared" ca="1" si="12"/>
        <v>0.3125</v>
      </c>
      <c r="AF16" s="341">
        <f t="shared" ca="1" si="13"/>
        <v>-84.6875</v>
      </c>
      <c r="AG16" s="428">
        <f t="shared" ca="1" si="14"/>
        <v>15</v>
      </c>
      <c r="AH16" s="398"/>
    </row>
    <row r="17" spans="1:34" ht="15" customHeight="1">
      <c r="A17" s="239" t="s">
        <v>1371</v>
      </c>
      <c r="B17" s="109" t="s">
        <v>864</v>
      </c>
      <c r="C17" s="109">
        <v>3</v>
      </c>
      <c r="D17" s="110">
        <v>3</v>
      </c>
      <c r="E17" s="111">
        <v>11</v>
      </c>
      <c r="F17" s="252">
        <f t="shared" si="0"/>
        <v>17</v>
      </c>
      <c r="G17" s="252">
        <f>C16+D15+E14</f>
        <v>31</v>
      </c>
      <c r="H17" s="252">
        <f t="shared" si="1"/>
        <v>48</v>
      </c>
      <c r="I17" s="253">
        <f t="shared" si="2"/>
        <v>0.35416666666666669</v>
      </c>
      <c r="J17" s="429">
        <f t="shared" ca="1" si="28"/>
        <v>4</v>
      </c>
      <c r="K17" s="430" t="str">
        <f t="shared" ca="1" si="4"/>
        <v>D4-4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852</v>
      </c>
      <c r="AA17" s="337" t="str">
        <f t="shared" ca="1" si="8"/>
        <v>D2-4</v>
      </c>
      <c r="AB17" s="337">
        <f t="shared" ca="1" si="9"/>
        <v>14</v>
      </c>
      <c r="AC17" s="337">
        <f t="shared" ca="1" si="10"/>
        <v>25</v>
      </c>
      <c r="AD17" s="337">
        <f t="shared" ca="1" si="11"/>
        <v>39</v>
      </c>
      <c r="AE17" s="253">
        <f t="shared" ca="1" si="12"/>
        <v>0.35897435897435898</v>
      </c>
      <c r="AF17" s="338">
        <f t="shared" ca="1" si="13"/>
        <v>-85.641025641025635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136</v>
      </c>
      <c r="D19" s="289">
        <f t="shared" si="33"/>
        <v>143</v>
      </c>
      <c r="E19" s="289">
        <f>SUM(E2:E18)</f>
        <v>122</v>
      </c>
      <c r="F19" s="290">
        <f t="shared" ref="F19:G19" si="34">SUM(F2:F17)</f>
        <v>401</v>
      </c>
      <c r="G19" s="290">
        <f t="shared" si="34"/>
        <v>401</v>
      </c>
      <c r="H19" s="292">
        <f>SUM(H2:H17)/2</f>
        <v>401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72</v>
      </c>
      <c r="Q19" s="287">
        <f t="shared" si="35"/>
        <v>72</v>
      </c>
      <c r="R19" s="287">
        <f t="shared" si="35"/>
        <v>34</v>
      </c>
      <c r="S19" s="287">
        <f t="shared" si="35"/>
        <v>34</v>
      </c>
      <c r="T19" s="287">
        <f t="shared" si="35"/>
        <v>21</v>
      </c>
      <c r="U19" s="287">
        <f t="shared" si="35"/>
        <v>21</v>
      </c>
      <c r="V19" s="287">
        <f t="shared" si="35"/>
        <v>127</v>
      </c>
      <c r="W19" s="287">
        <f t="shared" si="35"/>
        <v>127</v>
      </c>
      <c r="X19" s="287">
        <f>SUM(X2:X17)/2</f>
        <v>127</v>
      </c>
      <c r="Y19" s="287"/>
      <c r="Z19" s="287"/>
      <c r="AA19" s="287"/>
      <c r="AB19" s="287">
        <f t="shared" ref="AB19:AD19" ca="1" si="36">SUM(AB2:AB17)/2</f>
        <v>264</v>
      </c>
      <c r="AC19" s="287">
        <f t="shared" ca="1" si="36"/>
        <v>264</v>
      </c>
      <c r="AD19" s="287">
        <f t="shared" ca="1" si="36"/>
        <v>528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0</v>
      </c>
      <c r="D20" s="326">
        <f t="shared" si="37"/>
        <v>2</v>
      </c>
      <c r="E20" s="326">
        <f t="shared" si="37"/>
        <v>0</v>
      </c>
      <c r="F20" s="296"/>
      <c r="G20" s="296"/>
      <c r="H20" s="297">
        <f>AVERAGE(H2:H17)</f>
        <v>50.125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66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6" priority="4" operator="equal">
      <formula>33</formula>
    </cfRule>
  </conditionalFormatting>
  <conditionalFormatting sqref="M2:U17">
    <cfRule type="expression" dxfId="45" priority="1">
      <formula>$T2&gt;U2</formula>
    </cfRule>
  </conditionalFormatting>
  <conditionalFormatting sqref="P2:Q17">
    <cfRule type="expression" dxfId="44" priority="2">
      <formula>$P2=11</formula>
    </cfRule>
  </conditionalFormatting>
  <conditionalFormatting sqref="R2:S17">
    <cfRule type="expression" dxfId="43" priority="3">
      <formula>$R2=11</formula>
    </cfRule>
  </conditionalFormatting>
  <hyperlinks>
    <hyperlink ref="A1" location="Champions!A1" display="Home" xr:uid="{00000000-0004-0000-1600-000000000000}"/>
    <hyperlink ref="AH1" location="Champions!A1" display="Home" xr:uid="{00000000-0004-0000-1600-000001000000}"/>
    <hyperlink ref="A19" location="Champions!A1" display="Home" xr:uid="{00000000-0004-0000-1600-000002000000}"/>
    <hyperlink ref="K19" location="Champions!A1" display="Home" xr:uid="{00000000-0004-0000-1600-000003000000}"/>
  </hyperlinks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828</v>
      </c>
      <c r="C2" s="148">
        <v>11</v>
      </c>
      <c r="D2" s="165">
        <v>11</v>
      </c>
      <c r="E2" s="165">
        <v>9</v>
      </c>
      <c r="F2" s="213">
        <f t="shared" ref="F2:F17" si="0">SUM(C2:E2)</f>
        <v>31</v>
      </c>
      <c r="G2" s="213">
        <f>C3+D4+E5</f>
        <v>23</v>
      </c>
      <c r="H2" s="213">
        <f t="shared" ref="H2:H17" si="1">SUM(F2:G2)</f>
        <v>54</v>
      </c>
      <c r="I2" s="214">
        <f t="shared" ref="I2:I17" si="2">IFERROR(F2/H2,"")</f>
        <v>0.57407407407407407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499" t="s">
        <v>207</v>
      </c>
      <c r="M2" s="218" t="str">
        <f t="shared" ref="M2:M17" ca="1" si="5">IFERROR(INDEX($A$2:$K$17,MATCH(L2,$K$2:$K$17,0),2),)</f>
        <v>Shanna Loyd &amp; Dale Wooderson</v>
      </c>
      <c r="N2" s="421"/>
      <c r="O2" s="422"/>
      <c r="P2" s="220">
        <v>6</v>
      </c>
      <c r="Q2" s="221">
        <v>11</v>
      </c>
      <c r="R2" s="217"/>
      <c r="S2" s="219"/>
      <c r="T2" s="222"/>
      <c r="U2" s="221"/>
      <c r="V2" s="223">
        <f t="shared" ref="V2:W2" si="6">(N2+P2+R2+T2)</f>
        <v>6</v>
      </c>
      <c r="W2" s="223">
        <f t="shared" si="6"/>
        <v>11</v>
      </c>
      <c r="X2" s="223">
        <f t="shared" ref="X2:X17" si="7">V2+W2</f>
        <v>17</v>
      </c>
      <c r="Y2" s="329"/>
      <c r="Z2" s="329" t="s">
        <v>102</v>
      </c>
      <c r="AA2" s="329" t="str">
        <f t="shared" ref="AA2:AA17" ca="1" si="8">IFERROR(INDEX($A$2:$K$17,MATCH(Z2,$B$2:$B$17,0),11),)</f>
        <v>D4-1</v>
      </c>
      <c r="AB2" s="329">
        <f t="shared" ref="AB2:AB17" ca="1" si="9">IFERROR((INDEX($A$2:$H$17,MATCH($Z2,$B$2:$B$17,0),6))+INDEX($M$2:$X$17,MATCH($Z2,$M$2:$M$17,0),10),INDEX($B$2:$G$17,MATCH($Z2,$B$2:$B$17,0),5))</f>
        <v>73</v>
      </c>
      <c r="AC2" s="329">
        <f t="shared" ref="AC2:AC17" ca="1" si="10">IFERROR((INDEX($A$2:$H$17,MATCH($Z2,$B$2:$B$17,0),7))+INDEX($M$2:$X$17,MATCH($Z2,$M$2:$M$17,0),11),INDEX($B$2:$G$17,MATCH($Z2,$B$2:$B$17,0),6))</f>
        <v>40</v>
      </c>
      <c r="AD2" s="329">
        <f t="shared" ref="AD2:AD17" ca="1" si="11">SUM(AB2:AC2)</f>
        <v>113</v>
      </c>
      <c r="AE2" s="236">
        <f t="shared" ref="AE2:AE17" ca="1" si="12">AB2/AD2</f>
        <v>0.64601769911504425</v>
      </c>
      <c r="AF2" s="330">
        <f t="shared" ref="AF2:AF17" ca="1" si="13">AE2-(100-AB2)</f>
        <v>-26.353982300884955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830</v>
      </c>
      <c r="C3" s="105">
        <v>6</v>
      </c>
      <c r="D3" s="106">
        <v>7</v>
      </c>
      <c r="E3" s="106">
        <v>11</v>
      </c>
      <c r="F3" s="235">
        <f t="shared" si="0"/>
        <v>24</v>
      </c>
      <c r="G3" s="235">
        <f>C2+D5+E4</f>
        <v>26</v>
      </c>
      <c r="H3" s="235">
        <f t="shared" si="1"/>
        <v>50</v>
      </c>
      <c r="I3" s="236">
        <f t="shared" si="2"/>
        <v>0.48</v>
      </c>
      <c r="J3" s="424">
        <f t="shared" ca="1" si="3"/>
        <v>3</v>
      </c>
      <c r="K3" s="425" t="str">
        <f t="shared" ca="1" si="4"/>
        <v>D1-3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103</v>
      </c>
      <c r="AA3" s="329" t="str">
        <f t="shared" ca="1" si="8"/>
        <v>D2-1</v>
      </c>
      <c r="AB3" s="329">
        <f t="shared" ca="1" si="9"/>
        <v>67</v>
      </c>
      <c r="AC3" s="329">
        <f t="shared" ca="1" si="10"/>
        <v>39</v>
      </c>
      <c r="AD3" s="329">
        <f t="shared" ca="1" si="11"/>
        <v>106</v>
      </c>
      <c r="AE3" s="236">
        <f t="shared" ca="1" si="12"/>
        <v>0.63207547169811318</v>
      </c>
      <c r="AF3" s="341">
        <f t="shared" ca="1" si="13"/>
        <v>-32.367924528301884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831</v>
      </c>
      <c r="C4" s="107">
        <v>10</v>
      </c>
      <c r="D4" s="108">
        <v>6</v>
      </c>
      <c r="E4" s="106">
        <v>4</v>
      </c>
      <c r="F4" s="235">
        <f t="shared" si="0"/>
        <v>20</v>
      </c>
      <c r="G4" s="235">
        <f>C5+D2+E3</f>
        <v>33</v>
      </c>
      <c r="H4" s="235">
        <f t="shared" si="1"/>
        <v>53</v>
      </c>
      <c r="I4" s="236">
        <f t="shared" si="2"/>
        <v>0.37735849056603776</v>
      </c>
      <c r="J4" s="424">
        <f t="shared" ca="1" si="3"/>
        <v>4</v>
      </c>
      <c r="K4" s="425" t="str">
        <f t="shared" ca="1" si="4"/>
        <v>D1-4</v>
      </c>
      <c r="L4" s="499" t="s">
        <v>265</v>
      </c>
      <c r="M4" s="218" t="str">
        <f t="shared" ca="1" si="5"/>
        <v>Katy Gondring &amp; Keith August</v>
      </c>
      <c r="N4" s="421"/>
      <c r="O4" s="422"/>
      <c r="P4" s="242">
        <v>11</v>
      </c>
      <c r="Q4" s="243">
        <v>6</v>
      </c>
      <c r="R4" s="244">
        <v>7</v>
      </c>
      <c r="S4" s="245">
        <v>11</v>
      </c>
      <c r="T4" s="246"/>
      <c r="U4" s="243"/>
      <c r="V4" s="223">
        <f t="shared" ref="V4:W4" si="16">(N4+P4+R4+T4)</f>
        <v>18</v>
      </c>
      <c r="W4" s="223">
        <f t="shared" si="16"/>
        <v>17</v>
      </c>
      <c r="X4" s="223">
        <f t="shared" si="7"/>
        <v>35</v>
      </c>
      <c r="Y4" s="329"/>
      <c r="Z4" s="329" t="s">
        <v>833</v>
      </c>
      <c r="AA4" s="329" t="str">
        <f t="shared" ca="1" si="8"/>
        <v>D2-2</v>
      </c>
      <c r="AB4" s="329">
        <f t="shared" ca="1" si="9"/>
        <v>47</v>
      </c>
      <c r="AC4" s="329">
        <f t="shared" ca="1" si="10"/>
        <v>42</v>
      </c>
      <c r="AD4" s="329">
        <f t="shared" ca="1" si="11"/>
        <v>89</v>
      </c>
      <c r="AE4" s="236">
        <f t="shared" ca="1" si="12"/>
        <v>0.5280898876404494</v>
      </c>
      <c r="AF4" s="341">
        <f t="shared" ca="1" si="13"/>
        <v>-52.471910112359552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829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26</v>
      </c>
      <c r="H5" s="252">
        <f t="shared" si="1"/>
        <v>59</v>
      </c>
      <c r="I5" s="253">
        <f t="shared" si="2"/>
        <v>0.55932203389830504</v>
      </c>
      <c r="J5" s="429">
        <f t="shared" ca="1" si="3"/>
        <v>1</v>
      </c>
      <c r="K5" s="430" t="str">
        <f t="shared" ca="1" si="4"/>
        <v>D1-1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832</v>
      </c>
      <c r="AA5" s="337" t="str">
        <f t="shared" ca="1" si="8"/>
        <v>D4-2</v>
      </c>
      <c r="AB5" s="337">
        <f t="shared" ca="1" si="9"/>
        <v>44</v>
      </c>
      <c r="AC5" s="337">
        <f t="shared" ca="1" si="10"/>
        <v>48</v>
      </c>
      <c r="AD5" s="337">
        <f t="shared" ca="1" si="11"/>
        <v>92</v>
      </c>
      <c r="AE5" s="253">
        <f t="shared" ca="1" si="12"/>
        <v>0.47826086956521741</v>
      </c>
      <c r="AF5" s="338">
        <f t="shared" ca="1" si="13"/>
        <v>-55.521739130434781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103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12</v>
      </c>
      <c r="H6" s="213">
        <f t="shared" si="1"/>
        <v>45</v>
      </c>
      <c r="I6" s="214">
        <f t="shared" si="2"/>
        <v>0.73333333333333328</v>
      </c>
      <c r="J6" s="445">
        <f t="shared" ref="J6:J9" ca="1" si="18">IFERROR(RANK(F6,OFFSET($F$6,0,0,COUNTA($F$6:$F$9),1)),)</f>
        <v>1</v>
      </c>
      <c r="K6" s="419" t="str">
        <f t="shared" ca="1" si="4"/>
        <v>D2-1</v>
      </c>
      <c r="L6" s="499" t="s">
        <v>225</v>
      </c>
      <c r="M6" s="218" t="str">
        <f t="shared" ca="1" si="5"/>
        <v>Jenny Carpenter &amp; Joe Zucht</v>
      </c>
      <c r="N6" s="421"/>
      <c r="O6" s="422"/>
      <c r="P6" s="220">
        <v>11</v>
      </c>
      <c r="Q6" s="221">
        <v>2</v>
      </c>
      <c r="R6" s="244">
        <v>11</v>
      </c>
      <c r="S6" s="245">
        <v>7</v>
      </c>
      <c r="T6" s="246">
        <v>12</v>
      </c>
      <c r="U6" s="243">
        <v>18</v>
      </c>
      <c r="V6" s="223">
        <f t="shared" ref="V6:W6" si="19">(N6+P6+R6+T6)</f>
        <v>34</v>
      </c>
      <c r="W6" s="223">
        <f t="shared" si="19"/>
        <v>27</v>
      </c>
      <c r="X6" s="223">
        <f t="shared" si="7"/>
        <v>61</v>
      </c>
      <c r="Y6" s="340"/>
      <c r="Z6" s="340" t="s">
        <v>755</v>
      </c>
      <c r="AA6" s="340" t="str">
        <f t="shared" ca="1" si="8"/>
        <v>D3-1</v>
      </c>
      <c r="AB6" s="340">
        <f t="shared" ca="1" si="9"/>
        <v>41</v>
      </c>
      <c r="AC6" s="340">
        <f t="shared" ca="1" si="10"/>
        <v>22</v>
      </c>
      <c r="AD6" s="340">
        <f t="shared" ca="1" si="11"/>
        <v>63</v>
      </c>
      <c r="AE6" s="214">
        <f t="shared" ca="1" si="12"/>
        <v>0.65079365079365081</v>
      </c>
      <c r="AF6" s="341">
        <f t="shared" ca="1" si="13"/>
        <v>-58.349206349206348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833</v>
      </c>
      <c r="C7" s="105">
        <v>10</v>
      </c>
      <c r="D7" s="106">
        <v>11</v>
      </c>
      <c r="E7" s="106">
        <v>11</v>
      </c>
      <c r="F7" s="235">
        <f t="shared" si="0"/>
        <v>32</v>
      </c>
      <c r="G7" s="235">
        <f>C6+D9+E8</f>
        <v>23</v>
      </c>
      <c r="H7" s="235">
        <f t="shared" si="1"/>
        <v>55</v>
      </c>
      <c r="I7" s="236">
        <f t="shared" si="2"/>
        <v>0.58181818181818179</v>
      </c>
      <c r="J7" s="424">
        <f t="shared" ca="1" si="18"/>
        <v>2</v>
      </c>
      <c r="K7" s="425" t="str">
        <f t="shared" ca="1" si="4"/>
        <v>D2-2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828</v>
      </c>
      <c r="AA7" s="329" t="str">
        <f t="shared" ca="1" si="8"/>
        <v>D1-2</v>
      </c>
      <c r="AB7" s="329">
        <f t="shared" ca="1" si="9"/>
        <v>40</v>
      </c>
      <c r="AC7" s="329">
        <f t="shared" ca="1" si="10"/>
        <v>34</v>
      </c>
      <c r="AD7" s="329">
        <f t="shared" ca="1" si="11"/>
        <v>74</v>
      </c>
      <c r="AE7" s="236">
        <f t="shared" ca="1" si="12"/>
        <v>0.54054054054054057</v>
      </c>
      <c r="AF7" s="341">
        <f t="shared" ca="1" si="13"/>
        <v>-59.45945945945946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834</v>
      </c>
      <c r="C8" s="107">
        <v>10</v>
      </c>
      <c r="D8" s="108">
        <v>2</v>
      </c>
      <c r="E8" s="106">
        <v>3</v>
      </c>
      <c r="F8" s="235">
        <f t="shared" si="0"/>
        <v>15</v>
      </c>
      <c r="G8" s="235">
        <f>C9+D6+E7</f>
        <v>33</v>
      </c>
      <c r="H8" s="235">
        <f t="shared" si="1"/>
        <v>48</v>
      </c>
      <c r="I8" s="236">
        <f t="shared" si="2"/>
        <v>0.3125</v>
      </c>
      <c r="J8" s="424">
        <f t="shared" ca="1" si="18"/>
        <v>4</v>
      </c>
      <c r="K8" s="425" t="str">
        <f t="shared" ca="1" si="4"/>
        <v>D2-4</v>
      </c>
      <c r="L8" s="499" t="s">
        <v>253</v>
      </c>
      <c r="M8" s="218" t="str">
        <f t="shared" ca="1" si="5"/>
        <v>Keely Schneider &amp; Ishmael Alejo</v>
      </c>
      <c r="N8" s="421"/>
      <c r="O8" s="422"/>
      <c r="P8" s="242">
        <v>2</v>
      </c>
      <c r="Q8" s="243">
        <v>11</v>
      </c>
      <c r="R8" s="244"/>
      <c r="S8" s="245"/>
      <c r="T8" s="246"/>
      <c r="U8" s="243"/>
      <c r="V8" s="223">
        <f t="shared" ref="V8:W8" si="21">(N8+P8+R8+T8)</f>
        <v>2</v>
      </c>
      <c r="W8" s="223">
        <f t="shared" si="21"/>
        <v>11</v>
      </c>
      <c r="X8" s="223">
        <f t="shared" si="7"/>
        <v>13</v>
      </c>
      <c r="Y8" s="329"/>
      <c r="Z8" s="329" t="s">
        <v>829</v>
      </c>
      <c r="AA8" s="329" t="str">
        <f t="shared" ca="1" si="8"/>
        <v>D1-1</v>
      </c>
      <c r="AB8" s="329">
        <f t="shared" ca="1" si="9"/>
        <v>39</v>
      </c>
      <c r="AC8" s="329">
        <f t="shared" ca="1" si="10"/>
        <v>37</v>
      </c>
      <c r="AD8" s="329">
        <f t="shared" ca="1" si="11"/>
        <v>76</v>
      </c>
      <c r="AE8" s="236">
        <f t="shared" ca="1" si="12"/>
        <v>0.51315789473684215</v>
      </c>
      <c r="AF8" s="333">
        <f t="shared" ca="1" si="13"/>
        <v>-60.486842105263158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836</v>
      </c>
      <c r="C9" s="109">
        <v>11</v>
      </c>
      <c r="D9" s="110">
        <v>9</v>
      </c>
      <c r="E9" s="111">
        <v>0</v>
      </c>
      <c r="F9" s="252">
        <f t="shared" si="0"/>
        <v>20</v>
      </c>
      <c r="G9" s="252">
        <f>C8+D7+E6</f>
        <v>32</v>
      </c>
      <c r="H9" s="252">
        <f t="shared" si="1"/>
        <v>52</v>
      </c>
      <c r="I9" s="253">
        <f t="shared" si="2"/>
        <v>0.38461538461538464</v>
      </c>
      <c r="J9" s="429">
        <f t="shared" ca="1" si="18"/>
        <v>3</v>
      </c>
      <c r="K9" s="430" t="str">
        <f t="shared" ca="1" si="4"/>
        <v>D2-3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835</v>
      </c>
      <c r="AA9" s="337" t="str">
        <f t="shared" ca="1" si="8"/>
        <v>D3-2</v>
      </c>
      <c r="AB9" s="337">
        <f t="shared" ca="1" si="9"/>
        <v>28</v>
      </c>
      <c r="AC9" s="337">
        <f t="shared" ca="1" si="10"/>
        <v>39</v>
      </c>
      <c r="AD9" s="337">
        <f t="shared" ca="1" si="11"/>
        <v>67</v>
      </c>
      <c r="AE9" s="253">
        <f t="shared" ca="1" si="12"/>
        <v>0.41791044776119401</v>
      </c>
      <c r="AF9" s="338">
        <f t="shared" ca="1" si="13"/>
        <v>-71.582089552238813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835</v>
      </c>
      <c r="C10" s="148">
        <v>11</v>
      </c>
      <c r="D10" s="165">
        <v>6</v>
      </c>
      <c r="E10" s="165">
        <v>9</v>
      </c>
      <c r="F10" s="213">
        <f t="shared" si="0"/>
        <v>26</v>
      </c>
      <c r="G10" s="213">
        <f>C11+D12+E13</f>
        <v>28</v>
      </c>
      <c r="H10" s="213">
        <f t="shared" si="1"/>
        <v>54</v>
      </c>
      <c r="I10" s="214">
        <f t="shared" si="2"/>
        <v>0.48148148148148145</v>
      </c>
      <c r="J10" s="424">
        <f t="shared" ref="J10:J13" ca="1" si="23">IFERROR(RANK(F10,OFFSET($F$10,0,0,COUNTA($F$10:$F$13),1)),)</f>
        <v>2</v>
      </c>
      <c r="K10" s="419" t="str">
        <f t="shared" ca="1" si="4"/>
        <v>D3-2</v>
      </c>
      <c r="L10" s="499" t="s">
        <v>243</v>
      </c>
      <c r="M10" s="218" t="str">
        <f t="shared" ca="1" si="5"/>
        <v>Brook Vitt &amp; Spencer Terpstra</v>
      </c>
      <c r="N10" s="421"/>
      <c r="O10" s="422"/>
      <c r="P10" s="220">
        <v>8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8</v>
      </c>
      <c r="W10" s="223">
        <f t="shared" si="24"/>
        <v>11</v>
      </c>
      <c r="X10" s="223">
        <f t="shared" si="7"/>
        <v>19</v>
      </c>
      <c r="Y10" s="329"/>
      <c r="Z10" s="329" t="s">
        <v>841</v>
      </c>
      <c r="AA10" s="329" t="str">
        <f t="shared" ca="1" si="8"/>
        <v>D4-3</v>
      </c>
      <c r="AB10" s="329">
        <f t="shared" ca="1" si="9"/>
        <v>25</v>
      </c>
      <c r="AC10" s="329">
        <f t="shared" ca="1" si="10"/>
        <v>28</v>
      </c>
      <c r="AD10" s="329">
        <f t="shared" ca="1" si="11"/>
        <v>53</v>
      </c>
      <c r="AE10" s="236">
        <f t="shared" ca="1" si="12"/>
        <v>0.47169811320754718</v>
      </c>
      <c r="AF10" s="341">
        <f t="shared" ca="1" si="13"/>
        <v>-74.528301886792448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838</v>
      </c>
      <c r="C11" s="105">
        <v>6</v>
      </c>
      <c r="D11" s="106">
        <v>5</v>
      </c>
      <c r="E11" s="106">
        <v>3</v>
      </c>
      <c r="F11" s="235">
        <f t="shared" si="0"/>
        <v>14</v>
      </c>
      <c r="G11" s="235">
        <f>C10+D13+E12</f>
        <v>33</v>
      </c>
      <c r="H11" s="235">
        <f t="shared" si="1"/>
        <v>47</v>
      </c>
      <c r="I11" s="236">
        <f t="shared" si="2"/>
        <v>0.2978723404255319</v>
      </c>
      <c r="J11" s="424">
        <f t="shared" ca="1" si="23"/>
        <v>4</v>
      </c>
      <c r="K11" s="425" t="str">
        <f t="shared" ca="1" si="4"/>
        <v>D3-4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839</v>
      </c>
      <c r="AA11" s="329" t="str">
        <f t="shared" ca="1" si="8"/>
        <v>D3-3</v>
      </c>
      <c r="AB11" s="329">
        <f t="shared" ca="1" si="9"/>
        <v>24</v>
      </c>
      <c r="AC11" s="329">
        <f t="shared" ca="1" si="10"/>
        <v>25</v>
      </c>
      <c r="AD11" s="329">
        <f t="shared" ca="1" si="11"/>
        <v>49</v>
      </c>
      <c r="AE11" s="236">
        <f t="shared" ca="1" si="12"/>
        <v>0.48979591836734693</v>
      </c>
      <c r="AF11" s="341">
        <f t="shared" ca="1" si="13"/>
        <v>-75.510204081632651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755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11</v>
      </c>
      <c r="H12" s="235">
        <f t="shared" si="1"/>
        <v>44</v>
      </c>
      <c r="I12" s="236">
        <f t="shared" si="2"/>
        <v>0.75</v>
      </c>
      <c r="J12" s="424">
        <f t="shared" ca="1" si="23"/>
        <v>1</v>
      </c>
      <c r="K12" s="425" t="str">
        <f t="shared" ca="1" si="4"/>
        <v>D3-1</v>
      </c>
      <c r="L12" s="499" t="s">
        <v>230</v>
      </c>
      <c r="M12" s="218" t="str">
        <f t="shared" ca="1" si="5"/>
        <v>Joan Liechty &amp; Troy Thomasson</v>
      </c>
      <c r="N12" s="421"/>
      <c r="O12" s="422"/>
      <c r="P12" s="242">
        <v>11</v>
      </c>
      <c r="Q12" s="243">
        <v>8</v>
      </c>
      <c r="R12" s="244">
        <v>4</v>
      </c>
      <c r="S12" s="245">
        <v>11</v>
      </c>
      <c r="T12" s="246"/>
      <c r="U12" s="243"/>
      <c r="V12" s="223">
        <f t="shared" ref="V12:W12" si="26">(N12+P12+R12+T12)</f>
        <v>15</v>
      </c>
      <c r="W12" s="223">
        <f t="shared" si="26"/>
        <v>19</v>
      </c>
      <c r="X12" s="223">
        <f t="shared" si="7"/>
        <v>34</v>
      </c>
      <c r="Y12" s="329"/>
      <c r="Z12" s="329" t="s">
        <v>830</v>
      </c>
      <c r="AA12" s="329" t="str">
        <f t="shared" ca="1" si="8"/>
        <v>D1-3</v>
      </c>
      <c r="AB12" s="329">
        <f t="shared" ca="1" si="9"/>
        <v>24</v>
      </c>
      <c r="AC12" s="329">
        <f t="shared" ca="1" si="10"/>
        <v>26</v>
      </c>
      <c r="AD12" s="329">
        <f t="shared" ca="1" si="11"/>
        <v>50</v>
      </c>
      <c r="AE12" s="236">
        <f t="shared" ca="1" si="12"/>
        <v>0.48</v>
      </c>
      <c r="AF12" s="375">
        <f t="shared" ca="1" si="13"/>
        <v>-75.52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839</v>
      </c>
      <c r="C13" s="109">
        <v>2</v>
      </c>
      <c r="D13" s="110">
        <v>11</v>
      </c>
      <c r="E13" s="111">
        <v>11</v>
      </c>
      <c r="F13" s="252">
        <f t="shared" si="0"/>
        <v>24</v>
      </c>
      <c r="G13" s="252">
        <f>C12+D11+E10</f>
        <v>25</v>
      </c>
      <c r="H13" s="252">
        <f t="shared" si="1"/>
        <v>49</v>
      </c>
      <c r="I13" s="253">
        <f t="shared" si="2"/>
        <v>0.48979591836734693</v>
      </c>
      <c r="J13" s="429">
        <f t="shared" ca="1" si="23"/>
        <v>3</v>
      </c>
      <c r="K13" s="430" t="str">
        <f t="shared" ca="1" si="4"/>
        <v>D3-3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840</v>
      </c>
      <c r="AA13" s="337" t="str">
        <f t="shared" ca="1" si="8"/>
        <v>D4-4</v>
      </c>
      <c r="AB13" s="337">
        <f t="shared" ca="1" si="9"/>
        <v>23</v>
      </c>
      <c r="AC13" s="337">
        <f t="shared" ca="1" si="10"/>
        <v>33</v>
      </c>
      <c r="AD13" s="337">
        <f t="shared" ca="1" si="11"/>
        <v>56</v>
      </c>
      <c r="AE13" s="253">
        <f t="shared" ca="1" si="12"/>
        <v>0.4107142857142857</v>
      </c>
      <c r="AF13" s="401">
        <f t="shared" ca="1" si="13"/>
        <v>-76.589285714285708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840</v>
      </c>
      <c r="C14" s="148">
        <v>6</v>
      </c>
      <c r="D14" s="165">
        <v>8</v>
      </c>
      <c r="E14" s="165">
        <v>9</v>
      </c>
      <c r="F14" s="213">
        <f t="shared" si="0"/>
        <v>23</v>
      </c>
      <c r="G14" s="213">
        <f>C15+D16+E17</f>
        <v>33</v>
      </c>
      <c r="H14" s="213">
        <f t="shared" si="1"/>
        <v>56</v>
      </c>
      <c r="I14" s="214">
        <f t="shared" si="2"/>
        <v>0.4107142857142857</v>
      </c>
      <c r="J14" s="424">
        <f t="shared" ref="J14:J17" ca="1" si="28">IFERROR(RANK(F14,OFFSET($F$14,0,0,COUNTA($F$14:$F$17),1)),)</f>
        <v>4</v>
      </c>
      <c r="K14" s="419" t="str">
        <f t="shared" ca="1" si="4"/>
        <v>D4-4</v>
      </c>
      <c r="L14" s="499" t="s">
        <v>263</v>
      </c>
      <c r="M14" s="218" t="str">
        <f t="shared" ca="1" si="5"/>
        <v>Susan Mitts &amp; Rob Hurtado</v>
      </c>
      <c r="N14" s="421"/>
      <c r="O14" s="422"/>
      <c r="P14" s="220">
        <v>11</v>
      </c>
      <c r="Q14" s="221">
        <v>9</v>
      </c>
      <c r="R14" s="244">
        <v>11</v>
      </c>
      <c r="S14" s="245">
        <v>4</v>
      </c>
      <c r="T14" s="246">
        <v>18</v>
      </c>
      <c r="U14" s="243">
        <v>12</v>
      </c>
      <c r="V14" s="223">
        <f t="shared" ref="V14:W14" si="29">(N14+P14+R14+T14)</f>
        <v>40</v>
      </c>
      <c r="W14" s="223">
        <f t="shared" si="29"/>
        <v>25</v>
      </c>
      <c r="X14" s="223">
        <f t="shared" si="7"/>
        <v>65</v>
      </c>
      <c r="Y14" s="329"/>
      <c r="Z14" s="329" t="s">
        <v>836</v>
      </c>
      <c r="AA14" s="329" t="str">
        <f t="shared" ca="1" si="8"/>
        <v>D2-3</v>
      </c>
      <c r="AB14" s="329">
        <f t="shared" ca="1" si="9"/>
        <v>20</v>
      </c>
      <c r="AC14" s="329">
        <f t="shared" ca="1" si="10"/>
        <v>32</v>
      </c>
      <c r="AD14" s="329">
        <f t="shared" ca="1" si="11"/>
        <v>52</v>
      </c>
      <c r="AE14" s="236">
        <f t="shared" ca="1" si="12"/>
        <v>0.38461538461538464</v>
      </c>
      <c r="AF14" s="375">
        <f t="shared" ca="1" si="13"/>
        <v>-79.615384615384613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102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15</v>
      </c>
      <c r="H15" s="235">
        <f t="shared" si="1"/>
        <v>48</v>
      </c>
      <c r="I15" s="236">
        <f t="shared" si="2"/>
        <v>0.6875</v>
      </c>
      <c r="J15" s="424">
        <f t="shared" ca="1" si="28"/>
        <v>1</v>
      </c>
      <c r="K15" s="425" t="str">
        <f t="shared" ca="1" si="4"/>
        <v>D4-1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831</v>
      </c>
      <c r="AA15" s="329" t="str">
        <f t="shared" ca="1" si="8"/>
        <v>D1-4</v>
      </c>
      <c r="AB15" s="329">
        <f t="shared" ca="1" si="9"/>
        <v>20</v>
      </c>
      <c r="AC15" s="329">
        <f t="shared" ca="1" si="10"/>
        <v>33</v>
      </c>
      <c r="AD15" s="329">
        <f t="shared" ca="1" si="11"/>
        <v>53</v>
      </c>
      <c r="AE15" s="236">
        <f t="shared" ca="1" si="12"/>
        <v>0.37735849056603776</v>
      </c>
      <c r="AF15" s="341">
        <f t="shared" ca="1" si="13"/>
        <v>-79.622641509433961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841</v>
      </c>
      <c r="C16" s="107">
        <v>11</v>
      </c>
      <c r="D16" s="108">
        <v>11</v>
      </c>
      <c r="E16" s="106">
        <v>3</v>
      </c>
      <c r="F16" s="235">
        <f t="shared" si="0"/>
        <v>25</v>
      </c>
      <c r="G16" s="235">
        <f>C17+D14+E15</f>
        <v>28</v>
      </c>
      <c r="H16" s="235">
        <f t="shared" si="1"/>
        <v>53</v>
      </c>
      <c r="I16" s="236">
        <f t="shared" si="2"/>
        <v>0.47169811320754718</v>
      </c>
      <c r="J16" s="424">
        <f t="shared" ca="1" si="28"/>
        <v>3</v>
      </c>
      <c r="K16" s="425" t="str">
        <f t="shared" ca="1" si="4"/>
        <v>D4-3</v>
      </c>
      <c r="L16" s="499" t="s">
        <v>218</v>
      </c>
      <c r="M16" s="437" t="str">
        <f t="shared" ca="1" si="5"/>
        <v>Carrie Lapin &amp; John Evatt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834</v>
      </c>
      <c r="AA16" s="329" t="str">
        <f t="shared" ca="1" si="8"/>
        <v>D2-4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360">
        <f t="shared" ca="1" si="12"/>
        <v>0.3125</v>
      </c>
      <c r="AF16" s="341">
        <f t="shared" ca="1" si="13"/>
        <v>-84.6875</v>
      </c>
      <c r="AG16" s="428">
        <f t="shared" ca="1" si="14"/>
        <v>15</v>
      </c>
      <c r="AH16" s="398"/>
    </row>
    <row r="17" spans="1:34" ht="15" customHeight="1">
      <c r="A17" s="239" t="s">
        <v>1371</v>
      </c>
      <c r="B17" s="109" t="s">
        <v>832</v>
      </c>
      <c r="C17" s="109">
        <v>9</v>
      </c>
      <c r="D17" s="110">
        <v>6</v>
      </c>
      <c r="E17" s="111">
        <v>11</v>
      </c>
      <c r="F17" s="252">
        <f t="shared" si="0"/>
        <v>26</v>
      </c>
      <c r="G17" s="252">
        <f>C16+D15+E14</f>
        <v>31</v>
      </c>
      <c r="H17" s="252">
        <f t="shared" si="1"/>
        <v>57</v>
      </c>
      <c r="I17" s="253">
        <f t="shared" si="2"/>
        <v>0.45614035087719296</v>
      </c>
      <c r="J17" s="429">
        <f t="shared" ca="1" si="28"/>
        <v>2</v>
      </c>
      <c r="K17" s="430" t="str">
        <f t="shared" ca="1" si="4"/>
        <v>D4-2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838</v>
      </c>
      <c r="AA17" s="337" t="str">
        <f t="shared" ca="1" si="8"/>
        <v>D3-4</v>
      </c>
      <c r="AB17" s="337">
        <f t="shared" ca="1" si="9"/>
        <v>14</v>
      </c>
      <c r="AC17" s="337">
        <f t="shared" ca="1" si="10"/>
        <v>33</v>
      </c>
      <c r="AD17" s="337">
        <f t="shared" ca="1" si="11"/>
        <v>47</v>
      </c>
      <c r="AE17" s="253">
        <f t="shared" ca="1" si="12"/>
        <v>0.2978723404255319</v>
      </c>
      <c r="AF17" s="338">
        <f t="shared" ca="1" si="13"/>
        <v>-85.702127659574472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147</v>
      </c>
      <c r="D19" s="289">
        <f t="shared" si="33"/>
        <v>137</v>
      </c>
      <c r="E19" s="289">
        <f>SUM(E2:E18)</f>
        <v>128</v>
      </c>
      <c r="F19" s="290">
        <f t="shared" ref="F19:G19" si="34">SUM(F2:F17)</f>
        <v>412</v>
      </c>
      <c r="G19" s="290">
        <f t="shared" si="34"/>
        <v>412</v>
      </c>
      <c r="H19" s="292">
        <f>SUM(H2:H17)/2</f>
        <v>412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69</v>
      </c>
      <c r="Q19" s="287">
        <f t="shared" si="35"/>
        <v>69</v>
      </c>
      <c r="R19" s="287">
        <f t="shared" si="35"/>
        <v>33</v>
      </c>
      <c r="S19" s="287">
        <f t="shared" si="35"/>
        <v>33</v>
      </c>
      <c r="T19" s="287">
        <f t="shared" si="35"/>
        <v>30</v>
      </c>
      <c r="U19" s="287">
        <f t="shared" si="35"/>
        <v>30</v>
      </c>
      <c r="V19" s="287">
        <f t="shared" si="35"/>
        <v>132</v>
      </c>
      <c r="W19" s="287">
        <f t="shared" si="35"/>
        <v>132</v>
      </c>
      <c r="X19" s="287">
        <f>SUM(X2:X17)/2</f>
        <v>132</v>
      </c>
      <c r="Y19" s="287"/>
      <c r="Z19" s="287"/>
      <c r="AA19" s="287"/>
      <c r="AB19" s="287">
        <f t="shared" ref="AB19:AD19" ca="1" si="36">SUM(AB2:AB17)/2</f>
        <v>272</v>
      </c>
      <c r="AC19" s="287">
        <f t="shared" ca="1" si="36"/>
        <v>272</v>
      </c>
      <c r="AD19" s="287">
        <f t="shared" ca="1" si="36"/>
        <v>544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3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51.5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68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2" priority="4" operator="equal">
      <formula>33</formula>
    </cfRule>
  </conditionalFormatting>
  <conditionalFormatting sqref="M2:U17">
    <cfRule type="expression" dxfId="41" priority="1">
      <formula>$T2&gt;U2</formula>
    </cfRule>
  </conditionalFormatting>
  <conditionalFormatting sqref="P2:Q17">
    <cfRule type="expression" dxfId="40" priority="2">
      <formula>$P2=11</formula>
    </cfRule>
  </conditionalFormatting>
  <conditionalFormatting sqref="R2:S17">
    <cfRule type="expression" dxfId="39" priority="3">
      <formula>$R2=11</formula>
    </cfRule>
  </conditionalFormatting>
  <hyperlinks>
    <hyperlink ref="A1" location="Champions!A1" display="Home" xr:uid="{00000000-0004-0000-1700-000000000000}"/>
    <hyperlink ref="AH1" location="Champions!A1" display="Home" xr:uid="{00000000-0004-0000-1700-000001000000}"/>
    <hyperlink ref="A19" location="Champions!A1" display="Home" xr:uid="{00000000-0004-0000-1700-000002000000}"/>
    <hyperlink ref="K19" location="Champions!A1" display="Home" xr:uid="{00000000-0004-0000-1700-000003000000}"/>
  </hyperlinks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804</v>
      </c>
      <c r="C2" s="148">
        <v>11</v>
      </c>
      <c r="D2" s="165">
        <v>7</v>
      </c>
      <c r="E2" s="165">
        <v>4</v>
      </c>
      <c r="F2" s="213">
        <f t="shared" ref="F2:F17" si="0">SUM(C2:E2)</f>
        <v>22</v>
      </c>
      <c r="G2" s="213">
        <f>C3+D4+E5</f>
        <v>24</v>
      </c>
      <c r="H2" s="213">
        <f t="shared" ref="H2:H17" si="1">SUM(F2:G2)</f>
        <v>46</v>
      </c>
      <c r="I2" s="214">
        <f t="shared" ref="I2:I17" si="2">IFERROR(F2/H2,"")</f>
        <v>0.47826086956521741</v>
      </c>
      <c r="J2" s="445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499" t="s">
        <v>207</v>
      </c>
      <c r="M2" s="218" t="str">
        <f t="shared" ref="M2:M17" ca="1" si="5">IFERROR(INDEX($A$2:$K$17,MATCH(L2,$K$2:$K$17,0),2),)</f>
        <v>Miguel Cartagena &amp; Kelcei Glasgow</v>
      </c>
      <c r="N2" s="421"/>
      <c r="O2" s="422"/>
      <c r="P2" s="220">
        <v>11</v>
      </c>
      <c r="Q2" s="221">
        <v>5</v>
      </c>
      <c r="R2" s="217">
        <v>8</v>
      </c>
      <c r="S2" s="219">
        <v>11</v>
      </c>
      <c r="T2" s="222"/>
      <c r="U2" s="221"/>
      <c r="V2" s="223">
        <f t="shared" ref="V2:W2" si="6">(N2+P2+R2+T2)</f>
        <v>19</v>
      </c>
      <c r="W2" s="223">
        <f t="shared" si="6"/>
        <v>16</v>
      </c>
      <c r="X2" s="223">
        <f t="shared" ref="X2:X17" si="7">V2+W2</f>
        <v>35</v>
      </c>
      <c r="Y2" s="329"/>
      <c r="Z2" s="329" t="s">
        <v>99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69</v>
      </c>
      <c r="AC2" s="329">
        <f t="shared" ref="AC2:AC17" ca="1" si="10">IFERROR((INDEX($A$2:$H$17,MATCH($Z2,$B$2:$B$17,0),7))+INDEX($M$2:$X$17,MATCH($Z2,$M$2:$M$17,0),11),INDEX($B$2:$G$17,MATCH($Z2,$B$2:$B$17,0),6))</f>
        <v>41</v>
      </c>
      <c r="AD2" s="329">
        <f t="shared" ref="AD2:AD17" ca="1" si="11">SUM(AB2:AC2)</f>
        <v>110</v>
      </c>
      <c r="AE2" s="236">
        <f t="shared" ref="AE2:AE17" ca="1" si="12">AB2/AD2</f>
        <v>0.62727272727272732</v>
      </c>
      <c r="AF2" s="330">
        <f t="shared" ref="AF2:AF17" ca="1" si="13">AE2-(100-AB2)</f>
        <v>-30.372727272727271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806</v>
      </c>
      <c r="C3" s="105">
        <v>2</v>
      </c>
      <c r="D3" s="106">
        <v>4</v>
      </c>
      <c r="E3" s="106">
        <v>9</v>
      </c>
      <c r="F3" s="235">
        <f t="shared" si="0"/>
        <v>15</v>
      </c>
      <c r="G3" s="235">
        <f>C2+D5+E4</f>
        <v>33</v>
      </c>
      <c r="H3" s="235">
        <f t="shared" si="1"/>
        <v>48</v>
      </c>
      <c r="I3" s="236">
        <f t="shared" si="2"/>
        <v>0.3125</v>
      </c>
      <c r="J3" s="424">
        <f t="shared" ca="1" si="3"/>
        <v>4</v>
      </c>
      <c r="K3" s="425" t="str">
        <f t="shared" ca="1" si="4"/>
        <v>D1-4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100</v>
      </c>
      <c r="AA3" s="329" t="str">
        <f t="shared" ca="1" si="8"/>
        <v>D4-1</v>
      </c>
      <c r="AB3" s="329">
        <f t="shared" ca="1" si="9"/>
        <v>67</v>
      </c>
      <c r="AC3" s="329">
        <f t="shared" ca="1" si="10"/>
        <v>46</v>
      </c>
      <c r="AD3" s="329">
        <f t="shared" ca="1" si="11"/>
        <v>113</v>
      </c>
      <c r="AE3" s="236">
        <f t="shared" ca="1" si="12"/>
        <v>0.59292035398230092</v>
      </c>
      <c r="AF3" s="341">
        <f t="shared" ca="1" si="13"/>
        <v>-32.407079646017699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805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24</v>
      </c>
      <c r="H4" s="235">
        <f t="shared" si="1"/>
        <v>57</v>
      </c>
      <c r="I4" s="236">
        <f t="shared" si="2"/>
        <v>0.57894736842105265</v>
      </c>
      <c r="J4" s="424">
        <f t="shared" ca="1" si="3"/>
        <v>1</v>
      </c>
      <c r="K4" s="425" t="str">
        <f t="shared" ca="1" si="4"/>
        <v>D1-1</v>
      </c>
      <c r="L4" s="499" t="s">
        <v>265</v>
      </c>
      <c r="M4" s="218" t="str">
        <f t="shared" ca="1" si="5"/>
        <v>Joe Zucht &amp; David Lapin</v>
      </c>
      <c r="N4" s="421"/>
      <c r="O4" s="422"/>
      <c r="P4" s="242">
        <v>5</v>
      </c>
      <c r="Q4" s="243">
        <v>11</v>
      </c>
      <c r="R4" s="244"/>
      <c r="S4" s="245"/>
      <c r="T4" s="246"/>
      <c r="U4" s="243"/>
      <c r="V4" s="223">
        <f t="shared" ref="V4:W4" si="16">(N4+P4+R4+T4)</f>
        <v>5</v>
      </c>
      <c r="W4" s="223">
        <f t="shared" si="16"/>
        <v>11</v>
      </c>
      <c r="X4" s="223">
        <f t="shared" si="7"/>
        <v>16</v>
      </c>
      <c r="Y4" s="329"/>
      <c r="Z4" s="329" t="s">
        <v>819</v>
      </c>
      <c r="AA4" s="329" t="str">
        <f t="shared" ca="1" si="8"/>
        <v>D3-1</v>
      </c>
      <c r="AB4" s="329">
        <f t="shared" ca="1" si="9"/>
        <v>52</v>
      </c>
      <c r="AC4" s="329">
        <f t="shared" ca="1" si="10"/>
        <v>34</v>
      </c>
      <c r="AD4" s="329">
        <f t="shared" ca="1" si="11"/>
        <v>86</v>
      </c>
      <c r="AE4" s="236">
        <f t="shared" ca="1" si="12"/>
        <v>0.60465116279069764</v>
      </c>
      <c r="AF4" s="333">
        <f t="shared" ca="1" si="13"/>
        <v>-47.395348837209305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809</v>
      </c>
      <c r="C5" s="109">
        <v>8</v>
      </c>
      <c r="D5" s="110">
        <v>11</v>
      </c>
      <c r="E5" s="111">
        <v>11</v>
      </c>
      <c r="F5" s="252">
        <f t="shared" si="0"/>
        <v>30</v>
      </c>
      <c r="G5" s="252">
        <f>C4+D3+E2</f>
        <v>19</v>
      </c>
      <c r="H5" s="252">
        <f t="shared" si="1"/>
        <v>49</v>
      </c>
      <c r="I5" s="253">
        <f t="shared" si="2"/>
        <v>0.61224489795918369</v>
      </c>
      <c r="J5" s="429">
        <f t="shared" ca="1" si="3"/>
        <v>2</v>
      </c>
      <c r="K5" s="430" t="str">
        <f t="shared" ca="1" si="4"/>
        <v>D1-2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805</v>
      </c>
      <c r="AA5" s="337" t="str">
        <f t="shared" ca="1" si="8"/>
        <v>D1-1</v>
      </c>
      <c r="AB5" s="337">
        <f t="shared" ca="1" si="9"/>
        <v>52</v>
      </c>
      <c r="AC5" s="337">
        <f t="shared" ca="1" si="10"/>
        <v>40</v>
      </c>
      <c r="AD5" s="337">
        <f t="shared" ca="1" si="11"/>
        <v>92</v>
      </c>
      <c r="AE5" s="253">
        <f t="shared" ca="1" si="12"/>
        <v>0.56521739130434778</v>
      </c>
      <c r="AF5" s="338">
        <f t="shared" ca="1" si="13"/>
        <v>-47.434782608695649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811</v>
      </c>
      <c r="C6" s="148">
        <v>5</v>
      </c>
      <c r="D6" s="165">
        <v>5</v>
      </c>
      <c r="E6" s="165">
        <v>11</v>
      </c>
      <c r="F6" s="213">
        <f t="shared" si="0"/>
        <v>21</v>
      </c>
      <c r="G6" s="213">
        <f>C7+D8+E9</f>
        <v>30</v>
      </c>
      <c r="H6" s="213">
        <f t="shared" si="1"/>
        <v>51</v>
      </c>
      <c r="I6" s="214">
        <f t="shared" si="2"/>
        <v>0.41176470588235292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shared" ca="1" si="5"/>
        <v>Steve Schanker &amp; Matt Svoboda</v>
      </c>
      <c r="N6" s="421"/>
      <c r="O6" s="422"/>
      <c r="P6" s="220">
        <v>11</v>
      </c>
      <c r="Q6" s="221">
        <v>4</v>
      </c>
      <c r="R6" s="244">
        <v>11</v>
      </c>
      <c r="S6" s="245">
        <v>8</v>
      </c>
      <c r="T6" s="246">
        <v>14</v>
      </c>
      <c r="U6" s="243">
        <v>12</v>
      </c>
      <c r="V6" s="223">
        <f t="shared" ref="V6:W6" si="19">(N6+P6+R6+T6)</f>
        <v>36</v>
      </c>
      <c r="W6" s="223">
        <f t="shared" si="19"/>
        <v>24</v>
      </c>
      <c r="X6" s="223">
        <f t="shared" si="7"/>
        <v>60</v>
      </c>
      <c r="Y6" s="340"/>
      <c r="Z6" s="340" t="s">
        <v>809</v>
      </c>
      <c r="AA6" s="340" t="str">
        <f t="shared" ca="1" si="8"/>
        <v>D1-2</v>
      </c>
      <c r="AB6" s="340">
        <f t="shared" ca="1" si="9"/>
        <v>39</v>
      </c>
      <c r="AC6" s="340">
        <f t="shared" ca="1" si="10"/>
        <v>30</v>
      </c>
      <c r="AD6" s="340">
        <f t="shared" ca="1" si="11"/>
        <v>69</v>
      </c>
      <c r="AE6" s="214">
        <f t="shared" ca="1" si="12"/>
        <v>0.56521739130434778</v>
      </c>
      <c r="AF6" s="341">
        <f t="shared" ca="1" si="13"/>
        <v>-60.434782608695649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99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17</v>
      </c>
      <c r="H7" s="235">
        <f t="shared" si="1"/>
        <v>50</v>
      </c>
      <c r="I7" s="236">
        <f t="shared" si="2"/>
        <v>0.66</v>
      </c>
      <c r="J7" s="424">
        <f t="shared" ca="1" si="18"/>
        <v>1</v>
      </c>
      <c r="K7" s="425" t="str">
        <f t="shared" ca="1" si="4"/>
        <v>D2-1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807</v>
      </c>
      <c r="AA7" s="329" t="str">
        <f t="shared" ca="1" si="8"/>
        <v>D4-2</v>
      </c>
      <c r="AB7" s="329">
        <f t="shared" ca="1" si="9"/>
        <v>37</v>
      </c>
      <c r="AC7" s="329">
        <f t="shared" ca="1" si="10"/>
        <v>29</v>
      </c>
      <c r="AD7" s="329">
        <f t="shared" ca="1" si="11"/>
        <v>66</v>
      </c>
      <c r="AE7" s="360">
        <f t="shared" ca="1" si="12"/>
        <v>0.56060606060606055</v>
      </c>
      <c r="AF7" s="341">
        <f t="shared" ca="1" si="13"/>
        <v>-62.439393939393938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813</v>
      </c>
      <c r="C8" s="107">
        <v>11</v>
      </c>
      <c r="D8" s="108">
        <v>11</v>
      </c>
      <c r="E8" s="106">
        <v>6</v>
      </c>
      <c r="F8" s="235">
        <f t="shared" si="0"/>
        <v>28</v>
      </c>
      <c r="G8" s="235">
        <f>C9+D6+E7</f>
        <v>21</v>
      </c>
      <c r="H8" s="235">
        <f t="shared" si="1"/>
        <v>49</v>
      </c>
      <c r="I8" s="236">
        <f t="shared" si="2"/>
        <v>0.5714285714285714</v>
      </c>
      <c r="J8" s="424">
        <f t="shared" ca="1" si="18"/>
        <v>2</v>
      </c>
      <c r="K8" s="425" t="str">
        <f t="shared" ca="1" si="4"/>
        <v>D2-2</v>
      </c>
      <c r="L8" s="499" t="s">
        <v>253</v>
      </c>
      <c r="M8" s="218" t="str">
        <f t="shared" ca="1" si="5"/>
        <v>Rob Hurtado &amp; Michael Schermoly</v>
      </c>
      <c r="N8" s="421"/>
      <c r="O8" s="422"/>
      <c r="P8" s="242">
        <v>4</v>
      </c>
      <c r="Q8" s="243">
        <v>11</v>
      </c>
      <c r="R8" s="244"/>
      <c r="S8" s="245"/>
      <c r="T8" s="246"/>
      <c r="U8" s="243"/>
      <c r="V8" s="223">
        <f t="shared" ref="V8:W8" si="21">(N8+P8+R8+T8)</f>
        <v>4</v>
      </c>
      <c r="W8" s="223">
        <f t="shared" si="21"/>
        <v>11</v>
      </c>
      <c r="X8" s="223">
        <f t="shared" si="7"/>
        <v>15</v>
      </c>
      <c r="Y8" s="329"/>
      <c r="Z8" s="329" t="s">
        <v>813</v>
      </c>
      <c r="AA8" s="329" t="str">
        <f t="shared" ca="1" si="8"/>
        <v>D2-2</v>
      </c>
      <c r="AB8" s="329">
        <f t="shared" ca="1" si="9"/>
        <v>37</v>
      </c>
      <c r="AC8" s="329">
        <f t="shared" ca="1" si="10"/>
        <v>32</v>
      </c>
      <c r="AD8" s="329">
        <f t="shared" ca="1" si="11"/>
        <v>69</v>
      </c>
      <c r="AE8" s="236">
        <f t="shared" ca="1" si="12"/>
        <v>0.53623188405797106</v>
      </c>
      <c r="AF8" s="333">
        <f t="shared" ca="1" si="13"/>
        <v>-62.463768115942031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816</v>
      </c>
      <c r="C9" s="109">
        <v>5</v>
      </c>
      <c r="D9" s="110">
        <v>6</v>
      </c>
      <c r="E9" s="111">
        <v>8</v>
      </c>
      <c r="F9" s="252">
        <f t="shared" si="0"/>
        <v>19</v>
      </c>
      <c r="G9" s="252">
        <f>C8+D7+E6</f>
        <v>33</v>
      </c>
      <c r="H9" s="252">
        <f t="shared" si="1"/>
        <v>52</v>
      </c>
      <c r="I9" s="253">
        <f t="shared" si="2"/>
        <v>0.36538461538461536</v>
      </c>
      <c r="J9" s="429">
        <f t="shared" ca="1" si="18"/>
        <v>4</v>
      </c>
      <c r="K9" s="430" t="str">
        <f t="shared" ca="1" si="4"/>
        <v>D2-4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814</v>
      </c>
      <c r="AA9" s="337" t="str">
        <f t="shared" ca="1" si="8"/>
        <v>D3-2</v>
      </c>
      <c r="AB9" s="337">
        <f t="shared" ca="1" si="9"/>
        <v>32</v>
      </c>
      <c r="AC9" s="337">
        <f t="shared" ca="1" si="10"/>
        <v>34</v>
      </c>
      <c r="AD9" s="337">
        <f t="shared" ca="1" si="11"/>
        <v>66</v>
      </c>
      <c r="AE9" s="253">
        <f t="shared" ca="1" si="12"/>
        <v>0.48484848484848486</v>
      </c>
      <c r="AF9" s="338">
        <f t="shared" ca="1" si="13"/>
        <v>-67.515151515151516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818</v>
      </c>
      <c r="C10" s="148">
        <v>11</v>
      </c>
      <c r="D10" s="165">
        <v>2</v>
      </c>
      <c r="E10" s="165">
        <v>5</v>
      </c>
      <c r="F10" s="213">
        <f t="shared" si="0"/>
        <v>18</v>
      </c>
      <c r="G10" s="213">
        <f>C11+D12+E13</f>
        <v>31</v>
      </c>
      <c r="H10" s="213">
        <f t="shared" si="1"/>
        <v>49</v>
      </c>
      <c r="I10" s="214">
        <f t="shared" si="2"/>
        <v>0.36734693877551022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499" t="s">
        <v>243</v>
      </c>
      <c r="M10" s="218" t="str">
        <f t="shared" ca="1" si="5"/>
        <v>Scott Siemers &amp; Stuart Carrico</v>
      </c>
      <c r="N10" s="421"/>
      <c r="O10" s="422"/>
      <c r="P10" s="220">
        <v>11</v>
      </c>
      <c r="Q10" s="221">
        <v>9</v>
      </c>
      <c r="R10" s="217">
        <v>8</v>
      </c>
      <c r="S10" s="219">
        <v>11</v>
      </c>
      <c r="T10" s="246"/>
      <c r="U10" s="243"/>
      <c r="V10" s="223">
        <f t="shared" ref="V10:W10" si="24">(N10+P10+R10+T10)</f>
        <v>19</v>
      </c>
      <c r="W10" s="223">
        <f t="shared" si="24"/>
        <v>20</v>
      </c>
      <c r="X10" s="223">
        <f t="shared" si="7"/>
        <v>39</v>
      </c>
      <c r="Y10" s="329"/>
      <c r="Z10" s="329" t="s">
        <v>804</v>
      </c>
      <c r="AA10" s="329" t="str">
        <f t="shared" ca="1" si="8"/>
        <v>D1-3</v>
      </c>
      <c r="AB10" s="329">
        <f t="shared" ca="1" si="9"/>
        <v>22</v>
      </c>
      <c r="AC10" s="329">
        <f t="shared" ca="1" si="10"/>
        <v>24</v>
      </c>
      <c r="AD10" s="329">
        <f t="shared" ca="1" si="11"/>
        <v>46</v>
      </c>
      <c r="AE10" s="236">
        <f t="shared" ca="1" si="12"/>
        <v>0.47826086956521741</v>
      </c>
      <c r="AF10" s="341">
        <f t="shared" ca="1" si="13"/>
        <v>-77.521739130434781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814</v>
      </c>
      <c r="C11" s="105">
        <v>9</v>
      </c>
      <c r="D11" s="106">
        <v>11</v>
      </c>
      <c r="E11" s="106">
        <v>8</v>
      </c>
      <c r="F11" s="235">
        <f t="shared" si="0"/>
        <v>28</v>
      </c>
      <c r="G11" s="235">
        <f>C10+D13+E12</f>
        <v>23</v>
      </c>
      <c r="H11" s="235">
        <f t="shared" si="1"/>
        <v>51</v>
      </c>
      <c r="I11" s="236">
        <f t="shared" si="2"/>
        <v>0.5490196078431373</v>
      </c>
      <c r="J11" s="424">
        <f t="shared" ca="1" si="23"/>
        <v>2</v>
      </c>
      <c r="K11" s="425" t="str">
        <f t="shared" ca="1" si="4"/>
        <v>D3-2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811</v>
      </c>
      <c r="AA11" s="329" t="str">
        <f t="shared" ca="1" si="8"/>
        <v>D2-3</v>
      </c>
      <c r="AB11" s="329">
        <f t="shared" ca="1" si="9"/>
        <v>21</v>
      </c>
      <c r="AC11" s="329">
        <f t="shared" ca="1" si="10"/>
        <v>30</v>
      </c>
      <c r="AD11" s="329">
        <f t="shared" ca="1" si="11"/>
        <v>51</v>
      </c>
      <c r="AE11" s="236">
        <f t="shared" ca="1" si="12"/>
        <v>0.41176470588235292</v>
      </c>
      <c r="AF11" s="341">
        <f t="shared" ca="1" si="13"/>
        <v>-78.588235294117652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819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14</v>
      </c>
      <c r="H12" s="235">
        <f t="shared" si="1"/>
        <v>47</v>
      </c>
      <c r="I12" s="236">
        <f t="shared" si="2"/>
        <v>0.7021276595744681</v>
      </c>
      <c r="J12" s="424">
        <f t="shared" ca="1" si="23"/>
        <v>1</v>
      </c>
      <c r="K12" s="425" t="str">
        <f t="shared" ca="1" si="4"/>
        <v>D3-1</v>
      </c>
      <c r="L12" s="499" t="s">
        <v>230</v>
      </c>
      <c r="M12" s="218" t="str">
        <f t="shared" ca="1" si="5"/>
        <v>Irwin Don &amp; Tim Norris</v>
      </c>
      <c r="N12" s="421"/>
      <c r="O12" s="422"/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9</v>
      </c>
      <c r="W12" s="223">
        <f t="shared" si="26"/>
        <v>11</v>
      </c>
      <c r="X12" s="223">
        <f t="shared" si="7"/>
        <v>20</v>
      </c>
      <c r="Y12" s="329"/>
      <c r="Z12" s="329" t="s">
        <v>823</v>
      </c>
      <c r="AA12" s="329" t="str">
        <f t="shared" ca="1" si="8"/>
        <v>D4-3</v>
      </c>
      <c r="AB12" s="329">
        <f t="shared" ca="1" si="9"/>
        <v>19</v>
      </c>
      <c r="AC12" s="329">
        <f t="shared" ca="1" si="10"/>
        <v>29</v>
      </c>
      <c r="AD12" s="329">
        <f t="shared" ca="1" si="11"/>
        <v>48</v>
      </c>
      <c r="AE12" s="236">
        <f t="shared" ca="1" si="12"/>
        <v>0.39583333333333331</v>
      </c>
      <c r="AF12" s="375">
        <f t="shared" ca="1" si="13"/>
        <v>-80.604166666666671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822</v>
      </c>
      <c r="C13" s="109">
        <v>4</v>
      </c>
      <c r="D13" s="110">
        <v>1</v>
      </c>
      <c r="E13" s="111">
        <v>11</v>
      </c>
      <c r="F13" s="252">
        <f t="shared" si="0"/>
        <v>16</v>
      </c>
      <c r="G13" s="252">
        <f>C12+D11+E10</f>
        <v>27</v>
      </c>
      <c r="H13" s="252">
        <f t="shared" si="1"/>
        <v>43</v>
      </c>
      <c r="I13" s="253">
        <f t="shared" si="2"/>
        <v>0.37209302325581395</v>
      </c>
      <c r="J13" s="429">
        <f t="shared" ca="1" si="23"/>
        <v>4</v>
      </c>
      <c r="K13" s="430" t="str">
        <f t="shared" ca="1" si="4"/>
        <v>D3-4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816</v>
      </c>
      <c r="AA13" s="337" t="str">
        <f t="shared" ca="1" si="8"/>
        <v>D2-4</v>
      </c>
      <c r="AB13" s="337">
        <f t="shared" ca="1" si="9"/>
        <v>19</v>
      </c>
      <c r="AC13" s="337">
        <f t="shared" ca="1" si="10"/>
        <v>33</v>
      </c>
      <c r="AD13" s="337">
        <f t="shared" ca="1" si="11"/>
        <v>52</v>
      </c>
      <c r="AE13" s="253">
        <f t="shared" ca="1" si="12"/>
        <v>0.36538461538461536</v>
      </c>
      <c r="AF13" s="345">
        <f t="shared" ca="1" si="13"/>
        <v>-80.634615384615387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823</v>
      </c>
      <c r="C14" s="148">
        <v>11</v>
      </c>
      <c r="D14" s="165">
        <v>6</v>
      </c>
      <c r="E14" s="165">
        <v>2</v>
      </c>
      <c r="F14" s="213">
        <f t="shared" si="0"/>
        <v>19</v>
      </c>
      <c r="G14" s="213">
        <f>C15+D16+E17</f>
        <v>29</v>
      </c>
      <c r="H14" s="213">
        <f t="shared" si="1"/>
        <v>48</v>
      </c>
      <c r="I14" s="214">
        <f t="shared" si="2"/>
        <v>0.39583333333333331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18" t="str">
        <f t="shared" ca="1" si="5"/>
        <v>John Stauffer &amp; Marlin Carlson</v>
      </c>
      <c r="N14" s="421"/>
      <c r="O14" s="422"/>
      <c r="P14" s="220">
        <v>11</v>
      </c>
      <c r="Q14" s="221">
        <v>9</v>
      </c>
      <c r="R14" s="244">
        <v>11</v>
      </c>
      <c r="S14" s="245">
        <v>8</v>
      </c>
      <c r="T14" s="246">
        <v>12</v>
      </c>
      <c r="U14" s="243">
        <v>14</v>
      </c>
      <c r="V14" s="223">
        <f t="shared" ref="V14:W14" si="29">(N14+P14+R14+T14)</f>
        <v>34</v>
      </c>
      <c r="W14" s="223">
        <f t="shared" si="29"/>
        <v>31</v>
      </c>
      <c r="X14" s="223">
        <f t="shared" si="7"/>
        <v>65</v>
      </c>
      <c r="Y14" s="329"/>
      <c r="Z14" s="329" t="s">
        <v>818</v>
      </c>
      <c r="AA14" s="329" t="str">
        <f t="shared" ca="1" si="8"/>
        <v>D3-3</v>
      </c>
      <c r="AB14" s="329">
        <f t="shared" ca="1" si="9"/>
        <v>18</v>
      </c>
      <c r="AC14" s="329">
        <f t="shared" ca="1" si="10"/>
        <v>31</v>
      </c>
      <c r="AD14" s="329">
        <f t="shared" ca="1" si="11"/>
        <v>49</v>
      </c>
      <c r="AE14" s="236">
        <f t="shared" ca="1" si="12"/>
        <v>0.36734693877551022</v>
      </c>
      <c r="AF14" s="343">
        <f t="shared" ca="1" si="13"/>
        <v>-81.632653061224488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824</v>
      </c>
      <c r="C15" s="105">
        <v>7</v>
      </c>
      <c r="D15" s="106">
        <v>3</v>
      </c>
      <c r="E15" s="106">
        <v>1</v>
      </c>
      <c r="F15" s="235">
        <f t="shared" si="0"/>
        <v>11</v>
      </c>
      <c r="G15" s="235">
        <f>C14+D17+E16</f>
        <v>33</v>
      </c>
      <c r="H15" s="235">
        <f t="shared" si="1"/>
        <v>44</v>
      </c>
      <c r="I15" s="236">
        <f t="shared" si="2"/>
        <v>0.25</v>
      </c>
      <c r="J15" s="424">
        <f t="shared" ca="1" si="28"/>
        <v>4</v>
      </c>
      <c r="K15" s="425" t="str">
        <f t="shared" ca="1" si="4"/>
        <v>D4-4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822</v>
      </c>
      <c r="AA15" s="329" t="str">
        <f t="shared" ca="1" si="8"/>
        <v>D3-4</v>
      </c>
      <c r="AB15" s="329">
        <f t="shared" ca="1" si="9"/>
        <v>16</v>
      </c>
      <c r="AC15" s="329">
        <f t="shared" ca="1" si="10"/>
        <v>27</v>
      </c>
      <c r="AD15" s="329">
        <f t="shared" ca="1" si="11"/>
        <v>43</v>
      </c>
      <c r="AE15" s="236">
        <f t="shared" ca="1" si="12"/>
        <v>0.37209302325581395</v>
      </c>
      <c r="AF15" s="333">
        <f t="shared" ca="1" si="13"/>
        <v>-83.627906976744185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807</v>
      </c>
      <c r="C16" s="107">
        <v>10</v>
      </c>
      <c r="D16" s="108">
        <v>11</v>
      </c>
      <c r="E16" s="106">
        <v>11</v>
      </c>
      <c r="F16" s="235">
        <f t="shared" si="0"/>
        <v>32</v>
      </c>
      <c r="G16" s="235">
        <f>C17+D14+E15</f>
        <v>18</v>
      </c>
      <c r="H16" s="235">
        <f t="shared" si="1"/>
        <v>50</v>
      </c>
      <c r="I16" s="236">
        <f t="shared" si="2"/>
        <v>0.64</v>
      </c>
      <c r="J16" s="424">
        <f t="shared" ca="1" si="28"/>
        <v>2</v>
      </c>
      <c r="K16" s="425" t="str">
        <f t="shared" ca="1" si="4"/>
        <v>D4-2</v>
      </c>
      <c r="L16" s="499" t="s">
        <v>218</v>
      </c>
      <c r="M16" s="437" t="str">
        <f t="shared" ca="1" si="5"/>
        <v>Bond Marrs &amp; Christopher Elmore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806</v>
      </c>
      <c r="AA16" s="329" t="str">
        <f t="shared" ca="1" si="8"/>
        <v>D1-4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236">
        <f t="shared" ca="1" si="12"/>
        <v>0.3125</v>
      </c>
      <c r="AF16" s="341">
        <f t="shared" ca="1" si="13"/>
        <v>-84.6875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100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15</v>
      </c>
      <c r="H17" s="252">
        <f t="shared" si="1"/>
        <v>48</v>
      </c>
      <c r="I17" s="253">
        <f t="shared" si="2"/>
        <v>0.6875</v>
      </c>
      <c r="J17" s="429">
        <f t="shared" ca="1" si="28"/>
        <v>1</v>
      </c>
      <c r="K17" s="430" t="str">
        <f t="shared" ca="1" si="4"/>
        <v>D4-1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824</v>
      </c>
      <c r="AA17" s="337" t="str">
        <f t="shared" ca="1" si="8"/>
        <v>D4-4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138</v>
      </c>
      <c r="D19" s="289">
        <f t="shared" si="33"/>
        <v>122</v>
      </c>
      <c r="E19" s="289">
        <f>SUM(E2:E18)</f>
        <v>131</v>
      </c>
      <c r="F19" s="290">
        <f t="shared" ref="F19:G19" si="34">SUM(F2:F17)</f>
        <v>391</v>
      </c>
      <c r="G19" s="290">
        <f t="shared" si="34"/>
        <v>391</v>
      </c>
      <c r="H19" s="292">
        <f>SUM(H2:H17)/2</f>
        <v>391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71</v>
      </c>
      <c r="Q19" s="287">
        <f t="shared" si="35"/>
        <v>71</v>
      </c>
      <c r="R19" s="287">
        <f t="shared" si="35"/>
        <v>38</v>
      </c>
      <c r="S19" s="287">
        <f t="shared" si="35"/>
        <v>38</v>
      </c>
      <c r="T19" s="287">
        <f t="shared" si="35"/>
        <v>26</v>
      </c>
      <c r="U19" s="287">
        <f t="shared" si="35"/>
        <v>26</v>
      </c>
      <c r="V19" s="287">
        <f t="shared" si="35"/>
        <v>135</v>
      </c>
      <c r="W19" s="287">
        <f t="shared" si="35"/>
        <v>135</v>
      </c>
      <c r="X19" s="287">
        <f>SUM(X2:X17)/2</f>
        <v>135</v>
      </c>
      <c r="Y19" s="287"/>
      <c r="Z19" s="287"/>
      <c r="AA19" s="287"/>
      <c r="AB19" s="287">
        <f t="shared" ref="AB19:AD19" ca="1" si="36">SUM(AB2:AB17)/2</f>
        <v>263</v>
      </c>
      <c r="AC19" s="287">
        <f t="shared" ca="1" si="36"/>
        <v>263</v>
      </c>
      <c r="AD19" s="287">
        <f t="shared" ca="1" si="36"/>
        <v>526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48.875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7"/>
      <c r="Z20" s="287"/>
      <c r="AA20" s="287"/>
      <c r="AB20" s="287"/>
      <c r="AC20" s="287"/>
      <c r="AD20" s="298">
        <f ca="1">AVERAGE(AD2:AD17)</f>
        <v>65.75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>
        <f t="shared" ref="N21:U21" si="38">COUNTA(N2:N17)</f>
        <v>0</v>
      </c>
      <c r="O21" s="287">
        <f t="shared" si="38"/>
        <v>0</v>
      </c>
      <c r="P21" s="287">
        <f t="shared" si="38"/>
        <v>8</v>
      </c>
      <c r="Q21" s="287">
        <f t="shared" si="38"/>
        <v>8</v>
      </c>
      <c r="R21" s="287">
        <f t="shared" si="38"/>
        <v>4</v>
      </c>
      <c r="S21" s="287">
        <f t="shared" si="38"/>
        <v>4</v>
      </c>
      <c r="T21" s="287">
        <f t="shared" si="38"/>
        <v>2</v>
      </c>
      <c r="U21" s="287">
        <f t="shared" si="38"/>
        <v>2</v>
      </c>
      <c r="V21" s="287"/>
      <c r="W21" s="296"/>
      <c r="X21" s="287">
        <f>AVERAGE(X2:X17)</f>
        <v>16.875</v>
      </c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38" priority="4" operator="equal">
      <formula>33</formula>
    </cfRule>
  </conditionalFormatting>
  <conditionalFormatting sqref="M2:U17">
    <cfRule type="expression" dxfId="37" priority="1">
      <formula>$T2&gt;U2</formula>
    </cfRule>
  </conditionalFormatting>
  <conditionalFormatting sqref="P2:Q17">
    <cfRule type="expression" dxfId="36" priority="2">
      <formula>$P2=11</formula>
    </cfRule>
  </conditionalFormatting>
  <conditionalFormatting sqref="R2:S17">
    <cfRule type="expression" dxfId="35" priority="3">
      <formula>$R2=11</formula>
    </cfRule>
  </conditionalFormatting>
  <hyperlinks>
    <hyperlink ref="A1" location="Champions!A1" display="Home" xr:uid="{00000000-0004-0000-1800-000000000000}"/>
    <hyperlink ref="AH1" location="Champions!A1" display="Home" xr:uid="{00000000-0004-0000-1800-000001000000}"/>
    <hyperlink ref="A19" location="Champions!A1" display="Home" xr:uid="{00000000-0004-0000-1800-000002000000}"/>
    <hyperlink ref="K19" location="Champions!A1" display="Home" xr:uid="{00000000-0004-0000-1800-000003000000}"/>
  </hyperlink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801</v>
      </c>
      <c r="C2" s="148">
        <v>11</v>
      </c>
      <c r="D2" s="165">
        <v>5</v>
      </c>
      <c r="E2" s="165">
        <v>11</v>
      </c>
      <c r="F2" s="213">
        <f t="shared" ref="F2:F17" si="0">SUM(C2:E2)</f>
        <v>27</v>
      </c>
      <c r="G2" s="213">
        <f>C3+D4+E5</f>
        <v>23</v>
      </c>
      <c r="H2" s="213">
        <f t="shared" ref="H2:H17" si="1">SUM(F2:G2)</f>
        <v>50</v>
      </c>
      <c r="I2" s="214">
        <f t="shared" ref="I2:I17" si="2">IFERROR(F2/H2,"")</f>
        <v>0.54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499" t="s">
        <v>207</v>
      </c>
      <c r="M2" s="218" t="str">
        <f t="shared" ref="M2:M17" ca="1" si="5">IFERROR(INDEX($A$2:$K$17,MATCH(L2,$K$2:$K$17,0),2),)</f>
        <v>Romy Carlson &amp; Katy Gondring</v>
      </c>
      <c r="N2" s="421"/>
      <c r="O2" s="422"/>
      <c r="P2" s="220">
        <v>11</v>
      </c>
      <c r="Q2" s="221">
        <v>3</v>
      </c>
      <c r="R2" s="217">
        <v>11</v>
      </c>
      <c r="S2" s="219">
        <v>6</v>
      </c>
      <c r="T2" s="222">
        <v>18</v>
      </c>
      <c r="U2" s="221">
        <v>17</v>
      </c>
      <c r="V2" s="223">
        <f t="shared" ref="V2:W2" si="6">(N2+P2+R2+T2)</f>
        <v>40</v>
      </c>
      <c r="W2" s="223">
        <f t="shared" si="6"/>
        <v>26</v>
      </c>
      <c r="X2" s="223">
        <f t="shared" ref="X2:X17" si="7">V2+W2</f>
        <v>66</v>
      </c>
      <c r="Y2" s="329"/>
      <c r="Z2" s="329" t="s">
        <v>95</v>
      </c>
      <c r="AA2" s="329" t="str">
        <f t="shared" ref="AA2:AA17" ca="1" si="8">IFERROR(INDEX($A$2:$K$17,MATCH(Z2,$B$2:$B$17,0),11),)</f>
        <v>D1-1</v>
      </c>
      <c r="AB2" s="329">
        <f t="shared" ref="AB2:AB17" ca="1" si="9">IFERROR((INDEX($A$2:$H$17,MATCH($Z2,$B$2:$B$17,0),6))+INDEX($M$2:$X$17,MATCH($Z2,$M$2:$M$17,0),10),INDEX($B$2:$G$17,MATCH($Z2,$B$2:$B$17,0),5))</f>
        <v>73</v>
      </c>
      <c r="AC2" s="329">
        <f t="shared" ref="AC2:AC17" ca="1" si="10">IFERROR((INDEX($A$2:$H$17,MATCH($Z2,$B$2:$B$17,0),7))+INDEX($M$2:$X$17,MATCH($Z2,$M$2:$M$17,0),11),INDEX($B$2:$G$17,MATCH($Z2,$B$2:$B$17,0),6))</f>
        <v>38</v>
      </c>
      <c r="AD2" s="329">
        <f t="shared" ref="AD2:AD17" ca="1" si="11">SUM(AB2:AC2)</f>
        <v>111</v>
      </c>
      <c r="AE2" s="236">
        <f t="shared" ref="AE2:AE17" ca="1" si="12">AB2/AD2</f>
        <v>0.65765765765765771</v>
      </c>
      <c r="AF2" s="330">
        <f t="shared" ref="AF2:AF17" ca="1" si="13">AE2-(100-AB2)</f>
        <v>-26.342342342342342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777</v>
      </c>
      <c r="C3" s="105">
        <v>6</v>
      </c>
      <c r="D3" s="106">
        <v>10</v>
      </c>
      <c r="E3" s="106">
        <v>1</v>
      </c>
      <c r="F3" s="235">
        <f t="shared" si="0"/>
        <v>17</v>
      </c>
      <c r="G3" s="235">
        <f>C2+D5+E4</f>
        <v>33</v>
      </c>
      <c r="H3" s="235">
        <f t="shared" si="1"/>
        <v>50</v>
      </c>
      <c r="I3" s="236">
        <f t="shared" si="2"/>
        <v>0.34</v>
      </c>
      <c r="J3" s="424">
        <f t="shared" ca="1" si="3"/>
        <v>4</v>
      </c>
      <c r="K3" s="425" t="str">
        <f t="shared" ca="1" si="4"/>
        <v>D1-4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96</v>
      </c>
      <c r="AA3" s="329" t="str">
        <f t="shared" ca="1" si="8"/>
        <v>D2-2</v>
      </c>
      <c r="AB3" s="329">
        <f t="shared" ca="1" si="9"/>
        <v>67</v>
      </c>
      <c r="AC3" s="329">
        <f t="shared" ca="1" si="10"/>
        <v>62</v>
      </c>
      <c r="AD3" s="329">
        <f t="shared" ca="1" si="11"/>
        <v>129</v>
      </c>
      <c r="AE3" s="236">
        <f t="shared" ca="1" si="12"/>
        <v>0.51937984496124034</v>
      </c>
      <c r="AF3" s="341">
        <f t="shared" ca="1" si="13"/>
        <v>-32.480620155038757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95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12</v>
      </c>
      <c r="H4" s="235">
        <f t="shared" si="1"/>
        <v>45</v>
      </c>
      <c r="I4" s="236">
        <f t="shared" si="2"/>
        <v>0.73333333333333328</v>
      </c>
      <c r="J4" s="424">
        <f t="shared" ca="1" si="3"/>
        <v>1</v>
      </c>
      <c r="K4" s="425" t="str">
        <f t="shared" ca="1" si="4"/>
        <v>D1-1</v>
      </c>
      <c r="L4" s="499" t="s">
        <v>265</v>
      </c>
      <c r="M4" s="218" t="str">
        <f t="shared" ca="1" si="5"/>
        <v>Tracy Boone &amp; Lindsey Kalivoda</v>
      </c>
      <c r="N4" s="421"/>
      <c r="O4" s="422"/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3</v>
      </c>
      <c r="W4" s="223">
        <f t="shared" si="16"/>
        <v>11</v>
      </c>
      <c r="X4" s="223">
        <f t="shared" si="7"/>
        <v>14</v>
      </c>
      <c r="Y4" s="329"/>
      <c r="Z4" s="329" t="s">
        <v>783</v>
      </c>
      <c r="AA4" s="329" t="str">
        <f t="shared" ca="1" si="8"/>
        <v>D2-1</v>
      </c>
      <c r="AB4" s="329">
        <f t="shared" ca="1" si="9"/>
        <v>50</v>
      </c>
      <c r="AC4" s="329">
        <f t="shared" ca="1" si="10"/>
        <v>39</v>
      </c>
      <c r="AD4" s="329">
        <f t="shared" ca="1" si="11"/>
        <v>89</v>
      </c>
      <c r="AE4" s="236">
        <f t="shared" ca="1" si="12"/>
        <v>0.5617977528089888</v>
      </c>
      <c r="AF4" s="333">
        <f t="shared" ca="1" si="13"/>
        <v>-49.438202247191015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779</v>
      </c>
      <c r="C5" s="109">
        <v>6</v>
      </c>
      <c r="D5" s="110">
        <v>11</v>
      </c>
      <c r="E5" s="111">
        <v>6</v>
      </c>
      <c r="F5" s="252">
        <f t="shared" si="0"/>
        <v>23</v>
      </c>
      <c r="G5" s="252">
        <f>C4+D3+E2</f>
        <v>32</v>
      </c>
      <c r="H5" s="252">
        <f t="shared" si="1"/>
        <v>55</v>
      </c>
      <c r="I5" s="253">
        <f t="shared" si="2"/>
        <v>0.41818181818181815</v>
      </c>
      <c r="J5" s="429">
        <f t="shared" ca="1" si="3"/>
        <v>3</v>
      </c>
      <c r="K5" s="430" t="str">
        <f t="shared" ca="1" si="4"/>
        <v>D1-3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801</v>
      </c>
      <c r="AA5" s="337" t="str">
        <f t="shared" ca="1" si="8"/>
        <v>D1-2</v>
      </c>
      <c r="AB5" s="337">
        <f t="shared" ca="1" si="9"/>
        <v>46</v>
      </c>
      <c r="AC5" s="337">
        <f t="shared" ca="1" si="10"/>
        <v>41</v>
      </c>
      <c r="AD5" s="337">
        <f t="shared" ca="1" si="11"/>
        <v>87</v>
      </c>
      <c r="AE5" s="253">
        <f t="shared" ca="1" si="12"/>
        <v>0.52873563218390807</v>
      </c>
      <c r="AF5" s="338">
        <f t="shared" ca="1" si="13"/>
        <v>-53.47126436781609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782</v>
      </c>
      <c r="C6" s="148">
        <v>5</v>
      </c>
      <c r="D6" s="165">
        <v>11</v>
      </c>
      <c r="E6" s="165">
        <v>11</v>
      </c>
      <c r="F6" s="213">
        <f t="shared" si="0"/>
        <v>27</v>
      </c>
      <c r="G6" s="213">
        <f>C7+D8+E9</f>
        <v>23</v>
      </c>
      <c r="H6" s="213">
        <f t="shared" si="1"/>
        <v>50</v>
      </c>
      <c r="I6" s="214">
        <f t="shared" si="2"/>
        <v>0.54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shared" ca="1" si="5"/>
        <v>Katie Bolton &amp; Debbie Don</v>
      </c>
      <c r="N6" s="421"/>
      <c r="O6" s="422"/>
      <c r="P6" s="220">
        <v>11</v>
      </c>
      <c r="Q6" s="221">
        <v>9</v>
      </c>
      <c r="R6" s="244">
        <v>6</v>
      </c>
      <c r="S6" s="245">
        <v>11</v>
      </c>
      <c r="T6" s="246"/>
      <c r="U6" s="243"/>
      <c r="V6" s="223">
        <f t="shared" ref="V6:W6" si="19">(N6+P6+R6+T6)</f>
        <v>17</v>
      </c>
      <c r="W6" s="223">
        <f t="shared" si="19"/>
        <v>20</v>
      </c>
      <c r="X6" s="223">
        <f t="shared" si="7"/>
        <v>37</v>
      </c>
      <c r="Y6" s="340"/>
      <c r="Z6" s="340" t="s">
        <v>788</v>
      </c>
      <c r="AA6" s="340" t="str">
        <f t="shared" ca="1" si="8"/>
        <v>D3-2</v>
      </c>
      <c r="AB6" s="340">
        <f t="shared" ca="1" si="9"/>
        <v>40</v>
      </c>
      <c r="AC6" s="340">
        <f t="shared" ca="1" si="10"/>
        <v>28</v>
      </c>
      <c r="AD6" s="340">
        <f t="shared" ca="1" si="11"/>
        <v>68</v>
      </c>
      <c r="AE6" s="214">
        <f t="shared" ca="1" si="12"/>
        <v>0.58823529411764708</v>
      </c>
      <c r="AF6" s="341">
        <f t="shared" ca="1" si="13"/>
        <v>-59.411764705882355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783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19</v>
      </c>
      <c r="H7" s="235">
        <f t="shared" si="1"/>
        <v>52</v>
      </c>
      <c r="I7" s="236">
        <f t="shared" si="2"/>
        <v>0.63461538461538458</v>
      </c>
      <c r="J7" s="424">
        <f t="shared" ca="1" si="18"/>
        <v>1</v>
      </c>
      <c r="K7" s="425" t="str">
        <f t="shared" ca="1" si="4"/>
        <v>D2-1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790</v>
      </c>
      <c r="AA7" s="329" t="str">
        <f t="shared" ca="1" si="8"/>
        <v>D3-1</v>
      </c>
      <c r="AB7" s="329">
        <f t="shared" ca="1" si="9"/>
        <v>40</v>
      </c>
      <c r="AC7" s="329">
        <f t="shared" ca="1" si="10"/>
        <v>32</v>
      </c>
      <c r="AD7" s="329">
        <f t="shared" ca="1" si="11"/>
        <v>72</v>
      </c>
      <c r="AE7" s="360">
        <f t="shared" ca="1" si="12"/>
        <v>0.55555555555555558</v>
      </c>
      <c r="AF7" s="341">
        <f t="shared" ca="1" si="13"/>
        <v>-59.444444444444443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787</v>
      </c>
      <c r="C8" s="107">
        <v>7</v>
      </c>
      <c r="D8" s="108">
        <v>5</v>
      </c>
      <c r="E8" s="106">
        <v>4</v>
      </c>
      <c r="F8" s="235">
        <f t="shared" si="0"/>
        <v>16</v>
      </c>
      <c r="G8" s="235">
        <f>C9+D6+E7</f>
        <v>33</v>
      </c>
      <c r="H8" s="235">
        <f t="shared" si="1"/>
        <v>49</v>
      </c>
      <c r="I8" s="236">
        <f t="shared" si="2"/>
        <v>0.32653061224489793</v>
      </c>
      <c r="J8" s="424">
        <f t="shared" ca="1" si="18"/>
        <v>4</v>
      </c>
      <c r="K8" s="425" t="str">
        <f t="shared" ca="1" si="4"/>
        <v>D2-4</v>
      </c>
      <c r="L8" s="499" t="s">
        <v>253</v>
      </c>
      <c r="M8" s="218" t="str">
        <f t="shared" ca="1" si="5"/>
        <v>Debbie Davis &amp; Jamie Myers</v>
      </c>
      <c r="N8" s="421"/>
      <c r="O8" s="422"/>
      <c r="P8" s="242">
        <v>9</v>
      </c>
      <c r="Q8" s="243">
        <v>11</v>
      </c>
      <c r="R8" s="244"/>
      <c r="S8" s="245"/>
      <c r="T8" s="246"/>
      <c r="U8" s="243"/>
      <c r="V8" s="223">
        <f t="shared" ref="V8:W8" si="21">(N8+P8+R8+T8)</f>
        <v>9</v>
      </c>
      <c r="W8" s="223">
        <f t="shared" si="21"/>
        <v>11</v>
      </c>
      <c r="X8" s="223">
        <f t="shared" si="7"/>
        <v>20</v>
      </c>
      <c r="Y8" s="329"/>
      <c r="Z8" s="329" t="s">
        <v>798</v>
      </c>
      <c r="AA8" s="329" t="str">
        <f t="shared" ca="1" si="8"/>
        <v>D4-1</v>
      </c>
      <c r="AB8" s="329">
        <f t="shared" ca="1" si="9"/>
        <v>38</v>
      </c>
      <c r="AC8" s="329">
        <f t="shared" ca="1" si="10"/>
        <v>34</v>
      </c>
      <c r="AD8" s="329">
        <f t="shared" ca="1" si="11"/>
        <v>72</v>
      </c>
      <c r="AE8" s="236">
        <f t="shared" ca="1" si="12"/>
        <v>0.52777777777777779</v>
      </c>
      <c r="AF8" s="333">
        <f t="shared" ca="1" si="13"/>
        <v>-61.472222222222221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96</v>
      </c>
      <c r="C9" s="109">
        <v>11</v>
      </c>
      <c r="D9" s="110">
        <v>10</v>
      </c>
      <c r="E9" s="111">
        <v>7</v>
      </c>
      <c r="F9" s="252">
        <f t="shared" si="0"/>
        <v>28</v>
      </c>
      <c r="G9" s="252">
        <f>C8+D7+E6</f>
        <v>29</v>
      </c>
      <c r="H9" s="252">
        <f t="shared" si="1"/>
        <v>57</v>
      </c>
      <c r="I9" s="253">
        <f t="shared" si="2"/>
        <v>0.49122807017543857</v>
      </c>
      <c r="J9" s="429">
        <f t="shared" ca="1" si="18"/>
        <v>2</v>
      </c>
      <c r="K9" s="430" t="str">
        <f t="shared" ca="1" si="4"/>
        <v>D2-2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778</v>
      </c>
      <c r="AA9" s="337" t="str">
        <f t="shared" ca="1" si="8"/>
        <v>D4-2</v>
      </c>
      <c r="AB9" s="337">
        <f t="shared" ca="1" si="9"/>
        <v>33</v>
      </c>
      <c r="AC9" s="337">
        <f t="shared" ca="1" si="10"/>
        <v>37</v>
      </c>
      <c r="AD9" s="337">
        <f t="shared" ca="1" si="11"/>
        <v>70</v>
      </c>
      <c r="AE9" s="253">
        <f t="shared" ca="1" si="12"/>
        <v>0.47142857142857142</v>
      </c>
      <c r="AF9" s="338">
        <f t="shared" ca="1" si="13"/>
        <v>-66.528571428571425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789</v>
      </c>
      <c r="C10" s="148">
        <v>5</v>
      </c>
      <c r="D10" s="165">
        <v>3</v>
      </c>
      <c r="E10" s="165">
        <v>11</v>
      </c>
      <c r="F10" s="213">
        <f t="shared" si="0"/>
        <v>19</v>
      </c>
      <c r="G10" s="213">
        <f>C11+D12+E13</f>
        <v>30</v>
      </c>
      <c r="H10" s="213">
        <f t="shared" si="1"/>
        <v>49</v>
      </c>
      <c r="I10" s="214">
        <f t="shared" si="2"/>
        <v>0.38775510204081631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499" t="s">
        <v>243</v>
      </c>
      <c r="M10" s="218" t="str">
        <f t="shared" ca="1" si="5"/>
        <v>Mary Thornton &amp; Susan Scott Savic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797</v>
      </c>
      <c r="AA10" s="329" t="str">
        <f t="shared" ca="1" si="8"/>
        <v>D4-3</v>
      </c>
      <c r="AB10" s="329">
        <f t="shared" ca="1" si="9"/>
        <v>29</v>
      </c>
      <c r="AC10" s="329">
        <f t="shared" ca="1" si="10"/>
        <v>31</v>
      </c>
      <c r="AD10" s="329">
        <f t="shared" ca="1" si="11"/>
        <v>60</v>
      </c>
      <c r="AE10" s="236">
        <f t="shared" ca="1" si="12"/>
        <v>0.48333333333333334</v>
      </c>
      <c r="AF10" s="341">
        <f t="shared" ca="1" si="13"/>
        <v>-70.516666666666666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790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C10+D13+E12</f>
        <v>21</v>
      </c>
      <c r="H11" s="235">
        <f t="shared" si="1"/>
        <v>54</v>
      </c>
      <c r="I11" s="236">
        <f t="shared" si="2"/>
        <v>0.61111111111111116</v>
      </c>
      <c r="J11" s="424">
        <f t="shared" ca="1" si="23"/>
        <v>1</v>
      </c>
      <c r="K11" s="425" t="str">
        <f t="shared" ca="1" si="4"/>
        <v>D3-1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782</v>
      </c>
      <c r="AA11" s="329" t="str">
        <f t="shared" ca="1" si="8"/>
        <v>D2-3</v>
      </c>
      <c r="AB11" s="329">
        <f t="shared" ca="1" si="9"/>
        <v>27</v>
      </c>
      <c r="AC11" s="329">
        <f t="shared" ca="1" si="10"/>
        <v>23</v>
      </c>
      <c r="AD11" s="329">
        <f t="shared" ca="1" si="11"/>
        <v>50</v>
      </c>
      <c r="AE11" s="236">
        <f t="shared" ca="1" si="12"/>
        <v>0.54</v>
      </c>
      <c r="AF11" s="341">
        <f t="shared" ca="1" si="13"/>
        <v>-72.459999999999994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788</v>
      </c>
      <c r="C12" s="107">
        <v>11</v>
      </c>
      <c r="D12" s="108">
        <v>11</v>
      </c>
      <c r="E12" s="106">
        <v>9</v>
      </c>
      <c r="F12" s="235">
        <f t="shared" si="0"/>
        <v>31</v>
      </c>
      <c r="G12" s="235">
        <f>C13+D10+E11</f>
        <v>17</v>
      </c>
      <c r="H12" s="235">
        <f t="shared" si="1"/>
        <v>48</v>
      </c>
      <c r="I12" s="236">
        <f t="shared" si="2"/>
        <v>0.64583333333333337</v>
      </c>
      <c r="J12" s="424">
        <f t="shared" ca="1" si="23"/>
        <v>2</v>
      </c>
      <c r="K12" s="425" t="str">
        <f t="shared" ca="1" si="4"/>
        <v>D3-2</v>
      </c>
      <c r="L12" s="499" t="s">
        <v>230</v>
      </c>
      <c r="M12" s="218" t="str">
        <f t="shared" ca="1" si="5"/>
        <v>Tamara Hutcheson &amp; Susan Mitts</v>
      </c>
      <c r="N12" s="421"/>
      <c r="O12" s="422"/>
      <c r="P12" s="242">
        <v>11</v>
      </c>
      <c r="Q12" s="243">
        <v>7</v>
      </c>
      <c r="R12" s="244">
        <v>11</v>
      </c>
      <c r="S12" s="245">
        <v>8</v>
      </c>
      <c r="T12" s="246">
        <v>17</v>
      </c>
      <c r="U12" s="243">
        <v>18</v>
      </c>
      <c r="V12" s="223">
        <f t="shared" ref="V12:W12" si="26">(N12+P12+R12+T12)</f>
        <v>39</v>
      </c>
      <c r="W12" s="223">
        <f t="shared" si="26"/>
        <v>33</v>
      </c>
      <c r="X12" s="223">
        <f t="shared" si="7"/>
        <v>72</v>
      </c>
      <c r="Y12" s="329"/>
      <c r="Z12" s="329" t="s">
        <v>779</v>
      </c>
      <c r="AA12" s="329" t="str">
        <f t="shared" ca="1" si="8"/>
        <v>D1-3</v>
      </c>
      <c r="AB12" s="329">
        <f t="shared" ca="1" si="9"/>
        <v>23</v>
      </c>
      <c r="AC12" s="329">
        <f t="shared" ca="1" si="10"/>
        <v>32</v>
      </c>
      <c r="AD12" s="329">
        <f t="shared" ca="1" si="11"/>
        <v>55</v>
      </c>
      <c r="AE12" s="236">
        <f t="shared" ca="1" si="12"/>
        <v>0.41818181818181815</v>
      </c>
      <c r="AF12" s="375">
        <f t="shared" ca="1" si="13"/>
        <v>-76.581818181818178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794</v>
      </c>
      <c r="C13" s="109">
        <v>3</v>
      </c>
      <c r="D13" s="110">
        <v>7</v>
      </c>
      <c r="E13" s="111">
        <v>8</v>
      </c>
      <c r="F13" s="252">
        <f t="shared" si="0"/>
        <v>18</v>
      </c>
      <c r="G13" s="252">
        <f>C12+D11+E10</f>
        <v>33</v>
      </c>
      <c r="H13" s="252">
        <f t="shared" si="1"/>
        <v>51</v>
      </c>
      <c r="I13" s="253">
        <f t="shared" si="2"/>
        <v>0.35294117647058826</v>
      </c>
      <c r="J13" s="429">
        <f t="shared" ca="1" si="23"/>
        <v>4</v>
      </c>
      <c r="K13" s="430" t="str">
        <f t="shared" ca="1" si="4"/>
        <v>D3-4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1374</v>
      </c>
      <c r="AA13" s="337" t="str">
        <f t="shared" ca="1" si="8"/>
        <v>D4-4</v>
      </c>
      <c r="AB13" s="337">
        <f t="shared" ca="1" si="9"/>
        <v>21</v>
      </c>
      <c r="AC13" s="337">
        <f t="shared" ca="1" si="10"/>
        <v>31</v>
      </c>
      <c r="AD13" s="337">
        <f t="shared" ca="1" si="11"/>
        <v>52</v>
      </c>
      <c r="AE13" s="253">
        <f t="shared" ca="1" si="12"/>
        <v>0.40384615384615385</v>
      </c>
      <c r="AF13" s="345">
        <f t="shared" ca="1" si="13"/>
        <v>-78.59615384615384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797</v>
      </c>
      <c r="C14" s="148">
        <v>9</v>
      </c>
      <c r="D14" s="165">
        <v>9</v>
      </c>
      <c r="E14" s="165">
        <v>11</v>
      </c>
      <c r="F14" s="213">
        <f t="shared" si="0"/>
        <v>29</v>
      </c>
      <c r="G14" s="213">
        <f>C15+D16+E17</f>
        <v>31</v>
      </c>
      <c r="H14" s="213">
        <f t="shared" si="1"/>
        <v>60</v>
      </c>
      <c r="I14" s="214">
        <f t="shared" si="2"/>
        <v>0.48333333333333334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18" t="str">
        <f t="shared" ca="1" si="5"/>
        <v>Laura Schoenekase &amp; Anne Miller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7"/>
        <v>18</v>
      </c>
      <c r="Y14" s="329"/>
      <c r="Z14" s="329" t="s">
        <v>789</v>
      </c>
      <c r="AA14" s="329" t="str">
        <f t="shared" ca="1" si="8"/>
        <v>D3-3</v>
      </c>
      <c r="AB14" s="329">
        <f t="shared" ca="1" si="9"/>
        <v>19</v>
      </c>
      <c r="AC14" s="329">
        <f t="shared" ca="1" si="10"/>
        <v>30</v>
      </c>
      <c r="AD14" s="329">
        <f t="shared" ca="1" si="11"/>
        <v>49</v>
      </c>
      <c r="AE14" s="236">
        <f t="shared" ca="1" si="12"/>
        <v>0.38775510204081631</v>
      </c>
      <c r="AF14" s="343">
        <f t="shared" ca="1" si="13"/>
        <v>-80.612244897959187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778</v>
      </c>
      <c r="C15" s="105">
        <v>11</v>
      </c>
      <c r="D15" s="106">
        <v>8</v>
      </c>
      <c r="E15" s="106">
        <v>11</v>
      </c>
      <c r="F15" s="235">
        <f t="shared" si="0"/>
        <v>30</v>
      </c>
      <c r="G15" s="235">
        <f>C14+D17+E16</f>
        <v>26</v>
      </c>
      <c r="H15" s="235">
        <f t="shared" si="1"/>
        <v>56</v>
      </c>
      <c r="I15" s="236">
        <f t="shared" si="2"/>
        <v>0.5357142857142857</v>
      </c>
      <c r="J15" s="424">
        <f t="shared" ca="1" si="28"/>
        <v>2</v>
      </c>
      <c r="K15" s="425" t="str">
        <f t="shared" ca="1" si="4"/>
        <v>D4-2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794</v>
      </c>
      <c r="AA15" s="329" t="str">
        <f t="shared" ca="1" si="8"/>
        <v>D3-4</v>
      </c>
      <c r="AB15" s="329">
        <f t="shared" ca="1" si="9"/>
        <v>18</v>
      </c>
      <c r="AC15" s="329">
        <f t="shared" ca="1" si="10"/>
        <v>33</v>
      </c>
      <c r="AD15" s="329">
        <f t="shared" ca="1" si="11"/>
        <v>51</v>
      </c>
      <c r="AE15" s="236">
        <f t="shared" ca="1" si="12"/>
        <v>0.35294117647058826</v>
      </c>
      <c r="AF15" s="333">
        <f t="shared" ca="1" si="13"/>
        <v>-81.647058823529406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1374</v>
      </c>
      <c r="C16" s="107">
        <v>4</v>
      </c>
      <c r="D16" s="108">
        <v>11</v>
      </c>
      <c r="E16" s="106">
        <v>6</v>
      </c>
      <c r="F16" s="235">
        <f t="shared" si="0"/>
        <v>21</v>
      </c>
      <c r="G16" s="235">
        <f>C17+D14+E15</f>
        <v>31</v>
      </c>
      <c r="H16" s="235">
        <f t="shared" si="1"/>
        <v>52</v>
      </c>
      <c r="I16" s="236">
        <f t="shared" si="2"/>
        <v>0.40384615384615385</v>
      </c>
      <c r="J16" s="424">
        <f t="shared" ca="1" si="28"/>
        <v>4</v>
      </c>
      <c r="K16" s="425" t="str">
        <f t="shared" ca="1" si="4"/>
        <v>D4-4</v>
      </c>
      <c r="L16" s="499" t="s">
        <v>218</v>
      </c>
      <c r="M16" s="437" t="str">
        <f t="shared" ca="1" si="5"/>
        <v>Brook Vitt &amp; Tiffany Raquel Madison</v>
      </c>
      <c r="N16" s="421"/>
      <c r="O16" s="422"/>
      <c r="P16" s="242">
        <v>11</v>
      </c>
      <c r="Q16" s="243">
        <v>7</v>
      </c>
      <c r="R16" s="244">
        <v>8</v>
      </c>
      <c r="S16" s="245">
        <v>11</v>
      </c>
      <c r="T16" s="246"/>
      <c r="U16" s="243"/>
      <c r="V16" s="223">
        <f t="shared" ref="V16:W16" si="31">(N16+P16+R16+T16)</f>
        <v>19</v>
      </c>
      <c r="W16" s="223">
        <f t="shared" si="31"/>
        <v>18</v>
      </c>
      <c r="X16" s="223">
        <f t="shared" si="7"/>
        <v>37</v>
      </c>
      <c r="Y16" s="329"/>
      <c r="Z16" s="329" t="s">
        <v>777</v>
      </c>
      <c r="AA16" s="329" t="str">
        <f t="shared" ca="1" si="8"/>
        <v>D1-4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236">
        <f t="shared" ca="1" si="12"/>
        <v>0.34</v>
      </c>
      <c r="AF16" s="341">
        <f t="shared" ca="1" si="13"/>
        <v>-82.66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798</v>
      </c>
      <c r="C17" s="109">
        <v>11</v>
      </c>
      <c r="D17" s="110">
        <v>11</v>
      </c>
      <c r="E17" s="111">
        <v>9</v>
      </c>
      <c r="F17" s="252">
        <f t="shared" si="0"/>
        <v>31</v>
      </c>
      <c r="G17" s="252">
        <f>C16+D15+E14</f>
        <v>23</v>
      </c>
      <c r="H17" s="252">
        <f t="shared" si="1"/>
        <v>54</v>
      </c>
      <c r="I17" s="253">
        <f t="shared" si="2"/>
        <v>0.57407407407407407</v>
      </c>
      <c r="J17" s="429">
        <f t="shared" ca="1" si="28"/>
        <v>1</v>
      </c>
      <c r="K17" s="430" t="str">
        <f t="shared" ca="1" si="4"/>
        <v>D4-1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787</v>
      </c>
      <c r="AA17" s="337" t="str">
        <f t="shared" ca="1" si="8"/>
        <v>D2-4</v>
      </c>
      <c r="AB17" s="337">
        <f t="shared" ca="1" si="9"/>
        <v>16</v>
      </c>
      <c r="AC17" s="337">
        <f t="shared" ca="1" si="10"/>
        <v>33</v>
      </c>
      <c r="AD17" s="337">
        <f t="shared" ca="1" si="11"/>
        <v>49</v>
      </c>
      <c r="AE17" s="253">
        <f t="shared" ca="1" si="12"/>
        <v>0.32653061224489793</v>
      </c>
      <c r="AF17" s="338">
        <f t="shared" ca="1" si="13"/>
        <v>-83.673469387755105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133</v>
      </c>
      <c r="D19" s="289">
        <f t="shared" si="33"/>
        <v>145</v>
      </c>
      <c r="E19" s="289">
        <f>SUM(E2:E18)</f>
        <v>138</v>
      </c>
      <c r="F19" s="290">
        <f t="shared" ref="F19:G19" si="34">SUM(F2:F17)</f>
        <v>416</v>
      </c>
      <c r="G19" s="290">
        <f t="shared" si="34"/>
        <v>416</v>
      </c>
      <c r="H19" s="292">
        <f>SUM(H2:H17)/2</f>
        <v>416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70</v>
      </c>
      <c r="Q19" s="287">
        <f t="shared" si="35"/>
        <v>70</v>
      </c>
      <c r="R19" s="287">
        <f t="shared" si="35"/>
        <v>36</v>
      </c>
      <c r="S19" s="287">
        <f t="shared" si="35"/>
        <v>36</v>
      </c>
      <c r="T19" s="287">
        <f t="shared" si="35"/>
        <v>35</v>
      </c>
      <c r="U19" s="287">
        <f t="shared" si="35"/>
        <v>35</v>
      </c>
      <c r="V19" s="287">
        <f t="shared" si="35"/>
        <v>141</v>
      </c>
      <c r="W19" s="287">
        <f t="shared" si="35"/>
        <v>141</v>
      </c>
      <c r="X19" s="287">
        <f>SUM(X2:X17)/2</f>
        <v>141</v>
      </c>
      <c r="Y19" s="287"/>
      <c r="Z19" s="287"/>
      <c r="AA19" s="287"/>
      <c r="AB19" s="287">
        <f t="shared" ref="AB19:AD19" ca="1" si="36">SUM(AB2:AB17)/2</f>
        <v>278.5</v>
      </c>
      <c r="AC19" s="287">
        <f t="shared" ca="1" si="36"/>
        <v>278.5</v>
      </c>
      <c r="AD19" s="287">
        <f t="shared" ca="1" si="36"/>
        <v>557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2</v>
      </c>
      <c r="E20" s="294">
        <f t="shared" si="37"/>
        <v>0</v>
      </c>
      <c r="F20" s="296"/>
      <c r="G20" s="296"/>
      <c r="H20" s="297">
        <f>AVERAGE(H2:H17)</f>
        <v>52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69.625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>
        <f t="shared" ref="N21:U21" si="38">COUNTA(N2:N17)</f>
        <v>0</v>
      </c>
      <c r="O21" s="287">
        <f t="shared" si="38"/>
        <v>0</v>
      </c>
      <c r="P21" s="287">
        <f t="shared" si="38"/>
        <v>8</v>
      </c>
      <c r="Q21" s="287">
        <f t="shared" si="38"/>
        <v>8</v>
      </c>
      <c r="R21" s="287">
        <f t="shared" si="38"/>
        <v>4</v>
      </c>
      <c r="S21" s="287">
        <f t="shared" si="38"/>
        <v>4</v>
      </c>
      <c r="T21" s="287">
        <f t="shared" si="38"/>
        <v>2</v>
      </c>
      <c r="U21" s="287">
        <f t="shared" si="38"/>
        <v>2</v>
      </c>
      <c r="V21" s="287"/>
      <c r="W21" s="296"/>
      <c r="X21" s="287">
        <f>AVERAGE(X2:X17)</f>
        <v>17.625</v>
      </c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34" priority="4" operator="equal">
      <formula>33</formula>
    </cfRule>
  </conditionalFormatting>
  <conditionalFormatting sqref="M2:U17">
    <cfRule type="expression" dxfId="33" priority="1">
      <formula>$T2&gt;U2</formula>
    </cfRule>
  </conditionalFormatting>
  <conditionalFormatting sqref="P2:Q17">
    <cfRule type="expression" dxfId="32" priority="2">
      <formula>$P2=11</formula>
    </cfRule>
  </conditionalFormatting>
  <conditionalFormatting sqref="R2:S17">
    <cfRule type="expression" dxfId="31" priority="3">
      <formula>$R2=11</formula>
    </cfRule>
  </conditionalFormatting>
  <hyperlinks>
    <hyperlink ref="A1" location="Champions!A1" display="Home" xr:uid="{00000000-0004-0000-1900-000000000000}"/>
    <hyperlink ref="AH1" location="Champions!A1" display="Home" xr:uid="{00000000-0004-0000-1900-000001000000}"/>
    <hyperlink ref="A19" location="Champions!A1" display="Home" xr:uid="{00000000-0004-0000-1900-000002000000}"/>
    <hyperlink ref="K19" location="Champions!A1" display="Home" xr:uid="{00000000-0004-0000-1900-000003000000}"/>
  </hyperlinks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H37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40.816406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8.1796875" customWidth="1"/>
    <col min="12" max="12" width="8" customWidth="1"/>
    <col min="13" max="13" width="30.26953125" customWidth="1"/>
    <col min="14" max="21" width="6.26953125" customWidth="1"/>
    <col min="22" max="24" width="7.7265625" customWidth="1"/>
    <col min="25" max="25" width="6.81640625" customWidth="1"/>
    <col min="26" max="26" width="31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51" t="s">
        <v>1364</v>
      </c>
      <c r="L1" s="410" t="s">
        <v>1365</v>
      </c>
      <c r="M1" s="410" t="s">
        <v>1337</v>
      </c>
      <c r="N1" s="410" t="s">
        <v>184</v>
      </c>
      <c r="O1" s="410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2" t="s">
        <v>190</v>
      </c>
      <c r="U1" s="412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721</v>
      </c>
      <c r="C2" s="148">
        <v>11</v>
      </c>
      <c r="D2" s="165">
        <v>11</v>
      </c>
      <c r="E2" s="165">
        <v>11</v>
      </c>
      <c r="F2" s="213">
        <f t="shared" ref="F2:F33" si="0">SUM(C2:E2)</f>
        <v>33</v>
      </c>
      <c r="G2" s="213">
        <f>C3+D4+E5</f>
        <v>19</v>
      </c>
      <c r="H2" s="213">
        <f t="shared" ref="H2:H33" si="1">SUM(F2:G2)</f>
        <v>52</v>
      </c>
      <c r="I2" s="214">
        <f t="shared" ref="I2:I33" si="2">IFERROR(F2/H2,"")</f>
        <v>0.63461538461538458</v>
      </c>
      <c r="J2" s="445">
        <f t="shared" ref="J2:J5" ca="1" si="3">IFERROR(RANK(F2,OFFSET($F$2,0,0,COUNTA($F$2:$F$5),1)),)</f>
        <v>1</v>
      </c>
      <c r="K2" s="419" t="str">
        <f t="shared" ref="K2:K33" ca="1" si="4">A2&amp;"-"&amp;J2</f>
        <v>D1-1</v>
      </c>
      <c r="L2" s="499" t="s">
        <v>207</v>
      </c>
      <c r="M2" s="217" t="str">
        <f t="shared" ref="M2:M33" ca="1" si="5">IFERROR(INDEX($A$2:$K$33,MATCH(L2,$K$2:$K$33,0),2),)</f>
        <v>Jenny Carpenter &amp; Maulik Nanavati</v>
      </c>
      <c r="N2" s="340">
        <v>11</v>
      </c>
      <c r="O2" s="340">
        <v>10</v>
      </c>
      <c r="P2" s="220">
        <v>8</v>
      </c>
      <c r="Q2" s="221">
        <v>11</v>
      </c>
      <c r="R2" s="219"/>
      <c r="S2" s="219"/>
      <c r="T2" s="221"/>
      <c r="U2" s="221"/>
      <c r="V2" s="452">
        <f t="shared" ref="V2:W2" si="6">(N2+P2+R2+T2)</f>
        <v>19</v>
      </c>
      <c r="W2" s="452">
        <f t="shared" si="6"/>
        <v>21</v>
      </c>
      <c r="X2" s="452">
        <f t="shared" ref="X2:X33" si="7">V2+W2</f>
        <v>40</v>
      </c>
      <c r="Y2" s="329"/>
      <c r="Z2" s="329" t="s">
        <v>91</v>
      </c>
      <c r="AA2" s="329" t="str">
        <f t="shared" ref="AA2:AA33" ca="1" si="8">IFERROR(INDEX($A$2:$K$33,MATCH(Z2,$B$2:$B$33,0),11),)</f>
        <v>D7-1</v>
      </c>
      <c r="AB2" s="329">
        <f t="shared" ref="AB2:AB33" ca="1" si="9">IFERROR((INDEX($A$2:$H$33,MATCH($Z2,$B$2:$B$33,0),6))+INDEX($M$2:$X$33,MATCH($Z2,$M$2:$M$33,0),10),INDEX($B$2:$G$33,MATCH($Z2,$B$2:$B$33,0),5))</f>
        <v>79</v>
      </c>
      <c r="AC2" s="329">
        <f t="shared" ref="AC2:AC33" ca="1" si="10">IFERROR((INDEX($A$2:$H$33,MATCH($Z2,$B$2:$B$33,0),7))+INDEX($M$2:$X$33,MATCH($Z2,$M$2:$M$33,0),11),INDEX($B$2:$G$33,MATCH($Z2,$B$2:$B$33,0),6))</f>
        <v>34</v>
      </c>
      <c r="AD2" s="329">
        <f t="shared" ref="AD2:AD33" ca="1" si="11">SUM(AB2:AC2)</f>
        <v>113</v>
      </c>
      <c r="AE2" s="236">
        <f t="shared" ref="AE2:AE33" ca="1" si="12">AB2/AD2</f>
        <v>0.69911504424778759</v>
      </c>
      <c r="AF2" s="330">
        <f t="shared" ref="AF2:AF33" ca="1" si="13">AE2-(100-AB2)</f>
        <v>-20.300884955752213</v>
      </c>
      <c r="AG2" s="432">
        <f t="shared" ref="AG2:AG33" ca="1" si="14">RANK($AF2,OFFSET($AF$2,0,0,COUNTA($AF$2:$AF$33),1))</f>
        <v>1</v>
      </c>
      <c r="AH2" s="398"/>
    </row>
    <row r="3" spans="1:34" ht="15" customHeight="1">
      <c r="A3" s="244" t="s">
        <v>1367</v>
      </c>
      <c r="B3" s="107" t="s">
        <v>723</v>
      </c>
      <c r="C3" s="105">
        <v>8</v>
      </c>
      <c r="D3" s="106">
        <v>11</v>
      </c>
      <c r="E3" s="106">
        <v>11</v>
      </c>
      <c r="F3" s="235">
        <f t="shared" si="0"/>
        <v>30</v>
      </c>
      <c r="G3" s="235">
        <f>C2+D5+E4</f>
        <v>22</v>
      </c>
      <c r="H3" s="235">
        <f t="shared" si="1"/>
        <v>52</v>
      </c>
      <c r="I3" s="236">
        <f t="shared" si="2"/>
        <v>0.57692307692307687</v>
      </c>
      <c r="J3" s="424">
        <f t="shared" ca="1" si="3"/>
        <v>2</v>
      </c>
      <c r="K3" s="425" t="str">
        <f t="shared" ca="1" si="4"/>
        <v>D1-2</v>
      </c>
      <c r="L3" s="500"/>
      <c r="M3" s="244">
        <f t="shared" ca="1" si="5"/>
        <v>0</v>
      </c>
      <c r="N3" s="329"/>
      <c r="O3" s="329"/>
      <c r="P3" s="242"/>
      <c r="Q3" s="243"/>
      <c r="R3" s="245"/>
      <c r="S3" s="245"/>
      <c r="T3" s="243"/>
      <c r="U3" s="243"/>
      <c r="V3" s="452">
        <f t="shared" ref="V3:W3" si="15">(N3+P3+R3+T3)</f>
        <v>0</v>
      </c>
      <c r="W3" s="452">
        <f t="shared" si="15"/>
        <v>0</v>
      </c>
      <c r="X3" s="452">
        <f t="shared" si="7"/>
        <v>0</v>
      </c>
      <c r="Y3" s="329"/>
      <c r="Z3" s="329" t="s">
        <v>92</v>
      </c>
      <c r="AA3" s="329" t="str">
        <f t="shared" ca="1" si="8"/>
        <v>D2-1</v>
      </c>
      <c r="AB3" s="329">
        <f t="shared" ca="1" si="9"/>
        <v>72</v>
      </c>
      <c r="AC3" s="329">
        <f t="shared" ca="1" si="10"/>
        <v>57</v>
      </c>
      <c r="AD3" s="329">
        <f t="shared" ca="1" si="11"/>
        <v>129</v>
      </c>
      <c r="AE3" s="236">
        <f t="shared" ca="1" si="12"/>
        <v>0.55813953488372092</v>
      </c>
      <c r="AF3" s="341">
        <f t="shared" ca="1" si="13"/>
        <v>-27.441860465116278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724</v>
      </c>
      <c r="C4" s="107">
        <v>9</v>
      </c>
      <c r="D4" s="108">
        <v>5</v>
      </c>
      <c r="E4" s="106">
        <v>5</v>
      </c>
      <c r="F4" s="235">
        <f t="shared" si="0"/>
        <v>19</v>
      </c>
      <c r="G4" s="235">
        <f>C5+D2+E3</f>
        <v>33</v>
      </c>
      <c r="H4" s="235">
        <f t="shared" si="1"/>
        <v>52</v>
      </c>
      <c r="I4" s="236">
        <f t="shared" si="2"/>
        <v>0.36538461538461536</v>
      </c>
      <c r="J4" s="424">
        <f t="shared" ca="1" si="3"/>
        <v>4</v>
      </c>
      <c r="K4" s="425" t="str">
        <f t="shared" ca="1" si="4"/>
        <v>D1-4</v>
      </c>
      <c r="L4" s="499" t="s">
        <v>265</v>
      </c>
      <c r="M4" s="244" t="str">
        <f t="shared" ca="1" si="5"/>
        <v>Susan "Scotty" Savic &amp; Patrick Doolan</v>
      </c>
      <c r="N4" s="329">
        <v>10</v>
      </c>
      <c r="O4" s="329">
        <v>11</v>
      </c>
      <c r="P4" s="242"/>
      <c r="Q4" s="243"/>
      <c r="R4" s="245"/>
      <c r="S4" s="245"/>
      <c r="T4" s="243"/>
      <c r="U4" s="243"/>
      <c r="V4" s="452">
        <f t="shared" ref="V4:W4" si="16">(N4+P4+R4+T4)</f>
        <v>10</v>
      </c>
      <c r="W4" s="452">
        <f t="shared" si="16"/>
        <v>11</v>
      </c>
      <c r="X4" s="452">
        <f t="shared" si="7"/>
        <v>21</v>
      </c>
      <c r="Y4" s="329"/>
      <c r="Z4" s="329" t="s">
        <v>750</v>
      </c>
      <c r="AA4" s="329" t="str">
        <f t="shared" ca="1" si="8"/>
        <v>D5-1</v>
      </c>
      <c r="AB4" s="329">
        <f t="shared" ca="1" si="9"/>
        <v>59</v>
      </c>
      <c r="AC4" s="329">
        <f t="shared" ca="1" si="10"/>
        <v>33</v>
      </c>
      <c r="AD4" s="329">
        <f t="shared" ca="1" si="11"/>
        <v>92</v>
      </c>
      <c r="AE4" s="236">
        <f t="shared" ca="1" si="12"/>
        <v>0.64130434782608692</v>
      </c>
      <c r="AF4" s="341">
        <f t="shared" ca="1" si="13"/>
        <v>-40.358695652173914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728</v>
      </c>
      <c r="C5" s="109">
        <v>11</v>
      </c>
      <c r="D5" s="110">
        <v>6</v>
      </c>
      <c r="E5" s="111">
        <v>6</v>
      </c>
      <c r="F5" s="252">
        <f t="shared" si="0"/>
        <v>23</v>
      </c>
      <c r="G5" s="252">
        <f>C4+D3+E2</f>
        <v>31</v>
      </c>
      <c r="H5" s="252">
        <f t="shared" si="1"/>
        <v>54</v>
      </c>
      <c r="I5" s="253">
        <f t="shared" si="2"/>
        <v>0.42592592592592593</v>
      </c>
      <c r="J5" s="429">
        <f t="shared" ca="1" si="3"/>
        <v>3</v>
      </c>
      <c r="K5" s="430" t="str">
        <f t="shared" ca="1" si="4"/>
        <v>D1-3</v>
      </c>
      <c r="L5" s="500"/>
      <c r="M5" s="239">
        <f t="shared" ca="1" si="5"/>
        <v>0</v>
      </c>
      <c r="N5" s="337"/>
      <c r="O5" s="337"/>
      <c r="P5" s="256"/>
      <c r="Q5" s="257"/>
      <c r="R5" s="241"/>
      <c r="S5" s="241"/>
      <c r="T5" s="257"/>
      <c r="U5" s="257"/>
      <c r="V5" s="453">
        <f t="shared" ref="V5:W5" si="17">(N5+P5+R5+T5)</f>
        <v>0</v>
      </c>
      <c r="W5" s="453">
        <f t="shared" si="17"/>
        <v>0</v>
      </c>
      <c r="X5" s="453">
        <f t="shared" si="7"/>
        <v>0</v>
      </c>
      <c r="Y5" s="337"/>
      <c r="Z5" s="337" t="s">
        <v>731</v>
      </c>
      <c r="AA5" s="337" t="str">
        <f t="shared" ca="1" si="8"/>
        <v>D2-2</v>
      </c>
      <c r="AB5" s="337">
        <f t="shared" ca="1" si="9"/>
        <v>59</v>
      </c>
      <c r="AC5" s="337">
        <f t="shared" ca="1" si="10"/>
        <v>50</v>
      </c>
      <c r="AD5" s="337">
        <f t="shared" ca="1" si="11"/>
        <v>109</v>
      </c>
      <c r="AE5" s="253">
        <f t="shared" ca="1" si="12"/>
        <v>0.54128440366972475</v>
      </c>
      <c r="AF5" s="338">
        <f t="shared" ca="1" si="13"/>
        <v>-40.458715596330272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730</v>
      </c>
      <c r="C6" s="148">
        <v>4</v>
      </c>
      <c r="D6" s="165">
        <v>11</v>
      </c>
      <c r="E6" s="165">
        <v>4</v>
      </c>
      <c r="F6" s="213">
        <f t="shared" si="0"/>
        <v>19</v>
      </c>
      <c r="G6" s="213">
        <f>C7+D8+E9</f>
        <v>27</v>
      </c>
      <c r="H6" s="213">
        <f t="shared" si="1"/>
        <v>46</v>
      </c>
      <c r="I6" s="214">
        <f t="shared" si="2"/>
        <v>0.41304347826086957</v>
      </c>
      <c r="J6" s="424">
        <f t="shared" ref="J6:J9" ca="1" si="18">IFERROR(RANK(F6,OFFSET($F$6,0,0,COUNTA($F$6:$F$9),1)),)</f>
        <v>4</v>
      </c>
      <c r="K6" s="419" t="str">
        <f t="shared" ca="1" si="4"/>
        <v>D2-4</v>
      </c>
      <c r="L6" s="499" t="s">
        <v>225</v>
      </c>
      <c r="M6" s="244" t="str">
        <f t="shared" ca="1" si="5"/>
        <v>Maria Moore &amp; Troy Thomasson</v>
      </c>
      <c r="N6" s="329">
        <v>11</v>
      </c>
      <c r="O6" s="329">
        <v>4</v>
      </c>
      <c r="P6" s="242">
        <v>11</v>
      </c>
      <c r="Q6" s="243">
        <v>8</v>
      </c>
      <c r="R6" s="245">
        <v>11</v>
      </c>
      <c r="S6" s="245">
        <v>9</v>
      </c>
      <c r="T6" s="243">
        <v>7</v>
      </c>
      <c r="U6" s="243">
        <v>13</v>
      </c>
      <c r="V6" s="454">
        <f t="shared" ref="V6:W6" si="19">(N6+P6+R6+T6)</f>
        <v>40</v>
      </c>
      <c r="W6" s="454">
        <f t="shared" si="19"/>
        <v>34</v>
      </c>
      <c r="X6" s="454">
        <f t="shared" si="7"/>
        <v>74</v>
      </c>
      <c r="Y6" s="340"/>
      <c r="Z6" s="340" t="s">
        <v>721</v>
      </c>
      <c r="AA6" s="329" t="str">
        <f t="shared" ca="1" si="8"/>
        <v>D1-1</v>
      </c>
      <c r="AB6" s="340">
        <f t="shared" ca="1" si="9"/>
        <v>52</v>
      </c>
      <c r="AC6" s="340">
        <f t="shared" ca="1" si="10"/>
        <v>40</v>
      </c>
      <c r="AD6" s="340">
        <f t="shared" ca="1" si="11"/>
        <v>92</v>
      </c>
      <c r="AE6" s="214">
        <f t="shared" ca="1" si="12"/>
        <v>0.56521739130434778</v>
      </c>
      <c r="AF6" s="341">
        <f t="shared" ca="1" si="13"/>
        <v>-47.434782608695649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731</v>
      </c>
      <c r="C7" s="105">
        <v>11</v>
      </c>
      <c r="D7" s="106">
        <v>8</v>
      </c>
      <c r="E7" s="106">
        <v>9</v>
      </c>
      <c r="F7" s="235">
        <f t="shared" si="0"/>
        <v>28</v>
      </c>
      <c r="G7" s="235">
        <f>C6+D9+E8</f>
        <v>26</v>
      </c>
      <c r="H7" s="235">
        <f t="shared" si="1"/>
        <v>54</v>
      </c>
      <c r="I7" s="236">
        <f t="shared" si="2"/>
        <v>0.51851851851851849</v>
      </c>
      <c r="J7" s="424">
        <f t="shared" ca="1" si="18"/>
        <v>2</v>
      </c>
      <c r="K7" s="425" t="str">
        <f t="shared" ca="1" si="4"/>
        <v>D2-2</v>
      </c>
      <c r="L7" s="500"/>
      <c r="M7" s="244">
        <f t="shared" ca="1" si="5"/>
        <v>0</v>
      </c>
      <c r="N7" s="329"/>
      <c r="O7" s="329"/>
      <c r="P7" s="242"/>
      <c r="Q7" s="243"/>
      <c r="R7" s="245"/>
      <c r="S7" s="245"/>
      <c r="T7" s="243"/>
      <c r="U7" s="243"/>
      <c r="V7" s="452">
        <f t="shared" ref="V7:W7" si="20">(N7+P7+R7+T7)</f>
        <v>0</v>
      </c>
      <c r="W7" s="452">
        <f t="shared" si="20"/>
        <v>0</v>
      </c>
      <c r="X7" s="452">
        <f t="shared" si="7"/>
        <v>0</v>
      </c>
      <c r="Y7" s="329"/>
      <c r="Z7" s="329" t="s">
        <v>757</v>
      </c>
      <c r="AA7" s="329" t="str">
        <f t="shared" ca="1" si="8"/>
        <v>D6-1</v>
      </c>
      <c r="AB7" s="329">
        <f t="shared" ca="1" si="9"/>
        <v>51</v>
      </c>
      <c r="AC7" s="329">
        <f t="shared" ca="1" si="10"/>
        <v>36</v>
      </c>
      <c r="AD7" s="329">
        <f t="shared" ca="1" si="11"/>
        <v>87</v>
      </c>
      <c r="AE7" s="236">
        <f t="shared" ca="1" si="12"/>
        <v>0.58620689655172409</v>
      </c>
      <c r="AF7" s="341">
        <f t="shared" ca="1" si="13"/>
        <v>-48.413793103448278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732</v>
      </c>
      <c r="C8" s="107">
        <v>11</v>
      </c>
      <c r="D8" s="108">
        <v>5</v>
      </c>
      <c r="E8" s="106">
        <v>11</v>
      </c>
      <c r="F8" s="235">
        <f t="shared" si="0"/>
        <v>27</v>
      </c>
      <c r="G8" s="235">
        <f>C9+D6+E7</f>
        <v>30</v>
      </c>
      <c r="H8" s="235">
        <f t="shared" si="1"/>
        <v>57</v>
      </c>
      <c r="I8" s="236">
        <f t="shared" si="2"/>
        <v>0.47368421052631576</v>
      </c>
      <c r="J8" s="424">
        <f t="shared" ca="1" si="18"/>
        <v>3</v>
      </c>
      <c r="K8" s="425" t="str">
        <f t="shared" ca="1" si="4"/>
        <v>D2-3</v>
      </c>
      <c r="L8" s="499" t="s">
        <v>253</v>
      </c>
      <c r="M8" s="244" t="str">
        <f t="shared" ca="1" si="5"/>
        <v>Andrea Root &amp; Matt Svoboda</v>
      </c>
      <c r="N8" s="329">
        <v>4</v>
      </c>
      <c r="O8" s="329">
        <v>11</v>
      </c>
      <c r="P8" s="242"/>
      <c r="Q8" s="243"/>
      <c r="R8" s="245"/>
      <c r="S8" s="245"/>
      <c r="T8" s="243"/>
      <c r="U8" s="243"/>
      <c r="V8" s="452">
        <f t="shared" ref="V8:W8" si="21">(N8+P8+R8+T8)</f>
        <v>4</v>
      </c>
      <c r="W8" s="452">
        <f t="shared" si="21"/>
        <v>11</v>
      </c>
      <c r="X8" s="452">
        <f t="shared" si="7"/>
        <v>15</v>
      </c>
      <c r="Y8" s="329"/>
      <c r="Z8" s="329" t="s">
        <v>770</v>
      </c>
      <c r="AA8" s="329" t="str">
        <f t="shared" ca="1" si="8"/>
        <v>D8-1</v>
      </c>
      <c r="AB8" s="329">
        <f t="shared" ca="1" si="9"/>
        <v>50</v>
      </c>
      <c r="AC8" s="329">
        <f t="shared" ca="1" si="10"/>
        <v>47</v>
      </c>
      <c r="AD8" s="329">
        <f t="shared" ca="1" si="11"/>
        <v>97</v>
      </c>
      <c r="AE8" s="236">
        <f t="shared" ca="1" si="12"/>
        <v>0.51546391752577314</v>
      </c>
      <c r="AF8" s="341">
        <f t="shared" ca="1" si="13"/>
        <v>-49.484536082474229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92</v>
      </c>
      <c r="C9" s="109">
        <v>10</v>
      </c>
      <c r="D9" s="110">
        <v>11</v>
      </c>
      <c r="E9" s="111">
        <v>11</v>
      </c>
      <c r="F9" s="252">
        <f t="shared" si="0"/>
        <v>32</v>
      </c>
      <c r="G9" s="252">
        <f>C8+D7+E6</f>
        <v>23</v>
      </c>
      <c r="H9" s="252">
        <f t="shared" si="1"/>
        <v>55</v>
      </c>
      <c r="I9" s="253">
        <f t="shared" si="2"/>
        <v>0.58181818181818179</v>
      </c>
      <c r="J9" s="429">
        <f t="shared" ca="1" si="18"/>
        <v>1</v>
      </c>
      <c r="K9" s="430" t="str">
        <f t="shared" ca="1" si="4"/>
        <v>D2-1</v>
      </c>
      <c r="L9" s="500"/>
      <c r="M9" s="239">
        <f t="shared" ca="1" si="5"/>
        <v>0</v>
      </c>
      <c r="N9" s="337"/>
      <c r="O9" s="337"/>
      <c r="P9" s="256"/>
      <c r="Q9" s="257"/>
      <c r="R9" s="241"/>
      <c r="S9" s="241"/>
      <c r="T9" s="257"/>
      <c r="U9" s="257"/>
      <c r="V9" s="453">
        <f t="shared" ref="V9:W9" si="22">(N9+P9+R9+T9)</f>
        <v>0</v>
      </c>
      <c r="W9" s="453">
        <f t="shared" si="22"/>
        <v>0</v>
      </c>
      <c r="X9" s="453">
        <f t="shared" si="7"/>
        <v>0</v>
      </c>
      <c r="Y9" s="337"/>
      <c r="Z9" s="337" t="s">
        <v>743</v>
      </c>
      <c r="AA9" s="337" t="str">
        <f t="shared" ca="1" si="8"/>
        <v>D4-1</v>
      </c>
      <c r="AB9" s="337">
        <f t="shared" ca="1" si="9"/>
        <v>49</v>
      </c>
      <c r="AC9" s="337">
        <f t="shared" ca="1" si="10"/>
        <v>39</v>
      </c>
      <c r="AD9" s="337">
        <f t="shared" ca="1" si="11"/>
        <v>88</v>
      </c>
      <c r="AE9" s="253">
        <f t="shared" ca="1" si="12"/>
        <v>0.55681818181818177</v>
      </c>
      <c r="AF9" s="338">
        <f t="shared" ca="1" si="13"/>
        <v>-50.44318181818182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735</v>
      </c>
      <c r="C10" s="148">
        <v>3</v>
      </c>
      <c r="D10" s="165">
        <v>11</v>
      </c>
      <c r="E10" s="165">
        <v>6</v>
      </c>
      <c r="F10" s="213">
        <f t="shared" si="0"/>
        <v>20</v>
      </c>
      <c r="G10" s="213">
        <f>C11+D12+E13</f>
        <v>31</v>
      </c>
      <c r="H10" s="213">
        <f t="shared" si="1"/>
        <v>51</v>
      </c>
      <c r="I10" s="214">
        <f t="shared" si="2"/>
        <v>0.39215686274509803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499" t="s">
        <v>243</v>
      </c>
      <c r="M10" s="244" t="str">
        <f t="shared" ca="1" si="5"/>
        <v>Tasha Evatt &amp; Ishmael Alejo</v>
      </c>
      <c r="N10" s="329">
        <v>8</v>
      </c>
      <c r="O10" s="329">
        <v>11</v>
      </c>
      <c r="P10" s="242"/>
      <c r="Q10" s="243"/>
      <c r="R10" s="245"/>
      <c r="S10" s="245"/>
      <c r="T10" s="243"/>
      <c r="U10" s="243"/>
      <c r="V10" s="452">
        <f t="shared" ref="V10:W10" si="24">(N10+P10+R10+T10)</f>
        <v>8</v>
      </c>
      <c r="W10" s="452">
        <f t="shared" si="24"/>
        <v>11</v>
      </c>
      <c r="X10" s="452">
        <f t="shared" si="7"/>
        <v>19</v>
      </c>
      <c r="Y10" s="329"/>
      <c r="Z10" s="329" t="s">
        <v>736</v>
      </c>
      <c r="AA10" s="329" t="str">
        <f t="shared" ca="1" si="8"/>
        <v>D3-1</v>
      </c>
      <c r="AB10" s="329">
        <f t="shared" ca="1" si="9"/>
        <v>41</v>
      </c>
      <c r="AC10" s="329">
        <f t="shared" ca="1" si="10"/>
        <v>27</v>
      </c>
      <c r="AD10" s="329">
        <f t="shared" ca="1" si="11"/>
        <v>68</v>
      </c>
      <c r="AE10" s="236">
        <f t="shared" ca="1" si="12"/>
        <v>0.6029411764705882</v>
      </c>
      <c r="AF10" s="341">
        <f t="shared" ca="1" si="13"/>
        <v>-58.397058823529413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736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C10+D13+E12</f>
        <v>16</v>
      </c>
      <c r="H11" s="235">
        <f t="shared" si="1"/>
        <v>49</v>
      </c>
      <c r="I11" s="236">
        <f t="shared" si="2"/>
        <v>0.67346938775510201</v>
      </c>
      <c r="J11" s="424">
        <f t="shared" ca="1" si="23"/>
        <v>1</v>
      </c>
      <c r="K11" s="425" t="str">
        <f t="shared" ca="1" si="4"/>
        <v>D3-1</v>
      </c>
      <c r="L11" s="500"/>
      <c r="M11" s="244">
        <f t="shared" ca="1" si="5"/>
        <v>0</v>
      </c>
      <c r="N11" s="329"/>
      <c r="O11" s="329"/>
      <c r="P11" s="242"/>
      <c r="Q11" s="243"/>
      <c r="R11" s="245"/>
      <c r="S11" s="245"/>
      <c r="T11" s="243"/>
      <c r="U11" s="243"/>
      <c r="V11" s="452">
        <f t="shared" ref="V11:W11" si="25">(N11+P11+R11+T11)</f>
        <v>0</v>
      </c>
      <c r="W11" s="452">
        <f t="shared" si="25"/>
        <v>0</v>
      </c>
      <c r="X11" s="452">
        <f t="shared" si="7"/>
        <v>0</v>
      </c>
      <c r="Y11" s="329"/>
      <c r="Z11" s="329" t="s">
        <v>723</v>
      </c>
      <c r="AA11" s="329" t="str">
        <f t="shared" ca="1" si="8"/>
        <v>D1-2</v>
      </c>
      <c r="AB11" s="329">
        <f t="shared" ca="1" si="9"/>
        <v>40</v>
      </c>
      <c r="AC11" s="329">
        <f t="shared" ca="1" si="10"/>
        <v>33</v>
      </c>
      <c r="AD11" s="329">
        <f t="shared" ca="1" si="11"/>
        <v>73</v>
      </c>
      <c r="AE11" s="236">
        <f t="shared" ca="1" si="12"/>
        <v>0.54794520547945202</v>
      </c>
      <c r="AF11" s="341">
        <f t="shared" ca="1" si="13"/>
        <v>-59.452054794520549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1375</v>
      </c>
      <c r="C12" s="107">
        <v>9</v>
      </c>
      <c r="D12" s="108">
        <v>9</v>
      </c>
      <c r="E12" s="106">
        <v>5</v>
      </c>
      <c r="F12" s="235">
        <f t="shared" si="0"/>
        <v>23</v>
      </c>
      <c r="G12" s="235">
        <f>C13+D10+E11</f>
        <v>33</v>
      </c>
      <c r="H12" s="235">
        <f t="shared" si="1"/>
        <v>56</v>
      </c>
      <c r="I12" s="236">
        <f t="shared" si="2"/>
        <v>0.4107142857142857</v>
      </c>
      <c r="J12" s="424">
        <f t="shared" ca="1" si="23"/>
        <v>3</v>
      </c>
      <c r="K12" s="425" t="str">
        <f t="shared" ca="1" si="4"/>
        <v>D3-3</v>
      </c>
      <c r="L12" s="499" t="s">
        <v>230</v>
      </c>
      <c r="M12" s="244" t="str">
        <f t="shared" ca="1" si="5"/>
        <v>Loras Heck &amp; Miguel Cartagena</v>
      </c>
      <c r="N12" s="329">
        <v>11</v>
      </c>
      <c r="O12" s="329">
        <v>8</v>
      </c>
      <c r="P12" s="242">
        <v>11</v>
      </c>
      <c r="Q12" s="243">
        <v>5</v>
      </c>
      <c r="R12" s="245">
        <v>9</v>
      </c>
      <c r="S12" s="245">
        <v>11</v>
      </c>
      <c r="T12" s="243"/>
      <c r="U12" s="243"/>
      <c r="V12" s="452">
        <f t="shared" ref="V12:W12" si="26">(N12+P12+R12+T12)</f>
        <v>31</v>
      </c>
      <c r="W12" s="452">
        <f t="shared" si="26"/>
        <v>24</v>
      </c>
      <c r="X12" s="452">
        <f t="shared" si="7"/>
        <v>55</v>
      </c>
      <c r="Y12" s="329"/>
      <c r="Z12" s="329" t="s">
        <v>725</v>
      </c>
      <c r="AA12" s="329" t="str">
        <f t="shared" ca="1" si="8"/>
        <v>D4-2</v>
      </c>
      <c r="AB12" s="329">
        <f t="shared" ca="1" si="9"/>
        <v>39</v>
      </c>
      <c r="AC12" s="329">
        <f t="shared" ca="1" si="10"/>
        <v>41</v>
      </c>
      <c r="AD12" s="329">
        <f t="shared" ca="1" si="11"/>
        <v>80</v>
      </c>
      <c r="AE12" s="236">
        <f t="shared" ca="1" si="12"/>
        <v>0.48749999999999999</v>
      </c>
      <c r="AF12" s="341">
        <f t="shared" ca="1" si="13"/>
        <v>-60.512500000000003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733</v>
      </c>
      <c r="C13" s="109">
        <v>11</v>
      </c>
      <c r="D13" s="110">
        <v>8</v>
      </c>
      <c r="E13" s="111">
        <v>11</v>
      </c>
      <c r="F13" s="252">
        <f t="shared" si="0"/>
        <v>30</v>
      </c>
      <c r="G13" s="252">
        <f>C12+D11+E10</f>
        <v>26</v>
      </c>
      <c r="H13" s="252">
        <f t="shared" si="1"/>
        <v>56</v>
      </c>
      <c r="I13" s="253">
        <f t="shared" si="2"/>
        <v>0.5357142857142857</v>
      </c>
      <c r="J13" s="429">
        <f t="shared" ca="1" si="23"/>
        <v>2</v>
      </c>
      <c r="K13" s="430" t="str">
        <f t="shared" ca="1" si="4"/>
        <v>D3-2</v>
      </c>
      <c r="L13" s="500"/>
      <c r="M13" s="239">
        <f t="shared" ca="1" si="5"/>
        <v>0</v>
      </c>
      <c r="N13" s="337"/>
      <c r="O13" s="337"/>
      <c r="P13" s="256"/>
      <c r="Q13" s="257"/>
      <c r="R13" s="241"/>
      <c r="S13" s="241"/>
      <c r="T13" s="257"/>
      <c r="U13" s="257"/>
      <c r="V13" s="453">
        <f t="shared" ref="V13:W13" si="27">(N13+P13+R13+T13)</f>
        <v>0</v>
      </c>
      <c r="W13" s="453">
        <f t="shared" si="27"/>
        <v>0</v>
      </c>
      <c r="X13" s="453">
        <f t="shared" si="7"/>
        <v>0</v>
      </c>
      <c r="Y13" s="337"/>
      <c r="Z13" s="337" t="s">
        <v>755</v>
      </c>
      <c r="AA13" s="337" t="str">
        <f t="shared" si="8"/>
        <v>D8-2</v>
      </c>
      <c r="AB13" s="337">
        <f t="shared" ca="1" si="9"/>
        <v>35</v>
      </c>
      <c r="AC13" s="337">
        <f t="shared" ca="1" si="10"/>
        <v>42</v>
      </c>
      <c r="AD13" s="337">
        <f t="shared" ca="1" si="11"/>
        <v>77</v>
      </c>
      <c r="AE13" s="253">
        <f t="shared" ca="1" si="12"/>
        <v>0.45454545454545453</v>
      </c>
      <c r="AF13" s="338">
        <f t="shared" ca="1" si="13"/>
        <v>-64.545454545454547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742</v>
      </c>
      <c r="C14" s="148">
        <v>1</v>
      </c>
      <c r="D14" s="165">
        <v>11</v>
      </c>
      <c r="E14" s="165">
        <v>8</v>
      </c>
      <c r="F14" s="213">
        <f t="shared" si="0"/>
        <v>20</v>
      </c>
      <c r="G14" s="213">
        <f>C15+D16+E17</f>
        <v>31</v>
      </c>
      <c r="H14" s="213">
        <f t="shared" si="1"/>
        <v>51</v>
      </c>
      <c r="I14" s="214">
        <f t="shared" si="2"/>
        <v>0.39215686274509803</v>
      </c>
      <c r="J14" s="424">
        <f t="shared" ref="J14:J15" ca="1" si="28">IFERROR(RANK(F14,OFFSET($F$14,0,0,COUNTA($F$14:$F$17),1)),)</f>
        <v>4</v>
      </c>
      <c r="K14" s="419" t="str">
        <f t="shared" ca="1" si="4"/>
        <v>D4-4</v>
      </c>
      <c r="L14" s="499" t="s">
        <v>263</v>
      </c>
      <c r="M14" s="244" t="str">
        <f t="shared" ca="1" si="5"/>
        <v>Erinn Metcalf &amp; David Lapin</v>
      </c>
      <c r="N14" s="329">
        <v>11</v>
      </c>
      <c r="O14" s="329">
        <v>10</v>
      </c>
      <c r="P14" s="242">
        <v>5</v>
      </c>
      <c r="Q14" s="243">
        <v>11</v>
      </c>
      <c r="R14" s="245"/>
      <c r="S14" s="245"/>
      <c r="T14" s="243"/>
      <c r="U14" s="243"/>
      <c r="V14" s="452">
        <f t="shared" ref="V14:W14" si="29">(N14+P14+R14+T14)</f>
        <v>16</v>
      </c>
      <c r="W14" s="452">
        <f t="shared" si="29"/>
        <v>21</v>
      </c>
      <c r="X14" s="452">
        <f t="shared" si="7"/>
        <v>37</v>
      </c>
      <c r="Y14" s="329"/>
      <c r="Z14" s="329" t="s">
        <v>733</v>
      </c>
      <c r="AA14" s="329" t="str">
        <f t="shared" ca="1" si="8"/>
        <v>D3-2</v>
      </c>
      <c r="AB14" s="329">
        <f t="shared" ca="1" si="9"/>
        <v>34</v>
      </c>
      <c r="AC14" s="329">
        <f t="shared" ca="1" si="10"/>
        <v>37</v>
      </c>
      <c r="AD14" s="329">
        <f t="shared" ca="1" si="11"/>
        <v>71</v>
      </c>
      <c r="AE14" s="236">
        <f t="shared" ca="1" si="12"/>
        <v>0.47887323943661969</v>
      </c>
      <c r="AF14" s="341">
        <f t="shared" ca="1" si="13"/>
        <v>-65.521126760563376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743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18</v>
      </c>
      <c r="H15" s="235">
        <f t="shared" si="1"/>
        <v>51</v>
      </c>
      <c r="I15" s="236">
        <f t="shared" si="2"/>
        <v>0.6470588235294118</v>
      </c>
      <c r="J15" s="424">
        <f t="shared" ca="1" si="28"/>
        <v>1</v>
      </c>
      <c r="K15" s="425" t="str">
        <f t="shared" ca="1" si="4"/>
        <v>D4-1</v>
      </c>
      <c r="L15" s="500"/>
      <c r="M15" s="244">
        <f t="shared" ca="1" si="5"/>
        <v>0</v>
      </c>
      <c r="N15" s="329"/>
      <c r="O15" s="329"/>
      <c r="P15" s="242"/>
      <c r="Q15" s="243"/>
      <c r="R15" s="245"/>
      <c r="S15" s="245"/>
      <c r="T15" s="243"/>
      <c r="U15" s="243"/>
      <c r="V15" s="452">
        <f t="shared" ref="V15:W15" si="30">(N15+P15+R15+T15)</f>
        <v>0</v>
      </c>
      <c r="W15" s="452">
        <f t="shared" si="30"/>
        <v>0</v>
      </c>
      <c r="X15" s="452">
        <f t="shared" si="7"/>
        <v>0</v>
      </c>
      <c r="Y15" s="329"/>
      <c r="Z15" s="329" t="s">
        <v>760</v>
      </c>
      <c r="AA15" s="329" t="str">
        <f t="shared" ca="1" si="8"/>
        <v>D7-2</v>
      </c>
      <c r="AB15" s="329">
        <f t="shared" ca="1" si="9"/>
        <v>33</v>
      </c>
      <c r="AC15" s="329">
        <f t="shared" ca="1" si="10"/>
        <v>38</v>
      </c>
      <c r="AD15" s="329">
        <f t="shared" ca="1" si="11"/>
        <v>71</v>
      </c>
      <c r="AE15" s="236">
        <f t="shared" ca="1" si="12"/>
        <v>0.46478873239436619</v>
      </c>
      <c r="AF15" s="341">
        <f t="shared" ca="1" si="13"/>
        <v>-66.535211267605632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744</v>
      </c>
      <c r="C16" s="107">
        <v>11</v>
      </c>
      <c r="D16" s="108">
        <v>9</v>
      </c>
      <c r="E16" s="106">
        <v>9</v>
      </c>
      <c r="F16" s="235">
        <f t="shared" si="0"/>
        <v>29</v>
      </c>
      <c r="G16" s="235">
        <f>C17+D14+E15</f>
        <v>32</v>
      </c>
      <c r="H16" s="235">
        <f t="shared" si="1"/>
        <v>61</v>
      </c>
      <c r="I16" s="236">
        <f t="shared" si="2"/>
        <v>0.47540983606557374</v>
      </c>
      <c r="J16" s="433">
        <v>3</v>
      </c>
      <c r="K16" s="425" t="str">
        <f t="shared" si="4"/>
        <v>D4-3</v>
      </c>
      <c r="L16" s="499" t="s">
        <v>218</v>
      </c>
      <c r="M16" s="244" t="str">
        <f t="shared" ca="1" si="5"/>
        <v>Liz Decker &amp; Keith August</v>
      </c>
      <c r="N16" s="329">
        <v>10</v>
      </c>
      <c r="O16" s="329">
        <v>11</v>
      </c>
      <c r="P16" s="242"/>
      <c r="Q16" s="243"/>
      <c r="R16" s="245"/>
      <c r="S16" s="245"/>
      <c r="T16" s="243"/>
      <c r="U16" s="243"/>
      <c r="V16" s="452">
        <f t="shared" ref="V16:W16" si="31">(N16+P16+R16+T16)</f>
        <v>10</v>
      </c>
      <c r="W16" s="452">
        <f t="shared" si="31"/>
        <v>11</v>
      </c>
      <c r="X16" s="452">
        <f t="shared" si="7"/>
        <v>21</v>
      </c>
      <c r="Y16" s="329"/>
      <c r="Z16" s="329" t="s">
        <v>754</v>
      </c>
      <c r="AA16" s="329" t="str">
        <f t="shared" ca="1" si="8"/>
        <v>D5-2</v>
      </c>
      <c r="AB16" s="329">
        <f t="shared" ca="1" si="9"/>
        <v>32</v>
      </c>
      <c r="AC16" s="329">
        <f t="shared" ca="1" si="10"/>
        <v>36</v>
      </c>
      <c r="AD16" s="329">
        <f t="shared" ca="1" si="11"/>
        <v>68</v>
      </c>
      <c r="AE16" s="236">
        <f t="shared" ca="1" si="12"/>
        <v>0.47058823529411764</v>
      </c>
      <c r="AF16" s="341">
        <f t="shared" ca="1" si="13"/>
        <v>-67.529411764705884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725</v>
      </c>
      <c r="C17" s="109">
        <v>10</v>
      </c>
      <c r="D17" s="110">
        <v>8</v>
      </c>
      <c r="E17" s="111">
        <v>11</v>
      </c>
      <c r="F17" s="252">
        <f t="shared" si="0"/>
        <v>29</v>
      </c>
      <c r="G17" s="252">
        <f>C16+D15+E14</f>
        <v>30</v>
      </c>
      <c r="H17" s="252">
        <f t="shared" si="1"/>
        <v>59</v>
      </c>
      <c r="I17" s="253">
        <f t="shared" si="2"/>
        <v>0.49152542372881358</v>
      </c>
      <c r="J17" s="429">
        <f ca="1">IFERROR(RANK(F17,OFFSET($F$14,0,0,COUNTA($F$14:$F$17),1)),)</f>
        <v>2</v>
      </c>
      <c r="K17" s="430" t="str">
        <f t="shared" ca="1" si="4"/>
        <v>D4-2</v>
      </c>
      <c r="L17" s="500"/>
      <c r="M17" s="239">
        <f t="shared" ca="1" si="5"/>
        <v>0</v>
      </c>
      <c r="N17" s="337"/>
      <c r="O17" s="337"/>
      <c r="P17" s="256"/>
      <c r="Q17" s="257"/>
      <c r="R17" s="439"/>
      <c r="S17" s="439"/>
      <c r="T17" s="257"/>
      <c r="U17" s="257"/>
      <c r="V17" s="453">
        <f t="shared" ref="V17:W17" si="32">(N17+P17+R17+T17)</f>
        <v>0</v>
      </c>
      <c r="W17" s="453">
        <f t="shared" si="32"/>
        <v>0</v>
      </c>
      <c r="X17" s="453">
        <f t="shared" si="7"/>
        <v>0</v>
      </c>
      <c r="Y17" s="337"/>
      <c r="Z17" s="337" t="s">
        <v>761</v>
      </c>
      <c r="AA17" s="337" t="str">
        <f t="shared" ca="1" si="8"/>
        <v>D6-2</v>
      </c>
      <c r="AB17" s="337">
        <f t="shared" ca="1" si="9"/>
        <v>31</v>
      </c>
      <c r="AC17" s="337">
        <f t="shared" ca="1" si="10"/>
        <v>32</v>
      </c>
      <c r="AD17" s="337">
        <f t="shared" ca="1" si="11"/>
        <v>63</v>
      </c>
      <c r="AE17" s="253">
        <f t="shared" ca="1" si="12"/>
        <v>0.49206349206349204</v>
      </c>
      <c r="AF17" s="338">
        <f t="shared" ca="1" si="13"/>
        <v>-68.507936507936506</v>
      </c>
      <c r="AG17" s="434">
        <f t="shared" ca="1" si="14"/>
        <v>16</v>
      </c>
      <c r="AH17" s="398"/>
    </row>
    <row r="18" spans="1:34" ht="15" customHeight="1">
      <c r="A18" s="217" t="s">
        <v>1376</v>
      </c>
      <c r="B18" s="313" t="s">
        <v>749</v>
      </c>
      <c r="C18" s="148">
        <v>11</v>
      </c>
      <c r="D18" s="165">
        <v>5</v>
      </c>
      <c r="E18" s="165">
        <v>3</v>
      </c>
      <c r="F18" s="213">
        <f t="shared" si="0"/>
        <v>19</v>
      </c>
      <c r="G18" s="213">
        <f>C19+D20+E21</f>
        <v>27</v>
      </c>
      <c r="H18" s="213">
        <f t="shared" si="1"/>
        <v>46</v>
      </c>
      <c r="I18" s="214">
        <f t="shared" si="2"/>
        <v>0.41304347826086957</v>
      </c>
      <c r="J18" s="445">
        <f ca="1">IFERROR(RANK(F18,OFFSET($F$18,0,0,COUNTA($F$18:$F$21),1)),)</f>
        <v>3</v>
      </c>
      <c r="K18" s="419" t="str">
        <f t="shared" ca="1" si="4"/>
        <v>D5-3</v>
      </c>
      <c r="L18" s="499" t="s">
        <v>468</v>
      </c>
      <c r="M18" s="217" t="str">
        <f t="shared" ca="1" si="5"/>
        <v>Katy Gondring &amp; Rob Hurtado</v>
      </c>
      <c r="N18" s="340">
        <v>11</v>
      </c>
      <c r="O18" s="340">
        <v>3</v>
      </c>
      <c r="P18" s="220">
        <v>11</v>
      </c>
      <c r="Q18" s="221">
        <v>7</v>
      </c>
      <c r="R18" s="219">
        <v>4</v>
      </c>
      <c r="S18" s="219">
        <v>11</v>
      </c>
      <c r="T18" s="221"/>
      <c r="U18" s="221"/>
      <c r="V18" s="452">
        <f t="shared" ref="V18:W18" si="33">(N18+P18+R18+T18)</f>
        <v>26</v>
      </c>
      <c r="W18" s="452">
        <f t="shared" si="33"/>
        <v>21</v>
      </c>
      <c r="X18" s="452">
        <f t="shared" si="7"/>
        <v>47</v>
      </c>
      <c r="Y18" s="329"/>
      <c r="Z18" s="329" t="s">
        <v>769</v>
      </c>
      <c r="AA18" s="329" t="str">
        <f t="shared" ca="1" si="8"/>
        <v>D8-3</v>
      </c>
      <c r="AB18" s="329">
        <f t="shared" ca="1" si="9"/>
        <v>29</v>
      </c>
      <c r="AC18" s="329">
        <f t="shared" ca="1" si="10"/>
        <v>29</v>
      </c>
      <c r="AD18" s="329">
        <f t="shared" ca="1" si="11"/>
        <v>58</v>
      </c>
      <c r="AE18" s="236">
        <f t="shared" ca="1" si="12"/>
        <v>0.5</v>
      </c>
      <c r="AF18" s="341">
        <f t="shared" ca="1" si="13"/>
        <v>-70.5</v>
      </c>
      <c r="AG18" s="409">
        <f t="shared" ca="1" si="14"/>
        <v>17</v>
      </c>
      <c r="AH18" s="398"/>
    </row>
    <row r="19" spans="1:34" ht="15" customHeight="1">
      <c r="A19" s="244" t="s">
        <v>1376</v>
      </c>
      <c r="B19" s="107" t="s">
        <v>752</v>
      </c>
      <c r="C19" s="105">
        <v>5</v>
      </c>
      <c r="D19" s="106">
        <v>5</v>
      </c>
      <c r="E19" s="106">
        <v>9</v>
      </c>
      <c r="F19" s="235">
        <f t="shared" si="0"/>
        <v>19</v>
      </c>
      <c r="G19" s="235">
        <f>C18+D21+E20</f>
        <v>30</v>
      </c>
      <c r="H19" s="235">
        <f t="shared" si="1"/>
        <v>49</v>
      </c>
      <c r="I19" s="236">
        <f t="shared" si="2"/>
        <v>0.38775510204081631</v>
      </c>
      <c r="J19" s="433">
        <v>4</v>
      </c>
      <c r="K19" s="425" t="str">
        <f t="shared" si="4"/>
        <v>D5-4</v>
      </c>
      <c r="L19" s="500"/>
      <c r="M19" s="244">
        <f t="shared" ca="1" si="5"/>
        <v>0</v>
      </c>
      <c r="N19" s="329"/>
      <c r="O19" s="329"/>
      <c r="P19" s="242"/>
      <c r="Q19" s="243"/>
      <c r="R19" s="245"/>
      <c r="S19" s="245"/>
      <c r="T19" s="243"/>
      <c r="U19" s="243"/>
      <c r="V19" s="452">
        <f t="shared" ref="V19:W19" si="34">(N19+P19+R19+T19)</f>
        <v>0</v>
      </c>
      <c r="W19" s="452">
        <f t="shared" si="34"/>
        <v>0</v>
      </c>
      <c r="X19" s="452">
        <f t="shared" si="7"/>
        <v>0</v>
      </c>
      <c r="Y19" s="329"/>
      <c r="Z19" s="329" t="s">
        <v>744</v>
      </c>
      <c r="AA19" s="329" t="str">
        <f t="shared" si="8"/>
        <v>D4-3</v>
      </c>
      <c r="AB19" s="329">
        <f t="shared" ca="1" si="9"/>
        <v>29</v>
      </c>
      <c r="AC19" s="329">
        <f t="shared" ca="1" si="10"/>
        <v>32</v>
      </c>
      <c r="AD19" s="329">
        <f t="shared" ca="1" si="11"/>
        <v>61</v>
      </c>
      <c r="AE19" s="236">
        <f t="shared" ca="1" si="12"/>
        <v>0.47540983606557374</v>
      </c>
      <c r="AF19" s="341">
        <f t="shared" ca="1" si="13"/>
        <v>-70.52459016393442</v>
      </c>
      <c r="AG19" s="432">
        <f t="shared" ca="1" si="14"/>
        <v>18</v>
      </c>
      <c r="AH19" s="398"/>
    </row>
    <row r="20" spans="1:34" ht="15" customHeight="1">
      <c r="A20" s="244" t="s">
        <v>1376</v>
      </c>
      <c r="B20" s="107" t="s">
        <v>754</v>
      </c>
      <c r="C20" s="107">
        <v>4</v>
      </c>
      <c r="D20" s="108">
        <v>11</v>
      </c>
      <c r="E20" s="106">
        <v>8</v>
      </c>
      <c r="F20" s="235">
        <f t="shared" si="0"/>
        <v>23</v>
      </c>
      <c r="G20" s="235">
        <f>C21+D18+E19</f>
        <v>25</v>
      </c>
      <c r="H20" s="235">
        <f t="shared" si="1"/>
        <v>48</v>
      </c>
      <c r="I20" s="236">
        <f t="shared" si="2"/>
        <v>0.47916666666666669</v>
      </c>
      <c r="J20" s="424">
        <f t="shared" ref="J20:J21" ca="1" si="35">IFERROR(RANK(F20,OFFSET($F$18,0,0,COUNTA($F$18:$F$21),1)),)</f>
        <v>2</v>
      </c>
      <c r="K20" s="425" t="str">
        <f t="shared" ca="1" si="4"/>
        <v>D5-2</v>
      </c>
      <c r="L20" s="499" t="s">
        <v>479</v>
      </c>
      <c r="M20" s="244" t="str">
        <f t="shared" ca="1" si="5"/>
        <v>Brook Vitt &amp; Spencer Terpstra</v>
      </c>
      <c r="N20" s="329">
        <v>3</v>
      </c>
      <c r="O20" s="329">
        <v>11</v>
      </c>
      <c r="P20" s="242"/>
      <c r="Q20" s="243"/>
      <c r="R20" s="245"/>
      <c r="S20" s="245"/>
      <c r="T20" s="243"/>
      <c r="U20" s="243"/>
      <c r="V20" s="452">
        <f t="shared" ref="V20:W20" si="36">(N20+P20+R20+T20)</f>
        <v>3</v>
      </c>
      <c r="W20" s="452">
        <f t="shared" si="36"/>
        <v>11</v>
      </c>
      <c r="X20" s="452">
        <f t="shared" si="7"/>
        <v>14</v>
      </c>
      <c r="Y20" s="329"/>
      <c r="Z20" s="329" t="s">
        <v>732</v>
      </c>
      <c r="AA20" s="329" t="str">
        <f t="shared" ca="1" si="8"/>
        <v>D2-3</v>
      </c>
      <c r="AB20" s="329">
        <f t="shared" ca="1" si="9"/>
        <v>27</v>
      </c>
      <c r="AC20" s="329">
        <f t="shared" ca="1" si="10"/>
        <v>30</v>
      </c>
      <c r="AD20" s="329">
        <f t="shared" ca="1" si="11"/>
        <v>57</v>
      </c>
      <c r="AE20" s="236">
        <f t="shared" ca="1" si="12"/>
        <v>0.47368421052631576</v>
      </c>
      <c r="AF20" s="341">
        <f t="shared" ca="1" si="13"/>
        <v>-72.526315789473685</v>
      </c>
      <c r="AG20" s="432">
        <f t="shared" ca="1" si="14"/>
        <v>19</v>
      </c>
      <c r="AH20" s="398"/>
    </row>
    <row r="21" spans="1:34" ht="15" customHeight="1">
      <c r="A21" s="239" t="s">
        <v>1376</v>
      </c>
      <c r="B21" s="109" t="s">
        <v>750</v>
      </c>
      <c r="C21" s="109">
        <v>11</v>
      </c>
      <c r="D21" s="110">
        <v>11</v>
      </c>
      <c r="E21" s="111">
        <v>11</v>
      </c>
      <c r="F21" s="252">
        <f t="shared" si="0"/>
        <v>33</v>
      </c>
      <c r="G21" s="252">
        <f>C20+D19+E18</f>
        <v>12</v>
      </c>
      <c r="H21" s="252">
        <f t="shared" si="1"/>
        <v>45</v>
      </c>
      <c r="I21" s="253">
        <f t="shared" si="2"/>
        <v>0.73333333333333328</v>
      </c>
      <c r="J21" s="429">
        <f t="shared" ca="1" si="35"/>
        <v>1</v>
      </c>
      <c r="K21" s="430" t="str">
        <f t="shared" ca="1" si="4"/>
        <v>D5-1</v>
      </c>
      <c r="L21" s="500"/>
      <c r="M21" s="239">
        <f t="shared" ca="1" si="5"/>
        <v>0</v>
      </c>
      <c r="N21" s="337"/>
      <c r="O21" s="337"/>
      <c r="P21" s="256"/>
      <c r="Q21" s="257"/>
      <c r="R21" s="241"/>
      <c r="S21" s="241"/>
      <c r="T21" s="257"/>
      <c r="U21" s="257"/>
      <c r="V21" s="453">
        <f t="shared" ref="V21:W21" si="37">(N21+P21+R21+T21)</f>
        <v>0</v>
      </c>
      <c r="W21" s="453">
        <f t="shared" si="37"/>
        <v>0</v>
      </c>
      <c r="X21" s="453">
        <f t="shared" si="7"/>
        <v>0</v>
      </c>
      <c r="Y21" s="337"/>
      <c r="Z21" s="337" t="s">
        <v>773</v>
      </c>
      <c r="AA21" s="337" t="str">
        <f t="shared" ca="1" si="8"/>
        <v>D8-4</v>
      </c>
      <c r="AB21" s="337">
        <f t="shared" ca="1" si="9"/>
        <v>27</v>
      </c>
      <c r="AC21" s="337">
        <f t="shared" ca="1" si="10"/>
        <v>33</v>
      </c>
      <c r="AD21" s="337">
        <f t="shared" ca="1" si="11"/>
        <v>60</v>
      </c>
      <c r="AE21" s="253">
        <f t="shared" ca="1" si="12"/>
        <v>0.45</v>
      </c>
      <c r="AF21" s="338">
        <f t="shared" ca="1" si="13"/>
        <v>-72.55</v>
      </c>
      <c r="AG21" s="434">
        <f t="shared" ca="1" si="14"/>
        <v>20</v>
      </c>
      <c r="AH21" s="398"/>
    </row>
    <row r="22" spans="1:34" ht="15" customHeight="1">
      <c r="A22" s="217" t="s">
        <v>1377</v>
      </c>
      <c r="B22" s="107" t="s">
        <v>757</v>
      </c>
      <c r="C22" s="148">
        <v>11</v>
      </c>
      <c r="D22" s="165">
        <v>11</v>
      </c>
      <c r="E22" s="165">
        <v>11</v>
      </c>
      <c r="F22" s="213">
        <f t="shared" si="0"/>
        <v>33</v>
      </c>
      <c r="G22" s="213">
        <f>C23+D24+E25</f>
        <v>20</v>
      </c>
      <c r="H22" s="213">
        <f t="shared" si="1"/>
        <v>53</v>
      </c>
      <c r="I22" s="214">
        <f t="shared" si="2"/>
        <v>0.62264150943396224</v>
      </c>
      <c r="J22" s="424">
        <f t="shared" ref="J22:J25" ca="1" si="38">IFERROR(RANK(F22,OFFSET($F$22,0,0,COUNTA($F$22:$F$25),1)),)</f>
        <v>1</v>
      </c>
      <c r="K22" s="419" t="str">
        <f t="shared" ca="1" si="4"/>
        <v>D6-1</v>
      </c>
      <c r="L22" s="499" t="s">
        <v>488</v>
      </c>
      <c r="M22" s="244" t="str">
        <f t="shared" ca="1" si="5"/>
        <v>Lynn Potter &amp; John Evatt</v>
      </c>
      <c r="N22" s="329">
        <v>11</v>
      </c>
      <c r="O22" s="329">
        <v>5</v>
      </c>
      <c r="P22" s="242">
        <v>7</v>
      </c>
      <c r="Q22" s="243">
        <v>11</v>
      </c>
      <c r="R22" s="245"/>
      <c r="S22" s="245"/>
      <c r="T22" s="243"/>
      <c r="U22" s="243"/>
      <c r="V22" s="454">
        <f t="shared" ref="V22:W22" si="39">(N22+P22+R22+T22)</f>
        <v>18</v>
      </c>
      <c r="W22" s="454">
        <f t="shared" si="39"/>
        <v>16</v>
      </c>
      <c r="X22" s="454">
        <f t="shared" si="7"/>
        <v>34</v>
      </c>
      <c r="Y22" s="340"/>
      <c r="Z22" s="340" t="s">
        <v>728</v>
      </c>
      <c r="AA22" s="340" t="str">
        <f t="shared" ca="1" si="8"/>
        <v>D1-3</v>
      </c>
      <c r="AB22" s="340">
        <f t="shared" ca="1" si="9"/>
        <v>23</v>
      </c>
      <c r="AC22" s="340">
        <f t="shared" ca="1" si="10"/>
        <v>31</v>
      </c>
      <c r="AD22" s="340">
        <f t="shared" ca="1" si="11"/>
        <v>54</v>
      </c>
      <c r="AE22" s="214">
        <f t="shared" ca="1" si="12"/>
        <v>0.42592592592592593</v>
      </c>
      <c r="AF22" s="341">
        <f t="shared" ca="1" si="13"/>
        <v>-76.574074074074076</v>
      </c>
      <c r="AG22" s="432">
        <f t="shared" ca="1" si="14"/>
        <v>21</v>
      </c>
      <c r="AH22" s="398"/>
    </row>
    <row r="23" spans="1:34" ht="15" customHeight="1">
      <c r="A23" s="244" t="s">
        <v>1377</v>
      </c>
      <c r="B23" s="107" t="s">
        <v>1378</v>
      </c>
      <c r="C23" s="105">
        <v>5</v>
      </c>
      <c r="D23" s="106">
        <v>8</v>
      </c>
      <c r="E23" s="106">
        <v>1</v>
      </c>
      <c r="F23" s="235">
        <f t="shared" si="0"/>
        <v>14</v>
      </c>
      <c r="G23" s="235">
        <f>C22+D25+E24</f>
        <v>33</v>
      </c>
      <c r="H23" s="235">
        <f t="shared" si="1"/>
        <v>47</v>
      </c>
      <c r="I23" s="236">
        <f t="shared" si="2"/>
        <v>0.2978723404255319</v>
      </c>
      <c r="J23" s="424">
        <f t="shared" ca="1" si="38"/>
        <v>4</v>
      </c>
      <c r="K23" s="425" t="str">
        <f t="shared" ca="1" si="4"/>
        <v>D6-4</v>
      </c>
      <c r="L23" s="500"/>
      <c r="M23" s="244">
        <f t="shared" ca="1" si="5"/>
        <v>0</v>
      </c>
      <c r="N23" s="329"/>
      <c r="O23" s="329"/>
      <c r="P23" s="242"/>
      <c r="Q23" s="243"/>
      <c r="R23" s="245"/>
      <c r="S23" s="245"/>
      <c r="T23" s="243"/>
      <c r="U23" s="243"/>
      <c r="V23" s="452">
        <f t="shared" ref="V23:W23" si="40">(N23+P23+R23+T23)</f>
        <v>0</v>
      </c>
      <c r="W23" s="452">
        <f t="shared" si="40"/>
        <v>0</v>
      </c>
      <c r="X23" s="452">
        <f t="shared" si="7"/>
        <v>0</v>
      </c>
      <c r="Y23" s="329"/>
      <c r="Z23" s="329" t="s">
        <v>1375</v>
      </c>
      <c r="AA23" s="329" t="str">
        <f t="shared" ca="1" si="8"/>
        <v>D3-3</v>
      </c>
      <c r="AB23" s="329">
        <f t="shared" ca="1" si="9"/>
        <v>23</v>
      </c>
      <c r="AC23" s="329">
        <f t="shared" ca="1" si="10"/>
        <v>33</v>
      </c>
      <c r="AD23" s="329">
        <f t="shared" ca="1" si="11"/>
        <v>56</v>
      </c>
      <c r="AE23" s="236">
        <f t="shared" ca="1" si="12"/>
        <v>0.4107142857142857</v>
      </c>
      <c r="AF23" s="341">
        <f t="shared" ca="1" si="13"/>
        <v>-76.589285714285708</v>
      </c>
      <c r="AG23" s="432">
        <f t="shared" ca="1" si="14"/>
        <v>22</v>
      </c>
      <c r="AH23" s="398"/>
    </row>
    <row r="24" spans="1:34" ht="15" customHeight="1">
      <c r="A24" s="244" t="s">
        <v>1377</v>
      </c>
      <c r="B24" s="107" t="s">
        <v>759</v>
      </c>
      <c r="C24" s="107">
        <v>2</v>
      </c>
      <c r="D24" s="108">
        <v>9</v>
      </c>
      <c r="E24" s="106">
        <v>11</v>
      </c>
      <c r="F24" s="235">
        <f t="shared" si="0"/>
        <v>22</v>
      </c>
      <c r="G24" s="235">
        <f>C25+D22+E23</f>
        <v>23</v>
      </c>
      <c r="H24" s="235">
        <f t="shared" si="1"/>
        <v>45</v>
      </c>
      <c r="I24" s="236">
        <f t="shared" si="2"/>
        <v>0.48888888888888887</v>
      </c>
      <c r="J24" s="424">
        <f t="shared" ca="1" si="38"/>
        <v>3</v>
      </c>
      <c r="K24" s="425" t="str">
        <f t="shared" ca="1" si="4"/>
        <v>D6-3</v>
      </c>
      <c r="L24" s="499" t="s">
        <v>497</v>
      </c>
      <c r="M24" s="244" t="str">
        <f t="shared" ca="1" si="5"/>
        <v>Debbie Don &amp; Jeff Stockham</v>
      </c>
      <c r="N24" s="329">
        <v>5</v>
      </c>
      <c r="O24" s="329">
        <v>11</v>
      </c>
      <c r="P24" s="242"/>
      <c r="Q24" s="243"/>
      <c r="R24" s="245"/>
      <c r="S24" s="245"/>
      <c r="T24" s="243"/>
      <c r="U24" s="243"/>
      <c r="V24" s="452">
        <f t="shared" ref="V24:W24" si="41">(N24+P24+R24+T24)</f>
        <v>5</v>
      </c>
      <c r="W24" s="452">
        <f t="shared" si="41"/>
        <v>11</v>
      </c>
      <c r="X24" s="452">
        <f t="shared" si="7"/>
        <v>16</v>
      </c>
      <c r="Y24" s="329"/>
      <c r="Z24" s="329" t="s">
        <v>759</v>
      </c>
      <c r="AA24" s="329" t="str">
        <f t="shared" ca="1" si="8"/>
        <v>D6-3</v>
      </c>
      <c r="AB24" s="329">
        <f t="shared" ca="1" si="9"/>
        <v>22</v>
      </c>
      <c r="AC24" s="329">
        <f t="shared" ca="1" si="10"/>
        <v>23</v>
      </c>
      <c r="AD24" s="329">
        <f t="shared" ca="1" si="11"/>
        <v>45</v>
      </c>
      <c r="AE24" s="236">
        <f t="shared" ca="1" si="12"/>
        <v>0.48888888888888887</v>
      </c>
      <c r="AF24" s="341">
        <f t="shared" ca="1" si="13"/>
        <v>-77.511111111111106</v>
      </c>
      <c r="AG24" s="432">
        <f t="shared" ca="1" si="14"/>
        <v>23</v>
      </c>
      <c r="AH24" s="398"/>
    </row>
    <row r="25" spans="1:34" ht="15" customHeight="1">
      <c r="A25" s="239" t="s">
        <v>1377</v>
      </c>
      <c r="B25" s="109" t="s">
        <v>761</v>
      </c>
      <c r="C25" s="109">
        <v>11</v>
      </c>
      <c r="D25" s="110">
        <v>11</v>
      </c>
      <c r="E25" s="111">
        <v>6</v>
      </c>
      <c r="F25" s="252">
        <f t="shared" si="0"/>
        <v>28</v>
      </c>
      <c r="G25" s="252">
        <f>C24+D23+E22</f>
        <v>21</v>
      </c>
      <c r="H25" s="252">
        <f t="shared" si="1"/>
        <v>49</v>
      </c>
      <c r="I25" s="253">
        <f t="shared" si="2"/>
        <v>0.5714285714285714</v>
      </c>
      <c r="J25" s="429">
        <f t="shared" ca="1" si="38"/>
        <v>2</v>
      </c>
      <c r="K25" s="430" t="str">
        <f t="shared" ca="1" si="4"/>
        <v>D6-2</v>
      </c>
      <c r="L25" s="500"/>
      <c r="M25" s="239">
        <f t="shared" ca="1" si="5"/>
        <v>0</v>
      </c>
      <c r="N25" s="337"/>
      <c r="O25" s="337"/>
      <c r="P25" s="256"/>
      <c r="Q25" s="257"/>
      <c r="R25" s="241"/>
      <c r="S25" s="241"/>
      <c r="T25" s="257"/>
      <c r="U25" s="257"/>
      <c r="V25" s="453">
        <f t="shared" ref="V25:W25" si="42">(N25+P25+R25+T25)</f>
        <v>0</v>
      </c>
      <c r="W25" s="453">
        <f t="shared" si="42"/>
        <v>0</v>
      </c>
      <c r="X25" s="453">
        <f t="shared" si="7"/>
        <v>0</v>
      </c>
      <c r="Y25" s="337"/>
      <c r="Z25" s="337" t="s">
        <v>1379</v>
      </c>
      <c r="AA25" s="337" t="str">
        <f t="shared" ca="1" si="8"/>
        <v>D7-3</v>
      </c>
      <c r="AB25" s="337">
        <f t="shared" ca="1" si="9"/>
        <v>21</v>
      </c>
      <c r="AC25" s="337">
        <f t="shared" ca="1" si="10"/>
        <v>28</v>
      </c>
      <c r="AD25" s="337">
        <f t="shared" ca="1" si="11"/>
        <v>49</v>
      </c>
      <c r="AE25" s="253">
        <f t="shared" ca="1" si="12"/>
        <v>0.42857142857142855</v>
      </c>
      <c r="AF25" s="338">
        <f t="shared" ca="1" si="13"/>
        <v>-78.571428571428569</v>
      </c>
      <c r="AG25" s="434">
        <f t="shared" ca="1" si="14"/>
        <v>24</v>
      </c>
      <c r="AH25" s="398"/>
    </row>
    <row r="26" spans="1:34" ht="15" customHeight="1">
      <c r="A26" s="217" t="s">
        <v>1380</v>
      </c>
      <c r="B26" s="107" t="s">
        <v>763</v>
      </c>
      <c r="C26" s="148">
        <v>6</v>
      </c>
      <c r="D26" s="165">
        <v>8</v>
      </c>
      <c r="E26" s="165">
        <v>5</v>
      </c>
      <c r="F26" s="213">
        <f t="shared" si="0"/>
        <v>19</v>
      </c>
      <c r="G26" s="213">
        <f>C27+D28+E29</f>
        <v>33</v>
      </c>
      <c r="H26" s="213">
        <f t="shared" si="1"/>
        <v>52</v>
      </c>
      <c r="I26" s="214">
        <f t="shared" si="2"/>
        <v>0.36538461538461536</v>
      </c>
      <c r="J26" s="424">
        <f t="shared" ref="J26:J29" ca="1" si="43">IFERROR(RANK(F26,OFFSET($F$26,0,0,COUNTA($F$26:$F$29),1)),)</f>
        <v>4</v>
      </c>
      <c r="K26" s="419" t="str">
        <f t="shared" ca="1" si="4"/>
        <v>D7-4</v>
      </c>
      <c r="L26" s="499" t="s">
        <v>508</v>
      </c>
      <c r="M26" s="244" t="str">
        <f t="shared" ca="1" si="5"/>
        <v>Shanna Loyd &amp; Ryan Carpenter</v>
      </c>
      <c r="N26" s="329">
        <v>11</v>
      </c>
      <c r="O26" s="329">
        <v>3</v>
      </c>
      <c r="P26" s="242">
        <v>11</v>
      </c>
      <c r="Q26" s="243">
        <v>7</v>
      </c>
      <c r="R26" s="245">
        <v>11</v>
      </c>
      <c r="S26" s="245">
        <v>4</v>
      </c>
      <c r="T26" s="243">
        <v>13</v>
      </c>
      <c r="U26" s="243">
        <v>7</v>
      </c>
      <c r="V26" s="452">
        <f t="shared" ref="V26:W26" si="44">(N26+P26+R26+T26)</f>
        <v>46</v>
      </c>
      <c r="W26" s="452">
        <f t="shared" si="44"/>
        <v>21</v>
      </c>
      <c r="X26" s="452">
        <f t="shared" si="7"/>
        <v>67</v>
      </c>
      <c r="Y26" s="329"/>
      <c r="Z26" s="329" t="s">
        <v>735</v>
      </c>
      <c r="AA26" s="329" t="str">
        <f t="shared" ca="1" si="8"/>
        <v>D3-4</v>
      </c>
      <c r="AB26" s="455">
        <f t="shared" ca="1" si="9"/>
        <v>20</v>
      </c>
      <c r="AC26" s="455">
        <f t="shared" ca="1" si="10"/>
        <v>31</v>
      </c>
      <c r="AD26" s="329">
        <f t="shared" ca="1" si="11"/>
        <v>51</v>
      </c>
      <c r="AE26" s="236">
        <f t="shared" ca="1" si="12"/>
        <v>0.39215686274509803</v>
      </c>
      <c r="AF26" s="341">
        <f t="shared" ca="1" si="13"/>
        <v>-79.607843137254903</v>
      </c>
      <c r="AG26" s="432">
        <f t="shared" ca="1" si="14"/>
        <v>25</v>
      </c>
      <c r="AH26" s="398"/>
    </row>
    <row r="27" spans="1:34" ht="15" customHeight="1">
      <c r="A27" s="244" t="s">
        <v>1380</v>
      </c>
      <c r="B27" s="107" t="s">
        <v>1379</v>
      </c>
      <c r="C27" s="105">
        <v>11</v>
      </c>
      <c r="D27" s="106">
        <v>2</v>
      </c>
      <c r="E27" s="106">
        <v>8</v>
      </c>
      <c r="F27" s="235">
        <f t="shared" si="0"/>
        <v>21</v>
      </c>
      <c r="G27" s="235">
        <f>C26+D29+E28</f>
        <v>28</v>
      </c>
      <c r="H27" s="235">
        <f t="shared" si="1"/>
        <v>49</v>
      </c>
      <c r="I27" s="236">
        <f t="shared" si="2"/>
        <v>0.42857142857142855</v>
      </c>
      <c r="J27" s="424">
        <f t="shared" ca="1" si="43"/>
        <v>3</v>
      </c>
      <c r="K27" s="425" t="str">
        <f t="shared" ca="1" si="4"/>
        <v>D7-3</v>
      </c>
      <c r="L27" s="500"/>
      <c r="M27" s="244">
        <f t="shared" ca="1" si="5"/>
        <v>0</v>
      </c>
      <c r="N27" s="329"/>
      <c r="O27" s="329"/>
      <c r="P27" s="242"/>
      <c r="Q27" s="243"/>
      <c r="R27" s="245"/>
      <c r="S27" s="245"/>
      <c r="T27" s="243"/>
      <c r="U27" s="243"/>
      <c r="V27" s="452">
        <f t="shared" ref="V27:W27" si="45">(N27+P27+R27+T27)</f>
        <v>0</v>
      </c>
      <c r="W27" s="452">
        <f t="shared" si="45"/>
        <v>0</v>
      </c>
      <c r="X27" s="452">
        <f t="shared" si="7"/>
        <v>0</v>
      </c>
      <c r="Y27" s="329"/>
      <c r="Z27" s="329" t="s">
        <v>742</v>
      </c>
      <c r="AA27" s="329" t="str">
        <f t="shared" ca="1" si="8"/>
        <v>D4-4</v>
      </c>
      <c r="AB27" s="455">
        <f t="shared" ca="1" si="9"/>
        <v>20</v>
      </c>
      <c r="AC27" s="455">
        <f t="shared" ca="1" si="10"/>
        <v>31</v>
      </c>
      <c r="AD27" s="329">
        <f t="shared" ca="1" si="11"/>
        <v>51</v>
      </c>
      <c r="AE27" s="236">
        <f t="shared" ca="1" si="12"/>
        <v>0.39215686274509803</v>
      </c>
      <c r="AF27" s="341">
        <f t="shared" ca="1" si="13"/>
        <v>-79.607843137254903</v>
      </c>
      <c r="AG27" s="432">
        <f t="shared" ca="1" si="14"/>
        <v>25</v>
      </c>
      <c r="AH27" s="398"/>
    </row>
    <row r="28" spans="1:34" ht="15" customHeight="1">
      <c r="A28" s="244" t="s">
        <v>1380</v>
      </c>
      <c r="B28" s="107" t="s">
        <v>760</v>
      </c>
      <c r="C28" s="107">
        <v>6</v>
      </c>
      <c r="D28" s="108">
        <v>11</v>
      </c>
      <c r="E28" s="106">
        <v>11</v>
      </c>
      <c r="F28" s="235">
        <f t="shared" si="0"/>
        <v>28</v>
      </c>
      <c r="G28" s="235">
        <f>C29+D26+E27</f>
        <v>27</v>
      </c>
      <c r="H28" s="235">
        <f t="shared" si="1"/>
        <v>55</v>
      </c>
      <c r="I28" s="236">
        <f t="shared" si="2"/>
        <v>0.50909090909090904</v>
      </c>
      <c r="J28" s="424">
        <f t="shared" ca="1" si="43"/>
        <v>2</v>
      </c>
      <c r="K28" s="425" t="str">
        <f t="shared" ca="1" si="4"/>
        <v>D7-2</v>
      </c>
      <c r="L28" s="499" t="s">
        <v>490</v>
      </c>
      <c r="M28" s="244" t="str">
        <f t="shared" ca="1" si="5"/>
        <v>Joan Liechty &amp; David Garrett</v>
      </c>
      <c r="N28" s="329">
        <v>3</v>
      </c>
      <c r="O28" s="329">
        <v>11</v>
      </c>
      <c r="P28" s="242"/>
      <c r="Q28" s="243"/>
      <c r="R28" s="245"/>
      <c r="S28" s="245"/>
      <c r="T28" s="243"/>
      <c r="U28" s="243"/>
      <c r="V28" s="452">
        <f t="shared" ref="V28:W28" si="46">(N28+P28+R28+T28)</f>
        <v>3</v>
      </c>
      <c r="W28" s="452">
        <f t="shared" si="46"/>
        <v>11</v>
      </c>
      <c r="X28" s="452">
        <f t="shared" si="7"/>
        <v>14</v>
      </c>
      <c r="Y28" s="329"/>
      <c r="Z28" s="329" t="s">
        <v>730</v>
      </c>
      <c r="AA28" s="329" t="str">
        <f t="shared" ca="1" si="8"/>
        <v>D2-4</v>
      </c>
      <c r="AB28" s="455">
        <f t="shared" ca="1" si="9"/>
        <v>19</v>
      </c>
      <c r="AC28" s="455">
        <f t="shared" ca="1" si="10"/>
        <v>27</v>
      </c>
      <c r="AD28" s="329">
        <f t="shared" ca="1" si="11"/>
        <v>46</v>
      </c>
      <c r="AE28" s="236">
        <f t="shared" ca="1" si="12"/>
        <v>0.41304347826086957</v>
      </c>
      <c r="AF28" s="341">
        <f t="shared" ca="1" si="13"/>
        <v>-80.586956521739125</v>
      </c>
      <c r="AG28" s="432">
        <f t="shared" ca="1" si="14"/>
        <v>27</v>
      </c>
      <c r="AH28" s="398"/>
    </row>
    <row r="29" spans="1:34" ht="15" customHeight="1">
      <c r="A29" s="239" t="s">
        <v>1380</v>
      </c>
      <c r="B29" s="109" t="s">
        <v>91</v>
      </c>
      <c r="C29" s="109">
        <v>11</v>
      </c>
      <c r="D29" s="110">
        <v>11</v>
      </c>
      <c r="E29" s="111">
        <v>11</v>
      </c>
      <c r="F29" s="252">
        <f t="shared" si="0"/>
        <v>33</v>
      </c>
      <c r="G29" s="252">
        <f>C28+D27+E26</f>
        <v>13</v>
      </c>
      <c r="H29" s="252">
        <f t="shared" si="1"/>
        <v>46</v>
      </c>
      <c r="I29" s="253">
        <f t="shared" si="2"/>
        <v>0.71739130434782605</v>
      </c>
      <c r="J29" s="429">
        <f t="shared" ca="1" si="43"/>
        <v>1</v>
      </c>
      <c r="K29" s="430" t="str">
        <f t="shared" ca="1" si="4"/>
        <v>D7-1</v>
      </c>
      <c r="L29" s="500"/>
      <c r="M29" s="239">
        <f t="shared" ca="1" si="5"/>
        <v>0</v>
      </c>
      <c r="N29" s="337"/>
      <c r="O29" s="337"/>
      <c r="P29" s="256"/>
      <c r="Q29" s="257"/>
      <c r="R29" s="241"/>
      <c r="S29" s="241"/>
      <c r="T29" s="257"/>
      <c r="U29" s="257"/>
      <c r="V29" s="453">
        <f t="shared" ref="V29:W29" si="47">(N29+P29+R29+T29)</f>
        <v>0</v>
      </c>
      <c r="W29" s="453">
        <f t="shared" si="47"/>
        <v>0</v>
      </c>
      <c r="X29" s="453">
        <f t="shared" si="7"/>
        <v>0</v>
      </c>
      <c r="Y29" s="337"/>
      <c r="Z29" s="337" t="s">
        <v>749</v>
      </c>
      <c r="AA29" s="337" t="str">
        <f t="shared" ca="1" si="8"/>
        <v>D5-3</v>
      </c>
      <c r="AB29" s="456">
        <f t="shared" ca="1" si="9"/>
        <v>19</v>
      </c>
      <c r="AC29" s="456">
        <f t="shared" ca="1" si="10"/>
        <v>27</v>
      </c>
      <c r="AD29" s="337">
        <f t="shared" ca="1" si="11"/>
        <v>46</v>
      </c>
      <c r="AE29" s="253">
        <f t="shared" ca="1" si="12"/>
        <v>0.41304347826086957</v>
      </c>
      <c r="AF29" s="338">
        <f t="shared" ca="1" si="13"/>
        <v>-80.586956521739125</v>
      </c>
      <c r="AG29" s="434">
        <f t="shared" ca="1" si="14"/>
        <v>27</v>
      </c>
      <c r="AH29" s="398"/>
    </row>
    <row r="30" spans="1:34" ht="15" customHeight="1">
      <c r="A30" s="217" t="s">
        <v>1381</v>
      </c>
      <c r="B30" s="313" t="s">
        <v>769</v>
      </c>
      <c r="C30" s="100">
        <v>11</v>
      </c>
      <c r="D30" s="101">
        <v>11</v>
      </c>
      <c r="E30" s="101">
        <v>7</v>
      </c>
      <c r="F30" s="213">
        <f t="shared" si="0"/>
        <v>29</v>
      </c>
      <c r="G30" s="213">
        <f>C31+D32+E33</f>
        <v>29</v>
      </c>
      <c r="H30" s="213">
        <f t="shared" si="1"/>
        <v>58</v>
      </c>
      <c r="I30" s="214">
        <f t="shared" si="2"/>
        <v>0.5</v>
      </c>
      <c r="J30" s="445">
        <f ca="1">IFERROR(RANK(F30,OFFSET($F$30,0,0,COUNTA($F$30:$F$33),1)),)</f>
        <v>3</v>
      </c>
      <c r="K30" s="419" t="str">
        <f t="shared" ca="1" si="4"/>
        <v>D8-3</v>
      </c>
      <c r="L30" s="499" t="s">
        <v>524</v>
      </c>
      <c r="M30" s="244" t="str">
        <f t="shared" ca="1" si="5"/>
        <v>JoAnn Figueroa &amp; Milind Phadnis</v>
      </c>
      <c r="N30" s="329">
        <v>11</v>
      </c>
      <c r="O30" s="329">
        <v>9</v>
      </c>
      <c r="P30" s="242">
        <v>7</v>
      </c>
      <c r="Q30" s="243">
        <v>11</v>
      </c>
      <c r="R30" s="245"/>
      <c r="S30" s="245"/>
      <c r="T30" s="243"/>
      <c r="U30" s="243"/>
      <c r="V30" s="452">
        <f t="shared" ref="V30:W30" si="48">(N30+P30+R30+T30)</f>
        <v>18</v>
      </c>
      <c r="W30" s="452">
        <f t="shared" si="48"/>
        <v>20</v>
      </c>
      <c r="X30" s="452">
        <f t="shared" si="7"/>
        <v>38</v>
      </c>
      <c r="Y30" s="329"/>
      <c r="Z30" s="329" t="s">
        <v>752</v>
      </c>
      <c r="AA30" s="329" t="str">
        <f t="shared" si="8"/>
        <v>D5-4</v>
      </c>
      <c r="AB30" s="329">
        <f t="shared" ca="1" si="9"/>
        <v>19</v>
      </c>
      <c r="AC30" s="329">
        <f t="shared" ca="1" si="10"/>
        <v>30</v>
      </c>
      <c r="AD30" s="329">
        <f t="shared" ca="1" si="11"/>
        <v>49</v>
      </c>
      <c r="AE30" s="236">
        <f t="shared" ca="1" si="12"/>
        <v>0.38775510204081631</v>
      </c>
      <c r="AF30" s="341">
        <f t="shared" ca="1" si="13"/>
        <v>-80.612244897959187</v>
      </c>
      <c r="AG30" s="432">
        <f t="shared" ca="1" si="14"/>
        <v>29</v>
      </c>
      <c r="AH30" s="398"/>
    </row>
    <row r="31" spans="1:34" ht="15" customHeight="1">
      <c r="A31" s="244" t="s">
        <v>1381</v>
      </c>
      <c r="B31" s="107" t="s">
        <v>755</v>
      </c>
      <c r="C31" s="105">
        <v>10</v>
      </c>
      <c r="D31" s="106">
        <v>11</v>
      </c>
      <c r="E31" s="106">
        <v>11</v>
      </c>
      <c r="F31" s="235">
        <f t="shared" si="0"/>
        <v>32</v>
      </c>
      <c r="G31" s="235">
        <f>C30+D33+E32</f>
        <v>31</v>
      </c>
      <c r="H31" s="235">
        <f t="shared" si="1"/>
        <v>63</v>
      </c>
      <c r="I31" s="236">
        <f t="shared" si="2"/>
        <v>0.50793650793650791</v>
      </c>
      <c r="J31" s="433">
        <v>2</v>
      </c>
      <c r="K31" s="425" t="str">
        <f t="shared" si="4"/>
        <v>D8-2</v>
      </c>
      <c r="L31" s="500"/>
      <c r="M31" s="244">
        <f t="shared" ca="1" si="5"/>
        <v>0</v>
      </c>
      <c r="N31" s="329"/>
      <c r="O31" s="329"/>
      <c r="P31" s="242"/>
      <c r="Q31" s="243"/>
      <c r="R31" s="245"/>
      <c r="S31" s="245"/>
      <c r="T31" s="243"/>
      <c r="U31" s="243"/>
      <c r="V31" s="452">
        <f t="shared" ref="V31:W31" si="49">(N31+P31+R31+T31)</f>
        <v>0</v>
      </c>
      <c r="W31" s="452">
        <f t="shared" si="49"/>
        <v>0</v>
      </c>
      <c r="X31" s="452">
        <f t="shared" si="7"/>
        <v>0</v>
      </c>
      <c r="Y31" s="329"/>
      <c r="Z31" s="329" t="s">
        <v>724</v>
      </c>
      <c r="AA31" s="329" t="str">
        <f t="shared" ca="1" si="8"/>
        <v>D1-4</v>
      </c>
      <c r="AB31" s="455">
        <f t="shared" ca="1" si="9"/>
        <v>19</v>
      </c>
      <c r="AC31" s="455">
        <f t="shared" ca="1" si="10"/>
        <v>33</v>
      </c>
      <c r="AD31" s="329">
        <f t="shared" ca="1" si="11"/>
        <v>52</v>
      </c>
      <c r="AE31" s="236">
        <f t="shared" ca="1" si="12"/>
        <v>0.36538461538461536</v>
      </c>
      <c r="AF31" s="341">
        <f t="shared" ca="1" si="13"/>
        <v>-80.634615384615387</v>
      </c>
      <c r="AG31" s="432">
        <f t="shared" ca="1" si="14"/>
        <v>30</v>
      </c>
      <c r="AH31" s="398"/>
    </row>
    <row r="32" spans="1:34" ht="15" customHeight="1">
      <c r="A32" s="244" t="s">
        <v>1381</v>
      </c>
      <c r="B32" s="107" t="s">
        <v>773</v>
      </c>
      <c r="C32" s="107">
        <v>9</v>
      </c>
      <c r="D32" s="108">
        <v>8</v>
      </c>
      <c r="E32" s="106">
        <v>10</v>
      </c>
      <c r="F32" s="235">
        <f t="shared" si="0"/>
        <v>27</v>
      </c>
      <c r="G32" s="235">
        <f>C33+D30+E31</f>
        <v>33</v>
      </c>
      <c r="H32" s="235">
        <f t="shared" si="1"/>
        <v>60</v>
      </c>
      <c r="I32" s="236">
        <f t="shared" si="2"/>
        <v>0.45</v>
      </c>
      <c r="J32" s="424">
        <f t="shared" ref="J32:J33" ca="1" si="50">IFERROR(RANK(F32,OFFSET($F$30,0,0,COUNTA($F$30:$F$33),1)),)</f>
        <v>4</v>
      </c>
      <c r="K32" s="425" t="str">
        <f t="shared" ca="1" si="4"/>
        <v>D8-4</v>
      </c>
      <c r="L32" s="499" t="s">
        <v>470</v>
      </c>
      <c r="M32" s="244" t="str">
        <f t="shared" ca="1" si="5"/>
        <v>Laura Schoenekase &amp; Dale Wooderson</v>
      </c>
      <c r="N32" s="329">
        <v>9</v>
      </c>
      <c r="O32" s="329">
        <v>11</v>
      </c>
      <c r="P32" s="242"/>
      <c r="Q32" s="243"/>
      <c r="R32" s="245"/>
      <c r="S32" s="245"/>
      <c r="T32" s="243"/>
      <c r="U32" s="243"/>
      <c r="V32" s="452">
        <f t="shared" ref="V32:W32" si="51">(N32+P32+R32+T32)</f>
        <v>9</v>
      </c>
      <c r="W32" s="452">
        <f t="shared" si="51"/>
        <v>11</v>
      </c>
      <c r="X32" s="452">
        <f t="shared" si="7"/>
        <v>20</v>
      </c>
      <c r="Y32" s="329"/>
      <c r="Z32" s="329" t="s">
        <v>763</v>
      </c>
      <c r="AA32" s="329" t="str">
        <f t="shared" ca="1" si="8"/>
        <v>D7-4</v>
      </c>
      <c r="AB32" s="455">
        <f t="shared" ca="1" si="9"/>
        <v>19</v>
      </c>
      <c r="AC32" s="455">
        <f t="shared" ca="1" si="10"/>
        <v>33</v>
      </c>
      <c r="AD32" s="329">
        <f t="shared" ca="1" si="11"/>
        <v>52</v>
      </c>
      <c r="AE32" s="236">
        <f t="shared" ca="1" si="12"/>
        <v>0.36538461538461536</v>
      </c>
      <c r="AF32" s="341">
        <f t="shared" ca="1" si="13"/>
        <v>-80.634615384615387</v>
      </c>
      <c r="AG32" s="432">
        <f t="shared" ca="1" si="14"/>
        <v>30</v>
      </c>
      <c r="AH32" s="398"/>
    </row>
    <row r="33" spans="1:34" ht="15" customHeight="1">
      <c r="A33" s="239" t="s">
        <v>1381</v>
      </c>
      <c r="B33" s="109" t="s">
        <v>770</v>
      </c>
      <c r="C33" s="109">
        <v>11</v>
      </c>
      <c r="D33" s="110">
        <v>10</v>
      </c>
      <c r="E33" s="111">
        <v>11</v>
      </c>
      <c r="F33" s="252">
        <f t="shared" si="0"/>
        <v>32</v>
      </c>
      <c r="G33" s="252">
        <f>C32+D31+E30</f>
        <v>27</v>
      </c>
      <c r="H33" s="252">
        <f t="shared" si="1"/>
        <v>59</v>
      </c>
      <c r="I33" s="253">
        <f t="shared" si="2"/>
        <v>0.5423728813559322</v>
      </c>
      <c r="J33" s="429">
        <f t="shared" ca="1" si="50"/>
        <v>1</v>
      </c>
      <c r="K33" s="430" t="str">
        <f t="shared" ca="1" si="4"/>
        <v>D8-1</v>
      </c>
      <c r="L33" s="500"/>
      <c r="M33" s="239">
        <f t="shared" ca="1" si="5"/>
        <v>0</v>
      </c>
      <c r="N33" s="337"/>
      <c r="O33" s="337"/>
      <c r="P33" s="256"/>
      <c r="Q33" s="257"/>
      <c r="R33" s="439"/>
      <c r="S33" s="439"/>
      <c r="T33" s="257"/>
      <c r="U33" s="257"/>
      <c r="V33" s="453">
        <f t="shared" ref="V33:W33" si="52">(N33+P33+R33+T33)</f>
        <v>0</v>
      </c>
      <c r="W33" s="453">
        <f t="shared" si="52"/>
        <v>0</v>
      </c>
      <c r="X33" s="453">
        <f t="shared" si="7"/>
        <v>0</v>
      </c>
      <c r="Y33" s="337"/>
      <c r="Z33" s="337" t="s">
        <v>1378</v>
      </c>
      <c r="AA33" s="337" t="str">
        <f t="shared" ca="1" si="8"/>
        <v>D6-4</v>
      </c>
      <c r="AB33" s="337">
        <f t="shared" ca="1" si="9"/>
        <v>14</v>
      </c>
      <c r="AC33" s="337">
        <f t="shared" ca="1" si="10"/>
        <v>33</v>
      </c>
      <c r="AD33" s="337">
        <f t="shared" ca="1" si="11"/>
        <v>47</v>
      </c>
      <c r="AE33" s="253">
        <f t="shared" ca="1" si="12"/>
        <v>0.2978723404255319</v>
      </c>
      <c r="AF33" s="338">
        <f t="shared" ca="1" si="13"/>
        <v>-85.702127659574472</v>
      </c>
      <c r="AG33" s="434">
        <f t="shared" ca="1" si="14"/>
        <v>32</v>
      </c>
      <c r="AH33" s="398"/>
    </row>
    <row r="34" spans="1:34" ht="15" customHeight="1">
      <c r="A34" s="287"/>
      <c r="B34" s="290"/>
      <c r="C34" s="290"/>
      <c r="D34" s="290"/>
      <c r="E34" s="290"/>
      <c r="F34" s="290"/>
      <c r="G34" s="290"/>
      <c r="H34" s="290"/>
      <c r="I34" s="457"/>
      <c r="J34" s="458"/>
      <c r="K34" s="398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457"/>
      <c r="AF34" s="233"/>
      <c r="AG34" s="233"/>
      <c r="AH34" s="398"/>
    </row>
    <row r="35" spans="1:34" ht="15" customHeight="1">
      <c r="A35" s="210" t="s">
        <v>1339</v>
      </c>
      <c r="B35" s="288"/>
      <c r="C35" s="289">
        <f t="shared" ref="C35:G35" si="53">SUM(C2:C33)</f>
        <v>277</v>
      </c>
      <c r="D35" s="289">
        <f t="shared" si="53"/>
        <v>289</v>
      </c>
      <c r="E35" s="289">
        <f t="shared" si="53"/>
        <v>274</v>
      </c>
      <c r="F35" s="289">
        <f t="shared" si="53"/>
        <v>840</v>
      </c>
      <c r="G35" s="289">
        <f t="shared" si="53"/>
        <v>840</v>
      </c>
      <c r="H35" s="287">
        <f>SUM(H2:H33)/2</f>
        <v>840</v>
      </c>
      <c r="I35" s="287" t="s">
        <v>1340</v>
      </c>
      <c r="J35" s="287"/>
      <c r="K35" s="443" t="s">
        <v>1339</v>
      </c>
      <c r="L35" s="287"/>
      <c r="M35" s="287"/>
      <c r="N35" s="289">
        <f>SUM(N2:N33)</f>
        <v>140</v>
      </c>
      <c r="O35" s="289"/>
      <c r="P35" s="289">
        <f>SUM(P2:P33)</f>
        <v>71</v>
      </c>
      <c r="Q35" s="289"/>
      <c r="R35" s="289">
        <f>SUM(R2:R33)</f>
        <v>35</v>
      </c>
      <c r="S35" s="289"/>
      <c r="T35" s="289">
        <f>SUM(T2:T33)</f>
        <v>20</v>
      </c>
      <c r="U35" s="289"/>
      <c r="V35" s="289">
        <f t="shared" ref="V35:W35" si="54">SUM(V2:V33)</f>
        <v>266</v>
      </c>
      <c r="W35" s="289">
        <f t="shared" si="54"/>
        <v>266</v>
      </c>
      <c r="X35" s="287">
        <f>SUM(X2:X33)/2</f>
        <v>266</v>
      </c>
      <c r="Y35" s="287"/>
      <c r="Z35" s="287"/>
      <c r="AA35" s="287"/>
      <c r="AB35" s="287">
        <f t="shared" ref="AB35:AC35" ca="1" si="55">SUM(AB2:AB33)</f>
        <v>1106</v>
      </c>
      <c r="AC35" s="287">
        <f t="shared" ca="1" si="55"/>
        <v>1106</v>
      </c>
      <c r="AD35" s="287">
        <f ca="1">SUM(AD2:AD33)/2</f>
        <v>1106</v>
      </c>
      <c r="AE35" s="291"/>
      <c r="AF35" s="287"/>
      <c r="AG35" s="287"/>
      <c r="AH35" s="398"/>
    </row>
    <row r="36" spans="1:34" ht="15" customHeight="1">
      <c r="A36" s="287"/>
      <c r="B36" s="294" t="s">
        <v>15</v>
      </c>
      <c r="C36" s="294">
        <f t="shared" ref="C36:E36" si="56">COUNTIF(C2:C33, 10)</f>
        <v>3</v>
      </c>
      <c r="D36" s="294">
        <f t="shared" si="56"/>
        <v>1</v>
      </c>
      <c r="E36" s="294">
        <f t="shared" si="56"/>
        <v>1</v>
      </c>
      <c r="F36" s="294"/>
      <c r="G36" s="294"/>
      <c r="H36" s="299">
        <f>AVERAGE(H2:H17)</f>
        <v>53.5</v>
      </c>
      <c r="I36" s="287" t="s">
        <v>1341</v>
      </c>
      <c r="J36" s="287"/>
      <c r="K36" s="398"/>
      <c r="L36" s="287"/>
      <c r="M36" s="287"/>
      <c r="N36" s="294">
        <f>COUNTIF(N2:N33, 10)</f>
        <v>2</v>
      </c>
      <c r="O36" s="294"/>
      <c r="P36" s="294">
        <f>COUNTIF(P2:P33, 10)</f>
        <v>0</v>
      </c>
      <c r="Q36" s="294"/>
      <c r="R36" s="294">
        <f>COUNTIF(R2:R33, 10)</f>
        <v>0</v>
      </c>
      <c r="S36" s="294"/>
      <c r="T36" s="294">
        <f>COUNTIF(T2:T33, 10)</f>
        <v>0</v>
      </c>
      <c r="U36" s="294"/>
      <c r="V36" s="294">
        <f t="shared" ref="V36:W36" si="57">COUNTIF(V2:V33, 10)</f>
        <v>2</v>
      </c>
      <c r="W36" s="294">
        <f t="shared" si="57"/>
        <v>0</v>
      </c>
      <c r="X36" s="410">
        <f>SUM(C36:E36,O36,Q36,S36,U36)</f>
        <v>5</v>
      </c>
      <c r="Y36" s="287"/>
      <c r="Z36" s="287"/>
      <c r="AA36" s="287"/>
      <c r="AB36" s="287"/>
      <c r="AC36" s="287"/>
      <c r="AD36" s="287"/>
      <c r="AE36" s="296"/>
      <c r="AF36" s="287"/>
      <c r="AG36" s="287"/>
      <c r="AH36" s="398"/>
    </row>
    <row r="37" spans="1:34" ht="15" customHeight="1">
      <c r="A37" s="287"/>
      <c r="B37" s="287"/>
      <c r="C37" s="287"/>
      <c r="D37" s="287"/>
      <c r="E37" s="287"/>
      <c r="F37" s="296"/>
      <c r="G37" s="296"/>
      <c r="H37" s="299"/>
      <c r="I37" s="287"/>
      <c r="J37" s="287"/>
      <c r="K37" s="398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96"/>
      <c r="X37" s="287"/>
      <c r="Y37" s="287"/>
      <c r="Z37" s="287"/>
      <c r="AA37" s="287"/>
      <c r="AB37" s="287"/>
      <c r="AC37" s="287"/>
      <c r="AD37" s="287"/>
      <c r="AE37" s="296"/>
      <c r="AF37" s="287"/>
      <c r="AG37" s="287"/>
      <c r="AH37" s="398"/>
    </row>
  </sheetData>
  <mergeCells count="16"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  <mergeCell ref="L2:L3"/>
    <mergeCell ref="L4:L5"/>
    <mergeCell ref="L6:L7"/>
    <mergeCell ref="L8:L9"/>
    <mergeCell ref="L10:L11"/>
  </mergeCells>
  <conditionalFormatting sqref="F2:F33">
    <cfRule type="cellIs" dxfId="30" priority="1" operator="equal">
      <formula>33</formula>
    </cfRule>
  </conditionalFormatting>
  <hyperlinks>
    <hyperlink ref="A1" location="Champions!A1" display="Home" xr:uid="{00000000-0004-0000-1A00-000000000000}"/>
    <hyperlink ref="AH1" location="Champions!A1" display="Home" xr:uid="{00000000-0004-0000-1A00-000001000000}"/>
    <hyperlink ref="A35" location="Champions!A1" display="Home" xr:uid="{00000000-0004-0000-1A00-000002000000}"/>
    <hyperlink ref="K35" location="Champions!A1" display="Home" xr:uid="{00000000-0004-0000-1A00-000003000000}"/>
  </hyperlink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697</v>
      </c>
      <c r="C2" s="148">
        <v>1</v>
      </c>
      <c r="D2" s="165">
        <v>9</v>
      </c>
      <c r="E2" s="165">
        <v>11</v>
      </c>
      <c r="F2" s="213">
        <f t="shared" ref="F2:F17" si="0">SUM(C2:E2)</f>
        <v>21</v>
      </c>
      <c r="G2" s="213">
        <f>C3+D4+E5</f>
        <v>28</v>
      </c>
      <c r="H2" s="213">
        <f t="shared" ref="H2:H17" si="1">SUM(F2:G2)</f>
        <v>49</v>
      </c>
      <c r="I2" s="214">
        <f t="shared" ref="I2:I17" si="2">IFERROR(F2/H2,"")</f>
        <v>0.42857142857142855</v>
      </c>
      <c r="J2" s="445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499" t="s">
        <v>207</v>
      </c>
      <c r="M2" s="218" t="str">
        <f t="shared" ref="M2:M17" ca="1" si="5">IFERROR(INDEX($A$2:$K$17,MATCH(L2,$K$2:$K$17,0),2),)</f>
        <v>Bond Marrs &amp; Rod Muff</v>
      </c>
      <c r="N2" s="421"/>
      <c r="O2" s="422"/>
      <c r="P2" s="220">
        <v>10</v>
      </c>
      <c r="Q2" s="221">
        <v>11</v>
      </c>
      <c r="R2" s="217"/>
      <c r="S2" s="219"/>
      <c r="T2" s="222"/>
      <c r="U2" s="221"/>
      <c r="V2" s="223">
        <f t="shared" ref="V2:W2" si="6">(N2+P2+R2+T2)</f>
        <v>10</v>
      </c>
      <c r="W2" s="223">
        <f t="shared" si="6"/>
        <v>11</v>
      </c>
      <c r="X2" s="223">
        <f t="shared" ref="X2:X17" si="7">V2+W2</f>
        <v>21</v>
      </c>
      <c r="Y2" s="329"/>
      <c r="Z2" s="329" t="s">
        <v>711</v>
      </c>
      <c r="AA2" s="329" t="str">
        <f t="shared" ref="AA2:AA17" ca="1" si="8">IFERROR(INDEX($A$2:$K$17,MATCH(Z2,$B$2:$B$17,0),11),)</f>
        <v>D3-1</v>
      </c>
      <c r="AB2" s="329">
        <f t="shared" ref="AB2:AB17" ca="1" si="9">IFERROR((INDEX($A$2:$H$17,MATCH($Z2,$B$2:$B$17,0),6))+INDEX($M$2:$X$17,MATCH($Z2,$M$2:$M$17,0),10),INDEX($B$2:$G$17,MATCH($Z2,$B$2:$B$17,0),5))</f>
        <v>66</v>
      </c>
      <c r="AC2" s="329">
        <f t="shared" ref="AC2:AC17" ca="1" si="10">IFERROR((INDEX($A$2:$H$17,MATCH($Z2,$B$2:$B$17,0),7))+INDEX($M$2:$X$17,MATCH($Z2,$M$2:$M$17,0),11),INDEX($B$2:$G$17,MATCH($Z2,$B$2:$B$17,0),6))</f>
        <v>34</v>
      </c>
      <c r="AD2" s="329">
        <f t="shared" ref="AD2:AD17" ca="1" si="11">SUM(AB2:AC2)</f>
        <v>100</v>
      </c>
      <c r="AE2" s="236">
        <f t="shared" ref="AE2:AE17" ca="1" si="12">AB2/AD2</f>
        <v>0.66</v>
      </c>
      <c r="AF2" s="330">
        <f t="shared" ref="AF2:AF17" ca="1" si="13">AE2-(100-AB2)</f>
        <v>-33.340000000000003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698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13</v>
      </c>
      <c r="H3" s="235">
        <f t="shared" si="1"/>
        <v>46</v>
      </c>
      <c r="I3" s="236">
        <f t="shared" si="2"/>
        <v>0.71739130434782605</v>
      </c>
      <c r="J3" s="424">
        <f t="shared" ca="1" si="3"/>
        <v>1</v>
      </c>
      <c r="K3" s="425" t="str">
        <f t="shared" ca="1" si="4"/>
        <v>D1-1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87</v>
      </c>
      <c r="AA3" s="329" t="str">
        <f t="shared" ca="1" si="8"/>
        <v>D3-2</v>
      </c>
      <c r="AB3" s="329">
        <f t="shared" ca="1" si="9"/>
        <v>57</v>
      </c>
      <c r="AC3" s="329">
        <f t="shared" ca="1" si="10"/>
        <v>48</v>
      </c>
      <c r="AD3" s="329">
        <f t="shared" ca="1" si="11"/>
        <v>105</v>
      </c>
      <c r="AE3" s="236">
        <f t="shared" ca="1" si="12"/>
        <v>0.54285714285714282</v>
      </c>
      <c r="AF3" s="341">
        <f t="shared" ca="1" si="13"/>
        <v>-42.457142857142856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701</v>
      </c>
      <c r="C4" s="107">
        <v>8</v>
      </c>
      <c r="D4" s="108">
        <v>11</v>
      </c>
      <c r="E4" s="106">
        <v>6</v>
      </c>
      <c r="F4" s="235">
        <f t="shared" si="0"/>
        <v>25</v>
      </c>
      <c r="G4" s="235">
        <f>C5+D2+E3</f>
        <v>31</v>
      </c>
      <c r="H4" s="235">
        <f t="shared" si="1"/>
        <v>56</v>
      </c>
      <c r="I4" s="236">
        <f t="shared" si="2"/>
        <v>0.44642857142857145</v>
      </c>
      <c r="J4" s="424">
        <f t="shared" ca="1" si="3"/>
        <v>2</v>
      </c>
      <c r="K4" s="425" t="str">
        <f t="shared" ca="1" si="4"/>
        <v>D1-2</v>
      </c>
      <c r="L4" s="499" t="s">
        <v>265</v>
      </c>
      <c r="M4" s="218" t="str">
        <f t="shared" ca="1" si="5"/>
        <v>John Stolte &amp; Roy True</v>
      </c>
      <c r="N4" s="421"/>
      <c r="O4" s="422"/>
      <c r="P4" s="242">
        <v>11</v>
      </c>
      <c r="Q4" s="243">
        <v>10</v>
      </c>
      <c r="R4" s="244">
        <v>10</v>
      </c>
      <c r="S4" s="245">
        <v>11</v>
      </c>
      <c r="T4" s="246"/>
      <c r="U4" s="243"/>
      <c r="V4" s="223">
        <f t="shared" ref="V4:W4" si="16">(N4+P4+R4+T4)</f>
        <v>21</v>
      </c>
      <c r="W4" s="223">
        <f t="shared" si="16"/>
        <v>21</v>
      </c>
      <c r="X4" s="223">
        <f t="shared" si="7"/>
        <v>42</v>
      </c>
      <c r="Y4" s="329"/>
      <c r="Z4" s="329" t="s">
        <v>702</v>
      </c>
      <c r="AA4" s="329" t="str">
        <f t="shared" ca="1" si="8"/>
        <v>D4-2</v>
      </c>
      <c r="AB4" s="329">
        <f t="shared" ca="1" si="9"/>
        <v>49</v>
      </c>
      <c r="AC4" s="329">
        <f t="shared" ca="1" si="10"/>
        <v>45</v>
      </c>
      <c r="AD4" s="329">
        <f t="shared" ca="1" si="11"/>
        <v>94</v>
      </c>
      <c r="AE4" s="236">
        <f t="shared" ca="1" si="12"/>
        <v>0.52127659574468088</v>
      </c>
      <c r="AF4" s="333">
        <f t="shared" ca="1" si="13"/>
        <v>-50.478723404255319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703</v>
      </c>
      <c r="C5" s="109">
        <v>11</v>
      </c>
      <c r="D5" s="110">
        <v>6</v>
      </c>
      <c r="E5" s="111">
        <v>6</v>
      </c>
      <c r="F5" s="252">
        <f t="shared" si="0"/>
        <v>23</v>
      </c>
      <c r="G5" s="252">
        <f>C4+D3+E2</f>
        <v>30</v>
      </c>
      <c r="H5" s="252">
        <f t="shared" si="1"/>
        <v>53</v>
      </c>
      <c r="I5" s="253">
        <f t="shared" si="2"/>
        <v>0.43396226415094341</v>
      </c>
      <c r="J5" s="429">
        <f t="shared" ca="1" si="3"/>
        <v>3</v>
      </c>
      <c r="K5" s="430" t="str">
        <f t="shared" ca="1" si="4"/>
        <v>D1-3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698</v>
      </c>
      <c r="AA5" s="337" t="str">
        <f t="shared" ca="1" si="8"/>
        <v>D1-1</v>
      </c>
      <c r="AB5" s="337">
        <f t="shared" ca="1" si="9"/>
        <v>43</v>
      </c>
      <c r="AC5" s="337">
        <f t="shared" ca="1" si="10"/>
        <v>24</v>
      </c>
      <c r="AD5" s="337">
        <f t="shared" ca="1" si="11"/>
        <v>67</v>
      </c>
      <c r="AE5" s="253">
        <f t="shared" ca="1" si="12"/>
        <v>0.64179104477611937</v>
      </c>
      <c r="AF5" s="338">
        <f t="shared" ca="1" si="13"/>
        <v>-56.35820895522388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704</v>
      </c>
      <c r="C6" s="148">
        <v>11</v>
      </c>
      <c r="D6" s="165">
        <v>7</v>
      </c>
      <c r="E6" s="165">
        <v>5</v>
      </c>
      <c r="F6" s="213">
        <f t="shared" si="0"/>
        <v>23</v>
      </c>
      <c r="G6" s="213">
        <f>C7+D8+E9</f>
        <v>29</v>
      </c>
      <c r="H6" s="213">
        <f t="shared" si="1"/>
        <v>52</v>
      </c>
      <c r="I6" s="214">
        <f t="shared" si="2"/>
        <v>0.44230769230769229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shared" ca="1" si="5"/>
        <v>Kevin O'Farrell &amp; Dave Lapin</v>
      </c>
      <c r="N6" s="421"/>
      <c r="O6" s="422"/>
      <c r="P6" s="220">
        <v>5</v>
      </c>
      <c r="Q6" s="221">
        <v>11</v>
      </c>
      <c r="R6" s="244"/>
      <c r="S6" s="245"/>
      <c r="T6" s="246"/>
      <c r="U6" s="243"/>
      <c r="V6" s="223">
        <f t="shared" ref="V6:W6" si="19">(N6+P6+R6+T6)</f>
        <v>5</v>
      </c>
      <c r="W6" s="223">
        <f t="shared" si="19"/>
        <v>11</v>
      </c>
      <c r="X6" s="223">
        <f t="shared" si="7"/>
        <v>16</v>
      </c>
      <c r="Y6" s="340"/>
      <c r="Z6" s="340" t="s">
        <v>701</v>
      </c>
      <c r="AA6" s="340" t="str">
        <f t="shared" ca="1" si="8"/>
        <v>D1-2</v>
      </c>
      <c r="AB6" s="340">
        <f t="shared" ca="1" si="9"/>
        <v>41</v>
      </c>
      <c r="AC6" s="340">
        <f t="shared" ca="1" si="10"/>
        <v>49</v>
      </c>
      <c r="AD6" s="340">
        <f t="shared" ca="1" si="11"/>
        <v>90</v>
      </c>
      <c r="AE6" s="214">
        <f t="shared" ca="1" si="12"/>
        <v>0.45555555555555555</v>
      </c>
      <c r="AF6" s="341">
        <f t="shared" ca="1" si="13"/>
        <v>-58.544444444444444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1382</v>
      </c>
      <c r="C7" s="105">
        <v>7</v>
      </c>
      <c r="D7" s="106">
        <v>6</v>
      </c>
      <c r="E7" s="106">
        <v>8</v>
      </c>
      <c r="F7" s="235">
        <f t="shared" si="0"/>
        <v>21</v>
      </c>
      <c r="G7" s="235">
        <f>C6+D9+E8</f>
        <v>33</v>
      </c>
      <c r="H7" s="235">
        <f t="shared" si="1"/>
        <v>54</v>
      </c>
      <c r="I7" s="236">
        <f t="shared" si="2"/>
        <v>0.3888888888888889</v>
      </c>
      <c r="J7" s="424">
        <f t="shared" ca="1" si="18"/>
        <v>4</v>
      </c>
      <c r="K7" s="425" t="str">
        <f t="shared" ca="1" si="4"/>
        <v>D2-4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718</v>
      </c>
      <c r="AA7" s="329" t="str">
        <f t="shared" ca="1" si="8"/>
        <v>D4-1</v>
      </c>
      <c r="AB7" s="329">
        <f t="shared" ca="1" si="9"/>
        <v>40</v>
      </c>
      <c r="AC7" s="329">
        <f t="shared" ca="1" si="10"/>
        <v>28</v>
      </c>
      <c r="AD7" s="329">
        <f t="shared" ca="1" si="11"/>
        <v>68</v>
      </c>
      <c r="AE7" s="360">
        <f t="shared" ca="1" si="12"/>
        <v>0.58823529411764708</v>
      </c>
      <c r="AF7" s="341">
        <f t="shared" ca="1" si="13"/>
        <v>-59.411764705882355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705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23</v>
      </c>
      <c r="H8" s="235">
        <f t="shared" si="1"/>
        <v>56</v>
      </c>
      <c r="I8" s="236">
        <f t="shared" si="2"/>
        <v>0.5892857142857143</v>
      </c>
      <c r="J8" s="424">
        <f t="shared" ca="1" si="18"/>
        <v>1</v>
      </c>
      <c r="K8" s="425" t="str">
        <f t="shared" ca="1" si="4"/>
        <v>D2-1</v>
      </c>
      <c r="L8" s="499" t="s">
        <v>253</v>
      </c>
      <c r="M8" s="218" t="str">
        <f t="shared" ca="1" si="5"/>
        <v>Justin Hoffman &amp; Greg Roith</v>
      </c>
      <c r="N8" s="421"/>
      <c r="O8" s="422"/>
      <c r="P8" s="242">
        <v>11</v>
      </c>
      <c r="Q8" s="243">
        <v>5</v>
      </c>
      <c r="R8" s="244">
        <v>11</v>
      </c>
      <c r="S8" s="245">
        <v>10</v>
      </c>
      <c r="T8" s="246">
        <v>8</v>
      </c>
      <c r="U8" s="243">
        <v>11</v>
      </c>
      <c r="V8" s="223">
        <f t="shared" ref="V8:W8" si="21">(N8+P8+R8+T8)</f>
        <v>30</v>
      </c>
      <c r="W8" s="223">
        <f t="shared" si="21"/>
        <v>26</v>
      </c>
      <c r="X8" s="223">
        <f t="shared" si="7"/>
        <v>56</v>
      </c>
      <c r="Y8" s="329"/>
      <c r="Z8" s="329" t="s">
        <v>714</v>
      </c>
      <c r="AA8" s="329" t="str">
        <f t="shared" ca="1" si="8"/>
        <v>D2-2</v>
      </c>
      <c r="AB8" s="329">
        <f t="shared" ca="1" si="9"/>
        <v>39</v>
      </c>
      <c r="AC8" s="329">
        <f t="shared" ca="1" si="10"/>
        <v>33</v>
      </c>
      <c r="AD8" s="329">
        <f t="shared" ca="1" si="11"/>
        <v>72</v>
      </c>
      <c r="AE8" s="236">
        <f t="shared" ca="1" si="12"/>
        <v>0.54166666666666663</v>
      </c>
      <c r="AF8" s="333">
        <f t="shared" ca="1" si="13"/>
        <v>-60.458333333333336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714</v>
      </c>
      <c r="C9" s="109">
        <v>8</v>
      </c>
      <c r="D9" s="110">
        <v>11</v>
      </c>
      <c r="E9" s="111">
        <v>11</v>
      </c>
      <c r="F9" s="252">
        <f t="shared" si="0"/>
        <v>30</v>
      </c>
      <c r="G9" s="252">
        <f>C8+D7+E6</f>
        <v>22</v>
      </c>
      <c r="H9" s="252">
        <f t="shared" si="1"/>
        <v>52</v>
      </c>
      <c r="I9" s="253">
        <f t="shared" si="2"/>
        <v>0.57692307692307687</v>
      </c>
      <c r="J9" s="429">
        <f t="shared" ca="1" si="18"/>
        <v>2</v>
      </c>
      <c r="K9" s="430" t="str">
        <f t="shared" ca="1" si="4"/>
        <v>D2-2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705</v>
      </c>
      <c r="AA9" s="337" t="str">
        <f t="shared" ca="1" si="8"/>
        <v>D2-1</v>
      </c>
      <c r="AB9" s="337">
        <f t="shared" ca="1" si="9"/>
        <v>38</v>
      </c>
      <c r="AC9" s="337">
        <f t="shared" ca="1" si="10"/>
        <v>34</v>
      </c>
      <c r="AD9" s="337">
        <f t="shared" ca="1" si="11"/>
        <v>72</v>
      </c>
      <c r="AE9" s="253">
        <f t="shared" ca="1" si="12"/>
        <v>0.52777777777777779</v>
      </c>
      <c r="AF9" s="338">
        <f t="shared" ca="1" si="13"/>
        <v>-61.472222222222221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710</v>
      </c>
      <c r="C10" s="148">
        <v>11</v>
      </c>
      <c r="D10" s="165">
        <v>9</v>
      </c>
      <c r="E10" s="165">
        <v>5</v>
      </c>
      <c r="F10" s="213">
        <f t="shared" si="0"/>
        <v>25</v>
      </c>
      <c r="G10" s="213">
        <f>C11+D12+E13</f>
        <v>29</v>
      </c>
      <c r="H10" s="213">
        <f t="shared" si="1"/>
        <v>54</v>
      </c>
      <c r="I10" s="214">
        <f t="shared" si="2"/>
        <v>0.46296296296296297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499" t="s">
        <v>243</v>
      </c>
      <c r="M10" s="218" t="str">
        <f t="shared" ca="1" si="5"/>
        <v>Mike Klender &amp; Joe Zucht</v>
      </c>
      <c r="N10" s="421"/>
      <c r="O10" s="422"/>
      <c r="P10" s="220">
        <v>11</v>
      </c>
      <c r="Q10" s="221">
        <v>9</v>
      </c>
      <c r="R10" s="217">
        <v>11</v>
      </c>
      <c r="S10" s="219">
        <v>5</v>
      </c>
      <c r="T10" s="246">
        <v>11</v>
      </c>
      <c r="U10" s="243">
        <v>8</v>
      </c>
      <c r="V10" s="223">
        <f t="shared" ref="V10:W10" si="24">(N10+P10+R10+T10)</f>
        <v>33</v>
      </c>
      <c r="W10" s="223">
        <f t="shared" si="24"/>
        <v>22</v>
      </c>
      <c r="X10" s="223">
        <f t="shared" si="7"/>
        <v>55</v>
      </c>
      <c r="Y10" s="329"/>
      <c r="Z10" s="329" t="s">
        <v>1383</v>
      </c>
      <c r="AA10" s="329" t="str">
        <f t="shared" ca="1" si="8"/>
        <v>D4-3</v>
      </c>
      <c r="AB10" s="329">
        <f t="shared" ca="1" si="9"/>
        <v>26</v>
      </c>
      <c r="AC10" s="329">
        <f t="shared" ca="1" si="10"/>
        <v>30</v>
      </c>
      <c r="AD10" s="329">
        <f t="shared" ca="1" si="11"/>
        <v>56</v>
      </c>
      <c r="AE10" s="236">
        <f t="shared" ca="1" si="12"/>
        <v>0.4642857142857143</v>
      </c>
      <c r="AF10" s="341">
        <f t="shared" ca="1" si="13"/>
        <v>-73.535714285714292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712</v>
      </c>
      <c r="C11" s="105">
        <v>7</v>
      </c>
      <c r="D11" s="106">
        <v>2</v>
      </c>
      <c r="E11" s="106">
        <v>2</v>
      </c>
      <c r="F11" s="235">
        <f t="shared" si="0"/>
        <v>11</v>
      </c>
      <c r="G11" s="235">
        <f>C10+D13+E12</f>
        <v>33</v>
      </c>
      <c r="H11" s="235">
        <f t="shared" si="1"/>
        <v>44</v>
      </c>
      <c r="I11" s="236">
        <f t="shared" si="2"/>
        <v>0.25</v>
      </c>
      <c r="J11" s="424">
        <f t="shared" ca="1" si="23"/>
        <v>4</v>
      </c>
      <c r="K11" s="425" t="str">
        <f t="shared" ca="1" si="4"/>
        <v>D3-4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710</v>
      </c>
      <c r="AA11" s="329" t="str">
        <f t="shared" ca="1" si="8"/>
        <v>D3-3</v>
      </c>
      <c r="AB11" s="329">
        <f t="shared" ca="1" si="9"/>
        <v>25</v>
      </c>
      <c r="AC11" s="329">
        <f t="shared" ca="1" si="10"/>
        <v>29</v>
      </c>
      <c r="AD11" s="329">
        <f t="shared" ca="1" si="11"/>
        <v>54</v>
      </c>
      <c r="AE11" s="236">
        <f t="shared" ca="1" si="12"/>
        <v>0.46296296296296297</v>
      </c>
      <c r="AF11" s="341">
        <f t="shared" ca="1" si="13"/>
        <v>-74.537037037037038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87</v>
      </c>
      <c r="C12" s="107">
        <v>5</v>
      </c>
      <c r="D12" s="108">
        <v>11</v>
      </c>
      <c r="E12" s="106">
        <v>11</v>
      </c>
      <c r="F12" s="235">
        <f t="shared" si="0"/>
        <v>27</v>
      </c>
      <c r="G12" s="235">
        <f>C13+D10+E11</f>
        <v>22</v>
      </c>
      <c r="H12" s="235">
        <f t="shared" si="1"/>
        <v>49</v>
      </c>
      <c r="I12" s="236">
        <f t="shared" si="2"/>
        <v>0.55102040816326525</v>
      </c>
      <c r="J12" s="424">
        <f t="shared" ca="1" si="23"/>
        <v>2</v>
      </c>
      <c r="K12" s="425" t="str">
        <f t="shared" ca="1" si="4"/>
        <v>D3-2</v>
      </c>
      <c r="L12" s="499" t="s">
        <v>230</v>
      </c>
      <c r="M12" s="218" t="str">
        <f t="shared" ca="1" si="5"/>
        <v>Danny Ng &amp; Miguel Cartegena</v>
      </c>
      <c r="N12" s="421"/>
      <c r="O12" s="422"/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9</v>
      </c>
      <c r="W12" s="223">
        <f t="shared" si="26"/>
        <v>11</v>
      </c>
      <c r="X12" s="223">
        <f t="shared" si="7"/>
        <v>20</v>
      </c>
      <c r="Y12" s="329"/>
      <c r="Z12" s="329" t="s">
        <v>704</v>
      </c>
      <c r="AA12" s="329" t="str">
        <f t="shared" ca="1" si="8"/>
        <v>D2-3</v>
      </c>
      <c r="AB12" s="329">
        <f t="shared" ca="1" si="9"/>
        <v>23</v>
      </c>
      <c r="AC12" s="329">
        <f t="shared" ca="1" si="10"/>
        <v>29</v>
      </c>
      <c r="AD12" s="329">
        <f t="shared" ca="1" si="11"/>
        <v>52</v>
      </c>
      <c r="AE12" s="236">
        <f t="shared" ca="1" si="12"/>
        <v>0.44230769230769229</v>
      </c>
      <c r="AF12" s="375">
        <f t="shared" ca="1" si="13"/>
        <v>-76.557692307692307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711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12</v>
      </c>
      <c r="H13" s="252">
        <f t="shared" si="1"/>
        <v>45</v>
      </c>
      <c r="I13" s="253">
        <f t="shared" si="2"/>
        <v>0.73333333333333328</v>
      </c>
      <c r="J13" s="429">
        <f t="shared" ca="1" si="23"/>
        <v>1</v>
      </c>
      <c r="K13" s="430" t="str">
        <f t="shared" ca="1" si="4"/>
        <v>D3-1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703</v>
      </c>
      <c r="AA13" s="337" t="str">
        <f t="shared" ca="1" si="8"/>
        <v>D1-3</v>
      </c>
      <c r="AB13" s="337">
        <f t="shared" ca="1" si="9"/>
        <v>23</v>
      </c>
      <c r="AC13" s="337">
        <f t="shared" ca="1" si="10"/>
        <v>30</v>
      </c>
      <c r="AD13" s="337">
        <f t="shared" ca="1" si="11"/>
        <v>53</v>
      </c>
      <c r="AE13" s="253">
        <f t="shared" ca="1" si="12"/>
        <v>0.43396226415094341</v>
      </c>
      <c r="AF13" s="345">
        <f t="shared" ca="1" si="13"/>
        <v>-76.566037735849051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717</v>
      </c>
      <c r="C14" s="148">
        <v>3</v>
      </c>
      <c r="D14" s="165">
        <v>6</v>
      </c>
      <c r="E14" s="165">
        <v>8</v>
      </c>
      <c r="F14" s="213">
        <f t="shared" si="0"/>
        <v>17</v>
      </c>
      <c r="G14" s="213">
        <f>C15+D16+E17</f>
        <v>33</v>
      </c>
      <c r="H14" s="213">
        <f t="shared" si="1"/>
        <v>50</v>
      </c>
      <c r="I14" s="214">
        <f t="shared" si="2"/>
        <v>0.34</v>
      </c>
      <c r="J14" s="424">
        <f t="shared" ref="J14:J17" ca="1" si="28">IFERROR(RANK(F14,OFFSET($F$14,0,0,COUNTA($F$14:$F$17),1)),)</f>
        <v>4</v>
      </c>
      <c r="K14" s="419" t="str">
        <f t="shared" ca="1" si="4"/>
        <v>D4-4</v>
      </c>
      <c r="L14" s="499" t="s">
        <v>263</v>
      </c>
      <c r="M14" s="218" t="str">
        <f t="shared" ca="1" si="5"/>
        <v>Robert Reed &amp; John Nestor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7"/>
        <v>18</v>
      </c>
      <c r="Y14" s="329"/>
      <c r="Z14" s="329" t="s">
        <v>697</v>
      </c>
      <c r="AA14" s="329" t="str">
        <f t="shared" ca="1" si="8"/>
        <v>D1-4</v>
      </c>
      <c r="AB14" s="329">
        <f t="shared" ca="1" si="9"/>
        <v>21</v>
      </c>
      <c r="AC14" s="329">
        <f t="shared" ca="1" si="10"/>
        <v>28</v>
      </c>
      <c r="AD14" s="329">
        <f t="shared" ca="1" si="11"/>
        <v>49</v>
      </c>
      <c r="AE14" s="236">
        <f t="shared" ca="1" si="12"/>
        <v>0.42857142857142855</v>
      </c>
      <c r="AF14" s="343">
        <f t="shared" ca="1" si="13"/>
        <v>-78.571428571428569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702</v>
      </c>
      <c r="C15" s="105">
        <v>11</v>
      </c>
      <c r="D15" s="106">
        <v>11</v>
      </c>
      <c r="E15" s="106">
        <v>6</v>
      </c>
      <c r="F15" s="235">
        <f t="shared" si="0"/>
        <v>28</v>
      </c>
      <c r="G15" s="235">
        <f>C14+D17+E16</f>
        <v>24</v>
      </c>
      <c r="H15" s="235">
        <f t="shared" si="1"/>
        <v>52</v>
      </c>
      <c r="I15" s="236">
        <f t="shared" si="2"/>
        <v>0.53846153846153844</v>
      </c>
      <c r="J15" s="424">
        <f t="shared" ca="1" si="28"/>
        <v>2</v>
      </c>
      <c r="K15" s="425" t="str">
        <f t="shared" ca="1" si="4"/>
        <v>D4-2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1382</v>
      </c>
      <c r="AA15" s="329" t="str">
        <f t="shared" ca="1" si="8"/>
        <v>D2-4</v>
      </c>
      <c r="AB15" s="329">
        <f t="shared" ca="1" si="9"/>
        <v>21</v>
      </c>
      <c r="AC15" s="329">
        <f t="shared" ca="1" si="10"/>
        <v>33</v>
      </c>
      <c r="AD15" s="329">
        <f t="shared" ca="1" si="11"/>
        <v>54</v>
      </c>
      <c r="AE15" s="236">
        <f t="shared" ca="1" si="12"/>
        <v>0.3888888888888889</v>
      </c>
      <c r="AF15" s="333">
        <f t="shared" ca="1" si="13"/>
        <v>-78.611111111111114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718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17</v>
      </c>
      <c r="H16" s="235">
        <f t="shared" si="1"/>
        <v>50</v>
      </c>
      <c r="I16" s="236">
        <f t="shared" si="2"/>
        <v>0.66</v>
      </c>
      <c r="J16" s="424">
        <f t="shared" ca="1" si="28"/>
        <v>1</v>
      </c>
      <c r="K16" s="425" t="str">
        <f t="shared" ca="1" si="4"/>
        <v>D4-1</v>
      </c>
      <c r="L16" s="499" t="s">
        <v>218</v>
      </c>
      <c r="M16" s="437" t="str">
        <f t="shared" ca="1" si="5"/>
        <v>Marlin Carlson &amp; Robert Madison</v>
      </c>
      <c r="N16" s="421"/>
      <c r="O16" s="422"/>
      <c r="P16" s="242">
        <v>11</v>
      </c>
      <c r="Q16" s="243">
        <v>7</v>
      </c>
      <c r="R16" s="244">
        <v>5</v>
      </c>
      <c r="S16" s="245">
        <v>11</v>
      </c>
      <c r="T16" s="246"/>
      <c r="U16" s="243"/>
      <c r="V16" s="223">
        <f t="shared" ref="V16:W16" si="31">(N16+P16+R16+T16)</f>
        <v>16</v>
      </c>
      <c r="W16" s="223">
        <f t="shared" si="31"/>
        <v>18</v>
      </c>
      <c r="X16" s="223">
        <f t="shared" si="7"/>
        <v>34</v>
      </c>
      <c r="Y16" s="329"/>
      <c r="Z16" s="329" t="s">
        <v>717</v>
      </c>
      <c r="AA16" s="329" t="str">
        <f t="shared" ca="1" si="8"/>
        <v>D4-4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236">
        <f t="shared" ca="1" si="12"/>
        <v>0.34</v>
      </c>
      <c r="AF16" s="341">
        <f t="shared" ca="1" si="13"/>
        <v>-82.66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1383</v>
      </c>
      <c r="C17" s="109">
        <v>5</v>
      </c>
      <c r="D17" s="110">
        <v>10</v>
      </c>
      <c r="E17" s="111">
        <v>11</v>
      </c>
      <c r="F17" s="252">
        <f t="shared" si="0"/>
        <v>26</v>
      </c>
      <c r="G17" s="252">
        <f>C16+D15+E14</f>
        <v>30</v>
      </c>
      <c r="H17" s="252">
        <f t="shared" si="1"/>
        <v>56</v>
      </c>
      <c r="I17" s="253">
        <f t="shared" si="2"/>
        <v>0.4642857142857143</v>
      </c>
      <c r="J17" s="429">
        <f t="shared" ca="1" si="28"/>
        <v>3</v>
      </c>
      <c r="K17" s="430" t="str">
        <f t="shared" ca="1" si="4"/>
        <v>D4-3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712</v>
      </c>
      <c r="AA17" s="337" t="str">
        <f t="shared" ca="1" si="8"/>
        <v>D3-4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132</v>
      </c>
      <c r="D19" s="289">
        <f t="shared" si="33"/>
        <v>143</v>
      </c>
      <c r="E19" s="289">
        <f>SUM(E2:E18)</f>
        <v>134</v>
      </c>
      <c r="F19" s="290">
        <f t="shared" ref="F19:G19" si="34">SUM(F2:F17)</f>
        <v>409</v>
      </c>
      <c r="G19" s="290">
        <f t="shared" si="34"/>
        <v>409</v>
      </c>
      <c r="H19" s="292">
        <f>SUM(H2:H17)/2</f>
        <v>409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75</v>
      </c>
      <c r="Q19" s="287">
        <f t="shared" si="35"/>
        <v>75</v>
      </c>
      <c r="R19" s="287">
        <f t="shared" si="35"/>
        <v>37</v>
      </c>
      <c r="S19" s="287">
        <f t="shared" si="35"/>
        <v>37</v>
      </c>
      <c r="T19" s="287">
        <f t="shared" si="35"/>
        <v>19</v>
      </c>
      <c r="U19" s="287">
        <f t="shared" si="35"/>
        <v>19</v>
      </c>
      <c r="V19" s="287">
        <f t="shared" si="35"/>
        <v>131</v>
      </c>
      <c r="W19" s="287">
        <f t="shared" si="35"/>
        <v>131</v>
      </c>
      <c r="X19" s="287">
        <f>SUM(X2:X17)/2</f>
        <v>131</v>
      </c>
      <c r="Y19" s="287"/>
      <c r="Z19" s="287"/>
      <c r="AA19" s="287"/>
      <c r="AB19" s="287">
        <f t="shared" ref="AB19:AD19" ca="1" si="36">SUM(AB2:AB17)/2</f>
        <v>270</v>
      </c>
      <c r="AC19" s="287">
        <f t="shared" ca="1" si="36"/>
        <v>270</v>
      </c>
      <c r="AD19" s="287">
        <f t="shared" ca="1" si="36"/>
        <v>540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1</v>
      </c>
      <c r="E20" s="294">
        <f t="shared" si="37"/>
        <v>0</v>
      </c>
      <c r="F20" s="296"/>
      <c r="G20" s="296"/>
      <c r="H20" s="297">
        <f>AVERAGE(H2:H17)</f>
        <v>51.125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67.5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9" priority="4" operator="equal">
      <formula>33</formula>
    </cfRule>
  </conditionalFormatting>
  <conditionalFormatting sqref="M2:U17">
    <cfRule type="expression" dxfId="28" priority="1">
      <formula>$T2&gt;U2</formula>
    </cfRule>
  </conditionalFormatting>
  <conditionalFormatting sqref="P2:Q17">
    <cfRule type="expression" dxfId="27" priority="2">
      <formula>$P2=11</formula>
    </cfRule>
  </conditionalFormatting>
  <conditionalFormatting sqref="R2:S17">
    <cfRule type="expression" dxfId="26" priority="3">
      <formula>$R2=11</formula>
    </cfRule>
  </conditionalFormatting>
  <hyperlinks>
    <hyperlink ref="A1" location="Champions!A1" display="Home" xr:uid="{00000000-0004-0000-1B00-000000000000}"/>
    <hyperlink ref="AH1" location="Champions!A1" display="Home" xr:uid="{00000000-0004-0000-1B00-000001000000}"/>
    <hyperlink ref="A19" location="Champions!A1" display="Home" xr:uid="{00000000-0004-0000-1B00-000002000000}"/>
    <hyperlink ref="K19" location="Champions!A1" display="Home" xr:uid="{00000000-0004-0000-1B00-000003000000}"/>
  </hyperlink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84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6</v>
      </c>
      <c r="H2" s="213">
        <f t="shared" ref="H2:H17" si="1">SUM(F2:G2)</f>
        <v>39</v>
      </c>
      <c r="I2" s="214">
        <f t="shared" ref="I2:I17" si="2">IFERROR(F2/H2,"")</f>
        <v>0.84615384615384615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499" t="s">
        <v>207</v>
      </c>
      <c r="M2" s="218" t="str">
        <f t="shared" ref="M2:M17" ca="1" si="5">IFERROR(INDEX($A$2:$K$17,MATCH(L2,$K$2:$K$17,0),2),)</f>
        <v>Ryan Carpenter &amp; Carrie Lapin</v>
      </c>
      <c r="N2" s="421"/>
      <c r="O2" s="422"/>
      <c r="P2" s="220">
        <v>11</v>
      </c>
      <c r="Q2" s="221">
        <v>3</v>
      </c>
      <c r="R2" s="217">
        <v>11</v>
      </c>
      <c r="S2" s="219">
        <v>4</v>
      </c>
      <c r="T2" s="222">
        <v>10</v>
      </c>
      <c r="U2" s="221">
        <v>16</v>
      </c>
      <c r="V2" s="223">
        <f t="shared" ref="V2:W2" si="6">(N2+P2+R2+T2)</f>
        <v>32</v>
      </c>
      <c r="W2" s="223">
        <f t="shared" si="6"/>
        <v>23</v>
      </c>
      <c r="X2" s="223">
        <f t="shared" ref="X2:X17" si="7">V2+W2</f>
        <v>55</v>
      </c>
      <c r="Y2" s="329"/>
      <c r="Z2" s="329" t="s">
        <v>83</v>
      </c>
      <c r="AA2" s="329" t="str">
        <f t="shared" ref="AA2:AA17" ca="1" si="8">IFERROR(INDEX($A$2:$K$17,MATCH(Z2,$B$2:$B$17,0),11),)</f>
        <v>D4-1</v>
      </c>
      <c r="AB2" s="329">
        <f t="shared" ref="AB2:AB17" ca="1" si="9">IFERROR((INDEX($A$2:$H$17,MATCH($Z2,$B$2:$B$17,0),6))+INDEX($M$2:$X$17,MATCH($Z2,$M$2:$M$17,0),10),INDEX($B$2:$G$17,MATCH($Z2,$B$2:$B$17,0),5))</f>
        <v>71</v>
      </c>
      <c r="AC2" s="329">
        <f t="shared" ref="AC2:AC17" ca="1" si="10">IFERROR((INDEX($A$2:$H$17,MATCH($Z2,$B$2:$B$17,0),7))+INDEX($M$2:$X$17,MATCH($Z2,$M$2:$M$17,0),11),INDEX($B$2:$G$17,MATCH($Z2,$B$2:$B$17,0),6))</f>
        <v>35</v>
      </c>
      <c r="AD2" s="329">
        <f t="shared" ref="AD2:AD17" ca="1" si="11">SUM(AB2:AC2)</f>
        <v>106</v>
      </c>
      <c r="AE2" s="236">
        <f t="shared" ref="AE2:AE17" ca="1" si="12">AB2/AD2</f>
        <v>0.66981132075471694</v>
      </c>
      <c r="AF2" s="330">
        <f t="shared" ref="AF2:AF17" ca="1" si="13">AE2-(100-AB2)</f>
        <v>-28.330188679245282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678</v>
      </c>
      <c r="C3" s="105">
        <v>3</v>
      </c>
      <c r="D3" s="106">
        <v>11</v>
      </c>
      <c r="E3" s="106">
        <v>11</v>
      </c>
      <c r="F3" s="235">
        <f t="shared" si="0"/>
        <v>25</v>
      </c>
      <c r="G3" s="235">
        <f>C2+D5+E4</f>
        <v>23</v>
      </c>
      <c r="H3" s="235">
        <f t="shared" si="1"/>
        <v>48</v>
      </c>
      <c r="I3" s="236">
        <f t="shared" si="2"/>
        <v>0.52083333333333337</v>
      </c>
      <c r="J3" s="424">
        <f t="shared" ca="1" si="3"/>
        <v>2</v>
      </c>
      <c r="K3" s="425" t="str">
        <f t="shared" ca="1" si="4"/>
        <v>D1-2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84</v>
      </c>
      <c r="AA3" s="329" t="str">
        <f t="shared" ca="1" si="8"/>
        <v>D1-1</v>
      </c>
      <c r="AB3" s="329">
        <f t="shared" ca="1" si="9"/>
        <v>65</v>
      </c>
      <c r="AC3" s="329">
        <f t="shared" ca="1" si="10"/>
        <v>29</v>
      </c>
      <c r="AD3" s="329">
        <f t="shared" ca="1" si="11"/>
        <v>94</v>
      </c>
      <c r="AE3" s="236">
        <f t="shared" ca="1" si="12"/>
        <v>0.69148936170212771</v>
      </c>
      <c r="AF3" s="341">
        <f t="shared" ca="1" si="13"/>
        <v>-34.308510638297875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679</v>
      </c>
      <c r="C4" s="107">
        <v>11</v>
      </c>
      <c r="D4" s="108">
        <v>3</v>
      </c>
      <c r="E4" s="106">
        <v>10</v>
      </c>
      <c r="F4" s="235">
        <f t="shared" si="0"/>
        <v>24</v>
      </c>
      <c r="G4" s="235">
        <f>C5+D2+E3</f>
        <v>31</v>
      </c>
      <c r="H4" s="235">
        <f t="shared" si="1"/>
        <v>55</v>
      </c>
      <c r="I4" s="236">
        <f t="shared" si="2"/>
        <v>0.43636363636363634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Danny Ng &amp; Carol Reyes</v>
      </c>
      <c r="N4" s="421"/>
      <c r="O4" s="422"/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3</v>
      </c>
      <c r="W4" s="223">
        <f t="shared" si="16"/>
        <v>11</v>
      </c>
      <c r="X4" s="223">
        <f t="shared" si="7"/>
        <v>14</v>
      </c>
      <c r="Y4" s="329"/>
      <c r="Z4" s="329" t="s">
        <v>693</v>
      </c>
      <c r="AA4" s="329" t="str">
        <f t="shared" ca="1" si="8"/>
        <v>D2-2</v>
      </c>
      <c r="AB4" s="329">
        <f t="shared" ca="1" si="9"/>
        <v>44</v>
      </c>
      <c r="AC4" s="329">
        <f t="shared" ca="1" si="10"/>
        <v>42</v>
      </c>
      <c r="AD4" s="329">
        <f t="shared" ca="1" si="11"/>
        <v>86</v>
      </c>
      <c r="AE4" s="236">
        <f t="shared" ca="1" si="12"/>
        <v>0.51162790697674421</v>
      </c>
      <c r="AF4" s="333">
        <f t="shared" ca="1" si="13"/>
        <v>-55.488372093023258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682</v>
      </c>
      <c r="C5" s="109">
        <v>9</v>
      </c>
      <c r="D5" s="110">
        <v>2</v>
      </c>
      <c r="E5" s="111">
        <v>0</v>
      </c>
      <c r="F5" s="252">
        <f t="shared" si="0"/>
        <v>11</v>
      </c>
      <c r="G5" s="252">
        <f>C4+D3+E2</f>
        <v>33</v>
      </c>
      <c r="H5" s="252">
        <f t="shared" si="1"/>
        <v>44</v>
      </c>
      <c r="I5" s="253">
        <f t="shared" si="2"/>
        <v>0.25</v>
      </c>
      <c r="J5" s="429">
        <f t="shared" ca="1" si="3"/>
        <v>4</v>
      </c>
      <c r="K5" s="430" t="str">
        <f t="shared" ca="1" si="4"/>
        <v>D1-4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686</v>
      </c>
      <c r="AA5" s="337" t="str">
        <f t="shared" si="8"/>
        <v>D3-2</v>
      </c>
      <c r="AB5" s="337">
        <f t="shared" ca="1" si="9"/>
        <v>43</v>
      </c>
      <c r="AC5" s="337">
        <f t="shared" ca="1" si="10"/>
        <v>45</v>
      </c>
      <c r="AD5" s="337">
        <f t="shared" ca="1" si="11"/>
        <v>88</v>
      </c>
      <c r="AE5" s="253">
        <f t="shared" ca="1" si="12"/>
        <v>0.48863636363636365</v>
      </c>
      <c r="AF5" s="338">
        <f t="shared" ca="1" si="13"/>
        <v>-56.511363636363633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683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18</v>
      </c>
      <c r="H6" s="213">
        <f t="shared" si="1"/>
        <v>51</v>
      </c>
      <c r="I6" s="214">
        <f t="shared" si="2"/>
        <v>0.6470588235294118</v>
      </c>
      <c r="J6" s="445">
        <f t="shared" ref="J6:J9" ca="1" si="18">IFERROR(RANK(F6,OFFSET($F$6,0,0,COUNTA($F$6:$F$9),1)),)</f>
        <v>1</v>
      </c>
      <c r="K6" s="419" t="str">
        <f t="shared" ca="1" si="4"/>
        <v>D2-1</v>
      </c>
      <c r="L6" s="499" t="s">
        <v>225</v>
      </c>
      <c r="M6" s="218" t="str">
        <f t="shared" ca="1" si="5"/>
        <v>Tom Spenceri &amp; Jenny Carpenter</v>
      </c>
      <c r="N6" s="421"/>
      <c r="O6" s="422"/>
      <c r="P6" s="220">
        <v>6</v>
      </c>
      <c r="Q6" s="221">
        <v>11</v>
      </c>
      <c r="R6" s="244"/>
      <c r="S6" s="245"/>
      <c r="T6" s="246"/>
      <c r="U6" s="243"/>
      <c r="V6" s="223">
        <f t="shared" ref="V6:W6" si="19">(N6+P6+R6+T6)</f>
        <v>6</v>
      </c>
      <c r="W6" s="223">
        <f t="shared" si="19"/>
        <v>11</v>
      </c>
      <c r="X6" s="223">
        <f t="shared" si="7"/>
        <v>17</v>
      </c>
      <c r="Y6" s="340"/>
      <c r="Z6" s="340" t="s">
        <v>683</v>
      </c>
      <c r="AA6" s="340" t="str">
        <f t="shared" ca="1" si="8"/>
        <v>D2-1</v>
      </c>
      <c r="AB6" s="340">
        <f t="shared" ca="1" si="9"/>
        <v>39</v>
      </c>
      <c r="AC6" s="340">
        <f t="shared" ca="1" si="10"/>
        <v>29</v>
      </c>
      <c r="AD6" s="340">
        <f t="shared" ca="1" si="11"/>
        <v>68</v>
      </c>
      <c r="AE6" s="214">
        <f t="shared" ca="1" si="12"/>
        <v>0.57352941176470584</v>
      </c>
      <c r="AF6" s="341">
        <f t="shared" ca="1" si="13"/>
        <v>-60.426470588235297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693</v>
      </c>
      <c r="C7" s="105">
        <v>5</v>
      </c>
      <c r="D7" s="106">
        <v>11</v>
      </c>
      <c r="E7" s="106">
        <v>11</v>
      </c>
      <c r="F7" s="235">
        <f t="shared" si="0"/>
        <v>27</v>
      </c>
      <c r="G7" s="235">
        <f>C6+D9+E8</f>
        <v>24</v>
      </c>
      <c r="H7" s="235">
        <f t="shared" si="1"/>
        <v>51</v>
      </c>
      <c r="I7" s="236">
        <f t="shared" si="2"/>
        <v>0.52941176470588236</v>
      </c>
      <c r="J7" s="424">
        <f t="shared" ca="1" si="18"/>
        <v>2</v>
      </c>
      <c r="K7" s="425" t="str">
        <f t="shared" ca="1" si="4"/>
        <v>D2-2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691</v>
      </c>
      <c r="AA7" s="329" t="str">
        <f t="shared" ca="1" si="8"/>
        <v>D3-1</v>
      </c>
      <c r="AB7" s="329">
        <f t="shared" ca="1" si="9"/>
        <v>35</v>
      </c>
      <c r="AC7" s="329">
        <f t="shared" ca="1" si="10"/>
        <v>37</v>
      </c>
      <c r="AD7" s="329">
        <f t="shared" ca="1" si="11"/>
        <v>72</v>
      </c>
      <c r="AE7" s="360">
        <f t="shared" ca="1" si="12"/>
        <v>0.4861111111111111</v>
      </c>
      <c r="AF7" s="341">
        <f t="shared" ca="1" si="13"/>
        <v>-64.513888888888886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685</v>
      </c>
      <c r="C8" s="107">
        <v>7</v>
      </c>
      <c r="D8" s="108">
        <v>7</v>
      </c>
      <c r="E8" s="106">
        <v>7</v>
      </c>
      <c r="F8" s="235">
        <f t="shared" si="0"/>
        <v>21</v>
      </c>
      <c r="G8" s="235">
        <f>C9+D6+E7</f>
        <v>33</v>
      </c>
      <c r="H8" s="235">
        <f t="shared" si="1"/>
        <v>54</v>
      </c>
      <c r="I8" s="236">
        <f t="shared" si="2"/>
        <v>0.3888888888888889</v>
      </c>
      <c r="J8" s="424">
        <f t="shared" ca="1" si="18"/>
        <v>4</v>
      </c>
      <c r="K8" s="425" t="str">
        <f t="shared" ca="1" si="4"/>
        <v>D2-4</v>
      </c>
      <c r="L8" s="499" t="s">
        <v>253</v>
      </c>
      <c r="M8" s="218" t="str">
        <f t="shared" ca="1" si="5"/>
        <v>Miguel Cartagena &amp; Loras Heck</v>
      </c>
      <c r="N8" s="421"/>
      <c r="O8" s="422"/>
      <c r="P8" s="242">
        <v>11</v>
      </c>
      <c r="Q8" s="243">
        <v>6</v>
      </c>
      <c r="R8" s="244">
        <v>4</v>
      </c>
      <c r="S8" s="245">
        <v>11</v>
      </c>
      <c r="T8" s="246"/>
      <c r="U8" s="243"/>
      <c r="V8" s="223">
        <f t="shared" ref="V8:W8" si="21">(N8+P8+R8+T8)</f>
        <v>15</v>
      </c>
      <c r="W8" s="223">
        <f t="shared" si="21"/>
        <v>17</v>
      </c>
      <c r="X8" s="223">
        <f t="shared" si="7"/>
        <v>32</v>
      </c>
      <c r="Y8" s="329"/>
      <c r="Z8" s="329" t="s">
        <v>680</v>
      </c>
      <c r="AA8" s="329" t="str">
        <f t="shared" ca="1" si="8"/>
        <v>D4-2</v>
      </c>
      <c r="AB8" s="329">
        <f t="shared" ca="1" si="9"/>
        <v>34</v>
      </c>
      <c r="AC8" s="329">
        <f t="shared" ca="1" si="10"/>
        <v>30</v>
      </c>
      <c r="AD8" s="329">
        <f t="shared" ca="1" si="11"/>
        <v>64</v>
      </c>
      <c r="AE8" s="236">
        <f t="shared" ca="1" si="12"/>
        <v>0.53125</v>
      </c>
      <c r="AF8" s="333">
        <f t="shared" ca="1" si="13"/>
        <v>-65.46875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688</v>
      </c>
      <c r="C9" s="109">
        <v>11</v>
      </c>
      <c r="D9" s="110">
        <v>6</v>
      </c>
      <c r="E9" s="111">
        <v>6</v>
      </c>
      <c r="F9" s="252">
        <f t="shared" si="0"/>
        <v>23</v>
      </c>
      <c r="G9" s="252">
        <f>C8+D7+E6</f>
        <v>29</v>
      </c>
      <c r="H9" s="252">
        <f t="shared" si="1"/>
        <v>52</v>
      </c>
      <c r="I9" s="253">
        <f t="shared" si="2"/>
        <v>0.44230769230769229</v>
      </c>
      <c r="J9" s="429">
        <f t="shared" ca="1" si="18"/>
        <v>3</v>
      </c>
      <c r="K9" s="430" t="str">
        <f t="shared" ca="1" si="4"/>
        <v>D2-3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678</v>
      </c>
      <c r="AA9" s="337" t="str">
        <f t="shared" ca="1" si="8"/>
        <v>D1-2</v>
      </c>
      <c r="AB9" s="337">
        <f t="shared" ca="1" si="9"/>
        <v>28</v>
      </c>
      <c r="AC9" s="337">
        <f t="shared" ca="1" si="10"/>
        <v>34</v>
      </c>
      <c r="AD9" s="337">
        <f t="shared" ca="1" si="11"/>
        <v>62</v>
      </c>
      <c r="AE9" s="253">
        <f t="shared" ca="1" si="12"/>
        <v>0.45161290322580644</v>
      </c>
      <c r="AF9" s="338">
        <f t="shared" ca="1" si="13"/>
        <v>-71.548387096774192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690</v>
      </c>
      <c r="C10" s="148">
        <v>11</v>
      </c>
      <c r="D10" s="165">
        <v>5</v>
      </c>
      <c r="E10" s="165">
        <v>11</v>
      </c>
      <c r="F10" s="213">
        <f t="shared" si="0"/>
        <v>27</v>
      </c>
      <c r="G10" s="213">
        <f>C11+D12+E13</f>
        <v>25</v>
      </c>
      <c r="H10" s="213">
        <f t="shared" si="1"/>
        <v>52</v>
      </c>
      <c r="I10" s="214">
        <f t="shared" si="2"/>
        <v>0.51923076923076927</v>
      </c>
      <c r="J10" s="424">
        <f t="shared" ref="J10:J12" ca="1" si="23">IFERROR(RANK(F10,OFFSET($F$10,0,0,COUNTA($F$10:$F$13),1)),)</f>
        <v>3</v>
      </c>
      <c r="K10" s="419" t="str">
        <f t="shared" ca="1" si="4"/>
        <v>D3-3</v>
      </c>
      <c r="L10" s="499" t="s">
        <v>243</v>
      </c>
      <c r="M10" s="218" t="str">
        <f t="shared" ca="1" si="5"/>
        <v>Greg Roith &amp; Erinn Metcalf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690</v>
      </c>
      <c r="AA10" s="329" t="str">
        <f t="shared" ca="1" si="8"/>
        <v>D3-3</v>
      </c>
      <c r="AB10" s="329">
        <f t="shared" ca="1" si="9"/>
        <v>27</v>
      </c>
      <c r="AC10" s="329">
        <f t="shared" ca="1" si="10"/>
        <v>25</v>
      </c>
      <c r="AD10" s="329">
        <f t="shared" ca="1" si="11"/>
        <v>52</v>
      </c>
      <c r="AE10" s="236">
        <f t="shared" ca="1" si="12"/>
        <v>0.51923076923076927</v>
      </c>
      <c r="AF10" s="341">
        <f t="shared" ca="1" si="13"/>
        <v>-72.480769230769226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692</v>
      </c>
      <c r="C11" s="105">
        <v>5</v>
      </c>
      <c r="D11" s="106">
        <v>11</v>
      </c>
      <c r="E11" s="106">
        <v>10</v>
      </c>
      <c r="F11" s="235">
        <f t="shared" si="0"/>
        <v>26</v>
      </c>
      <c r="G11" s="235">
        <f>C10+D13+E12</f>
        <v>30</v>
      </c>
      <c r="H11" s="235">
        <f t="shared" si="1"/>
        <v>56</v>
      </c>
      <c r="I11" s="236">
        <f t="shared" si="2"/>
        <v>0.4642857142857143</v>
      </c>
      <c r="J11" s="424">
        <f t="shared" ca="1" si="23"/>
        <v>4</v>
      </c>
      <c r="K11" s="425" t="str">
        <f t="shared" ca="1" si="4"/>
        <v>D3-4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692</v>
      </c>
      <c r="AA11" s="329" t="str">
        <f t="shared" ca="1" si="8"/>
        <v>D3-4</v>
      </c>
      <c r="AB11" s="329">
        <f t="shared" ca="1" si="9"/>
        <v>26</v>
      </c>
      <c r="AC11" s="329">
        <f t="shared" ca="1" si="10"/>
        <v>30</v>
      </c>
      <c r="AD11" s="329">
        <f t="shared" ca="1" si="11"/>
        <v>56</v>
      </c>
      <c r="AE11" s="236">
        <f t="shared" ca="1" si="12"/>
        <v>0.4642857142857143</v>
      </c>
      <c r="AF11" s="341">
        <f t="shared" ca="1" si="13"/>
        <v>-73.535714285714292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691</v>
      </c>
      <c r="C12" s="107">
        <v>6</v>
      </c>
      <c r="D12" s="108">
        <v>11</v>
      </c>
      <c r="E12" s="106">
        <v>11</v>
      </c>
      <c r="F12" s="235">
        <f t="shared" si="0"/>
        <v>28</v>
      </c>
      <c r="G12" s="235">
        <f>C13+D10+E11</f>
        <v>26</v>
      </c>
      <c r="H12" s="235">
        <f t="shared" si="1"/>
        <v>54</v>
      </c>
      <c r="I12" s="236">
        <f t="shared" si="2"/>
        <v>0.51851851851851849</v>
      </c>
      <c r="J12" s="424">
        <f t="shared" ca="1" si="23"/>
        <v>1</v>
      </c>
      <c r="K12" s="425" t="str">
        <f t="shared" ca="1" si="4"/>
        <v>D3-1</v>
      </c>
      <c r="L12" s="499" t="s">
        <v>230</v>
      </c>
      <c r="M12" s="218" t="str">
        <f t="shared" ca="1" si="5"/>
        <v>Matt Svoboda &amp; Shanna Lloyd</v>
      </c>
      <c r="N12" s="421"/>
      <c r="O12" s="422"/>
      <c r="P12" s="242">
        <v>11</v>
      </c>
      <c r="Q12" s="243">
        <v>7</v>
      </c>
      <c r="R12" s="244">
        <v>6</v>
      </c>
      <c r="S12" s="245">
        <v>11</v>
      </c>
      <c r="T12" s="246"/>
      <c r="U12" s="243"/>
      <c r="V12" s="223">
        <f t="shared" ref="V12:W12" si="26">(N12+P12+R12+T12)</f>
        <v>17</v>
      </c>
      <c r="W12" s="223">
        <f t="shared" si="26"/>
        <v>18</v>
      </c>
      <c r="X12" s="223">
        <f t="shared" si="7"/>
        <v>35</v>
      </c>
      <c r="Y12" s="329"/>
      <c r="Z12" s="329" t="s">
        <v>679</v>
      </c>
      <c r="AA12" s="329" t="str">
        <f t="shared" ca="1" si="8"/>
        <v>D1-3</v>
      </c>
      <c r="AB12" s="329">
        <f t="shared" ca="1" si="9"/>
        <v>24</v>
      </c>
      <c r="AC12" s="329">
        <f t="shared" ca="1" si="10"/>
        <v>31</v>
      </c>
      <c r="AD12" s="329">
        <f t="shared" ca="1" si="11"/>
        <v>55</v>
      </c>
      <c r="AE12" s="236">
        <f t="shared" ca="1" si="12"/>
        <v>0.43636363636363634</v>
      </c>
      <c r="AF12" s="375">
        <f t="shared" ca="1" si="13"/>
        <v>-75.563636363636363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686</v>
      </c>
      <c r="C13" s="109">
        <v>11</v>
      </c>
      <c r="D13" s="110">
        <v>8</v>
      </c>
      <c r="E13" s="111">
        <v>9</v>
      </c>
      <c r="F13" s="252">
        <f t="shared" si="0"/>
        <v>28</v>
      </c>
      <c r="G13" s="252">
        <f>C12+D11+E10</f>
        <v>28</v>
      </c>
      <c r="H13" s="252">
        <f t="shared" si="1"/>
        <v>56</v>
      </c>
      <c r="I13" s="253">
        <f t="shared" si="2"/>
        <v>0.5</v>
      </c>
      <c r="J13" s="429">
        <v>2</v>
      </c>
      <c r="K13" s="430" t="str">
        <f t="shared" si="4"/>
        <v>D3-2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688</v>
      </c>
      <c r="AA13" s="337" t="str">
        <f t="shared" ca="1" si="8"/>
        <v>D2-3</v>
      </c>
      <c r="AB13" s="337">
        <f t="shared" ca="1" si="9"/>
        <v>23</v>
      </c>
      <c r="AC13" s="337">
        <f t="shared" ca="1" si="10"/>
        <v>29</v>
      </c>
      <c r="AD13" s="337">
        <f t="shared" ca="1" si="11"/>
        <v>52</v>
      </c>
      <c r="AE13" s="253">
        <f t="shared" ca="1" si="12"/>
        <v>0.44230769230769229</v>
      </c>
      <c r="AF13" s="345">
        <f t="shared" ca="1" si="13"/>
        <v>-76.557692307692307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694</v>
      </c>
      <c r="C14" s="148">
        <v>4</v>
      </c>
      <c r="D14" s="165">
        <v>11</v>
      </c>
      <c r="E14" s="165">
        <v>4</v>
      </c>
      <c r="F14" s="213">
        <f t="shared" si="0"/>
        <v>19</v>
      </c>
      <c r="G14" s="213">
        <f>C15+D16+E17</f>
        <v>29</v>
      </c>
      <c r="H14" s="213">
        <f t="shared" si="1"/>
        <v>48</v>
      </c>
      <c r="I14" s="214">
        <f t="shared" si="2"/>
        <v>0.39583333333333331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18" t="str">
        <f t="shared" ca="1" si="5"/>
        <v>Armando Reyes &amp; Liz Decker</v>
      </c>
      <c r="N14" s="421"/>
      <c r="O14" s="422"/>
      <c r="P14" s="220">
        <v>11</v>
      </c>
      <c r="Q14" s="221">
        <v>3</v>
      </c>
      <c r="R14" s="244">
        <v>11</v>
      </c>
      <c r="S14" s="245">
        <v>6</v>
      </c>
      <c r="T14" s="246">
        <v>16</v>
      </c>
      <c r="U14" s="243">
        <v>10</v>
      </c>
      <c r="V14" s="223">
        <f t="shared" ref="V14:W14" si="29">(N14+P14+R14+T14)</f>
        <v>38</v>
      </c>
      <c r="W14" s="223">
        <f t="shared" si="29"/>
        <v>19</v>
      </c>
      <c r="X14" s="223">
        <f t="shared" si="7"/>
        <v>57</v>
      </c>
      <c r="Y14" s="329"/>
      <c r="Z14" s="329" t="s">
        <v>685</v>
      </c>
      <c r="AA14" s="329" t="str">
        <f t="shared" ca="1" si="8"/>
        <v>D2-4</v>
      </c>
      <c r="AB14" s="329">
        <f t="shared" ca="1" si="9"/>
        <v>21</v>
      </c>
      <c r="AC14" s="329">
        <f t="shared" ca="1" si="10"/>
        <v>33</v>
      </c>
      <c r="AD14" s="329">
        <f t="shared" ca="1" si="11"/>
        <v>54</v>
      </c>
      <c r="AE14" s="236">
        <f t="shared" ca="1" si="12"/>
        <v>0.3888888888888889</v>
      </c>
      <c r="AF14" s="343">
        <f t="shared" ca="1" si="13"/>
        <v>-78.611111111111114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680</v>
      </c>
      <c r="C15" s="105">
        <v>11</v>
      </c>
      <c r="D15" s="106">
        <v>9</v>
      </c>
      <c r="E15" s="106">
        <v>11</v>
      </c>
      <c r="F15" s="235">
        <f t="shared" si="0"/>
        <v>31</v>
      </c>
      <c r="G15" s="235">
        <f>C14+D17+E16</f>
        <v>19</v>
      </c>
      <c r="H15" s="235">
        <f t="shared" si="1"/>
        <v>50</v>
      </c>
      <c r="I15" s="236">
        <f t="shared" si="2"/>
        <v>0.62</v>
      </c>
      <c r="J15" s="424">
        <f t="shared" ca="1" si="28"/>
        <v>2</v>
      </c>
      <c r="K15" s="425" t="str">
        <f t="shared" ca="1" si="4"/>
        <v>D4-2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694</v>
      </c>
      <c r="AA15" s="329" t="str">
        <f t="shared" ca="1" si="8"/>
        <v>D4-3</v>
      </c>
      <c r="AB15" s="329">
        <f t="shared" ca="1" si="9"/>
        <v>19</v>
      </c>
      <c r="AC15" s="329">
        <f t="shared" ca="1" si="10"/>
        <v>29</v>
      </c>
      <c r="AD15" s="329">
        <f t="shared" ca="1" si="11"/>
        <v>48</v>
      </c>
      <c r="AE15" s="236">
        <f t="shared" ca="1" si="12"/>
        <v>0.39583333333333331</v>
      </c>
      <c r="AF15" s="333">
        <f t="shared" ca="1" si="13"/>
        <v>-80.604166666666671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695</v>
      </c>
      <c r="C16" s="107">
        <v>3</v>
      </c>
      <c r="D16" s="108">
        <v>7</v>
      </c>
      <c r="E16" s="106">
        <v>4</v>
      </c>
      <c r="F16" s="235">
        <f t="shared" si="0"/>
        <v>14</v>
      </c>
      <c r="G16" s="235">
        <f>C17+D14+E15</f>
        <v>33</v>
      </c>
      <c r="H16" s="235">
        <f t="shared" si="1"/>
        <v>47</v>
      </c>
      <c r="I16" s="236">
        <f t="shared" si="2"/>
        <v>0.2978723404255319</v>
      </c>
      <c r="J16" s="424">
        <f t="shared" ca="1" si="28"/>
        <v>4</v>
      </c>
      <c r="K16" s="425" t="str">
        <f t="shared" ca="1" si="4"/>
        <v>D4-4</v>
      </c>
      <c r="L16" s="499" t="s">
        <v>218</v>
      </c>
      <c r="M16" s="437" t="str">
        <f t="shared" ca="1" si="5"/>
        <v>Yash Ramoo &amp; Tina Kempf</v>
      </c>
      <c r="N16" s="421"/>
      <c r="O16" s="422"/>
      <c r="P16" s="242">
        <v>3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3</v>
      </c>
      <c r="W16" s="223">
        <f t="shared" si="31"/>
        <v>11</v>
      </c>
      <c r="X16" s="223">
        <f t="shared" si="7"/>
        <v>14</v>
      </c>
      <c r="Y16" s="329"/>
      <c r="Z16" s="329" t="s">
        <v>695</v>
      </c>
      <c r="AA16" s="329" t="str">
        <f t="shared" ca="1" si="8"/>
        <v>D4-4</v>
      </c>
      <c r="AB16" s="329">
        <f t="shared" ca="1" si="9"/>
        <v>14</v>
      </c>
      <c r="AC16" s="329">
        <f t="shared" ca="1" si="10"/>
        <v>33</v>
      </c>
      <c r="AD16" s="329">
        <f t="shared" ca="1" si="11"/>
        <v>47</v>
      </c>
      <c r="AE16" s="236">
        <f t="shared" ca="1" si="12"/>
        <v>0.2978723404255319</v>
      </c>
      <c r="AF16" s="341">
        <f t="shared" ca="1" si="13"/>
        <v>-85.702127659574472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83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16</v>
      </c>
      <c r="H17" s="252">
        <f t="shared" si="1"/>
        <v>49</v>
      </c>
      <c r="I17" s="253">
        <f t="shared" si="2"/>
        <v>0.67346938775510201</v>
      </c>
      <c r="J17" s="429">
        <f t="shared" ca="1" si="28"/>
        <v>1</v>
      </c>
      <c r="K17" s="430" t="str">
        <f t="shared" ca="1" si="4"/>
        <v>D4-1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682</v>
      </c>
      <c r="AA17" s="337" t="str">
        <f t="shared" ca="1" si="8"/>
        <v>D1-4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130</v>
      </c>
      <c r="D19" s="289">
        <f t="shared" si="33"/>
        <v>135</v>
      </c>
      <c r="E19" s="289">
        <f>SUM(E2:E18)</f>
        <v>138</v>
      </c>
      <c r="F19" s="290">
        <f t="shared" ref="F19:G19" si="34">SUM(F2:F17)</f>
        <v>403</v>
      </c>
      <c r="G19" s="290">
        <f t="shared" si="34"/>
        <v>403</v>
      </c>
      <c r="H19" s="292">
        <f>SUM(H2:H17)/2</f>
        <v>403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63</v>
      </c>
      <c r="Q19" s="287">
        <f t="shared" si="35"/>
        <v>63</v>
      </c>
      <c r="R19" s="287">
        <f t="shared" si="35"/>
        <v>32</v>
      </c>
      <c r="S19" s="287">
        <f t="shared" si="35"/>
        <v>32</v>
      </c>
      <c r="T19" s="287">
        <f t="shared" si="35"/>
        <v>26</v>
      </c>
      <c r="U19" s="287">
        <f t="shared" si="35"/>
        <v>26</v>
      </c>
      <c r="V19" s="287">
        <f t="shared" si="35"/>
        <v>121</v>
      </c>
      <c r="W19" s="287">
        <f t="shared" si="35"/>
        <v>121</v>
      </c>
      <c r="X19" s="287">
        <f>SUM(X2:X17)/2</f>
        <v>121</v>
      </c>
      <c r="Y19" s="287"/>
      <c r="Z19" s="287"/>
      <c r="AA19" s="287"/>
      <c r="AB19" s="287">
        <f t="shared" ref="AB19:AD19" ca="1" si="36">SUM(AB2:AB17)/2</f>
        <v>262</v>
      </c>
      <c r="AC19" s="287">
        <f t="shared" ca="1" si="36"/>
        <v>262</v>
      </c>
      <c r="AD19" s="287">
        <f t="shared" ca="1" si="36"/>
        <v>524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0</v>
      </c>
      <c r="E20" s="294">
        <f t="shared" si="37"/>
        <v>2</v>
      </c>
      <c r="F20" s="296"/>
      <c r="G20" s="296"/>
      <c r="H20" s="297">
        <f>AVERAGE(H2:H17)</f>
        <v>50.375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65.5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5" priority="4" operator="equal">
      <formula>33</formula>
    </cfRule>
  </conditionalFormatting>
  <conditionalFormatting sqref="M2:U17">
    <cfRule type="expression" dxfId="24" priority="1">
      <formula>$T2&gt;U2</formula>
    </cfRule>
  </conditionalFormatting>
  <conditionalFormatting sqref="P2:Q17">
    <cfRule type="expression" dxfId="23" priority="2">
      <formula>$P2=11</formula>
    </cfRule>
  </conditionalFormatting>
  <conditionalFormatting sqref="R2:S17">
    <cfRule type="expression" dxfId="22" priority="3">
      <formula>$R2=11</formula>
    </cfRule>
  </conditionalFormatting>
  <hyperlinks>
    <hyperlink ref="A1" location="Champions!A1" display="Home" xr:uid="{00000000-0004-0000-1C00-000000000000}"/>
    <hyperlink ref="AH1" location="Champions!A1" display="Home" xr:uid="{00000000-0004-0000-1C00-000001000000}"/>
    <hyperlink ref="A19" location="Champions!A1" display="Home" xr:uid="{00000000-0004-0000-1C00-000002000000}"/>
    <hyperlink ref="K19" location="Champions!A1" display="Home" xr:uid="{00000000-0004-0000-1C00-000003000000}"/>
  </hyperlinks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652</v>
      </c>
      <c r="C2" s="148">
        <v>7</v>
      </c>
      <c r="D2" s="165">
        <v>5</v>
      </c>
      <c r="E2" s="165">
        <v>10</v>
      </c>
      <c r="F2" s="213">
        <f t="shared" ref="F2:F17" si="0">SUM(C2:E2)</f>
        <v>22</v>
      </c>
      <c r="G2" s="213">
        <f>C3+D4+E5</f>
        <v>33</v>
      </c>
      <c r="H2" s="213">
        <f t="shared" ref="H2:H17" si="1">SUM(F2:G2)</f>
        <v>55</v>
      </c>
      <c r="I2" s="214">
        <f t="shared" ref="I2:I17" si="2">IFERROR(F2/H2,"")</f>
        <v>0.4</v>
      </c>
      <c r="J2" s="445">
        <v>4</v>
      </c>
      <c r="K2" s="419" t="str">
        <f t="shared" ref="K2:K17" si="3">A2&amp;"-"&amp;J2</f>
        <v>D1-4</v>
      </c>
      <c r="L2" s="499" t="s">
        <v>207</v>
      </c>
      <c r="M2" s="218" t="str">
        <f t="shared" ref="M2:M17" ca="1" si="4">IFERROR(INDEX($A$2:$K$17,MATCH(L2,$K$2:$K$17,0),2),)</f>
        <v>Mike McGillicuddy &amp; Jeff Potts</v>
      </c>
      <c r="N2" s="421"/>
      <c r="O2" s="422"/>
      <c r="P2" s="220">
        <v>11</v>
      </c>
      <c r="Q2" s="221">
        <v>7</v>
      </c>
      <c r="R2" s="217">
        <v>11</v>
      </c>
      <c r="S2" s="219">
        <v>5</v>
      </c>
      <c r="T2" s="222">
        <v>13</v>
      </c>
      <c r="U2" s="221">
        <v>8</v>
      </c>
      <c r="V2" s="223">
        <f t="shared" ref="V2:W2" si="5">(N2+P2+R2+T2)</f>
        <v>35</v>
      </c>
      <c r="W2" s="223">
        <f t="shared" si="5"/>
        <v>20</v>
      </c>
      <c r="X2" s="223">
        <f t="shared" ref="X2:X17" si="6">V2+W2</f>
        <v>55</v>
      </c>
      <c r="Y2" s="329"/>
      <c r="Z2" s="329" t="s">
        <v>80</v>
      </c>
      <c r="AA2" s="329" t="str">
        <f t="shared" ref="AA2:AA17" ca="1" si="7">IFERROR(INDEX($A$2:$K$17,MATCH(Z2,$B$2:$B$17,0),11),)</f>
        <v>D1-1</v>
      </c>
      <c r="AB2" s="329">
        <f t="shared" ref="AB2:AB17" ca="1" si="8">IFERROR((INDEX($A$2:$H$17,MATCH($Z2,$B$2:$B$17,0),6))+INDEX($M$2:$X$17,MATCH($Z2,$M$2:$M$17,0),10),INDEX($B$2:$G$17,MATCH($Z2,$B$2:$B$17,0),5))</f>
        <v>68</v>
      </c>
      <c r="AC2" s="329">
        <f t="shared" ref="AC2:AC17" ca="1" si="9">IFERROR((INDEX($A$2:$H$17,MATCH($Z2,$B$2:$B$17,0),7))+INDEX($M$2:$X$17,MATCH($Z2,$M$2:$M$17,0),11),INDEX($B$2:$G$17,MATCH($Z2,$B$2:$B$17,0),6))</f>
        <v>40</v>
      </c>
      <c r="AD2" s="329">
        <f t="shared" ref="AD2:AD17" ca="1" si="10">SUM(AB2:AC2)</f>
        <v>108</v>
      </c>
      <c r="AE2" s="236">
        <f t="shared" ref="AE2:AE17" ca="1" si="11">AB2/AD2</f>
        <v>0.62962962962962965</v>
      </c>
      <c r="AF2" s="330">
        <f t="shared" ref="AF2:AF17" ca="1" si="12">AE2-(100-AB2)</f>
        <v>-31.37037037037037</v>
      </c>
      <c r="AG2" s="432">
        <f t="shared" ref="AG2:AG17" ca="1" si="13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654</v>
      </c>
      <c r="C3" s="105">
        <v>11</v>
      </c>
      <c r="D3" s="106">
        <v>5</v>
      </c>
      <c r="E3" s="106">
        <v>6</v>
      </c>
      <c r="F3" s="235">
        <f t="shared" si="0"/>
        <v>22</v>
      </c>
      <c r="G3" s="235">
        <f>C2+D5+E4</f>
        <v>29</v>
      </c>
      <c r="H3" s="235">
        <f t="shared" si="1"/>
        <v>51</v>
      </c>
      <c r="I3" s="236">
        <f t="shared" si="2"/>
        <v>0.43137254901960786</v>
      </c>
      <c r="J3" s="424">
        <f t="shared" ref="J3:J5" ca="1" si="14">IFERROR(RANK(F3,OFFSET($F$2,0,0,COUNTA($F$2:$F$5),1)),)</f>
        <v>3</v>
      </c>
      <c r="K3" s="425" t="str">
        <f t="shared" ca="1" si="3"/>
        <v>D1-3</v>
      </c>
      <c r="L3" s="500"/>
      <c r="M3" s="240">
        <f t="shared" ca="1" si="4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6"/>
        <v>0</v>
      </c>
      <c r="Y3" s="329"/>
      <c r="Z3" s="329" t="s">
        <v>81</v>
      </c>
      <c r="AA3" s="329" t="str">
        <f t="shared" ca="1" si="7"/>
        <v>D1-2</v>
      </c>
      <c r="AB3" s="329">
        <f t="shared" ca="1" si="8"/>
        <v>57</v>
      </c>
      <c r="AC3" s="329">
        <f t="shared" ca="1" si="9"/>
        <v>51</v>
      </c>
      <c r="AD3" s="329">
        <f t="shared" ca="1" si="10"/>
        <v>108</v>
      </c>
      <c r="AE3" s="236">
        <f t="shared" ca="1" si="11"/>
        <v>0.52777777777777779</v>
      </c>
      <c r="AF3" s="333">
        <f t="shared" ca="1" si="12"/>
        <v>-42.472222222222221</v>
      </c>
      <c r="AG3" s="432">
        <f t="shared" ca="1" si="13"/>
        <v>2</v>
      </c>
      <c r="AH3" s="398"/>
    </row>
    <row r="4" spans="1:34" ht="15" customHeight="1">
      <c r="A4" s="244" t="s">
        <v>1367</v>
      </c>
      <c r="B4" s="107" t="s">
        <v>81</v>
      </c>
      <c r="C4" s="107">
        <v>5</v>
      </c>
      <c r="D4" s="108">
        <v>11</v>
      </c>
      <c r="E4" s="106">
        <v>11</v>
      </c>
      <c r="F4" s="235">
        <f t="shared" si="0"/>
        <v>27</v>
      </c>
      <c r="G4" s="235">
        <f>C5+D2+E3</f>
        <v>22</v>
      </c>
      <c r="H4" s="235">
        <f t="shared" si="1"/>
        <v>49</v>
      </c>
      <c r="I4" s="236">
        <f t="shared" si="2"/>
        <v>0.55102040816326525</v>
      </c>
      <c r="J4" s="424">
        <f t="shared" ca="1" si="14"/>
        <v>2</v>
      </c>
      <c r="K4" s="425" t="str">
        <f t="shared" ca="1" si="3"/>
        <v>D1-2</v>
      </c>
      <c r="L4" s="499" t="s">
        <v>265</v>
      </c>
      <c r="M4" s="218" t="str">
        <f t="shared" ca="1" si="4"/>
        <v>Robert Madison &amp; Chip Walsh</v>
      </c>
      <c r="N4" s="421"/>
      <c r="O4" s="422"/>
      <c r="P4" s="242">
        <v>7</v>
      </c>
      <c r="Q4" s="243">
        <v>11</v>
      </c>
      <c r="R4" s="244"/>
      <c r="S4" s="245"/>
      <c r="T4" s="246"/>
      <c r="U4" s="243"/>
      <c r="V4" s="223">
        <f t="shared" ref="V4:W4" si="16">(N4+P4+R4+T4)</f>
        <v>7</v>
      </c>
      <c r="W4" s="223">
        <f t="shared" si="16"/>
        <v>11</v>
      </c>
      <c r="X4" s="223">
        <f t="shared" si="6"/>
        <v>18</v>
      </c>
      <c r="Y4" s="329"/>
      <c r="Z4" s="329" t="s">
        <v>661</v>
      </c>
      <c r="AA4" s="329" t="str">
        <f t="shared" ca="1" si="7"/>
        <v>D3-2</v>
      </c>
      <c r="AB4" s="329">
        <f t="shared" ca="1" si="8"/>
        <v>47</v>
      </c>
      <c r="AC4" s="329">
        <f t="shared" ca="1" si="9"/>
        <v>45</v>
      </c>
      <c r="AD4" s="329">
        <f t="shared" ca="1" si="10"/>
        <v>92</v>
      </c>
      <c r="AE4" s="236">
        <f t="shared" ca="1" si="11"/>
        <v>0.51086956521739135</v>
      </c>
      <c r="AF4" s="341">
        <f t="shared" ca="1" si="12"/>
        <v>-52.489130434782609</v>
      </c>
      <c r="AG4" s="432">
        <f t="shared" ca="1" si="13"/>
        <v>3</v>
      </c>
      <c r="AH4" s="398"/>
    </row>
    <row r="5" spans="1:34" ht="15" customHeight="1">
      <c r="A5" s="239" t="s">
        <v>1367</v>
      </c>
      <c r="B5" s="109" t="s">
        <v>80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20</v>
      </c>
      <c r="H5" s="252">
        <f t="shared" si="1"/>
        <v>53</v>
      </c>
      <c r="I5" s="253">
        <f t="shared" si="2"/>
        <v>0.62264150943396224</v>
      </c>
      <c r="J5" s="429">
        <f t="shared" ca="1" si="14"/>
        <v>1</v>
      </c>
      <c r="K5" s="430" t="str">
        <f t="shared" ca="1" si="3"/>
        <v>D1-1</v>
      </c>
      <c r="L5" s="500"/>
      <c r="M5" s="240">
        <f t="shared" ca="1" si="4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6"/>
        <v>0</v>
      </c>
      <c r="Y5" s="337"/>
      <c r="Z5" s="337" t="s">
        <v>663</v>
      </c>
      <c r="AA5" s="337" t="str">
        <f t="shared" ca="1" si="7"/>
        <v>D2-2</v>
      </c>
      <c r="AB5" s="337">
        <f t="shared" ca="1" si="8"/>
        <v>44</v>
      </c>
      <c r="AC5" s="337">
        <f t="shared" ca="1" si="9"/>
        <v>49</v>
      </c>
      <c r="AD5" s="337">
        <f t="shared" ca="1" si="10"/>
        <v>93</v>
      </c>
      <c r="AE5" s="253">
        <f t="shared" ca="1" si="11"/>
        <v>0.4731182795698925</v>
      </c>
      <c r="AF5" s="338">
        <f t="shared" ca="1" si="12"/>
        <v>-55.526881720430104</v>
      </c>
      <c r="AG5" s="434">
        <f t="shared" ca="1" si="13"/>
        <v>4</v>
      </c>
      <c r="AH5" s="398"/>
    </row>
    <row r="6" spans="1:34" ht="15" customHeight="1">
      <c r="A6" s="217" t="s">
        <v>1368</v>
      </c>
      <c r="B6" s="107" t="s">
        <v>657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7</v>
      </c>
      <c r="H6" s="213">
        <f t="shared" si="1"/>
        <v>40</v>
      </c>
      <c r="I6" s="214">
        <f t="shared" si="2"/>
        <v>0.82499999999999996</v>
      </c>
      <c r="J6" s="445">
        <f t="shared" ref="J6:J9" ca="1" si="18">IFERROR(RANK(F6,OFFSET($F$6,0,0,COUNTA($F$6:$F$9),1)),)</f>
        <v>1</v>
      </c>
      <c r="K6" s="419" t="str">
        <f t="shared" ca="1" si="3"/>
        <v>D2-1</v>
      </c>
      <c r="L6" s="499" t="s">
        <v>225</v>
      </c>
      <c r="M6" s="218" t="str">
        <f t="shared" ca="1" si="4"/>
        <v>Steve Peterson &amp; Keith August</v>
      </c>
      <c r="N6" s="421"/>
      <c r="O6" s="422"/>
      <c r="P6" s="220">
        <v>10</v>
      </c>
      <c r="Q6" s="221">
        <v>11</v>
      </c>
      <c r="R6" s="244"/>
      <c r="S6" s="245"/>
      <c r="T6" s="246"/>
      <c r="U6" s="243"/>
      <c r="V6" s="223">
        <f t="shared" ref="V6:W6" si="19">(N6+P6+R6+T6)</f>
        <v>10</v>
      </c>
      <c r="W6" s="223">
        <f t="shared" si="19"/>
        <v>11</v>
      </c>
      <c r="X6" s="223">
        <f t="shared" si="6"/>
        <v>21</v>
      </c>
      <c r="Y6" s="340"/>
      <c r="Z6" s="340" t="s">
        <v>657</v>
      </c>
      <c r="AA6" s="340" t="str">
        <f t="shared" ca="1" si="7"/>
        <v>D2-1</v>
      </c>
      <c r="AB6" s="340">
        <f t="shared" ca="1" si="8"/>
        <v>43</v>
      </c>
      <c r="AC6" s="340">
        <f t="shared" ca="1" si="9"/>
        <v>18</v>
      </c>
      <c r="AD6" s="340">
        <f t="shared" ca="1" si="10"/>
        <v>61</v>
      </c>
      <c r="AE6" s="214">
        <f t="shared" ca="1" si="11"/>
        <v>0.70491803278688525</v>
      </c>
      <c r="AF6" s="341">
        <f t="shared" ca="1" si="12"/>
        <v>-56.295081967213115</v>
      </c>
      <c r="AG6" s="432">
        <f t="shared" ca="1" si="13"/>
        <v>5</v>
      </c>
      <c r="AH6" s="398"/>
    </row>
    <row r="7" spans="1:34" ht="15" customHeight="1">
      <c r="A7" s="244" t="s">
        <v>1368</v>
      </c>
      <c r="B7" s="107" t="s">
        <v>659</v>
      </c>
      <c r="C7" s="105">
        <v>1</v>
      </c>
      <c r="D7" s="106">
        <v>9</v>
      </c>
      <c r="E7" s="106">
        <v>11</v>
      </c>
      <c r="F7" s="235">
        <f t="shared" si="0"/>
        <v>21</v>
      </c>
      <c r="G7" s="235">
        <f>C6+D9+E8</f>
        <v>27</v>
      </c>
      <c r="H7" s="235">
        <f t="shared" si="1"/>
        <v>48</v>
      </c>
      <c r="I7" s="236">
        <f t="shared" si="2"/>
        <v>0.4375</v>
      </c>
      <c r="J7" s="424">
        <f t="shared" ca="1" si="18"/>
        <v>3</v>
      </c>
      <c r="K7" s="425" t="str">
        <f t="shared" ca="1" si="3"/>
        <v>D2-3</v>
      </c>
      <c r="L7" s="500"/>
      <c r="M7" s="240">
        <f t="shared" ca="1" si="4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6"/>
        <v>0</v>
      </c>
      <c r="Y7" s="329"/>
      <c r="Z7" s="329" t="s">
        <v>665</v>
      </c>
      <c r="AA7" s="329" t="str">
        <f t="shared" ca="1" si="7"/>
        <v>D3-1</v>
      </c>
      <c r="AB7" s="329">
        <f t="shared" ca="1" si="8"/>
        <v>40</v>
      </c>
      <c r="AC7" s="329">
        <f t="shared" ca="1" si="9"/>
        <v>33</v>
      </c>
      <c r="AD7" s="329">
        <f t="shared" ca="1" si="10"/>
        <v>73</v>
      </c>
      <c r="AE7" s="236">
        <f t="shared" ca="1" si="11"/>
        <v>0.54794520547945202</v>
      </c>
      <c r="AF7" s="341">
        <f t="shared" ca="1" si="12"/>
        <v>-59.452054794520549</v>
      </c>
      <c r="AG7" s="432">
        <f t="shared" ca="1" si="13"/>
        <v>6</v>
      </c>
      <c r="AH7" s="398"/>
    </row>
    <row r="8" spans="1:34" ht="15" customHeight="1">
      <c r="A8" s="244" t="s">
        <v>1368</v>
      </c>
      <c r="B8" s="107" t="s">
        <v>660</v>
      </c>
      <c r="C8" s="107">
        <v>11</v>
      </c>
      <c r="D8" s="108">
        <v>3</v>
      </c>
      <c r="E8" s="106">
        <v>5</v>
      </c>
      <c r="F8" s="235">
        <f t="shared" si="0"/>
        <v>19</v>
      </c>
      <c r="G8" s="235">
        <f>C9+D6+E7</f>
        <v>32</v>
      </c>
      <c r="H8" s="235">
        <f t="shared" si="1"/>
        <v>51</v>
      </c>
      <c r="I8" s="236">
        <f t="shared" si="2"/>
        <v>0.37254901960784315</v>
      </c>
      <c r="J8" s="424">
        <f t="shared" ca="1" si="18"/>
        <v>4</v>
      </c>
      <c r="K8" s="425" t="str">
        <f t="shared" ca="1" si="3"/>
        <v>D2-4</v>
      </c>
      <c r="L8" s="499" t="s">
        <v>253</v>
      </c>
      <c r="M8" s="218" t="str">
        <f t="shared" ca="1" si="4"/>
        <v>Andrew Abe &amp; Greg Romer</v>
      </c>
      <c r="N8" s="421"/>
      <c r="O8" s="422"/>
      <c r="P8" s="242">
        <v>11</v>
      </c>
      <c r="Q8" s="243">
        <v>10</v>
      </c>
      <c r="R8" s="244">
        <v>5</v>
      </c>
      <c r="S8" s="245">
        <v>11</v>
      </c>
      <c r="T8" s="246"/>
      <c r="U8" s="243"/>
      <c r="V8" s="223">
        <f t="shared" ref="V8:W8" si="21">(N8+P8+R8+T8)</f>
        <v>16</v>
      </c>
      <c r="W8" s="223">
        <f t="shared" si="21"/>
        <v>21</v>
      </c>
      <c r="X8" s="223">
        <f t="shared" si="6"/>
        <v>37</v>
      </c>
      <c r="Y8" s="329"/>
      <c r="Z8" s="329" t="s">
        <v>672</v>
      </c>
      <c r="AA8" s="329" t="str">
        <f t="shared" ca="1" si="7"/>
        <v>D4-1</v>
      </c>
      <c r="AB8" s="329">
        <f t="shared" ca="1" si="8"/>
        <v>39</v>
      </c>
      <c r="AC8" s="329">
        <f t="shared" ca="1" si="9"/>
        <v>29</v>
      </c>
      <c r="AD8" s="329">
        <f t="shared" ca="1" si="10"/>
        <v>68</v>
      </c>
      <c r="AE8" s="236">
        <f t="shared" ca="1" si="11"/>
        <v>0.57352941176470584</v>
      </c>
      <c r="AF8" s="341">
        <f t="shared" ca="1" si="12"/>
        <v>-60.426470588235297</v>
      </c>
      <c r="AG8" s="432">
        <f t="shared" ca="1" si="13"/>
        <v>7</v>
      </c>
      <c r="AH8" s="398"/>
    </row>
    <row r="9" spans="1:34" ht="15" customHeight="1">
      <c r="A9" s="239" t="s">
        <v>1368</v>
      </c>
      <c r="B9" s="109" t="s">
        <v>663</v>
      </c>
      <c r="C9" s="109">
        <v>10</v>
      </c>
      <c r="D9" s="110">
        <v>11</v>
      </c>
      <c r="E9" s="111">
        <v>3</v>
      </c>
      <c r="F9" s="252">
        <f t="shared" si="0"/>
        <v>24</v>
      </c>
      <c r="G9" s="252">
        <f>C8+D7+E6</f>
        <v>31</v>
      </c>
      <c r="H9" s="252">
        <f t="shared" si="1"/>
        <v>55</v>
      </c>
      <c r="I9" s="253">
        <f t="shared" si="2"/>
        <v>0.43636363636363634</v>
      </c>
      <c r="J9" s="429">
        <f t="shared" ca="1" si="18"/>
        <v>2</v>
      </c>
      <c r="K9" s="430" t="str">
        <f t="shared" ca="1" si="3"/>
        <v>D2-2</v>
      </c>
      <c r="L9" s="500"/>
      <c r="M9" s="240">
        <f t="shared" ca="1" si="4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6"/>
        <v>0</v>
      </c>
      <c r="Y9" s="337"/>
      <c r="Z9" s="337" t="s">
        <v>656</v>
      </c>
      <c r="AA9" s="337" t="str">
        <f t="shared" si="7"/>
        <v>D4-2</v>
      </c>
      <c r="AB9" s="337">
        <f t="shared" ca="1" si="8"/>
        <v>39</v>
      </c>
      <c r="AC9" s="337">
        <f t="shared" ca="1" si="9"/>
        <v>37</v>
      </c>
      <c r="AD9" s="337">
        <f t="shared" ca="1" si="10"/>
        <v>76</v>
      </c>
      <c r="AE9" s="253">
        <f t="shared" ca="1" si="11"/>
        <v>0.51315789473684215</v>
      </c>
      <c r="AF9" s="338">
        <f t="shared" ca="1" si="12"/>
        <v>-60.486842105263158</v>
      </c>
      <c r="AG9" s="434">
        <f t="shared" ca="1" si="13"/>
        <v>8</v>
      </c>
      <c r="AH9" s="398"/>
    </row>
    <row r="10" spans="1:34" ht="15" customHeight="1">
      <c r="A10" s="217" t="s">
        <v>1369</v>
      </c>
      <c r="B10" s="107" t="s">
        <v>664</v>
      </c>
      <c r="C10" s="148">
        <v>6</v>
      </c>
      <c r="D10" s="165">
        <v>4</v>
      </c>
      <c r="E10" s="165">
        <v>4</v>
      </c>
      <c r="F10" s="213">
        <f t="shared" si="0"/>
        <v>14</v>
      </c>
      <c r="G10" s="213">
        <f>C11+D12+E13</f>
        <v>33</v>
      </c>
      <c r="H10" s="213">
        <f t="shared" si="1"/>
        <v>47</v>
      </c>
      <c r="I10" s="214">
        <f t="shared" si="2"/>
        <v>0.2978723404255319</v>
      </c>
      <c r="J10" s="424">
        <f t="shared" ref="J10:J13" ca="1" si="23">IFERROR(RANK(F10,OFFSET($F$10,0,0,COUNTA($F$10:$F$13),1)),)</f>
        <v>4</v>
      </c>
      <c r="K10" s="419" t="str">
        <f t="shared" ca="1" si="3"/>
        <v>D3-4</v>
      </c>
      <c r="L10" s="499" t="s">
        <v>243</v>
      </c>
      <c r="M10" s="218" t="str">
        <f t="shared" ca="1" si="4"/>
        <v>Ryan Kimbrell &amp; Danny Ng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6"/>
        <v>18</v>
      </c>
      <c r="Y10" s="329"/>
      <c r="Z10" s="329" t="s">
        <v>674</v>
      </c>
      <c r="AA10" s="329" t="str">
        <f t="shared" ca="1" si="7"/>
        <v>D4-3</v>
      </c>
      <c r="AB10" s="329">
        <f t="shared" ca="1" si="8"/>
        <v>28</v>
      </c>
      <c r="AC10" s="329">
        <f t="shared" ca="1" si="9"/>
        <v>28</v>
      </c>
      <c r="AD10" s="329">
        <f t="shared" ca="1" si="10"/>
        <v>56</v>
      </c>
      <c r="AE10" s="236">
        <f t="shared" ca="1" si="11"/>
        <v>0.5</v>
      </c>
      <c r="AF10" s="333">
        <f t="shared" ca="1" si="12"/>
        <v>-71.5</v>
      </c>
      <c r="AG10" s="432">
        <f t="shared" ca="1" si="13"/>
        <v>9</v>
      </c>
      <c r="AH10" s="398"/>
    </row>
    <row r="11" spans="1:34" ht="15" customHeight="1">
      <c r="A11" s="244" t="s">
        <v>1369</v>
      </c>
      <c r="B11" s="107" t="s">
        <v>661</v>
      </c>
      <c r="C11" s="105">
        <v>11</v>
      </c>
      <c r="D11" s="106">
        <v>9</v>
      </c>
      <c r="E11" s="106">
        <v>11</v>
      </c>
      <c r="F11" s="235">
        <f t="shared" si="0"/>
        <v>31</v>
      </c>
      <c r="G11" s="235">
        <f>C10+D13+E12</f>
        <v>24</v>
      </c>
      <c r="H11" s="235">
        <f t="shared" si="1"/>
        <v>55</v>
      </c>
      <c r="I11" s="236">
        <f t="shared" si="2"/>
        <v>0.5636363636363636</v>
      </c>
      <c r="J11" s="424">
        <f t="shared" ca="1" si="23"/>
        <v>2</v>
      </c>
      <c r="K11" s="425" t="str">
        <f t="shared" ca="1" si="3"/>
        <v>D3-2</v>
      </c>
      <c r="L11" s="500"/>
      <c r="M11" s="240">
        <f t="shared" ca="1" si="4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6"/>
        <v>0</v>
      </c>
      <c r="Y11" s="329"/>
      <c r="Z11" s="329" t="s">
        <v>668</v>
      </c>
      <c r="AA11" s="329" t="str">
        <f t="shared" ca="1" si="7"/>
        <v>D3-3</v>
      </c>
      <c r="AB11" s="329">
        <f t="shared" ca="1" si="8"/>
        <v>27</v>
      </c>
      <c r="AC11" s="329">
        <f t="shared" ca="1" si="9"/>
        <v>26</v>
      </c>
      <c r="AD11" s="329">
        <f t="shared" ca="1" si="10"/>
        <v>53</v>
      </c>
      <c r="AE11" s="236">
        <f t="shared" ca="1" si="11"/>
        <v>0.50943396226415094</v>
      </c>
      <c r="AF11" s="333">
        <f t="shared" ca="1" si="12"/>
        <v>-72.490566037735846</v>
      </c>
      <c r="AG11" s="432">
        <f t="shared" ca="1" si="13"/>
        <v>10</v>
      </c>
      <c r="AH11" s="398"/>
    </row>
    <row r="12" spans="1:34" ht="15" customHeight="1">
      <c r="A12" s="244" t="s">
        <v>1369</v>
      </c>
      <c r="B12" s="107" t="s">
        <v>668</v>
      </c>
      <c r="C12" s="107">
        <v>9</v>
      </c>
      <c r="D12" s="108">
        <v>11</v>
      </c>
      <c r="E12" s="106">
        <v>7</v>
      </c>
      <c r="F12" s="235">
        <f t="shared" si="0"/>
        <v>27</v>
      </c>
      <c r="G12" s="235">
        <f>C13+D10+E11</f>
        <v>26</v>
      </c>
      <c r="H12" s="235">
        <f t="shared" si="1"/>
        <v>53</v>
      </c>
      <c r="I12" s="236">
        <f t="shared" si="2"/>
        <v>0.50943396226415094</v>
      </c>
      <c r="J12" s="424">
        <f t="shared" ca="1" si="23"/>
        <v>3</v>
      </c>
      <c r="K12" s="425" t="str">
        <f t="shared" ca="1" si="3"/>
        <v>D3-3</v>
      </c>
      <c r="L12" s="499" t="s">
        <v>230</v>
      </c>
      <c r="M12" s="218" t="str">
        <f t="shared" ca="1" si="4"/>
        <v>David Lapin &amp; Jay Sidie</v>
      </c>
      <c r="N12" s="421"/>
      <c r="O12" s="422"/>
      <c r="P12" s="242">
        <v>11</v>
      </c>
      <c r="Q12" s="243">
        <v>7</v>
      </c>
      <c r="R12" s="244">
        <v>9</v>
      </c>
      <c r="S12" s="245">
        <v>11</v>
      </c>
      <c r="T12" s="246"/>
      <c r="U12" s="243"/>
      <c r="V12" s="223">
        <f t="shared" ref="V12:W12" si="26">(N12+P12+R12+T12)</f>
        <v>20</v>
      </c>
      <c r="W12" s="223">
        <f t="shared" si="26"/>
        <v>18</v>
      </c>
      <c r="X12" s="223">
        <f t="shared" si="6"/>
        <v>38</v>
      </c>
      <c r="Y12" s="329"/>
      <c r="Z12" s="329" t="s">
        <v>654</v>
      </c>
      <c r="AA12" s="329" t="str">
        <f t="shared" ca="1" si="7"/>
        <v>D1-3</v>
      </c>
      <c r="AB12" s="329">
        <f t="shared" ca="1" si="8"/>
        <v>22</v>
      </c>
      <c r="AC12" s="329">
        <f t="shared" ca="1" si="9"/>
        <v>29</v>
      </c>
      <c r="AD12" s="329">
        <f t="shared" ca="1" si="10"/>
        <v>51</v>
      </c>
      <c r="AE12" s="236">
        <f t="shared" ca="1" si="11"/>
        <v>0.43137254901960786</v>
      </c>
      <c r="AF12" s="343">
        <f t="shared" ca="1" si="12"/>
        <v>-77.568627450980387</v>
      </c>
      <c r="AG12" s="432">
        <f t="shared" ca="1" si="13"/>
        <v>11</v>
      </c>
      <c r="AH12" s="398"/>
    </row>
    <row r="13" spans="1:34" ht="15" customHeight="1">
      <c r="A13" s="239" t="s">
        <v>1369</v>
      </c>
      <c r="B13" s="109" t="s">
        <v>665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22</v>
      </c>
      <c r="H13" s="252">
        <f t="shared" si="1"/>
        <v>55</v>
      </c>
      <c r="I13" s="253">
        <f t="shared" si="2"/>
        <v>0.6</v>
      </c>
      <c r="J13" s="429">
        <f t="shared" ca="1" si="23"/>
        <v>1</v>
      </c>
      <c r="K13" s="430" t="str">
        <f t="shared" ca="1" si="3"/>
        <v>D3-1</v>
      </c>
      <c r="L13" s="500"/>
      <c r="M13" s="240">
        <f t="shared" ca="1" si="4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6"/>
        <v>0</v>
      </c>
      <c r="Y13" s="337"/>
      <c r="Z13" s="337" t="s">
        <v>652</v>
      </c>
      <c r="AA13" s="337" t="str">
        <f t="shared" si="7"/>
        <v>D1-4</v>
      </c>
      <c r="AB13" s="337">
        <f t="shared" ca="1" si="8"/>
        <v>22</v>
      </c>
      <c r="AC13" s="337">
        <f t="shared" ca="1" si="9"/>
        <v>33</v>
      </c>
      <c r="AD13" s="337">
        <f t="shared" ca="1" si="10"/>
        <v>55</v>
      </c>
      <c r="AE13" s="253">
        <f t="shared" ca="1" si="11"/>
        <v>0.4</v>
      </c>
      <c r="AF13" s="345">
        <f t="shared" ca="1" si="12"/>
        <v>-77.599999999999994</v>
      </c>
      <c r="AG13" s="434">
        <f t="shared" ca="1" si="13"/>
        <v>12</v>
      </c>
      <c r="AH13" s="398"/>
    </row>
    <row r="14" spans="1:34" ht="15" customHeight="1">
      <c r="A14" s="217" t="s">
        <v>1371</v>
      </c>
      <c r="B14" s="107" t="s">
        <v>671</v>
      </c>
      <c r="C14" s="148">
        <v>7</v>
      </c>
      <c r="D14" s="165">
        <v>5</v>
      </c>
      <c r="E14" s="165">
        <v>1</v>
      </c>
      <c r="F14" s="213">
        <f t="shared" si="0"/>
        <v>13</v>
      </c>
      <c r="G14" s="213">
        <f>C15+D16+E17</f>
        <v>33</v>
      </c>
      <c r="H14" s="213">
        <f t="shared" si="1"/>
        <v>46</v>
      </c>
      <c r="I14" s="214">
        <f t="shared" si="2"/>
        <v>0.28260869565217389</v>
      </c>
      <c r="J14" s="424">
        <f t="shared" ref="J14:J15" ca="1" si="28">IFERROR(RANK(F14,OFFSET($F$14,0,0,COUNTA($F$14:$F$17),1)),)</f>
        <v>4</v>
      </c>
      <c r="K14" s="419" t="str">
        <f t="shared" ca="1" si="3"/>
        <v>D4-4</v>
      </c>
      <c r="L14" s="499" t="s">
        <v>263</v>
      </c>
      <c r="M14" s="218" t="str">
        <f t="shared" ca="1" si="4"/>
        <v>Matt Wilson &amp; Mike Otto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6"/>
        <v>18</v>
      </c>
      <c r="Y14" s="329"/>
      <c r="Z14" s="329" t="s">
        <v>659</v>
      </c>
      <c r="AA14" s="329" t="str">
        <f t="shared" ca="1" si="7"/>
        <v>D2-3</v>
      </c>
      <c r="AB14" s="329">
        <f t="shared" ca="1" si="8"/>
        <v>21</v>
      </c>
      <c r="AC14" s="329">
        <f t="shared" ca="1" si="9"/>
        <v>27</v>
      </c>
      <c r="AD14" s="329">
        <f t="shared" ca="1" si="10"/>
        <v>48</v>
      </c>
      <c r="AE14" s="360">
        <f t="shared" ca="1" si="11"/>
        <v>0.4375</v>
      </c>
      <c r="AF14" s="343">
        <f t="shared" ca="1" si="12"/>
        <v>-78.5625</v>
      </c>
      <c r="AG14" s="428">
        <f t="shared" ca="1" si="13"/>
        <v>13</v>
      </c>
      <c r="AH14" s="398"/>
    </row>
    <row r="15" spans="1:34" ht="15" customHeight="1">
      <c r="A15" s="244" t="s">
        <v>1371</v>
      </c>
      <c r="B15" s="107" t="s">
        <v>674</v>
      </c>
      <c r="C15" s="105">
        <v>11</v>
      </c>
      <c r="D15" s="106">
        <v>6</v>
      </c>
      <c r="E15" s="106">
        <v>11</v>
      </c>
      <c r="F15" s="235">
        <f t="shared" si="0"/>
        <v>28</v>
      </c>
      <c r="G15" s="235">
        <f>C14+D17+E16</f>
        <v>28</v>
      </c>
      <c r="H15" s="235">
        <f t="shared" si="1"/>
        <v>56</v>
      </c>
      <c r="I15" s="236">
        <f t="shared" si="2"/>
        <v>0.5</v>
      </c>
      <c r="J15" s="424">
        <f t="shared" ca="1" si="28"/>
        <v>3</v>
      </c>
      <c r="K15" s="425" t="str">
        <f t="shared" ca="1" si="3"/>
        <v>D4-3</v>
      </c>
      <c r="L15" s="500"/>
      <c r="M15" s="240">
        <f t="shared" ca="1" si="4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6"/>
        <v>0</v>
      </c>
      <c r="Y15" s="329"/>
      <c r="Z15" s="329" t="s">
        <v>660</v>
      </c>
      <c r="AA15" s="329" t="str">
        <f t="shared" ca="1" si="7"/>
        <v>D2-4</v>
      </c>
      <c r="AB15" s="329">
        <f t="shared" ca="1" si="8"/>
        <v>19</v>
      </c>
      <c r="AC15" s="329">
        <f t="shared" ca="1" si="9"/>
        <v>32</v>
      </c>
      <c r="AD15" s="329">
        <f t="shared" ca="1" si="10"/>
        <v>51</v>
      </c>
      <c r="AE15" s="236">
        <f t="shared" ca="1" si="11"/>
        <v>0.37254901960784315</v>
      </c>
      <c r="AF15" s="333">
        <f t="shared" ca="1" si="12"/>
        <v>-80.627450980392155</v>
      </c>
      <c r="AG15" s="432">
        <f t="shared" ca="1" si="13"/>
        <v>14</v>
      </c>
      <c r="AH15" s="398"/>
    </row>
    <row r="16" spans="1:34" ht="15" customHeight="1">
      <c r="A16" s="244" t="s">
        <v>1371</v>
      </c>
      <c r="B16" s="107" t="s">
        <v>656</v>
      </c>
      <c r="C16" s="107">
        <v>11</v>
      </c>
      <c r="D16" s="108">
        <v>11</v>
      </c>
      <c r="E16" s="106">
        <v>10</v>
      </c>
      <c r="F16" s="235">
        <f t="shared" si="0"/>
        <v>32</v>
      </c>
      <c r="G16" s="235">
        <f>C17+D14+E15</f>
        <v>26</v>
      </c>
      <c r="H16" s="235">
        <f t="shared" si="1"/>
        <v>58</v>
      </c>
      <c r="I16" s="236">
        <f t="shared" si="2"/>
        <v>0.55172413793103448</v>
      </c>
      <c r="J16" s="424">
        <v>2</v>
      </c>
      <c r="K16" s="425" t="str">
        <f t="shared" si="3"/>
        <v>D4-2</v>
      </c>
      <c r="L16" s="499" t="s">
        <v>218</v>
      </c>
      <c r="M16" s="437" t="str">
        <f t="shared" ca="1" si="4"/>
        <v>Bob Kreifels &amp; Ryan Carpenter</v>
      </c>
      <c r="N16" s="421"/>
      <c r="O16" s="422"/>
      <c r="P16" s="242">
        <v>11</v>
      </c>
      <c r="Q16" s="243">
        <v>7</v>
      </c>
      <c r="R16" s="244">
        <v>11</v>
      </c>
      <c r="S16" s="245">
        <v>9</v>
      </c>
      <c r="T16" s="246">
        <v>8</v>
      </c>
      <c r="U16" s="243">
        <v>13</v>
      </c>
      <c r="V16" s="223">
        <f t="shared" ref="V16:W16" si="31">(N16+P16+R16+T16)</f>
        <v>30</v>
      </c>
      <c r="W16" s="223">
        <f t="shared" si="31"/>
        <v>29</v>
      </c>
      <c r="X16" s="223">
        <f t="shared" si="6"/>
        <v>59</v>
      </c>
      <c r="Y16" s="329"/>
      <c r="Z16" s="329" t="s">
        <v>664</v>
      </c>
      <c r="AA16" s="329" t="str">
        <f t="shared" ca="1" si="7"/>
        <v>D3-4</v>
      </c>
      <c r="AB16" s="329">
        <f t="shared" ca="1" si="8"/>
        <v>14</v>
      </c>
      <c r="AC16" s="329">
        <f t="shared" ca="1" si="9"/>
        <v>33</v>
      </c>
      <c r="AD16" s="329">
        <f t="shared" ca="1" si="10"/>
        <v>47</v>
      </c>
      <c r="AE16" s="236">
        <f t="shared" ca="1" si="11"/>
        <v>0.2978723404255319</v>
      </c>
      <c r="AF16" s="341">
        <f t="shared" ca="1" si="12"/>
        <v>-85.702127659574472</v>
      </c>
      <c r="AG16" s="432">
        <f t="shared" ca="1" si="13"/>
        <v>15</v>
      </c>
      <c r="AH16" s="398"/>
    </row>
    <row r="17" spans="1:34" ht="15" customHeight="1">
      <c r="A17" s="239" t="s">
        <v>1371</v>
      </c>
      <c r="B17" s="109" t="s">
        <v>672</v>
      </c>
      <c r="C17" s="109">
        <v>10</v>
      </c>
      <c r="D17" s="110">
        <v>11</v>
      </c>
      <c r="E17" s="111">
        <v>11</v>
      </c>
      <c r="F17" s="252">
        <f t="shared" si="0"/>
        <v>32</v>
      </c>
      <c r="G17" s="252">
        <f>C16+D15+E14</f>
        <v>18</v>
      </c>
      <c r="H17" s="252">
        <f t="shared" si="1"/>
        <v>50</v>
      </c>
      <c r="I17" s="253">
        <f t="shared" si="2"/>
        <v>0.64</v>
      </c>
      <c r="J17" s="429">
        <f ca="1">IFERROR(RANK(F17,OFFSET($F$14,0,0,COUNTA($F$14:$F$17),1)),)</f>
        <v>1</v>
      </c>
      <c r="K17" s="430" t="str">
        <f t="shared" ca="1" si="3"/>
        <v>D4-1</v>
      </c>
      <c r="L17" s="500"/>
      <c r="M17" s="438">
        <f t="shared" ca="1" si="4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6"/>
        <v>0</v>
      </c>
      <c r="Y17" s="337"/>
      <c r="Z17" s="337" t="s">
        <v>671</v>
      </c>
      <c r="AA17" s="337" t="str">
        <f t="shared" ca="1" si="7"/>
        <v>D4-4</v>
      </c>
      <c r="AB17" s="337">
        <f t="shared" ca="1" si="8"/>
        <v>13</v>
      </c>
      <c r="AC17" s="337">
        <f t="shared" ca="1" si="9"/>
        <v>33</v>
      </c>
      <c r="AD17" s="337">
        <f t="shared" ca="1" si="10"/>
        <v>46</v>
      </c>
      <c r="AE17" s="253">
        <f t="shared" ca="1" si="11"/>
        <v>0.28260869565217389</v>
      </c>
      <c r="AF17" s="338">
        <f t="shared" ca="1" si="12"/>
        <v>-86.717391304347828</v>
      </c>
      <c r="AG17" s="434">
        <f t="shared" ca="1" si="13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143</v>
      </c>
      <c r="D19" s="289">
        <f t="shared" si="33"/>
        <v>134</v>
      </c>
      <c r="E19" s="289">
        <f>SUM(E2:E18)</f>
        <v>134</v>
      </c>
      <c r="F19" s="290">
        <f t="shared" ref="F19:G19" si="34">SUM(F2:F17)</f>
        <v>411</v>
      </c>
      <c r="G19" s="290">
        <f t="shared" si="34"/>
        <v>411</v>
      </c>
      <c r="H19" s="292">
        <f>SUM(H2:H17)/2</f>
        <v>411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75</v>
      </c>
      <c r="Q19" s="287">
        <f t="shared" si="35"/>
        <v>75</v>
      </c>
      <c r="R19" s="287">
        <f t="shared" si="35"/>
        <v>36</v>
      </c>
      <c r="S19" s="287">
        <f t="shared" si="35"/>
        <v>36</v>
      </c>
      <c r="T19" s="287">
        <f t="shared" si="35"/>
        <v>21</v>
      </c>
      <c r="U19" s="287">
        <f t="shared" si="35"/>
        <v>21</v>
      </c>
      <c r="V19" s="287">
        <f t="shared" si="35"/>
        <v>132</v>
      </c>
      <c r="W19" s="287">
        <f t="shared" si="35"/>
        <v>132</v>
      </c>
      <c r="X19" s="287">
        <f>SUM(X2:X17)/2</f>
        <v>132</v>
      </c>
      <c r="Y19" s="287"/>
      <c r="Z19" s="287"/>
      <c r="AA19" s="287"/>
      <c r="AB19" s="287">
        <f t="shared" ref="AB19:AD19" ca="1" si="36">SUM(AB2:AB17)/2</f>
        <v>271.5</v>
      </c>
      <c r="AC19" s="287">
        <f t="shared" ca="1" si="36"/>
        <v>271.5</v>
      </c>
      <c r="AD19" s="287">
        <f t="shared" ca="1" si="36"/>
        <v>543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2</v>
      </c>
      <c r="D20" s="294">
        <f t="shared" si="37"/>
        <v>0</v>
      </c>
      <c r="E20" s="294">
        <f t="shared" si="37"/>
        <v>2</v>
      </c>
      <c r="F20" s="296"/>
      <c r="G20" s="296"/>
      <c r="H20" s="297">
        <f>AVERAGE(H2:H17)</f>
        <v>51.375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98">
        <f ca="1">AVERAGE(AD2:AD17)</f>
        <v>67.875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1" priority="4" operator="equal">
      <formula>33</formula>
    </cfRule>
  </conditionalFormatting>
  <conditionalFormatting sqref="M2:U17">
    <cfRule type="expression" dxfId="20" priority="1">
      <formula>$T2&gt;U2</formula>
    </cfRule>
  </conditionalFormatting>
  <conditionalFormatting sqref="P2:Q17">
    <cfRule type="expression" dxfId="19" priority="2">
      <formula>$P2=11</formula>
    </cfRule>
  </conditionalFormatting>
  <conditionalFormatting sqref="R2:S17">
    <cfRule type="expression" dxfId="18" priority="3">
      <formula>$R2=11</formula>
    </cfRule>
  </conditionalFormatting>
  <hyperlinks>
    <hyperlink ref="A1" location="Champions!A1" display="Home" xr:uid="{00000000-0004-0000-1D00-000000000000}"/>
    <hyperlink ref="AH1" location="Champions!A1" display="Home" xr:uid="{00000000-0004-0000-1D00-000001000000}"/>
    <hyperlink ref="A19" location="Champions!A1" display="Home" xr:uid="{00000000-0004-0000-1D00-000002000000}"/>
    <hyperlink ref="K19" location="Champions!A1" display="Home" xr:uid="{00000000-0004-0000-1D00-000003000000}"/>
  </hyperlink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7.72656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616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16</v>
      </c>
      <c r="H2" s="213">
        <f t="shared" ref="H2:H17" si="1">SUM(F2:G2)</f>
        <v>49</v>
      </c>
      <c r="I2" s="214">
        <f t="shared" ref="I2:I17" si="2">IFERROR(F2/H2,"")</f>
        <v>0.67346938775510201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499" t="s">
        <v>207</v>
      </c>
      <c r="M2" s="218" t="str">
        <f t="shared" ref="M2:M17" ca="1" si="5">IFERROR(INDEX($A$2:$K$17,MATCH(L2,$K$2:$K$17,0),2),)</f>
        <v>Heather Cook &amp; Erinn Metcalf</v>
      </c>
      <c r="N2" s="421"/>
      <c r="O2" s="422"/>
      <c r="P2" s="220">
        <v>10</v>
      </c>
      <c r="Q2" s="221">
        <v>11</v>
      </c>
      <c r="R2" s="217"/>
      <c r="S2" s="219"/>
      <c r="T2" s="222"/>
      <c r="U2" s="221"/>
      <c r="V2" s="223">
        <f t="shared" ref="V2:W2" si="6">(N2+P2+R2+T2)</f>
        <v>10</v>
      </c>
      <c r="W2" s="223">
        <f t="shared" si="6"/>
        <v>11</v>
      </c>
      <c r="X2" s="223">
        <f t="shared" ref="X2:X17" si="7">V2+W2</f>
        <v>21</v>
      </c>
      <c r="Y2" s="329"/>
      <c r="Z2" s="329" t="s">
        <v>634</v>
      </c>
      <c r="AA2" s="329" t="str">
        <f t="shared" ref="AA2:AA17" ca="1" si="8">IFERROR(INDEX($A$2:$K$17,MATCH(Z2,$B$2:$B$17,0),11),)</f>
        <v>D3-1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34</v>
      </c>
      <c r="AD2" s="329">
        <f t="shared" ref="AD2:AD17" ca="1" si="11">SUM(AB2:AC2)</f>
        <v>101</v>
      </c>
      <c r="AE2" s="236">
        <f t="shared" ref="AE2:AE17" ca="1" si="12">AB2/AD2</f>
        <v>0.6633663366336634</v>
      </c>
      <c r="AF2" s="330">
        <f t="shared" ref="AF2:AF17" ca="1" si="13">AE2-(100-AB2)</f>
        <v>-32.336633663366335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618</v>
      </c>
      <c r="C3" s="105">
        <v>6</v>
      </c>
      <c r="D3" s="106">
        <v>11</v>
      </c>
      <c r="E3" s="106">
        <v>3</v>
      </c>
      <c r="F3" s="235">
        <f t="shared" si="0"/>
        <v>20</v>
      </c>
      <c r="G3" s="235">
        <f>C2+D5+E4</f>
        <v>28</v>
      </c>
      <c r="H3" s="235">
        <f t="shared" si="1"/>
        <v>48</v>
      </c>
      <c r="I3" s="236">
        <f t="shared" si="2"/>
        <v>0.41666666666666669</v>
      </c>
      <c r="J3" s="424">
        <f t="shared" ca="1" si="3"/>
        <v>3</v>
      </c>
      <c r="K3" s="425" t="str">
        <f t="shared" ca="1" si="4"/>
        <v>D1-3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79</v>
      </c>
      <c r="AA3" s="329" t="str">
        <f t="shared" ca="1" si="8"/>
        <v>D4-2</v>
      </c>
      <c r="AB3" s="329">
        <f t="shared" ca="1" si="9"/>
        <v>61</v>
      </c>
      <c r="AC3" s="329">
        <f t="shared" ca="1" si="10"/>
        <v>57</v>
      </c>
      <c r="AD3" s="329">
        <f t="shared" ca="1" si="11"/>
        <v>118</v>
      </c>
      <c r="AE3" s="236">
        <f t="shared" ca="1" si="12"/>
        <v>0.51694915254237284</v>
      </c>
      <c r="AF3" s="333">
        <f t="shared" ca="1" si="13"/>
        <v>-38.483050847457626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619</v>
      </c>
      <c r="C4" s="107">
        <v>11</v>
      </c>
      <c r="D4" s="108">
        <v>7</v>
      </c>
      <c r="E4" s="106">
        <v>11</v>
      </c>
      <c r="F4" s="235">
        <f t="shared" si="0"/>
        <v>29</v>
      </c>
      <c r="G4" s="235">
        <f>C5+D2+E3</f>
        <v>17</v>
      </c>
      <c r="H4" s="235">
        <f t="shared" si="1"/>
        <v>46</v>
      </c>
      <c r="I4" s="236">
        <f t="shared" si="2"/>
        <v>0.63043478260869568</v>
      </c>
      <c r="J4" s="424">
        <f t="shared" ca="1" si="3"/>
        <v>2</v>
      </c>
      <c r="K4" s="425" t="str">
        <f t="shared" ca="1" si="4"/>
        <v>D1-2</v>
      </c>
      <c r="L4" s="499" t="s">
        <v>265</v>
      </c>
      <c r="M4" s="218" t="str">
        <f t="shared" ca="1" si="5"/>
        <v>Tamara Hutcheson &amp; Jacqui O'Connor</v>
      </c>
      <c r="N4" s="421"/>
      <c r="O4" s="422"/>
      <c r="P4" s="242">
        <v>11</v>
      </c>
      <c r="Q4" s="243">
        <v>10</v>
      </c>
      <c r="R4" s="244">
        <v>11</v>
      </c>
      <c r="S4" s="245">
        <v>6</v>
      </c>
      <c r="T4" s="246">
        <v>8</v>
      </c>
      <c r="U4" s="243">
        <v>12</v>
      </c>
      <c r="V4" s="223">
        <f t="shared" ref="V4:W4" si="16">(N4+P4+R4+T4)</f>
        <v>30</v>
      </c>
      <c r="W4" s="223">
        <f t="shared" si="16"/>
        <v>28</v>
      </c>
      <c r="X4" s="223">
        <f t="shared" si="7"/>
        <v>58</v>
      </c>
      <c r="Y4" s="329"/>
      <c r="Z4" s="329" t="s">
        <v>644</v>
      </c>
      <c r="AA4" s="329" t="str">
        <f t="shared" ca="1" si="8"/>
        <v>D4-1</v>
      </c>
      <c r="AB4" s="329">
        <f t="shared" ca="1" si="9"/>
        <v>52</v>
      </c>
      <c r="AC4" s="329">
        <f t="shared" ca="1" si="10"/>
        <v>39</v>
      </c>
      <c r="AD4" s="329">
        <f t="shared" ca="1" si="11"/>
        <v>91</v>
      </c>
      <c r="AE4" s="236">
        <f t="shared" ca="1" si="12"/>
        <v>0.5714285714285714</v>
      </c>
      <c r="AF4" s="341">
        <f t="shared" ca="1" si="13"/>
        <v>-47.428571428571431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621</v>
      </c>
      <c r="C5" s="109">
        <v>3</v>
      </c>
      <c r="D5" s="110">
        <v>6</v>
      </c>
      <c r="E5" s="111">
        <v>3</v>
      </c>
      <c r="F5" s="252">
        <f t="shared" si="0"/>
        <v>12</v>
      </c>
      <c r="G5" s="252">
        <f>C4+D3+E2</f>
        <v>33</v>
      </c>
      <c r="H5" s="252">
        <f t="shared" si="1"/>
        <v>45</v>
      </c>
      <c r="I5" s="253">
        <f t="shared" si="2"/>
        <v>0.26666666666666666</v>
      </c>
      <c r="J5" s="429">
        <f t="shared" ca="1" si="3"/>
        <v>4</v>
      </c>
      <c r="K5" s="430" t="str">
        <f t="shared" ca="1" si="4"/>
        <v>D1-4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616</v>
      </c>
      <c r="AA5" s="337" t="str">
        <f t="shared" ca="1" si="8"/>
        <v>D1-1</v>
      </c>
      <c r="AB5" s="337">
        <f t="shared" ca="1" si="9"/>
        <v>43</v>
      </c>
      <c r="AC5" s="337">
        <f t="shared" ca="1" si="10"/>
        <v>27</v>
      </c>
      <c r="AD5" s="337">
        <f t="shared" ca="1" si="11"/>
        <v>70</v>
      </c>
      <c r="AE5" s="253">
        <f t="shared" ca="1" si="12"/>
        <v>0.61428571428571432</v>
      </c>
      <c r="AF5" s="338">
        <f t="shared" ca="1" si="13"/>
        <v>-56.385714285714286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622</v>
      </c>
      <c r="C6" s="148">
        <v>2</v>
      </c>
      <c r="D6" s="165">
        <v>10</v>
      </c>
      <c r="E6" s="165">
        <v>11</v>
      </c>
      <c r="F6" s="213">
        <f t="shared" si="0"/>
        <v>23</v>
      </c>
      <c r="G6" s="213">
        <f>C7+D8+E9</f>
        <v>25</v>
      </c>
      <c r="H6" s="213">
        <f t="shared" si="1"/>
        <v>48</v>
      </c>
      <c r="I6" s="214">
        <f t="shared" si="2"/>
        <v>0.47916666666666669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499" t="s">
        <v>225</v>
      </c>
      <c r="M6" s="218" t="str">
        <f t="shared" ca="1" si="5"/>
        <v>Romy Carlson &amp; Doris Saltkill</v>
      </c>
      <c r="N6" s="421"/>
      <c r="O6" s="422"/>
      <c r="P6" s="220">
        <v>10</v>
      </c>
      <c r="Q6" s="221">
        <v>11</v>
      </c>
      <c r="R6" s="244"/>
      <c r="S6" s="245"/>
      <c r="T6" s="246"/>
      <c r="U6" s="243"/>
      <c r="V6" s="223">
        <f t="shared" ref="V6:W6" si="19">(N6+P6+R6+T6)</f>
        <v>10</v>
      </c>
      <c r="W6" s="223">
        <f t="shared" si="19"/>
        <v>11</v>
      </c>
      <c r="X6" s="223">
        <f t="shared" si="7"/>
        <v>21</v>
      </c>
      <c r="Y6" s="340"/>
      <c r="Z6" s="340" t="s">
        <v>623</v>
      </c>
      <c r="AA6" s="340" t="str">
        <f t="shared" ca="1" si="8"/>
        <v>D2-1</v>
      </c>
      <c r="AB6" s="340">
        <f t="shared" ca="1" si="9"/>
        <v>43</v>
      </c>
      <c r="AC6" s="340">
        <f t="shared" ca="1" si="10"/>
        <v>37</v>
      </c>
      <c r="AD6" s="340">
        <f t="shared" ca="1" si="11"/>
        <v>80</v>
      </c>
      <c r="AE6" s="214">
        <f t="shared" ca="1" si="12"/>
        <v>0.53749999999999998</v>
      </c>
      <c r="AF6" s="341">
        <f t="shared" ca="1" si="13"/>
        <v>-56.462499999999999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625</v>
      </c>
      <c r="C7" s="105">
        <v>11</v>
      </c>
      <c r="D7" s="106">
        <v>11</v>
      </c>
      <c r="E7" s="106">
        <v>9</v>
      </c>
      <c r="F7" s="235">
        <f t="shared" si="0"/>
        <v>31</v>
      </c>
      <c r="G7" s="235">
        <f>C6+D9+E8</f>
        <v>17</v>
      </c>
      <c r="H7" s="235">
        <f t="shared" si="1"/>
        <v>48</v>
      </c>
      <c r="I7" s="236">
        <f t="shared" si="2"/>
        <v>0.64583333333333337</v>
      </c>
      <c r="J7" s="424">
        <f t="shared" ca="1" si="18"/>
        <v>2</v>
      </c>
      <c r="K7" s="425" t="str">
        <f t="shared" ca="1" si="4"/>
        <v>D2-2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628</v>
      </c>
      <c r="AA7" s="329" t="str">
        <f t="shared" ca="1" si="8"/>
        <v>D3-2</v>
      </c>
      <c r="AB7" s="329">
        <f t="shared" ca="1" si="9"/>
        <v>43</v>
      </c>
      <c r="AC7" s="329">
        <f t="shared" ca="1" si="10"/>
        <v>40</v>
      </c>
      <c r="AD7" s="329">
        <f t="shared" ca="1" si="11"/>
        <v>83</v>
      </c>
      <c r="AE7" s="236">
        <f t="shared" ca="1" si="12"/>
        <v>0.51807228915662651</v>
      </c>
      <c r="AF7" s="341">
        <f t="shared" ca="1" si="13"/>
        <v>-56.481927710843372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623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26</v>
      </c>
      <c r="H8" s="235">
        <f t="shared" si="1"/>
        <v>59</v>
      </c>
      <c r="I8" s="236">
        <f t="shared" si="2"/>
        <v>0.55932203389830504</v>
      </c>
      <c r="J8" s="424">
        <f t="shared" ca="1" si="18"/>
        <v>1</v>
      </c>
      <c r="K8" s="425" t="str">
        <f t="shared" ca="1" si="4"/>
        <v>D2-1</v>
      </c>
      <c r="L8" s="499" t="s">
        <v>253</v>
      </c>
      <c r="M8" s="218" t="str">
        <f t="shared" ca="1" si="5"/>
        <v>Cynthia Gerdes &amp; Lauren Liguore</v>
      </c>
      <c r="N8" s="421"/>
      <c r="O8" s="422"/>
      <c r="P8" s="242">
        <v>11</v>
      </c>
      <c r="Q8" s="243">
        <v>10</v>
      </c>
      <c r="R8" s="244">
        <v>6</v>
      </c>
      <c r="S8" s="245">
        <v>11</v>
      </c>
      <c r="T8" s="246"/>
      <c r="U8" s="243"/>
      <c r="V8" s="223">
        <f t="shared" ref="V8:W8" si="21">(N8+P8+R8+T8)</f>
        <v>17</v>
      </c>
      <c r="W8" s="223">
        <f t="shared" si="21"/>
        <v>21</v>
      </c>
      <c r="X8" s="223">
        <f t="shared" si="7"/>
        <v>38</v>
      </c>
      <c r="Y8" s="329"/>
      <c r="Z8" s="329" t="s">
        <v>619</v>
      </c>
      <c r="AA8" s="329" t="str">
        <f t="shared" ca="1" si="8"/>
        <v>D1-2</v>
      </c>
      <c r="AB8" s="329">
        <f t="shared" ca="1" si="9"/>
        <v>38</v>
      </c>
      <c r="AC8" s="329">
        <f t="shared" ca="1" si="10"/>
        <v>28</v>
      </c>
      <c r="AD8" s="329">
        <f t="shared" ca="1" si="11"/>
        <v>66</v>
      </c>
      <c r="AE8" s="236">
        <f t="shared" ca="1" si="12"/>
        <v>0.5757575757575758</v>
      </c>
      <c r="AF8" s="341">
        <f t="shared" ca="1" si="13"/>
        <v>-61.424242424242422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631</v>
      </c>
      <c r="C9" s="109">
        <v>7</v>
      </c>
      <c r="D9" s="110">
        <v>4</v>
      </c>
      <c r="E9" s="111">
        <v>3</v>
      </c>
      <c r="F9" s="252">
        <f t="shared" si="0"/>
        <v>14</v>
      </c>
      <c r="G9" s="252">
        <f>C8+D7+E6</f>
        <v>33</v>
      </c>
      <c r="H9" s="252">
        <f t="shared" si="1"/>
        <v>47</v>
      </c>
      <c r="I9" s="253">
        <f t="shared" si="2"/>
        <v>0.2978723404255319</v>
      </c>
      <c r="J9" s="429">
        <f t="shared" ca="1" si="18"/>
        <v>4</v>
      </c>
      <c r="K9" s="430" t="str">
        <f t="shared" ca="1" si="4"/>
        <v>D2-4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625</v>
      </c>
      <c r="AA9" s="337" t="str">
        <f t="shared" ca="1" si="8"/>
        <v>D2-2</v>
      </c>
      <c r="AB9" s="337">
        <f t="shared" ca="1" si="9"/>
        <v>38</v>
      </c>
      <c r="AC9" s="337">
        <f t="shared" ca="1" si="10"/>
        <v>28</v>
      </c>
      <c r="AD9" s="337">
        <f t="shared" ca="1" si="11"/>
        <v>66</v>
      </c>
      <c r="AE9" s="253">
        <f t="shared" ca="1" si="12"/>
        <v>0.5757575757575758</v>
      </c>
      <c r="AF9" s="338">
        <f t="shared" ca="1" si="13"/>
        <v>-61.424242424242422</v>
      </c>
      <c r="AG9" s="434">
        <f t="shared" ca="1" si="14"/>
        <v>7</v>
      </c>
      <c r="AH9" s="398"/>
    </row>
    <row r="10" spans="1:34" ht="15" customHeight="1">
      <c r="A10" s="217" t="s">
        <v>1369</v>
      </c>
      <c r="B10" s="107" t="s">
        <v>633</v>
      </c>
      <c r="C10" s="148">
        <v>4</v>
      </c>
      <c r="D10" s="165">
        <v>3</v>
      </c>
      <c r="E10" s="165">
        <v>4</v>
      </c>
      <c r="F10" s="213">
        <f t="shared" si="0"/>
        <v>11</v>
      </c>
      <c r="G10" s="213">
        <f>C11+D12+E13</f>
        <v>33</v>
      </c>
      <c r="H10" s="213">
        <f t="shared" si="1"/>
        <v>44</v>
      </c>
      <c r="I10" s="214">
        <f t="shared" si="2"/>
        <v>0.25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499" t="s">
        <v>243</v>
      </c>
      <c r="M10" s="218" t="str">
        <f t="shared" ca="1" si="5"/>
        <v>Mary Thornton &amp; Christie Meller</v>
      </c>
      <c r="N10" s="421"/>
      <c r="O10" s="422"/>
      <c r="P10" s="220">
        <v>11</v>
      </c>
      <c r="Q10" s="221">
        <v>7</v>
      </c>
      <c r="R10" s="217">
        <v>11</v>
      </c>
      <c r="S10" s="219">
        <v>8</v>
      </c>
      <c r="T10" s="246">
        <v>12</v>
      </c>
      <c r="U10" s="243">
        <v>8</v>
      </c>
      <c r="V10" s="223">
        <f t="shared" ref="V10:W10" si="24">(N10+P10+R10+T10)</f>
        <v>34</v>
      </c>
      <c r="W10" s="223">
        <f t="shared" si="24"/>
        <v>23</v>
      </c>
      <c r="X10" s="223">
        <f t="shared" si="7"/>
        <v>57</v>
      </c>
      <c r="Y10" s="329"/>
      <c r="Z10" s="329" t="s">
        <v>649</v>
      </c>
      <c r="AA10" s="329" t="str">
        <f t="shared" ca="1" si="8"/>
        <v>D4-3</v>
      </c>
      <c r="AB10" s="329">
        <f t="shared" ca="1" si="9"/>
        <v>26</v>
      </c>
      <c r="AC10" s="329">
        <f t="shared" ca="1" si="10"/>
        <v>25</v>
      </c>
      <c r="AD10" s="329">
        <f t="shared" ca="1" si="11"/>
        <v>51</v>
      </c>
      <c r="AE10" s="236">
        <f t="shared" ca="1" si="12"/>
        <v>0.50980392156862742</v>
      </c>
      <c r="AF10" s="333">
        <f t="shared" ca="1" si="13"/>
        <v>-73.490196078431367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628</v>
      </c>
      <c r="C11" s="105">
        <v>11</v>
      </c>
      <c r="D11" s="106">
        <v>11</v>
      </c>
      <c r="E11" s="106">
        <v>4</v>
      </c>
      <c r="F11" s="235">
        <f t="shared" si="0"/>
        <v>26</v>
      </c>
      <c r="G11" s="235">
        <f>C10+D13+E12</f>
        <v>19</v>
      </c>
      <c r="H11" s="235">
        <f t="shared" si="1"/>
        <v>45</v>
      </c>
      <c r="I11" s="236">
        <f t="shared" si="2"/>
        <v>0.57777777777777772</v>
      </c>
      <c r="J11" s="424">
        <f t="shared" ca="1" si="23"/>
        <v>2</v>
      </c>
      <c r="K11" s="425" t="str">
        <f t="shared" ca="1" si="4"/>
        <v>D3-2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622</v>
      </c>
      <c r="AA11" s="329" t="str">
        <f t="shared" ca="1" si="8"/>
        <v>D2-3</v>
      </c>
      <c r="AB11" s="329">
        <f t="shared" ca="1" si="9"/>
        <v>23</v>
      </c>
      <c r="AC11" s="329">
        <f t="shared" ca="1" si="10"/>
        <v>25</v>
      </c>
      <c r="AD11" s="329">
        <f t="shared" ca="1" si="11"/>
        <v>48</v>
      </c>
      <c r="AE11" s="236">
        <f t="shared" ca="1" si="12"/>
        <v>0.47916666666666669</v>
      </c>
      <c r="AF11" s="333">
        <f t="shared" ca="1" si="13"/>
        <v>-76.520833333333329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634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11</v>
      </c>
      <c r="H12" s="235">
        <f t="shared" si="1"/>
        <v>44</v>
      </c>
      <c r="I12" s="236">
        <f t="shared" si="2"/>
        <v>0.75</v>
      </c>
      <c r="J12" s="424">
        <f t="shared" ca="1" si="23"/>
        <v>1</v>
      </c>
      <c r="K12" s="425" t="str">
        <f t="shared" ca="1" si="4"/>
        <v>D3-1</v>
      </c>
      <c r="L12" s="499" t="s">
        <v>230</v>
      </c>
      <c r="M12" s="218" t="str">
        <f t="shared" ca="1" si="5"/>
        <v>Kathy Goggin &amp; Alicia Howe</v>
      </c>
      <c r="N12" s="421"/>
      <c r="O12" s="422"/>
      <c r="P12" s="242">
        <v>7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7</v>
      </c>
      <c r="W12" s="223">
        <f t="shared" si="26"/>
        <v>11</v>
      </c>
      <c r="X12" s="223">
        <f t="shared" si="7"/>
        <v>18</v>
      </c>
      <c r="Y12" s="329"/>
      <c r="Z12" s="329" t="s">
        <v>618</v>
      </c>
      <c r="AA12" s="329" t="str">
        <f t="shared" ca="1" si="8"/>
        <v>D1-3</v>
      </c>
      <c r="AB12" s="329">
        <f t="shared" ca="1" si="9"/>
        <v>20</v>
      </c>
      <c r="AC12" s="329">
        <f t="shared" ca="1" si="10"/>
        <v>28</v>
      </c>
      <c r="AD12" s="329">
        <f t="shared" ca="1" si="11"/>
        <v>48</v>
      </c>
      <c r="AE12" s="236">
        <f t="shared" ca="1" si="12"/>
        <v>0.41666666666666669</v>
      </c>
      <c r="AF12" s="343">
        <f t="shared" ca="1" si="13"/>
        <v>-79.583333333333329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641</v>
      </c>
      <c r="C13" s="109">
        <v>4</v>
      </c>
      <c r="D13" s="110">
        <v>4</v>
      </c>
      <c r="E13" s="111">
        <v>11</v>
      </c>
      <c r="F13" s="252">
        <f t="shared" si="0"/>
        <v>19</v>
      </c>
      <c r="G13" s="252">
        <f>C12+D11+E10</f>
        <v>26</v>
      </c>
      <c r="H13" s="252">
        <f t="shared" si="1"/>
        <v>45</v>
      </c>
      <c r="I13" s="253">
        <f t="shared" si="2"/>
        <v>0.42222222222222222</v>
      </c>
      <c r="J13" s="429">
        <f t="shared" ca="1" si="23"/>
        <v>3</v>
      </c>
      <c r="K13" s="430" t="str">
        <f t="shared" ca="1" si="4"/>
        <v>D3-3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641</v>
      </c>
      <c r="AA13" s="337" t="str">
        <f t="shared" ca="1" si="8"/>
        <v>D3-3</v>
      </c>
      <c r="AB13" s="337">
        <f t="shared" ca="1" si="9"/>
        <v>19</v>
      </c>
      <c r="AC13" s="337">
        <f t="shared" ca="1" si="10"/>
        <v>26</v>
      </c>
      <c r="AD13" s="337">
        <f t="shared" ca="1" si="11"/>
        <v>45</v>
      </c>
      <c r="AE13" s="253">
        <f t="shared" ca="1" si="12"/>
        <v>0.42222222222222222</v>
      </c>
      <c r="AF13" s="345">
        <f t="shared" ca="1" si="13"/>
        <v>-80.577777777777783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79</v>
      </c>
      <c r="C14" s="148">
        <v>11</v>
      </c>
      <c r="D14" s="165">
        <v>9</v>
      </c>
      <c r="E14" s="165">
        <v>11</v>
      </c>
      <c r="F14" s="213">
        <f t="shared" si="0"/>
        <v>31</v>
      </c>
      <c r="G14" s="213">
        <f>C15+D16+E17</f>
        <v>29</v>
      </c>
      <c r="H14" s="213">
        <f t="shared" si="1"/>
        <v>60</v>
      </c>
      <c r="I14" s="214">
        <f t="shared" si="2"/>
        <v>0.51666666666666672</v>
      </c>
      <c r="J14" s="424">
        <f t="shared" ref="J14:J17" ca="1" si="28">IFERROR(RANK(F14,OFFSET($F$14,0,0,COUNTA($F$14:$F$17),1)),)</f>
        <v>2</v>
      </c>
      <c r="K14" s="419" t="str">
        <f t="shared" ca="1" si="4"/>
        <v>D4-2</v>
      </c>
      <c r="L14" s="499" t="s">
        <v>263</v>
      </c>
      <c r="M14" s="218" t="str">
        <f t="shared" ca="1" si="5"/>
        <v>Maria Moore &amp; Loras Heck</v>
      </c>
      <c r="N14" s="421"/>
      <c r="O14" s="422"/>
      <c r="P14" s="220">
        <v>11</v>
      </c>
      <c r="Q14" s="221">
        <v>9</v>
      </c>
      <c r="R14" s="244">
        <v>8</v>
      </c>
      <c r="S14" s="245">
        <v>11</v>
      </c>
      <c r="T14" s="246"/>
      <c r="U14" s="243"/>
      <c r="V14" s="223">
        <f t="shared" ref="V14:W14" si="29">(N14+P14+R14+T14)</f>
        <v>19</v>
      </c>
      <c r="W14" s="223">
        <f t="shared" si="29"/>
        <v>20</v>
      </c>
      <c r="X14" s="223">
        <f t="shared" si="7"/>
        <v>39</v>
      </c>
      <c r="Y14" s="329"/>
      <c r="Z14" s="329" t="s">
        <v>1384</v>
      </c>
      <c r="AA14" s="329" t="str">
        <f t="shared" ca="1" si="8"/>
        <v>D4-4</v>
      </c>
      <c r="AB14" s="329">
        <f t="shared" ca="1" si="9"/>
        <v>16</v>
      </c>
      <c r="AC14" s="329">
        <f t="shared" ca="1" si="10"/>
        <v>33</v>
      </c>
      <c r="AD14" s="329">
        <f t="shared" ca="1" si="11"/>
        <v>49</v>
      </c>
      <c r="AE14" s="360">
        <f t="shared" ca="1" si="12"/>
        <v>0.32653061224489793</v>
      </c>
      <c r="AF14" s="343">
        <f t="shared" ca="1" si="13"/>
        <v>-83.673469387755105</v>
      </c>
      <c r="AG14" s="428">
        <f t="shared" ca="1" si="14"/>
        <v>13</v>
      </c>
      <c r="AH14" s="398"/>
    </row>
    <row r="15" spans="1:34" ht="15" customHeight="1">
      <c r="A15" s="244" t="s">
        <v>1371</v>
      </c>
      <c r="B15" s="107" t="s">
        <v>1384</v>
      </c>
      <c r="C15" s="105">
        <v>8</v>
      </c>
      <c r="D15" s="106">
        <v>3</v>
      </c>
      <c r="E15" s="106">
        <v>5</v>
      </c>
      <c r="F15" s="235">
        <f t="shared" si="0"/>
        <v>16</v>
      </c>
      <c r="G15" s="235">
        <f>C14+D17+E16</f>
        <v>33</v>
      </c>
      <c r="H15" s="235">
        <f t="shared" si="1"/>
        <v>49</v>
      </c>
      <c r="I15" s="236">
        <f t="shared" si="2"/>
        <v>0.32653061224489793</v>
      </c>
      <c r="J15" s="424">
        <f t="shared" ca="1" si="28"/>
        <v>4</v>
      </c>
      <c r="K15" s="425" t="str">
        <f t="shared" ca="1" si="4"/>
        <v>D4-4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631</v>
      </c>
      <c r="AA15" s="329" t="str">
        <f t="shared" ca="1" si="8"/>
        <v>D2-4</v>
      </c>
      <c r="AB15" s="329">
        <f t="shared" ca="1" si="9"/>
        <v>14</v>
      </c>
      <c r="AC15" s="329">
        <f t="shared" ca="1" si="10"/>
        <v>33</v>
      </c>
      <c r="AD15" s="329">
        <f t="shared" ca="1" si="11"/>
        <v>47</v>
      </c>
      <c r="AE15" s="236">
        <f t="shared" ca="1" si="12"/>
        <v>0.2978723404255319</v>
      </c>
      <c r="AF15" s="333">
        <f t="shared" ca="1" si="13"/>
        <v>-85.702127659574472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644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19</v>
      </c>
      <c r="H16" s="235">
        <f t="shared" si="1"/>
        <v>52</v>
      </c>
      <c r="I16" s="236">
        <f t="shared" si="2"/>
        <v>0.63461538461538458</v>
      </c>
      <c r="J16" s="424">
        <f t="shared" ca="1" si="28"/>
        <v>1</v>
      </c>
      <c r="K16" s="425" t="str">
        <f t="shared" ca="1" si="4"/>
        <v>D4-1</v>
      </c>
      <c r="L16" s="499" t="s">
        <v>218</v>
      </c>
      <c r="M16" s="437" t="str">
        <f t="shared" ca="1" si="5"/>
        <v>Chan Townsend &amp; Tina Kempf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621</v>
      </c>
      <c r="AA16" s="329" t="str">
        <f t="shared" ca="1" si="8"/>
        <v>D1-4</v>
      </c>
      <c r="AB16" s="329">
        <f t="shared" ca="1" si="9"/>
        <v>12</v>
      </c>
      <c r="AC16" s="329">
        <f t="shared" ca="1" si="10"/>
        <v>33</v>
      </c>
      <c r="AD16" s="329">
        <f t="shared" ca="1" si="11"/>
        <v>45</v>
      </c>
      <c r="AE16" s="236">
        <f t="shared" ca="1" si="12"/>
        <v>0.26666666666666666</v>
      </c>
      <c r="AF16" s="341">
        <f t="shared" ca="1" si="13"/>
        <v>-87.733333333333334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649</v>
      </c>
      <c r="C17" s="109">
        <v>5</v>
      </c>
      <c r="D17" s="110">
        <v>11</v>
      </c>
      <c r="E17" s="111">
        <v>10</v>
      </c>
      <c r="F17" s="252">
        <f t="shared" si="0"/>
        <v>26</v>
      </c>
      <c r="G17" s="252">
        <f>C16+D15+E14</f>
        <v>25</v>
      </c>
      <c r="H17" s="252">
        <f t="shared" si="1"/>
        <v>51</v>
      </c>
      <c r="I17" s="253">
        <f t="shared" si="2"/>
        <v>0.50980392156862742</v>
      </c>
      <c r="J17" s="429">
        <f t="shared" ca="1" si="28"/>
        <v>3</v>
      </c>
      <c r="K17" s="430" t="str">
        <f t="shared" ca="1" si="4"/>
        <v>D4-3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633</v>
      </c>
      <c r="AA17" s="337" t="str">
        <f t="shared" ca="1" si="8"/>
        <v>D3-4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127</v>
      </c>
      <c r="D19" s="289">
        <f t="shared" si="33"/>
        <v>134</v>
      </c>
      <c r="E19" s="289">
        <f>SUM(E2:E18)</f>
        <v>129</v>
      </c>
      <c r="F19" s="290">
        <f t="shared" ref="F19:G19" si="34">SUM(F2:F17)</f>
        <v>390</v>
      </c>
      <c r="G19" s="290">
        <f t="shared" si="34"/>
        <v>390</v>
      </c>
      <c r="H19" s="292">
        <f>SUM(H2:H17)/2</f>
        <v>390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80</v>
      </c>
      <c r="Q19" s="287">
        <f t="shared" si="35"/>
        <v>80</v>
      </c>
      <c r="R19" s="287">
        <f t="shared" si="35"/>
        <v>36</v>
      </c>
      <c r="S19" s="287">
        <f t="shared" si="35"/>
        <v>36</v>
      </c>
      <c r="T19" s="287">
        <f t="shared" si="35"/>
        <v>20</v>
      </c>
      <c r="U19" s="287">
        <f t="shared" si="35"/>
        <v>20</v>
      </c>
      <c r="V19" s="287">
        <f t="shared" si="35"/>
        <v>136</v>
      </c>
      <c r="W19" s="287">
        <f t="shared" si="35"/>
        <v>136</v>
      </c>
      <c r="X19" s="287">
        <f>SUM(X2:X17)/2</f>
        <v>136</v>
      </c>
      <c r="Y19" s="287"/>
      <c r="Z19" s="287"/>
      <c r="AA19" s="287"/>
      <c r="AB19" s="287">
        <f t="shared" ref="AB19:AD19" ca="1" si="36">SUM(AB2:AB17)/2</f>
        <v>263</v>
      </c>
      <c r="AC19" s="287">
        <f t="shared" ca="1" si="36"/>
        <v>263</v>
      </c>
      <c r="AD19" s="287">
        <f t="shared" ca="1" si="36"/>
        <v>526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1</v>
      </c>
      <c r="E20" s="294">
        <f t="shared" si="37"/>
        <v>1</v>
      </c>
      <c r="F20" s="296"/>
      <c r="G20" s="296"/>
      <c r="H20" s="297">
        <f>AVERAGE(H2:H17)</f>
        <v>48.75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2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98">
        <f ca="1">AVERAGE(AD2:AD17)</f>
        <v>65.75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17" priority="4" operator="equal">
      <formula>33</formula>
    </cfRule>
  </conditionalFormatting>
  <conditionalFormatting sqref="M2:U17">
    <cfRule type="expression" dxfId="16" priority="1">
      <formula>$T2&gt;U2</formula>
    </cfRule>
  </conditionalFormatting>
  <conditionalFormatting sqref="P2:Q17">
    <cfRule type="expression" dxfId="15" priority="2">
      <formula>$P2=11</formula>
    </cfRule>
  </conditionalFormatting>
  <conditionalFormatting sqref="R2:S17">
    <cfRule type="expression" dxfId="14" priority="3">
      <formula>$R2=11</formula>
    </cfRule>
  </conditionalFormatting>
  <hyperlinks>
    <hyperlink ref="A1" location="Champions!A1" display="Home" xr:uid="{00000000-0004-0000-1E00-000000000000}"/>
    <hyperlink ref="AH1" location="Champions!A1" display="Home" xr:uid="{00000000-0004-0000-1E00-000001000000}"/>
    <hyperlink ref="A19" location="Champions!A1" display="Home" xr:uid="{00000000-0004-0000-1E00-000002000000}"/>
    <hyperlink ref="K19" location="Champions!A1" display="Home" xr:uid="{00000000-0004-0000-1E00-000003000000}"/>
  </hyperlinks>
  <pageMargins left="0.7" right="0.7" top="0.75" bottom="0.75" header="0" footer="0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H36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9.72656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0.1796875" customWidth="1"/>
    <col min="13" max="13" width="27.81640625" customWidth="1"/>
    <col min="14" max="21" width="6.26953125" customWidth="1"/>
    <col min="22" max="24" width="7.7265625" customWidth="1"/>
    <col min="25" max="25" width="6.81640625" customWidth="1"/>
    <col min="26" max="26" width="31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562</v>
      </c>
      <c r="C2" s="148">
        <v>9</v>
      </c>
      <c r="D2" s="165">
        <v>1</v>
      </c>
      <c r="E2" s="165">
        <v>0</v>
      </c>
      <c r="F2" s="213">
        <f t="shared" ref="F2:F33" si="0">SUM(C2:E2)</f>
        <v>10</v>
      </c>
      <c r="G2" s="213">
        <f>C3+D4+E5</f>
        <v>33</v>
      </c>
      <c r="H2" s="213">
        <f t="shared" ref="H2:H33" si="1">SUM(F2:G2)</f>
        <v>43</v>
      </c>
      <c r="I2" s="214">
        <f t="shared" ref="I2:I33" si="2">IFERROR(F2/H2,"")</f>
        <v>0.23255813953488372</v>
      </c>
      <c r="J2" s="445">
        <f t="shared" ref="J2:J5" ca="1" si="3">IFERROR(RANK(F2,OFFSET($F$2,0,0,COUNTA($F$2:$F$5),1)),)</f>
        <v>4</v>
      </c>
      <c r="K2" s="419" t="str">
        <f t="shared" ref="K2:K33" ca="1" si="4">A2&amp;"-"&amp;J2</f>
        <v>D1-4</v>
      </c>
      <c r="L2" s="499" t="s">
        <v>207</v>
      </c>
      <c r="M2" s="217" t="str">
        <f t="shared" ref="M2:M33" ca="1" si="5">IFERROR(INDEX($A$2:$K$33,MATCH(L2,$K$2:$K$33,0),2),)</f>
        <v>Scott Siemers &amp; Carrie Lapin</v>
      </c>
      <c r="N2" s="340">
        <v>11</v>
      </c>
      <c r="O2" s="340">
        <v>9</v>
      </c>
      <c r="P2" s="220">
        <v>11</v>
      </c>
      <c r="Q2" s="221">
        <v>10</v>
      </c>
      <c r="R2" s="219">
        <v>10</v>
      </c>
      <c r="S2" s="219">
        <v>11</v>
      </c>
      <c r="T2" s="221"/>
      <c r="U2" s="221"/>
      <c r="V2" s="452">
        <f t="shared" ref="V2:W2" si="6">(N2+P2+R2+T2)</f>
        <v>32</v>
      </c>
      <c r="W2" s="452">
        <f t="shared" si="6"/>
        <v>30</v>
      </c>
      <c r="X2" s="452">
        <f t="shared" ref="X2:X33" si="7">V2+W2</f>
        <v>62</v>
      </c>
      <c r="Y2" s="329"/>
      <c r="Z2" s="329" t="s">
        <v>587</v>
      </c>
      <c r="AA2" s="329" t="str">
        <f t="shared" ref="AA2:AA33" ca="1" si="8">IFERROR(INDEX($A$2:$K$33,MATCH(Z2,$B$2:$B$33,0),11),)</f>
        <v>D5-1</v>
      </c>
      <c r="AB2" s="329">
        <f t="shared" ref="AB2:AB33" ca="1" si="9">IFERROR((INDEX($A$2:$H$33,MATCH($Z2,$B$2:$B$33,0),6))+INDEX($M$2:$X$33,MATCH($Z2,$M$2:$M$33,0),10),INDEX($B$2:$G$33,MATCH($Z2,$B$2:$B$33,0),5))</f>
        <v>77</v>
      </c>
      <c r="AC2" s="329">
        <f t="shared" ref="AC2:AC33" ca="1" si="10">IFERROR((INDEX($A$2:$H$33,MATCH($Z2,$B$2:$B$33,0),7))+INDEX($M$2:$X$33,MATCH($Z2,$M$2:$M$33,0),11),INDEX($B$2:$G$33,MATCH($Z2,$B$2:$B$33,0),6))</f>
        <v>42</v>
      </c>
      <c r="AD2" s="329">
        <f t="shared" ref="AD2:AD33" ca="1" si="11">SUM(AB2:AC2)</f>
        <v>119</v>
      </c>
      <c r="AE2" s="236">
        <f t="shared" ref="AE2:AE33" ca="1" si="12">AB2/AD2</f>
        <v>0.6470588235294118</v>
      </c>
      <c r="AF2" s="330">
        <f t="shared" ref="AF2:AF33" ca="1" si="13">AE2-(100-AB2)</f>
        <v>-22.352941176470587</v>
      </c>
      <c r="AG2" s="432">
        <f t="shared" ref="AG2:AG33" ca="1" si="14">RANK($AF2,OFFSET($AF$2,0,0,COUNTA($AF$2:$AF$33),1))</f>
        <v>1</v>
      </c>
      <c r="AH2" s="398"/>
    </row>
    <row r="3" spans="1:34" ht="15" customHeight="1">
      <c r="A3" s="244" t="s">
        <v>1367</v>
      </c>
      <c r="B3" s="107" t="s">
        <v>564</v>
      </c>
      <c r="C3" s="105">
        <v>11</v>
      </c>
      <c r="D3" s="106">
        <v>2</v>
      </c>
      <c r="E3" s="106">
        <v>2</v>
      </c>
      <c r="F3" s="235">
        <f t="shared" si="0"/>
        <v>15</v>
      </c>
      <c r="G3" s="235">
        <f>C2+D5+E4</f>
        <v>31</v>
      </c>
      <c r="H3" s="235">
        <f t="shared" si="1"/>
        <v>46</v>
      </c>
      <c r="I3" s="236">
        <f t="shared" si="2"/>
        <v>0.32608695652173914</v>
      </c>
      <c r="J3" s="424">
        <f t="shared" ca="1" si="3"/>
        <v>3</v>
      </c>
      <c r="K3" s="425" t="str">
        <f t="shared" ca="1" si="4"/>
        <v>D1-3</v>
      </c>
      <c r="L3" s="500"/>
      <c r="M3" s="244">
        <f t="shared" ca="1" si="5"/>
        <v>0</v>
      </c>
      <c r="N3" s="329"/>
      <c r="O3" s="329"/>
      <c r="P3" s="242"/>
      <c r="Q3" s="243"/>
      <c r="R3" s="245"/>
      <c r="S3" s="245"/>
      <c r="T3" s="243"/>
      <c r="U3" s="243"/>
      <c r="V3" s="452">
        <f t="shared" ref="V3:W3" si="15">(N3+P3+R3+T3)</f>
        <v>0</v>
      </c>
      <c r="W3" s="452">
        <f t="shared" si="15"/>
        <v>0</v>
      </c>
      <c r="X3" s="452">
        <f t="shared" si="7"/>
        <v>0</v>
      </c>
      <c r="Y3" s="329"/>
      <c r="Z3" s="329" t="s">
        <v>73</v>
      </c>
      <c r="AA3" s="329" t="str">
        <f t="shared" ca="1" si="8"/>
        <v>D1-2</v>
      </c>
      <c r="AB3" s="459">
        <f t="shared" ca="1" si="9"/>
        <v>72</v>
      </c>
      <c r="AC3" s="459">
        <f t="shared" ca="1" si="10"/>
        <v>46</v>
      </c>
      <c r="AD3" s="329">
        <f t="shared" ca="1" si="11"/>
        <v>118</v>
      </c>
      <c r="AE3" s="236">
        <f t="shared" ca="1" si="12"/>
        <v>0.61016949152542377</v>
      </c>
      <c r="AF3" s="341">
        <f t="shared" ca="1" si="13"/>
        <v>-27.389830508474578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563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13</v>
      </c>
      <c r="H4" s="235">
        <f t="shared" si="1"/>
        <v>46</v>
      </c>
      <c r="I4" s="236">
        <f t="shared" si="2"/>
        <v>0.71739130434782605</v>
      </c>
      <c r="J4" s="424">
        <f t="shared" ca="1" si="3"/>
        <v>1</v>
      </c>
      <c r="K4" s="425" t="str">
        <f t="shared" ca="1" si="4"/>
        <v>D1-1</v>
      </c>
      <c r="L4" s="499" t="s">
        <v>265</v>
      </c>
      <c r="M4" s="244" t="str">
        <f t="shared" ca="1" si="5"/>
        <v>Ricky Carvajal &amp; Beth McDonald</v>
      </c>
      <c r="N4" s="329">
        <v>9</v>
      </c>
      <c r="O4" s="329">
        <v>11</v>
      </c>
      <c r="P4" s="242"/>
      <c r="Q4" s="243"/>
      <c r="R4" s="245"/>
      <c r="S4" s="245"/>
      <c r="T4" s="243"/>
      <c r="U4" s="243"/>
      <c r="V4" s="452">
        <f t="shared" ref="V4:W4" si="16">(N4+P4+R4+T4)</f>
        <v>9</v>
      </c>
      <c r="W4" s="452">
        <f t="shared" si="16"/>
        <v>11</v>
      </c>
      <c r="X4" s="452">
        <f t="shared" si="7"/>
        <v>20</v>
      </c>
      <c r="Y4" s="329"/>
      <c r="Z4" s="329" t="s">
        <v>563</v>
      </c>
      <c r="AA4" s="329" t="str">
        <f t="shared" ca="1" si="8"/>
        <v>D1-1</v>
      </c>
      <c r="AB4" s="459">
        <f t="shared" ca="1" si="9"/>
        <v>65</v>
      </c>
      <c r="AC4" s="459">
        <f t="shared" ca="1" si="10"/>
        <v>43</v>
      </c>
      <c r="AD4" s="329">
        <f t="shared" ca="1" si="11"/>
        <v>108</v>
      </c>
      <c r="AE4" s="236">
        <f t="shared" ca="1" si="12"/>
        <v>0.60185185185185186</v>
      </c>
      <c r="AF4" s="341">
        <f t="shared" ca="1" si="13"/>
        <v>-34.398148148148145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73</v>
      </c>
      <c r="C5" s="109">
        <v>10</v>
      </c>
      <c r="D5" s="110">
        <v>11</v>
      </c>
      <c r="E5" s="111">
        <v>11</v>
      </c>
      <c r="F5" s="252">
        <f t="shared" si="0"/>
        <v>32</v>
      </c>
      <c r="G5" s="252">
        <f>C4+D3+E2</f>
        <v>13</v>
      </c>
      <c r="H5" s="252">
        <f t="shared" si="1"/>
        <v>45</v>
      </c>
      <c r="I5" s="253">
        <f t="shared" si="2"/>
        <v>0.71111111111111114</v>
      </c>
      <c r="J5" s="429">
        <f t="shared" ca="1" si="3"/>
        <v>2</v>
      </c>
      <c r="K5" s="430" t="str">
        <f t="shared" ca="1" si="4"/>
        <v>D1-2</v>
      </c>
      <c r="L5" s="500"/>
      <c r="M5" s="239">
        <f t="shared" ca="1" si="5"/>
        <v>0</v>
      </c>
      <c r="N5" s="337"/>
      <c r="O5" s="337"/>
      <c r="P5" s="256"/>
      <c r="Q5" s="257"/>
      <c r="R5" s="241"/>
      <c r="S5" s="241"/>
      <c r="T5" s="257"/>
      <c r="U5" s="257"/>
      <c r="V5" s="453">
        <f t="shared" ref="V5:W5" si="17">(N5+P5+R5+T5)</f>
        <v>0</v>
      </c>
      <c r="W5" s="453">
        <f t="shared" si="17"/>
        <v>0</v>
      </c>
      <c r="X5" s="453">
        <f t="shared" si="7"/>
        <v>0</v>
      </c>
      <c r="Y5" s="337"/>
      <c r="Z5" s="337" t="s">
        <v>605</v>
      </c>
      <c r="AA5" s="337" t="str">
        <f t="shared" ca="1" si="8"/>
        <v>D7-1</v>
      </c>
      <c r="AB5" s="460">
        <f t="shared" ca="1" si="9"/>
        <v>59</v>
      </c>
      <c r="AC5" s="460">
        <f t="shared" ca="1" si="10"/>
        <v>38</v>
      </c>
      <c r="AD5" s="337">
        <f t="shared" ca="1" si="11"/>
        <v>97</v>
      </c>
      <c r="AE5" s="253">
        <f t="shared" ca="1" si="12"/>
        <v>0.60824742268041232</v>
      </c>
      <c r="AF5" s="338">
        <f t="shared" ca="1" si="13"/>
        <v>-40.391752577319586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567</v>
      </c>
      <c r="C6" s="148">
        <v>11</v>
      </c>
      <c r="D6" s="165">
        <v>11</v>
      </c>
      <c r="E6" s="165">
        <v>4</v>
      </c>
      <c r="F6" s="213">
        <f t="shared" si="0"/>
        <v>26</v>
      </c>
      <c r="G6" s="213">
        <f>C7+D8+E9</f>
        <v>19</v>
      </c>
      <c r="H6" s="213">
        <f t="shared" si="1"/>
        <v>45</v>
      </c>
      <c r="I6" s="214">
        <f t="shared" si="2"/>
        <v>0.57777777777777772</v>
      </c>
      <c r="J6" s="424">
        <f t="shared" ref="J6:J9" ca="1" si="18">IFERROR(RANK(F6,OFFSET($F$6,0,0,COUNTA($F$6:$F$9),1)),)</f>
        <v>2</v>
      </c>
      <c r="K6" s="419" t="str">
        <f t="shared" ca="1" si="4"/>
        <v>D2-2</v>
      </c>
      <c r="L6" s="499" t="s">
        <v>225</v>
      </c>
      <c r="M6" s="244" t="str">
        <f t="shared" ca="1" si="5"/>
        <v>Ryan Carpenter &amp; Krista Shelton</v>
      </c>
      <c r="N6" s="329">
        <v>11</v>
      </c>
      <c r="O6" s="329">
        <v>8</v>
      </c>
      <c r="P6" s="242">
        <v>10</v>
      </c>
      <c r="Q6" s="243">
        <v>11</v>
      </c>
      <c r="R6" s="245"/>
      <c r="S6" s="245"/>
      <c r="T6" s="243"/>
      <c r="U6" s="243"/>
      <c r="V6" s="454">
        <f t="shared" ref="V6:W6" si="19">(N6+P6+R6+T6)</f>
        <v>21</v>
      </c>
      <c r="W6" s="454">
        <f t="shared" si="19"/>
        <v>19</v>
      </c>
      <c r="X6" s="454">
        <f t="shared" si="7"/>
        <v>40</v>
      </c>
      <c r="Y6" s="340"/>
      <c r="Z6" s="340" t="s">
        <v>573</v>
      </c>
      <c r="AA6" s="340" t="str">
        <f t="shared" ca="1" si="8"/>
        <v>D2-1</v>
      </c>
      <c r="AB6" s="420">
        <f t="shared" ca="1" si="9"/>
        <v>54</v>
      </c>
      <c r="AC6" s="420">
        <f t="shared" ca="1" si="10"/>
        <v>38</v>
      </c>
      <c r="AD6" s="340">
        <f t="shared" ca="1" si="11"/>
        <v>92</v>
      </c>
      <c r="AE6" s="214">
        <f t="shared" ca="1" si="12"/>
        <v>0.58695652173913049</v>
      </c>
      <c r="AF6" s="341">
        <f t="shared" ca="1" si="13"/>
        <v>-45.413043478260867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569</v>
      </c>
      <c r="C7" s="105">
        <v>4</v>
      </c>
      <c r="D7" s="106">
        <v>7</v>
      </c>
      <c r="E7" s="106">
        <v>8</v>
      </c>
      <c r="F7" s="235">
        <f t="shared" si="0"/>
        <v>19</v>
      </c>
      <c r="G7" s="235">
        <f>C6+D9+E8</f>
        <v>33</v>
      </c>
      <c r="H7" s="235">
        <f t="shared" si="1"/>
        <v>52</v>
      </c>
      <c r="I7" s="236">
        <f t="shared" si="2"/>
        <v>0.36538461538461536</v>
      </c>
      <c r="J7" s="424">
        <f t="shared" ca="1" si="18"/>
        <v>4</v>
      </c>
      <c r="K7" s="425" t="str">
        <f t="shared" ca="1" si="4"/>
        <v>D2-4</v>
      </c>
      <c r="L7" s="500"/>
      <c r="M7" s="244">
        <f t="shared" ca="1" si="5"/>
        <v>0</v>
      </c>
      <c r="N7" s="329"/>
      <c r="O7" s="329"/>
      <c r="P7" s="242"/>
      <c r="Q7" s="243"/>
      <c r="R7" s="245"/>
      <c r="S7" s="245"/>
      <c r="T7" s="243"/>
      <c r="U7" s="243"/>
      <c r="V7" s="452">
        <f t="shared" ref="V7:W7" si="20">(N7+P7+R7+T7)</f>
        <v>0</v>
      </c>
      <c r="W7" s="452">
        <f t="shared" si="20"/>
        <v>0</v>
      </c>
      <c r="X7" s="452">
        <f t="shared" si="7"/>
        <v>0</v>
      </c>
      <c r="Y7" s="329"/>
      <c r="Z7" s="329" t="s">
        <v>576</v>
      </c>
      <c r="AA7" s="329" t="str">
        <f t="shared" ca="1" si="8"/>
        <v>D3-1</v>
      </c>
      <c r="AB7" s="459">
        <f t="shared" ca="1" si="9"/>
        <v>52</v>
      </c>
      <c r="AC7" s="459">
        <f t="shared" ca="1" si="10"/>
        <v>26</v>
      </c>
      <c r="AD7" s="329">
        <f t="shared" ca="1" si="11"/>
        <v>78</v>
      </c>
      <c r="AE7" s="236">
        <f t="shared" ca="1" si="12"/>
        <v>0.66666666666666663</v>
      </c>
      <c r="AF7" s="341">
        <f t="shared" ca="1" si="13"/>
        <v>-47.333333333333336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570</v>
      </c>
      <c r="C8" s="107">
        <v>8</v>
      </c>
      <c r="D8" s="108">
        <v>4</v>
      </c>
      <c r="E8" s="106">
        <v>11</v>
      </c>
      <c r="F8" s="235">
        <f t="shared" si="0"/>
        <v>23</v>
      </c>
      <c r="G8" s="235">
        <f>C9+D6+E7</f>
        <v>30</v>
      </c>
      <c r="H8" s="235">
        <f t="shared" si="1"/>
        <v>53</v>
      </c>
      <c r="I8" s="236">
        <f t="shared" si="2"/>
        <v>0.43396226415094341</v>
      </c>
      <c r="J8" s="424">
        <f t="shared" ca="1" si="18"/>
        <v>3</v>
      </c>
      <c r="K8" s="425" t="str">
        <f t="shared" ca="1" si="4"/>
        <v>D2-3</v>
      </c>
      <c r="L8" s="499" t="s">
        <v>253</v>
      </c>
      <c r="M8" s="244" t="str">
        <f t="shared" ca="1" si="5"/>
        <v>Bond Marrs &amp; Heather Nichols</v>
      </c>
      <c r="N8" s="329">
        <v>8</v>
      </c>
      <c r="O8" s="329">
        <v>11</v>
      </c>
      <c r="P8" s="242"/>
      <c r="Q8" s="243"/>
      <c r="R8" s="245"/>
      <c r="S8" s="245"/>
      <c r="T8" s="243"/>
      <c r="U8" s="243"/>
      <c r="V8" s="452">
        <f t="shared" ref="V8:W8" si="21">(N8+P8+R8+T8)</f>
        <v>8</v>
      </c>
      <c r="W8" s="452">
        <f t="shared" si="21"/>
        <v>11</v>
      </c>
      <c r="X8" s="452">
        <f t="shared" si="7"/>
        <v>19</v>
      </c>
      <c r="Y8" s="329"/>
      <c r="Z8" s="329" t="s">
        <v>590</v>
      </c>
      <c r="AA8" s="329" t="str">
        <f t="shared" ca="1" si="8"/>
        <v>D5-2</v>
      </c>
      <c r="AB8" s="459">
        <f t="shared" ca="1" si="9"/>
        <v>46</v>
      </c>
      <c r="AC8" s="459">
        <f t="shared" ca="1" si="10"/>
        <v>47</v>
      </c>
      <c r="AD8" s="329">
        <f t="shared" ca="1" si="11"/>
        <v>93</v>
      </c>
      <c r="AE8" s="236">
        <f t="shared" ca="1" si="12"/>
        <v>0.4946236559139785</v>
      </c>
      <c r="AF8" s="341">
        <f t="shared" ca="1" si="13"/>
        <v>-53.505376344086024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573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19</v>
      </c>
      <c r="H9" s="252">
        <f t="shared" si="1"/>
        <v>52</v>
      </c>
      <c r="I9" s="253">
        <f t="shared" si="2"/>
        <v>0.63461538461538458</v>
      </c>
      <c r="J9" s="429">
        <f t="shared" ca="1" si="18"/>
        <v>1</v>
      </c>
      <c r="K9" s="430" t="str">
        <f t="shared" ca="1" si="4"/>
        <v>D2-1</v>
      </c>
      <c r="L9" s="500"/>
      <c r="M9" s="239">
        <f t="shared" ca="1" si="5"/>
        <v>0</v>
      </c>
      <c r="N9" s="337"/>
      <c r="O9" s="337"/>
      <c r="P9" s="256"/>
      <c r="Q9" s="257"/>
      <c r="R9" s="241"/>
      <c r="S9" s="241"/>
      <c r="T9" s="257"/>
      <c r="U9" s="257"/>
      <c r="V9" s="453">
        <f t="shared" ref="V9:W9" si="22">(N9+P9+R9+T9)</f>
        <v>0</v>
      </c>
      <c r="W9" s="453">
        <f t="shared" si="22"/>
        <v>0</v>
      </c>
      <c r="X9" s="453">
        <f t="shared" si="7"/>
        <v>0</v>
      </c>
      <c r="Y9" s="337"/>
      <c r="Z9" s="337" t="s">
        <v>601</v>
      </c>
      <c r="AA9" s="337" t="str">
        <f t="shared" ca="1" si="8"/>
        <v>D7-2</v>
      </c>
      <c r="AB9" s="460">
        <f t="shared" ca="1" si="9"/>
        <v>46</v>
      </c>
      <c r="AC9" s="460">
        <f t="shared" ca="1" si="10"/>
        <v>49</v>
      </c>
      <c r="AD9" s="337">
        <f t="shared" ca="1" si="11"/>
        <v>95</v>
      </c>
      <c r="AE9" s="253">
        <f t="shared" ca="1" si="12"/>
        <v>0.48421052631578948</v>
      </c>
      <c r="AF9" s="338">
        <f t="shared" ca="1" si="13"/>
        <v>-53.515789473684208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575</v>
      </c>
      <c r="C10" s="148">
        <v>6</v>
      </c>
      <c r="D10" s="165">
        <v>5</v>
      </c>
      <c r="E10" s="165">
        <v>3</v>
      </c>
      <c r="F10" s="213">
        <f t="shared" si="0"/>
        <v>14</v>
      </c>
      <c r="G10" s="213">
        <f>C11+D12+E13</f>
        <v>33</v>
      </c>
      <c r="H10" s="213">
        <f t="shared" si="1"/>
        <v>47</v>
      </c>
      <c r="I10" s="214">
        <f t="shared" si="2"/>
        <v>0.2978723404255319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499" t="s">
        <v>243</v>
      </c>
      <c r="M10" s="244" t="str">
        <f t="shared" ca="1" si="5"/>
        <v>Mark Kuhls &amp; Deborah Weixeldorfer</v>
      </c>
      <c r="N10" s="329">
        <v>11</v>
      </c>
      <c r="O10" s="329">
        <v>6</v>
      </c>
      <c r="P10" s="242">
        <v>8</v>
      </c>
      <c r="Q10" s="243">
        <v>11</v>
      </c>
      <c r="R10" s="245"/>
      <c r="S10" s="245"/>
      <c r="T10" s="243"/>
      <c r="U10" s="243"/>
      <c r="V10" s="452">
        <f t="shared" ref="V10:W10" si="24">(N10+P10+R10+T10)</f>
        <v>19</v>
      </c>
      <c r="W10" s="452">
        <f t="shared" si="24"/>
        <v>17</v>
      </c>
      <c r="X10" s="452">
        <f t="shared" si="7"/>
        <v>36</v>
      </c>
      <c r="Y10" s="329"/>
      <c r="Z10" s="329" t="s">
        <v>610</v>
      </c>
      <c r="AA10" s="329" t="str">
        <f t="shared" ca="1" si="8"/>
        <v>D8-1</v>
      </c>
      <c r="AB10" s="459">
        <f t="shared" ca="1" si="9"/>
        <v>43</v>
      </c>
      <c r="AC10" s="459">
        <f t="shared" ca="1" si="10"/>
        <v>28</v>
      </c>
      <c r="AD10" s="329">
        <f t="shared" ca="1" si="11"/>
        <v>71</v>
      </c>
      <c r="AE10" s="236">
        <f t="shared" ca="1" si="12"/>
        <v>0.60563380281690138</v>
      </c>
      <c r="AF10" s="341">
        <f t="shared" ca="1" si="13"/>
        <v>-56.394366197183096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571</v>
      </c>
      <c r="C11" s="105">
        <v>11</v>
      </c>
      <c r="D11" s="106">
        <v>4</v>
      </c>
      <c r="E11" s="106">
        <v>11</v>
      </c>
      <c r="F11" s="235">
        <f t="shared" si="0"/>
        <v>26</v>
      </c>
      <c r="G11" s="235">
        <f>C10+D13+E12</f>
        <v>27</v>
      </c>
      <c r="H11" s="235">
        <f t="shared" si="1"/>
        <v>53</v>
      </c>
      <c r="I11" s="236">
        <f t="shared" si="2"/>
        <v>0.49056603773584906</v>
      </c>
      <c r="J11" s="424">
        <f t="shared" ca="1" si="23"/>
        <v>2</v>
      </c>
      <c r="K11" s="425" t="str">
        <f t="shared" ca="1" si="4"/>
        <v>D3-2</v>
      </c>
      <c r="L11" s="500"/>
      <c r="M11" s="244">
        <f t="shared" ca="1" si="5"/>
        <v>0</v>
      </c>
      <c r="N11" s="329"/>
      <c r="O11" s="329"/>
      <c r="P11" s="242"/>
      <c r="Q11" s="243"/>
      <c r="R11" s="245"/>
      <c r="S11" s="245"/>
      <c r="T11" s="243"/>
      <c r="U11" s="243"/>
      <c r="V11" s="452">
        <f t="shared" ref="V11:W11" si="25">(N11+P11+R11+T11)</f>
        <v>0</v>
      </c>
      <c r="W11" s="452">
        <f t="shared" si="25"/>
        <v>0</v>
      </c>
      <c r="X11" s="452">
        <f t="shared" si="7"/>
        <v>0</v>
      </c>
      <c r="Y11" s="329"/>
      <c r="Z11" s="329" t="s">
        <v>597</v>
      </c>
      <c r="AA11" s="329" t="str">
        <f t="shared" ca="1" si="8"/>
        <v>D6-1</v>
      </c>
      <c r="AB11" s="459">
        <f t="shared" ca="1" si="9"/>
        <v>39</v>
      </c>
      <c r="AC11" s="459">
        <f t="shared" ca="1" si="10"/>
        <v>37</v>
      </c>
      <c r="AD11" s="329">
        <f t="shared" ca="1" si="11"/>
        <v>76</v>
      </c>
      <c r="AE11" s="236">
        <f t="shared" ca="1" si="12"/>
        <v>0.51315789473684215</v>
      </c>
      <c r="AF11" s="341">
        <f t="shared" ca="1" si="13"/>
        <v>-60.486842105263158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578</v>
      </c>
      <c r="C12" s="107">
        <v>2</v>
      </c>
      <c r="D12" s="108">
        <v>11</v>
      </c>
      <c r="E12" s="106">
        <v>10</v>
      </c>
      <c r="F12" s="235">
        <f t="shared" si="0"/>
        <v>23</v>
      </c>
      <c r="G12" s="235">
        <f>C13+D10+E11</f>
        <v>27</v>
      </c>
      <c r="H12" s="235">
        <f t="shared" si="1"/>
        <v>50</v>
      </c>
      <c r="I12" s="236">
        <f t="shared" si="2"/>
        <v>0.46</v>
      </c>
      <c r="J12" s="424">
        <f t="shared" ca="1" si="23"/>
        <v>3</v>
      </c>
      <c r="K12" s="425" t="str">
        <f t="shared" ca="1" si="4"/>
        <v>D3-3</v>
      </c>
      <c r="L12" s="499" t="s">
        <v>230</v>
      </c>
      <c r="M12" s="244" t="str">
        <f t="shared" ca="1" si="5"/>
        <v>Gary Mulsow &amp; Wendy Leiker</v>
      </c>
      <c r="N12" s="329">
        <v>6</v>
      </c>
      <c r="O12" s="329">
        <v>11</v>
      </c>
      <c r="P12" s="242"/>
      <c r="Q12" s="243"/>
      <c r="R12" s="245"/>
      <c r="S12" s="245"/>
      <c r="T12" s="243"/>
      <c r="U12" s="243"/>
      <c r="V12" s="452">
        <f t="shared" ref="V12:W12" si="26">(N12+P12+R12+T12)</f>
        <v>6</v>
      </c>
      <c r="W12" s="452">
        <f t="shared" si="26"/>
        <v>11</v>
      </c>
      <c r="X12" s="452">
        <f t="shared" si="7"/>
        <v>17</v>
      </c>
      <c r="Y12" s="329"/>
      <c r="Z12" s="329" t="s">
        <v>582</v>
      </c>
      <c r="AA12" s="329" t="str">
        <f t="shared" ca="1" si="8"/>
        <v>D4-1</v>
      </c>
      <c r="AB12" s="459">
        <f t="shared" ca="1" si="9"/>
        <v>37</v>
      </c>
      <c r="AC12" s="459">
        <f t="shared" ca="1" si="10"/>
        <v>19</v>
      </c>
      <c r="AD12" s="329">
        <f t="shared" ca="1" si="11"/>
        <v>56</v>
      </c>
      <c r="AE12" s="236">
        <f t="shared" ca="1" si="12"/>
        <v>0.6607142857142857</v>
      </c>
      <c r="AF12" s="341">
        <f t="shared" ca="1" si="13"/>
        <v>-62.339285714285715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576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9</v>
      </c>
      <c r="H13" s="252">
        <f t="shared" si="1"/>
        <v>42</v>
      </c>
      <c r="I13" s="253">
        <f t="shared" si="2"/>
        <v>0.7857142857142857</v>
      </c>
      <c r="J13" s="429">
        <f t="shared" ca="1" si="23"/>
        <v>1</v>
      </c>
      <c r="K13" s="430" t="str">
        <f t="shared" ca="1" si="4"/>
        <v>D3-1</v>
      </c>
      <c r="L13" s="500"/>
      <c r="M13" s="239">
        <f t="shared" ca="1" si="5"/>
        <v>0</v>
      </c>
      <c r="N13" s="337"/>
      <c r="O13" s="337"/>
      <c r="P13" s="256"/>
      <c r="Q13" s="257"/>
      <c r="R13" s="241"/>
      <c r="S13" s="241"/>
      <c r="T13" s="257"/>
      <c r="U13" s="257"/>
      <c r="V13" s="453">
        <f t="shared" ref="V13:W13" si="27">(N13+P13+R13+T13)</f>
        <v>0</v>
      </c>
      <c r="W13" s="453">
        <f t="shared" si="27"/>
        <v>0</v>
      </c>
      <c r="X13" s="453">
        <f t="shared" si="7"/>
        <v>0</v>
      </c>
      <c r="Y13" s="337"/>
      <c r="Z13" s="337" t="s">
        <v>571</v>
      </c>
      <c r="AA13" s="337" t="str">
        <f t="shared" ca="1" si="8"/>
        <v>D3-2</v>
      </c>
      <c r="AB13" s="460">
        <f t="shared" ca="1" si="9"/>
        <v>34</v>
      </c>
      <c r="AC13" s="460">
        <f t="shared" ca="1" si="10"/>
        <v>38</v>
      </c>
      <c r="AD13" s="337">
        <f t="shared" ca="1" si="11"/>
        <v>72</v>
      </c>
      <c r="AE13" s="253">
        <f t="shared" ca="1" si="12"/>
        <v>0.47222222222222221</v>
      </c>
      <c r="AF13" s="338">
        <f t="shared" ca="1" si="13"/>
        <v>-65.527777777777771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581</v>
      </c>
      <c r="C14" s="148">
        <v>11</v>
      </c>
      <c r="D14" s="165">
        <v>6</v>
      </c>
      <c r="E14" s="165">
        <v>4</v>
      </c>
      <c r="F14" s="213">
        <f t="shared" si="0"/>
        <v>21</v>
      </c>
      <c r="G14" s="213">
        <f>C15+D16+E17</f>
        <v>24</v>
      </c>
      <c r="H14" s="213">
        <f t="shared" si="1"/>
        <v>45</v>
      </c>
      <c r="I14" s="214">
        <f t="shared" si="2"/>
        <v>0.46666666666666667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499" t="s">
        <v>263</v>
      </c>
      <c r="M14" s="244" t="str">
        <f t="shared" ca="1" si="5"/>
        <v>Rob Hurtado &amp; Terri Lilek</v>
      </c>
      <c r="N14" s="329">
        <v>4</v>
      </c>
      <c r="O14" s="329">
        <v>11</v>
      </c>
      <c r="P14" s="242"/>
      <c r="Q14" s="243"/>
      <c r="R14" s="245"/>
      <c r="S14" s="245"/>
      <c r="T14" s="243"/>
      <c r="U14" s="243"/>
      <c r="V14" s="452">
        <f t="shared" ref="V14:W14" si="29">(N14+P14+R14+T14)</f>
        <v>4</v>
      </c>
      <c r="W14" s="452">
        <f t="shared" si="29"/>
        <v>11</v>
      </c>
      <c r="X14" s="452">
        <f t="shared" si="7"/>
        <v>15</v>
      </c>
      <c r="Y14" s="329"/>
      <c r="Z14" s="329" t="s">
        <v>565</v>
      </c>
      <c r="AA14" s="329" t="str">
        <f t="shared" ca="1" si="8"/>
        <v>D4-2</v>
      </c>
      <c r="AB14" s="459">
        <f t="shared" ca="1" si="9"/>
        <v>33</v>
      </c>
      <c r="AC14" s="459">
        <f t="shared" ca="1" si="10"/>
        <v>28</v>
      </c>
      <c r="AD14" s="329">
        <f t="shared" ca="1" si="11"/>
        <v>61</v>
      </c>
      <c r="AE14" s="236">
        <f t="shared" ca="1" si="12"/>
        <v>0.54098360655737709</v>
      </c>
      <c r="AF14" s="341">
        <f t="shared" ca="1" si="13"/>
        <v>-66.459016393442624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583</v>
      </c>
      <c r="C15" s="105">
        <v>2</v>
      </c>
      <c r="D15" s="106">
        <v>2</v>
      </c>
      <c r="E15" s="106">
        <v>0</v>
      </c>
      <c r="F15" s="235">
        <f t="shared" si="0"/>
        <v>4</v>
      </c>
      <c r="G15" s="235">
        <f>C14+D17+E16</f>
        <v>33</v>
      </c>
      <c r="H15" s="235">
        <f t="shared" si="1"/>
        <v>37</v>
      </c>
      <c r="I15" s="236">
        <f t="shared" si="2"/>
        <v>0.10810810810810811</v>
      </c>
      <c r="J15" s="424">
        <f t="shared" ca="1" si="28"/>
        <v>4</v>
      </c>
      <c r="K15" s="425" t="str">
        <f t="shared" ca="1" si="4"/>
        <v>D4-4</v>
      </c>
      <c r="L15" s="500"/>
      <c r="M15" s="244">
        <f t="shared" ca="1" si="5"/>
        <v>0</v>
      </c>
      <c r="N15" s="329"/>
      <c r="O15" s="329"/>
      <c r="P15" s="242"/>
      <c r="Q15" s="243"/>
      <c r="R15" s="245"/>
      <c r="S15" s="245"/>
      <c r="T15" s="243"/>
      <c r="U15" s="243"/>
      <c r="V15" s="452">
        <f t="shared" ref="V15:W15" si="30">(N15+P15+R15+T15)</f>
        <v>0</v>
      </c>
      <c r="W15" s="452">
        <f t="shared" si="30"/>
        <v>0</v>
      </c>
      <c r="X15" s="452">
        <f t="shared" si="7"/>
        <v>0</v>
      </c>
      <c r="Y15" s="329"/>
      <c r="Z15" s="329" t="s">
        <v>591</v>
      </c>
      <c r="AA15" s="329" t="str">
        <f t="shared" ca="1" si="8"/>
        <v>D8-2</v>
      </c>
      <c r="AB15" s="459">
        <f t="shared" ca="1" si="9"/>
        <v>32</v>
      </c>
      <c r="AC15" s="459">
        <f t="shared" ca="1" si="10"/>
        <v>29</v>
      </c>
      <c r="AD15" s="329">
        <f t="shared" ca="1" si="11"/>
        <v>61</v>
      </c>
      <c r="AE15" s="236">
        <f t="shared" ca="1" si="12"/>
        <v>0.52459016393442626</v>
      </c>
      <c r="AF15" s="341">
        <f t="shared" ca="1" si="13"/>
        <v>-67.47540983606558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565</v>
      </c>
      <c r="C16" s="107">
        <v>2</v>
      </c>
      <c r="D16" s="108">
        <v>11</v>
      </c>
      <c r="E16" s="106">
        <v>11</v>
      </c>
      <c r="F16" s="235">
        <f t="shared" si="0"/>
        <v>24</v>
      </c>
      <c r="G16" s="235">
        <f>C17+D14+E15</f>
        <v>17</v>
      </c>
      <c r="H16" s="235">
        <f t="shared" si="1"/>
        <v>41</v>
      </c>
      <c r="I16" s="236">
        <f t="shared" si="2"/>
        <v>0.58536585365853655</v>
      </c>
      <c r="J16" s="424">
        <f t="shared" ca="1" si="28"/>
        <v>2</v>
      </c>
      <c r="K16" s="425" t="str">
        <f t="shared" ca="1" si="4"/>
        <v>D4-2</v>
      </c>
      <c r="L16" s="499" t="s">
        <v>218</v>
      </c>
      <c r="M16" s="244" t="str">
        <f t="shared" ca="1" si="5"/>
        <v>Bob Kreifels &amp; Erinn Metcalf</v>
      </c>
      <c r="N16" s="329">
        <v>11</v>
      </c>
      <c r="O16" s="329">
        <v>4</v>
      </c>
      <c r="P16" s="242">
        <v>11</v>
      </c>
      <c r="Q16" s="243">
        <v>8</v>
      </c>
      <c r="R16" s="245">
        <v>11</v>
      </c>
      <c r="S16" s="245">
        <v>10</v>
      </c>
      <c r="T16" s="243">
        <v>7</v>
      </c>
      <c r="U16" s="243">
        <v>11</v>
      </c>
      <c r="V16" s="452">
        <f t="shared" ref="V16:W16" si="31">(N16+P16+R16+T16)</f>
        <v>40</v>
      </c>
      <c r="W16" s="452">
        <f t="shared" si="31"/>
        <v>33</v>
      </c>
      <c r="X16" s="452">
        <f t="shared" si="7"/>
        <v>73</v>
      </c>
      <c r="Y16" s="329"/>
      <c r="Z16" s="329" t="s">
        <v>567</v>
      </c>
      <c r="AA16" s="329" t="str">
        <f t="shared" ca="1" si="8"/>
        <v>D2-2</v>
      </c>
      <c r="AB16" s="459">
        <f t="shared" ca="1" si="9"/>
        <v>32</v>
      </c>
      <c r="AC16" s="459">
        <f t="shared" ca="1" si="10"/>
        <v>30</v>
      </c>
      <c r="AD16" s="329">
        <f t="shared" ca="1" si="11"/>
        <v>62</v>
      </c>
      <c r="AE16" s="236">
        <f t="shared" ca="1" si="12"/>
        <v>0.5161290322580645</v>
      </c>
      <c r="AF16" s="341">
        <f t="shared" ca="1" si="13"/>
        <v>-67.483870967741936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582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8</v>
      </c>
      <c r="H17" s="252">
        <f t="shared" si="1"/>
        <v>41</v>
      </c>
      <c r="I17" s="253">
        <f t="shared" si="2"/>
        <v>0.80487804878048785</v>
      </c>
      <c r="J17" s="429">
        <f t="shared" ca="1" si="28"/>
        <v>1</v>
      </c>
      <c r="K17" s="430" t="str">
        <f t="shared" ca="1" si="4"/>
        <v>D4-1</v>
      </c>
      <c r="L17" s="500"/>
      <c r="M17" s="239">
        <f t="shared" ca="1" si="5"/>
        <v>0</v>
      </c>
      <c r="N17" s="337"/>
      <c r="O17" s="337"/>
      <c r="P17" s="256"/>
      <c r="Q17" s="257"/>
      <c r="R17" s="439"/>
      <c r="S17" s="439"/>
      <c r="T17" s="257"/>
      <c r="U17" s="257"/>
      <c r="V17" s="453">
        <f t="shared" ref="V17:W17" si="32">(N17+P17+R17+T17)</f>
        <v>0</v>
      </c>
      <c r="W17" s="453">
        <f t="shared" si="32"/>
        <v>0</v>
      </c>
      <c r="X17" s="453">
        <f t="shared" si="7"/>
        <v>0</v>
      </c>
      <c r="Y17" s="337"/>
      <c r="Z17" s="337" t="s">
        <v>600</v>
      </c>
      <c r="AA17" s="337" t="str">
        <f t="shared" ca="1" si="8"/>
        <v>D6-2</v>
      </c>
      <c r="AB17" s="460">
        <f t="shared" ca="1" si="9"/>
        <v>31</v>
      </c>
      <c r="AC17" s="460">
        <f t="shared" ca="1" si="10"/>
        <v>36</v>
      </c>
      <c r="AD17" s="337">
        <f t="shared" ca="1" si="11"/>
        <v>67</v>
      </c>
      <c r="AE17" s="253">
        <f t="shared" ca="1" si="12"/>
        <v>0.46268656716417911</v>
      </c>
      <c r="AF17" s="338">
        <f t="shared" ca="1" si="13"/>
        <v>-68.537313432835816</v>
      </c>
      <c r="AG17" s="434">
        <f t="shared" ca="1" si="14"/>
        <v>16</v>
      </c>
      <c r="AH17" s="398"/>
    </row>
    <row r="18" spans="1:34" ht="15" customHeight="1">
      <c r="A18" s="217" t="s">
        <v>1376</v>
      </c>
      <c r="B18" s="313" t="s">
        <v>587</v>
      </c>
      <c r="C18" s="148">
        <v>11</v>
      </c>
      <c r="D18" s="165">
        <v>11</v>
      </c>
      <c r="E18" s="165">
        <v>11</v>
      </c>
      <c r="F18" s="213">
        <f t="shared" si="0"/>
        <v>33</v>
      </c>
      <c r="G18" s="213">
        <f>C19+D20+E21</f>
        <v>23</v>
      </c>
      <c r="H18" s="213">
        <f t="shared" si="1"/>
        <v>56</v>
      </c>
      <c r="I18" s="214">
        <f t="shared" si="2"/>
        <v>0.5892857142857143</v>
      </c>
      <c r="J18" s="445">
        <f t="shared" ref="J18:J21" ca="1" si="33">IFERROR(RANK(F18,OFFSET($F$18,0,0,COUNTA($F$18:$F$21),1)),)</f>
        <v>1</v>
      </c>
      <c r="K18" s="419" t="str">
        <f t="shared" ca="1" si="4"/>
        <v>D5-1</v>
      </c>
      <c r="L18" s="499" t="s">
        <v>468</v>
      </c>
      <c r="M18" s="217" t="str">
        <f t="shared" ca="1" si="5"/>
        <v>Michael Sullivan &amp; Issa Sullivan</v>
      </c>
      <c r="N18" s="340">
        <v>11</v>
      </c>
      <c r="O18" s="340">
        <v>4</v>
      </c>
      <c r="P18" s="220">
        <v>11</v>
      </c>
      <c r="Q18" s="221">
        <v>4</v>
      </c>
      <c r="R18" s="219">
        <v>11</v>
      </c>
      <c r="S18" s="219">
        <v>4</v>
      </c>
      <c r="T18" s="221">
        <v>11</v>
      </c>
      <c r="U18" s="221">
        <v>7</v>
      </c>
      <c r="V18" s="452">
        <f t="shared" ref="V18:W18" si="34">(N18+P18+R18+T18)</f>
        <v>44</v>
      </c>
      <c r="W18" s="452">
        <f t="shared" si="34"/>
        <v>19</v>
      </c>
      <c r="X18" s="452">
        <f t="shared" si="7"/>
        <v>63</v>
      </c>
      <c r="Y18" s="329"/>
      <c r="Z18" s="329" t="s">
        <v>607</v>
      </c>
      <c r="AA18" s="329" t="str">
        <f t="shared" ca="1" si="8"/>
        <v>D7-3</v>
      </c>
      <c r="AB18" s="459">
        <f t="shared" ca="1" si="9"/>
        <v>28</v>
      </c>
      <c r="AC18" s="459">
        <f t="shared" ca="1" si="10"/>
        <v>27</v>
      </c>
      <c r="AD18" s="329">
        <f t="shared" ca="1" si="11"/>
        <v>55</v>
      </c>
      <c r="AE18" s="236">
        <f t="shared" ca="1" si="12"/>
        <v>0.50909090909090904</v>
      </c>
      <c r="AF18" s="341">
        <f t="shared" ca="1" si="13"/>
        <v>-71.490909090909085</v>
      </c>
      <c r="AG18" s="409">
        <f t="shared" ca="1" si="14"/>
        <v>17</v>
      </c>
      <c r="AH18" s="398"/>
    </row>
    <row r="19" spans="1:34" ht="15" customHeight="1">
      <c r="A19" s="244" t="s">
        <v>1376</v>
      </c>
      <c r="B19" s="107" t="s">
        <v>589</v>
      </c>
      <c r="C19" s="105">
        <v>8</v>
      </c>
      <c r="D19" s="106">
        <v>5</v>
      </c>
      <c r="E19" s="106">
        <v>8</v>
      </c>
      <c r="F19" s="235">
        <f t="shared" si="0"/>
        <v>21</v>
      </c>
      <c r="G19" s="235">
        <f>C18+D21+E20</f>
        <v>33</v>
      </c>
      <c r="H19" s="235">
        <f t="shared" si="1"/>
        <v>54</v>
      </c>
      <c r="I19" s="236">
        <f t="shared" si="2"/>
        <v>0.3888888888888889</v>
      </c>
      <c r="J19" s="424">
        <f t="shared" ca="1" si="33"/>
        <v>4</v>
      </c>
      <c r="K19" s="425" t="str">
        <f t="shared" ca="1" si="4"/>
        <v>D5-4</v>
      </c>
      <c r="L19" s="500"/>
      <c r="M19" s="244">
        <f t="shared" ca="1" si="5"/>
        <v>0</v>
      </c>
      <c r="N19" s="329"/>
      <c r="O19" s="329"/>
      <c r="P19" s="242"/>
      <c r="Q19" s="243"/>
      <c r="R19" s="245"/>
      <c r="S19" s="245"/>
      <c r="T19" s="243"/>
      <c r="U19" s="243"/>
      <c r="V19" s="452">
        <f t="shared" ref="V19:W19" si="35">(N19+P19+R19+T19)</f>
        <v>0</v>
      </c>
      <c r="W19" s="452">
        <f t="shared" si="35"/>
        <v>0</v>
      </c>
      <c r="X19" s="452">
        <f t="shared" si="7"/>
        <v>0</v>
      </c>
      <c r="Y19" s="329"/>
      <c r="Z19" s="329" t="s">
        <v>596</v>
      </c>
      <c r="AA19" s="329" t="str">
        <f t="shared" ca="1" si="8"/>
        <v>D6-3</v>
      </c>
      <c r="AB19" s="459">
        <f t="shared" ca="1" si="9"/>
        <v>25</v>
      </c>
      <c r="AC19" s="459">
        <f t="shared" ca="1" si="10"/>
        <v>23</v>
      </c>
      <c r="AD19" s="329">
        <f t="shared" ca="1" si="11"/>
        <v>48</v>
      </c>
      <c r="AE19" s="236">
        <f t="shared" ca="1" si="12"/>
        <v>0.52083333333333337</v>
      </c>
      <c r="AF19" s="341">
        <f t="shared" ca="1" si="13"/>
        <v>-74.479166666666671</v>
      </c>
      <c r="AG19" s="432">
        <f t="shared" ca="1" si="14"/>
        <v>18</v>
      </c>
      <c r="AH19" s="398"/>
    </row>
    <row r="20" spans="1:34" ht="15" customHeight="1">
      <c r="A20" s="244" t="s">
        <v>1376</v>
      </c>
      <c r="B20" s="107" t="s">
        <v>590</v>
      </c>
      <c r="C20" s="107">
        <v>11</v>
      </c>
      <c r="D20" s="108">
        <v>8</v>
      </c>
      <c r="E20" s="106">
        <v>11</v>
      </c>
      <c r="F20" s="235">
        <f t="shared" si="0"/>
        <v>30</v>
      </c>
      <c r="G20" s="235">
        <f>C21+D18+E19</f>
        <v>26</v>
      </c>
      <c r="H20" s="235">
        <f t="shared" si="1"/>
        <v>56</v>
      </c>
      <c r="I20" s="236">
        <f t="shared" si="2"/>
        <v>0.5357142857142857</v>
      </c>
      <c r="J20" s="424">
        <f t="shared" ca="1" si="33"/>
        <v>2</v>
      </c>
      <c r="K20" s="425" t="str">
        <f t="shared" ca="1" si="4"/>
        <v>D5-2</v>
      </c>
      <c r="L20" s="499" t="s">
        <v>479</v>
      </c>
      <c r="M20" s="244" t="str">
        <f t="shared" ca="1" si="5"/>
        <v>Barry Vonada &amp; Kelly Dreyer Wright</v>
      </c>
      <c r="N20" s="329">
        <v>4</v>
      </c>
      <c r="O20" s="329">
        <v>11</v>
      </c>
      <c r="P20" s="242"/>
      <c r="Q20" s="243"/>
      <c r="R20" s="245"/>
      <c r="S20" s="245"/>
      <c r="T20" s="243"/>
      <c r="U20" s="243"/>
      <c r="V20" s="452">
        <f t="shared" ref="V20:W20" si="36">(N20+P20+R20+T20)</f>
        <v>4</v>
      </c>
      <c r="W20" s="452">
        <f t="shared" si="36"/>
        <v>11</v>
      </c>
      <c r="X20" s="452">
        <f t="shared" si="7"/>
        <v>15</v>
      </c>
      <c r="Y20" s="329"/>
      <c r="Z20" s="329" t="s">
        <v>594</v>
      </c>
      <c r="AA20" s="329" t="str">
        <f t="shared" ca="1" si="8"/>
        <v>D5-3</v>
      </c>
      <c r="AB20" s="459">
        <f t="shared" ca="1" si="9"/>
        <v>25</v>
      </c>
      <c r="AC20" s="459">
        <f t="shared" ca="1" si="10"/>
        <v>27</v>
      </c>
      <c r="AD20" s="329">
        <f t="shared" ca="1" si="11"/>
        <v>52</v>
      </c>
      <c r="AE20" s="236">
        <f t="shared" ca="1" si="12"/>
        <v>0.48076923076923078</v>
      </c>
      <c r="AF20" s="341">
        <f t="shared" ca="1" si="13"/>
        <v>-74.519230769230774</v>
      </c>
      <c r="AG20" s="432">
        <f t="shared" ca="1" si="14"/>
        <v>19</v>
      </c>
      <c r="AH20" s="398"/>
    </row>
    <row r="21" spans="1:34" ht="15" customHeight="1">
      <c r="A21" s="239" t="s">
        <v>1376</v>
      </c>
      <c r="B21" s="109" t="s">
        <v>594</v>
      </c>
      <c r="C21" s="109">
        <v>7</v>
      </c>
      <c r="D21" s="110">
        <v>11</v>
      </c>
      <c r="E21" s="111">
        <v>7</v>
      </c>
      <c r="F21" s="252">
        <f t="shared" si="0"/>
        <v>25</v>
      </c>
      <c r="G21" s="252">
        <f>C20+D19+E18</f>
        <v>27</v>
      </c>
      <c r="H21" s="252">
        <f t="shared" si="1"/>
        <v>52</v>
      </c>
      <c r="I21" s="253">
        <f t="shared" si="2"/>
        <v>0.48076923076923078</v>
      </c>
      <c r="J21" s="429">
        <f t="shared" ca="1" si="33"/>
        <v>3</v>
      </c>
      <c r="K21" s="430" t="str">
        <f t="shared" ca="1" si="4"/>
        <v>D5-3</v>
      </c>
      <c r="L21" s="500"/>
      <c r="M21" s="239">
        <f t="shared" ca="1" si="5"/>
        <v>0</v>
      </c>
      <c r="N21" s="337"/>
      <c r="O21" s="337"/>
      <c r="P21" s="256"/>
      <c r="Q21" s="257"/>
      <c r="R21" s="241"/>
      <c r="S21" s="241"/>
      <c r="T21" s="257"/>
      <c r="U21" s="257"/>
      <c r="V21" s="453">
        <f t="shared" ref="V21:W21" si="37">(N21+P21+R21+T21)</f>
        <v>0</v>
      </c>
      <c r="W21" s="453">
        <f t="shared" si="37"/>
        <v>0</v>
      </c>
      <c r="X21" s="453">
        <f t="shared" si="7"/>
        <v>0</v>
      </c>
      <c r="Y21" s="337"/>
      <c r="Z21" s="337" t="s">
        <v>578</v>
      </c>
      <c r="AA21" s="337" t="str">
        <f t="shared" ca="1" si="8"/>
        <v>D3-3</v>
      </c>
      <c r="AB21" s="460">
        <f t="shared" ca="1" si="9"/>
        <v>23</v>
      </c>
      <c r="AC21" s="460">
        <f t="shared" ca="1" si="10"/>
        <v>27</v>
      </c>
      <c r="AD21" s="337">
        <f t="shared" ca="1" si="11"/>
        <v>50</v>
      </c>
      <c r="AE21" s="253">
        <f t="shared" ca="1" si="12"/>
        <v>0.46</v>
      </c>
      <c r="AF21" s="338">
        <f t="shared" ca="1" si="13"/>
        <v>-76.540000000000006</v>
      </c>
      <c r="AG21" s="434">
        <f t="shared" ca="1" si="14"/>
        <v>20</v>
      </c>
      <c r="AH21" s="398"/>
    </row>
    <row r="22" spans="1:34" ht="15" customHeight="1">
      <c r="A22" s="217" t="s">
        <v>1377</v>
      </c>
      <c r="B22" s="107" t="s">
        <v>596</v>
      </c>
      <c r="C22" s="148">
        <v>11</v>
      </c>
      <c r="D22" s="165">
        <v>3</v>
      </c>
      <c r="E22" s="165">
        <v>11</v>
      </c>
      <c r="F22" s="213">
        <f t="shared" si="0"/>
        <v>25</v>
      </c>
      <c r="G22" s="213">
        <f>C23+D24+E25</f>
        <v>23</v>
      </c>
      <c r="H22" s="213">
        <f t="shared" si="1"/>
        <v>48</v>
      </c>
      <c r="I22" s="214">
        <f t="shared" si="2"/>
        <v>0.52083333333333337</v>
      </c>
      <c r="J22" s="424">
        <f t="shared" ref="J22:J25" ca="1" si="38">IFERROR(RANK(F22,OFFSET($F$22,0,0,COUNTA($F$22:$F$25),1)),)</f>
        <v>3</v>
      </c>
      <c r="K22" s="419" t="str">
        <f t="shared" ca="1" si="4"/>
        <v>D6-3</v>
      </c>
      <c r="L22" s="499" t="s">
        <v>488</v>
      </c>
      <c r="M22" s="244" t="str">
        <f t="shared" ca="1" si="5"/>
        <v>Binh Pham &amp; Jean Orpin</v>
      </c>
      <c r="N22" s="329">
        <v>9</v>
      </c>
      <c r="O22" s="329">
        <v>11</v>
      </c>
      <c r="P22" s="242"/>
      <c r="Q22" s="243"/>
      <c r="R22" s="245"/>
      <c r="S22" s="245"/>
      <c r="T22" s="243"/>
      <c r="U22" s="243"/>
      <c r="V22" s="454">
        <f t="shared" ref="V22:W22" si="39">(N22+P22+R22+T22)</f>
        <v>9</v>
      </c>
      <c r="W22" s="454">
        <f t="shared" si="39"/>
        <v>11</v>
      </c>
      <c r="X22" s="454">
        <f t="shared" si="7"/>
        <v>20</v>
      </c>
      <c r="Y22" s="340"/>
      <c r="Z22" s="340" t="s">
        <v>570</v>
      </c>
      <c r="AA22" s="340" t="str">
        <f t="shared" ca="1" si="8"/>
        <v>D2-3</v>
      </c>
      <c r="AB22" s="420">
        <f t="shared" ca="1" si="9"/>
        <v>23</v>
      </c>
      <c r="AC22" s="420">
        <f t="shared" ca="1" si="10"/>
        <v>30</v>
      </c>
      <c r="AD22" s="340">
        <f t="shared" ca="1" si="11"/>
        <v>53</v>
      </c>
      <c r="AE22" s="214">
        <f t="shared" ca="1" si="12"/>
        <v>0.43396226415094341</v>
      </c>
      <c r="AF22" s="341">
        <f t="shared" ca="1" si="13"/>
        <v>-76.566037735849051</v>
      </c>
      <c r="AG22" s="432">
        <f t="shared" ca="1" si="14"/>
        <v>21</v>
      </c>
      <c r="AH22" s="398"/>
    </row>
    <row r="23" spans="1:34" ht="15" customHeight="1">
      <c r="A23" s="244" t="s">
        <v>1377</v>
      </c>
      <c r="B23" s="107" t="s">
        <v>597</v>
      </c>
      <c r="C23" s="105">
        <v>8</v>
      </c>
      <c r="D23" s="106">
        <v>11</v>
      </c>
      <c r="E23" s="106">
        <v>11</v>
      </c>
      <c r="F23" s="235">
        <f t="shared" si="0"/>
        <v>30</v>
      </c>
      <c r="G23" s="235">
        <f>C22+D25+E24</f>
        <v>26</v>
      </c>
      <c r="H23" s="235">
        <f t="shared" si="1"/>
        <v>56</v>
      </c>
      <c r="I23" s="236">
        <f t="shared" si="2"/>
        <v>0.5357142857142857</v>
      </c>
      <c r="J23" s="424">
        <f t="shared" ca="1" si="38"/>
        <v>1</v>
      </c>
      <c r="K23" s="425" t="str">
        <f t="shared" ca="1" si="4"/>
        <v>D6-1</v>
      </c>
      <c r="L23" s="500"/>
      <c r="M23" s="244">
        <f t="shared" ca="1" si="5"/>
        <v>0</v>
      </c>
      <c r="N23" s="329"/>
      <c r="O23" s="329"/>
      <c r="P23" s="242"/>
      <c r="Q23" s="243"/>
      <c r="R23" s="245"/>
      <c r="S23" s="245"/>
      <c r="T23" s="243"/>
      <c r="U23" s="243"/>
      <c r="V23" s="452">
        <f t="shared" ref="V23:W23" si="40">(N23+P23+R23+T23)</f>
        <v>0</v>
      </c>
      <c r="W23" s="452">
        <f t="shared" si="40"/>
        <v>0</v>
      </c>
      <c r="X23" s="452">
        <f t="shared" si="7"/>
        <v>0</v>
      </c>
      <c r="Y23" s="329"/>
      <c r="Z23" s="329" t="s">
        <v>612</v>
      </c>
      <c r="AA23" s="329" t="str">
        <f t="shared" ca="1" si="8"/>
        <v>D8-3</v>
      </c>
      <c r="AB23" s="459">
        <f t="shared" ca="1" si="9"/>
        <v>22</v>
      </c>
      <c r="AC23" s="459">
        <f t="shared" ca="1" si="10"/>
        <v>27</v>
      </c>
      <c r="AD23" s="329">
        <f t="shared" ca="1" si="11"/>
        <v>49</v>
      </c>
      <c r="AE23" s="236">
        <f t="shared" ca="1" si="12"/>
        <v>0.44897959183673469</v>
      </c>
      <c r="AF23" s="341">
        <f t="shared" ca="1" si="13"/>
        <v>-77.551020408163268</v>
      </c>
      <c r="AG23" s="432">
        <f t="shared" ca="1" si="14"/>
        <v>22</v>
      </c>
      <c r="AH23" s="398"/>
    </row>
    <row r="24" spans="1:34" ht="15" customHeight="1">
      <c r="A24" s="244" t="s">
        <v>1377</v>
      </c>
      <c r="B24" s="107" t="s">
        <v>600</v>
      </c>
      <c r="C24" s="107">
        <v>10</v>
      </c>
      <c r="D24" s="108">
        <v>11</v>
      </c>
      <c r="E24" s="106">
        <v>8</v>
      </c>
      <c r="F24" s="235">
        <f t="shared" si="0"/>
        <v>29</v>
      </c>
      <c r="G24" s="235">
        <f>C25+D22+E23</f>
        <v>25</v>
      </c>
      <c r="H24" s="235">
        <f t="shared" si="1"/>
        <v>54</v>
      </c>
      <c r="I24" s="236">
        <f t="shared" si="2"/>
        <v>0.53703703703703709</v>
      </c>
      <c r="J24" s="424">
        <f t="shared" ca="1" si="38"/>
        <v>2</v>
      </c>
      <c r="K24" s="425" t="str">
        <f t="shared" ca="1" si="4"/>
        <v>D6-2</v>
      </c>
      <c r="L24" s="499" t="s">
        <v>497</v>
      </c>
      <c r="M24" s="244" t="str">
        <f t="shared" ca="1" si="5"/>
        <v>John Stolte &amp; Shelly Marsh</v>
      </c>
      <c r="N24" s="329">
        <v>11</v>
      </c>
      <c r="O24" s="329">
        <v>9</v>
      </c>
      <c r="P24" s="242">
        <v>4</v>
      </c>
      <c r="Q24" s="243">
        <v>11</v>
      </c>
      <c r="R24" s="245"/>
      <c r="S24" s="245"/>
      <c r="T24" s="243"/>
      <c r="U24" s="243"/>
      <c r="V24" s="452">
        <f t="shared" ref="V24:W24" si="41">(N24+P24+R24+T24)</f>
        <v>15</v>
      </c>
      <c r="W24" s="452">
        <f t="shared" si="41"/>
        <v>20</v>
      </c>
      <c r="X24" s="452">
        <f t="shared" si="7"/>
        <v>35</v>
      </c>
      <c r="Y24" s="329"/>
      <c r="Z24" s="329" t="s">
        <v>602</v>
      </c>
      <c r="AA24" s="329" t="str">
        <f t="shared" ca="1" si="8"/>
        <v>D6-4</v>
      </c>
      <c r="AB24" s="459">
        <f t="shared" ca="1" si="9"/>
        <v>22</v>
      </c>
      <c r="AC24" s="459">
        <f t="shared" ca="1" si="10"/>
        <v>32</v>
      </c>
      <c r="AD24" s="329">
        <f t="shared" ca="1" si="11"/>
        <v>54</v>
      </c>
      <c r="AE24" s="236">
        <f t="shared" ca="1" si="12"/>
        <v>0.40740740740740738</v>
      </c>
      <c r="AF24" s="341">
        <f t="shared" ca="1" si="13"/>
        <v>-77.592592592592595</v>
      </c>
      <c r="AG24" s="432">
        <f t="shared" ca="1" si="14"/>
        <v>23</v>
      </c>
      <c r="AH24" s="398"/>
    </row>
    <row r="25" spans="1:34" ht="15" customHeight="1">
      <c r="A25" s="239" t="s">
        <v>1377</v>
      </c>
      <c r="B25" s="109" t="s">
        <v>602</v>
      </c>
      <c r="C25" s="109">
        <v>11</v>
      </c>
      <c r="D25" s="110">
        <v>7</v>
      </c>
      <c r="E25" s="111">
        <v>4</v>
      </c>
      <c r="F25" s="252">
        <f t="shared" si="0"/>
        <v>22</v>
      </c>
      <c r="G25" s="252">
        <f>C24+D23+E22</f>
        <v>32</v>
      </c>
      <c r="H25" s="252">
        <f t="shared" si="1"/>
        <v>54</v>
      </c>
      <c r="I25" s="253">
        <f t="shared" si="2"/>
        <v>0.40740740740740738</v>
      </c>
      <c r="J25" s="429">
        <f t="shared" ca="1" si="38"/>
        <v>4</v>
      </c>
      <c r="K25" s="430" t="str">
        <f t="shared" ca="1" si="4"/>
        <v>D6-4</v>
      </c>
      <c r="L25" s="500"/>
      <c r="M25" s="239">
        <f t="shared" ca="1" si="5"/>
        <v>0</v>
      </c>
      <c r="N25" s="337"/>
      <c r="O25" s="337"/>
      <c r="P25" s="256"/>
      <c r="Q25" s="257"/>
      <c r="R25" s="241"/>
      <c r="S25" s="241"/>
      <c r="T25" s="257"/>
      <c r="U25" s="257"/>
      <c r="V25" s="453">
        <f t="shared" ref="V25:W25" si="42">(N25+P25+R25+T25)</f>
        <v>0</v>
      </c>
      <c r="W25" s="453">
        <f t="shared" si="42"/>
        <v>0</v>
      </c>
      <c r="X25" s="453">
        <f t="shared" si="7"/>
        <v>0</v>
      </c>
      <c r="Y25" s="337"/>
      <c r="Z25" s="337" t="s">
        <v>581</v>
      </c>
      <c r="AA25" s="337" t="str">
        <f t="shared" ca="1" si="8"/>
        <v>D4-3</v>
      </c>
      <c r="AB25" s="460">
        <f t="shared" ca="1" si="9"/>
        <v>21</v>
      </c>
      <c r="AC25" s="460">
        <f t="shared" ca="1" si="10"/>
        <v>24</v>
      </c>
      <c r="AD25" s="337">
        <f t="shared" ca="1" si="11"/>
        <v>45</v>
      </c>
      <c r="AE25" s="253">
        <f t="shared" ca="1" si="12"/>
        <v>0.46666666666666667</v>
      </c>
      <c r="AF25" s="338">
        <f t="shared" ca="1" si="13"/>
        <v>-78.533333333333331</v>
      </c>
      <c r="AG25" s="434">
        <f t="shared" ca="1" si="14"/>
        <v>24</v>
      </c>
      <c r="AH25" s="398"/>
    </row>
    <row r="26" spans="1:34" ht="15" customHeight="1">
      <c r="A26" s="217" t="s">
        <v>1380</v>
      </c>
      <c r="B26" s="107" t="s">
        <v>604</v>
      </c>
      <c r="C26" s="148">
        <v>3</v>
      </c>
      <c r="D26" s="165">
        <v>5</v>
      </c>
      <c r="E26" s="165">
        <v>9</v>
      </c>
      <c r="F26" s="213">
        <f t="shared" si="0"/>
        <v>17</v>
      </c>
      <c r="G26" s="213">
        <f>C27+D28+E29</f>
        <v>33</v>
      </c>
      <c r="H26" s="213">
        <f t="shared" si="1"/>
        <v>50</v>
      </c>
      <c r="I26" s="214">
        <f t="shared" si="2"/>
        <v>0.34</v>
      </c>
      <c r="J26" s="424">
        <f t="shared" ref="J26:J29" ca="1" si="43">IFERROR(RANK(F26,OFFSET($F$26,0,0,COUNTA($F$26:$F$29),1)),)</f>
        <v>4</v>
      </c>
      <c r="K26" s="419" t="str">
        <f t="shared" ca="1" si="4"/>
        <v>D7-4</v>
      </c>
      <c r="L26" s="499" t="s">
        <v>508</v>
      </c>
      <c r="M26" s="244" t="str">
        <f t="shared" ca="1" si="5"/>
        <v>Will Talbert &amp; Kim Hunt</v>
      </c>
      <c r="N26" s="329">
        <v>11</v>
      </c>
      <c r="O26" s="329">
        <v>2</v>
      </c>
      <c r="P26" s="242">
        <v>11</v>
      </c>
      <c r="Q26" s="243">
        <v>5</v>
      </c>
      <c r="R26" s="245">
        <v>4</v>
      </c>
      <c r="S26" s="245">
        <v>11</v>
      </c>
      <c r="T26" s="243"/>
      <c r="U26" s="243"/>
      <c r="V26" s="452">
        <f t="shared" ref="V26:W26" si="44">(N26+P26+R26+T26)</f>
        <v>26</v>
      </c>
      <c r="W26" s="452">
        <f t="shared" si="44"/>
        <v>18</v>
      </c>
      <c r="X26" s="452">
        <f t="shared" si="7"/>
        <v>44</v>
      </c>
      <c r="Y26" s="329"/>
      <c r="Z26" s="329" t="s">
        <v>589</v>
      </c>
      <c r="AA26" s="329" t="str">
        <f t="shared" ca="1" si="8"/>
        <v>D5-4</v>
      </c>
      <c r="AB26" s="459">
        <f t="shared" ca="1" si="9"/>
        <v>21</v>
      </c>
      <c r="AC26" s="459">
        <f t="shared" ca="1" si="10"/>
        <v>33</v>
      </c>
      <c r="AD26" s="329">
        <f t="shared" ca="1" si="11"/>
        <v>54</v>
      </c>
      <c r="AE26" s="236">
        <f t="shared" ca="1" si="12"/>
        <v>0.3888888888888889</v>
      </c>
      <c r="AF26" s="341">
        <f t="shared" ca="1" si="13"/>
        <v>-78.611111111111114</v>
      </c>
      <c r="AG26" s="432">
        <f t="shared" ca="1" si="14"/>
        <v>25</v>
      </c>
      <c r="AH26" s="398"/>
    </row>
    <row r="27" spans="1:34" ht="15" customHeight="1">
      <c r="A27" s="244" t="s">
        <v>1380</v>
      </c>
      <c r="B27" s="107" t="s">
        <v>605</v>
      </c>
      <c r="C27" s="105">
        <v>11</v>
      </c>
      <c r="D27" s="106">
        <v>11</v>
      </c>
      <c r="E27" s="106">
        <v>11</v>
      </c>
      <c r="F27" s="235">
        <f t="shared" si="0"/>
        <v>33</v>
      </c>
      <c r="G27" s="235">
        <f>C26+D29+E28</f>
        <v>20</v>
      </c>
      <c r="H27" s="235">
        <f t="shared" si="1"/>
        <v>53</v>
      </c>
      <c r="I27" s="236">
        <f t="shared" si="2"/>
        <v>0.62264150943396224</v>
      </c>
      <c r="J27" s="424">
        <f t="shared" ca="1" si="43"/>
        <v>1</v>
      </c>
      <c r="K27" s="425" t="str">
        <f t="shared" ca="1" si="4"/>
        <v>D7-1</v>
      </c>
      <c r="L27" s="500"/>
      <c r="M27" s="244">
        <f t="shared" ca="1" si="5"/>
        <v>0</v>
      </c>
      <c r="N27" s="329"/>
      <c r="O27" s="329"/>
      <c r="P27" s="242"/>
      <c r="Q27" s="243"/>
      <c r="R27" s="245"/>
      <c r="S27" s="245"/>
      <c r="T27" s="243"/>
      <c r="U27" s="243"/>
      <c r="V27" s="452">
        <f t="shared" ref="V27:W27" si="45">(N27+P27+R27+T27)</f>
        <v>0</v>
      </c>
      <c r="W27" s="452">
        <f t="shared" si="45"/>
        <v>0</v>
      </c>
      <c r="X27" s="452">
        <f t="shared" si="7"/>
        <v>0</v>
      </c>
      <c r="Y27" s="329"/>
      <c r="Z27" s="329" t="s">
        <v>569</v>
      </c>
      <c r="AA27" s="329" t="str">
        <f t="shared" ca="1" si="8"/>
        <v>D2-4</v>
      </c>
      <c r="AB27" s="459">
        <f t="shared" ca="1" si="9"/>
        <v>19</v>
      </c>
      <c r="AC27" s="459">
        <f t="shared" ca="1" si="10"/>
        <v>33</v>
      </c>
      <c r="AD27" s="329">
        <f t="shared" ca="1" si="11"/>
        <v>52</v>
      </c>
      <c r="AE27" s="236">
        <f t="shared" ca="1" si="12"/>
        <v>0.36538461538461536</v>
      </c>
      <c r="AF27" s="341">
        <f t="shared" ca="1" si="13"/>
        <v>-80.634615384615387</v>
      </c>
      <c r="AG27" s="432">
        <f t="shared" ca="1" si="14"/>
        <v>26</v>
      </c>
      <c r="AH27" s="398"/>
    </row>
    <row r="28" spans="1:34" ht="15" customHeight="1">
      <c r="A28" s="244" t="s">
        <v>1380</v>
      </c>
      <c r="B28" s="107" t="s">
        <v>607</v>
      </c>
      <c r="C28" s="107">
        <v>9</v>
      </c>
      <c r="D28" s="108">
        <v>11</v>
      </c>
      <c r="E28" s="106">
        <v>8</v>
      </c>
      <c r="F28" s="235">
        <f t="shared" si="0"/>
        <v>28</v>
      </c>
      <c r="G28" s="235">
        <f>C29+D26+E27</f>
        <v>27</v>
      </c>
      <c r="H28" s="235">
        <f t="shared" si="1"/>
        <v>55</v>
      </c>
      <c r="I28" s="236">
        <f t="shared" si="2"/>
        <v>0.50909090909090904</v>
      </c>
      <c r="J28" s="424">
        <f t="shared" ca="1" si="43"/>
        <v>3</v>
      </c>
      <c r="K28" s="425" t="str">
        <f t="shared" ca="1" si="4"/>
        <v>D7-3</v>
      </c>
      <c r="L28" s="499" t="s">
        <v>490</v>
      </c>
      <c r="M28" s="244" t="str">
        <f t="shared" ca="1" si="5"/>
        <v>Dane Plummer &amp; Kim Hanson</v>
      </c>
      <c r="N28" s="329">
        <v>2</v>
      </c>
      <c r="O28" s="329">
        <v>11</v>
      </c>
      <c r="P28" s="242"/>
      <c r="Q28" s="243"/>
      <c r="R28" s="245"/>
      <c r="S28" s="245"/>
      <c r="T28" s="243"/>
      <c r="U28" s="243"/>
      <c r="V28" s="452">
        <f t="shared" ref="V28:W28" si="46">(N28+P28+R28+T28)</f>
        <v>2</v>
      </c>
      <c r="W28" s="452">
        <f t="shared" si="46"/>
        <v>11</v>
      </c>
      <c r="X28" s="452">
        <f t="shared" si="7"/>
        <v>13</v>
      </c>
      <c r="Y28" s="329"/>
      <c r="Z28" s="329" t="s">
        <v>604</v>
      </c>
      <c r="AA28" s="329" t="str">
        <f t="shared" ca="1" si="8"/>
        <v>D7-4</v>
      </c>
      <c r="AB28" s="459">
        <f t="shared" ca="1" si="9"/>
        <v>17</v>
      </c>
      <c r="AC28" s="459">
        <f t="shared" ca="1" si="10"/>
        <v>33</v>
      </c>
      <c r="AD28" s="329">
        <f t="shared" ca="1" si="11"/>
        <v>50</v>
      </c>
      <c r="AE28" s="236">
        <f t="shared" ca="1" si="12"/>
        <v>0.34</v>
      </c>
      <c r="AF28" s="341">
        <f t="shared" ca="1" si="13"/>
        <v>-82.66</v>
      </c>
      <c r="AG28" s="432">
        <f t="shared" ca="1" si="14"/>
        <v>27</v>
      </c>
      <c r="AH28" s="398"/>
    </row>
    <row r="29" spans="1:34" ht="15" customHeight="1">
      <c r="A29" s="239" t="s">
        <v>1380</v>
      </c>
      <c r="B29" s="109" t="s">
        <v>601</v>
      </c>
      <c r="C29" s="109">
        <v>11</v>
      </c>
      <c r="D29" s="110">
        <v>9</v>
      </c>
      <c r="E29" s="111">
        <v>11</v>
      </c>
      <c r="F29" s="252">
        <f t="shared" si="0"/>
        <v>31</v>
      </c>
      <c r="G29" s="252">
        <f>C28+D27+E26</f>
        <v>29</v>
      </c>
      <c r="H29" s="252">
        <f t="shared" si="1"/>
        <v>60</v>
      </c>
      <c r="I29" s="253">
        <f t="shared" si="2"/>
        <v>0.51666666666666672</v>
      </c>
      <c r="J29" s="429">
        <f t="shared" ca="1" si="43"/>
        <v>2</v>
      </c>
      <c r="K29" s="430" t="str">
        <f t="shared" ca="1" si="4"/>
        <v>D7-2</v>
      </c>
      <c r="L29" s="500"/>
      <c r="M29" s="239">
        <f t="shared" ca="1" si="5"/>
        <v>0</v>
      </c>
      <c r="N29" s="337"/>
      <c r="O29" s="337"/>
      <c r="P29" s="256"/>
      <c r="Q29" s="257"/>
      <c r="R29" s="241"/>
      <c r="S29" s="241"/>
      <c r="T29" s="257"/>
      <c r="U29" s="257"/>
      <c r="V29" s="453">
        <f t="shared" ref="V29:W29" si="47">(N29+P29+R29+T29)</f>
        <v>0</v>
      </c>
      <c r="W29" s="453">
        <f t="shared" si="47"/>
        <v>0</v>
      </c>
      <c r="X29" s="453">
        <f t="shared" si="7"/>
        <v>0</v>
      </c>
      <c r="Y29" s="337"/>
      <c r="Z29" s="337" t="s">
        <v>564</v>
      </c>
      <c r="AA29" s="337" t="str">
        <f t="shared" ca="1" si="8"/>
        <v>D1-3</v>
      </c>
      <c r="AB29" s="460">
        <f t="shared" ca="1" si="9"/>
        <v>15</v>
      </c>
      <c r="AC29" s="460">
        <f t="shared" ca="1" si="10"/>
        <v>31</v>
      </c>
      <c r="AD29" s="337">
        <f t="shared" ca="1" si="11"/>
        <v>46</v>
      </c>
      <c r="AE29" s="253">
        <f t="shared" ca="1" si="12"/>
        <v>0.32608695652173914</v>
      </c>
      <c r="AF29" s="338">
        <f t="shared" ca="1" si="13"/>
        <v>-84.673913043478265</v>
      </c>
      <c r="AG29" s="434">
        <f t="shared" ca="1" si="14"/>
        <v>28</v>
      </c>
      <c r="AH29" s="398"/>
    </row>
    <row r="30" spans="1:34" ht="15" customHeight="1">
      <c r="A30" s="217" t="s">
        <v>1381</v>
      </c>
      <c r="B30" s="107" t="s">
        <v>591</v>
      </c>
      <c r="C30" s="100">
        <v>11</v>
      </c>
      <c r="D30" s="101">
        <v>11</v>
      </c>
      <c r="E30" s="101">
        <v>6</v>
      </c>
      <c r="F30" s="213">
        <f t="shared" si="0"/>
        <v>28</v>
      </c>
      <c r="G30" s="213">
        <f>C31+D32+E33</f>
        <v>18</v>
      </c>
      <c r="H30" s="213">
        <f t="shared" si="1"/>
        <v>46</v>
      </c>
      <c r="I30" s="214">
        <f t="shared" si="2"/>
        <v>0.60869565217391308</v>
      </c>
      <c r="J30" s="424">
        <f t="shared" ref="J30:J33" ca="1" si="48">IFERROR(RANK(F30,OFFSET($F$30,0,0,COUNTA($F$30:$F$33),1)),)</f>
        <v>2</v>
      </c>
      <c r="K30" s="419" t="str">
        <f t="shared" ca="1" si="4"/>
        <v>D8-2</v>
      </c>
      <c r="L30" s="499" t="s">
        <v>524</v>
      </c>
      <c r="M30" s="244" t="str">
        <f t="shared" ca="1" si="5"/>
        <v>Yash Ramoo &amp; Imelda Tooey</v>
      </c>
      <c r="N30" s="329">
        <v>10</v>
      </c>
      <c r="O30" s="329">
        <v>11</v>
      </c>
      <c r="P30" s="242"/>
      <c r="Q30" s="243"/>
      <c r="R30" s="245"/>
      <c r="S30" s="245"/>
      <c r="T30" s="243"/>
      <c r="U30" s="243"/>
      <c r="V30" s="452">
        <f t="shared" ref="V30:W30" si="49">(N30+P30+R30+T30)</f>
        <v>10</v>
      </c>
      <c r="W30" s="452">
        <f t="shared" si="49"/>
        <v>11</v>
      </c>
      <c r="X30" s="452">
        <f t="shared" si="7"/>
        <v>21</v>
      </c>
      <c r="Y30" s="329"/>
      <c r="Z30" s="329" t="s">
        <v>575</v>
      </c>
      <c r="AA30" s="329" t="str">
        <f t="shared" ca="1" si="8"/>
        <v>D3-4</v>
      </c>
      <c r="AB30" s="459">
        <f t="shared" ca="1" si="9"/>
        <v>14</v>
      </c>
      <c r="AC30" s="459">
        <f t="shared" ca="1" si="10"/>
        <v>33</v>
      </c>
      <c r="AD30" s="329">
        <f t="shared" ca="1" si="11"/>
        <v>47</v>
      </c>
      <c r="AE30" s="236">
        <f t="shared" ca="1" si="12"/>
        <v>0.2978723404255319</v>
      </c>
      <c r="AF30" s="341">
        <f t="shared" ca="1" si="13"/>
        <v>-85.702127659574472</v>
      </c>
      <c r="AG30" s="432">
        <f t="shared" ca="1" si="14"/>
        <v>29</v>
      </c>
      <c r="AH30" s="398"/>
    </row>
    <row r="31" spans="1:34" ht="15" customHeight="1">
      <c r="A31" s="244" t="s">
        <v>1381</v>
      </c>
      <c r="B31" s="107" t="s">
        <v>612</v>
      </c>
      <c r="C31" s="105">
        <v>5</v>
      </c>
      <c r="D31" s="106">
        <v>6</v>
      </c>
      <c r="E31" s="106">
        <v>11</v>
      </c>
      <c r="F31" s="235">
        <f t="shared" si="0"/>
        <v>22</v>
      </c>
      <c r="G31" s="235">
        <f>C30+D33+E32</f>
        <v>27</v>
      </c>
      <c r="H31" s="235">
        <f t="shared" si="1"/>
        <v>49</v>
      </c>
      <c r="I31" s="236">
        <f t="shared" si="2"/>
        <v>0.44897959183673469</v>
      </c>
      <c r="J31" s="424">
        <f t="shared" ca="1" si="48"/>
        <v>3</v>
      </c>
      <c r="K31" s="425" t="str">
        <f t="shared" ca="1" si="4"/>
        <v>D8-3</v>
      </c>
      <c r="L31" s="500"/>
      <c r="M31" s="244">
        <f t="shared" ca="1" si="5"/>
        <v>0</v>
      </c>
      <c r="N31" s="329"/>
      <c r="O31" s="329"/>
      <c r="P31" s="242"/>
      <c r="Q31" s="243"/>
      <c r="R31" s="245"/>
      <c r="S31" s="245"/>
      <c r="T31" s="243"/>
      <c r="U31" s="243"/>
      <c r="V31" s="452">
        <f t="shared" ref="V31:W31" si="50">(N31+P31+R31+T31)</f>
        <v>0</v>
      </c>
      <c r="W31" s="452">
        <f t="shared" si="50"/>
        <v>0</v>
      </c>
      <c r="X31" s="452">
        <f t="shared" si="7"/>
        <v>0</v>
      </c>
      <c r="Y31" s="329"/>
      <c r="Z31" s="329" t="s">
        <v>613</v>
      </c>
      <c r="AA31" s="329" t="str">
        <f t="shared" ca="1" si="8"/>
        <v>D8-4</v>
      </c>
      <c r="AB31" s="459">
        <f t="shared" ca="1" si="9"/>
        <v>12</v>
      </c>
      <c r="AC31" s="459">
        <f t="shared" ca="1" si="10"/>
        <v>33</v>
      </c>
      <c r="AD31" s="329">
        <f t="shared" ca="1" si="11"/>
        <v>45</v>
      </c>
      <c r="AE31" s="236">
        <f t="shared" ca="1" si="12"/>
        <v>0.26666666666666666</v>
      </c>
      <c r="AF31" s="341">
        <f t="shared" ca="1" si="13"/>
        <v>-87.733333333333334</v>
      </c>
      <c r="AG31" s="432">
        <f t="shared" ca="1" si="14"/>
        <v>30</v>
      </c>
      <c r="AH31" s="398"/>
    </row>
    <row r="32" spans="1:34" ht="15" customHeight="1">
      <c r="A32" s="244" t="s">
        <v>1381</v>
      </c>
      <c r="B32" s="107" t="s">
        <v>613</v>
      </c>
      <c r="C32" s="107">
        <v>5</v>
      </c>
      <c r="D32" s="108">
        <v>2</v>
      </c>
      <c r="E32" s="106">
        <v>5</v>
      </c>
      <c r="F32" s="235">
        <f t="shared" si="0"/>
        <v>12</v>
      </c>
      <c r="G32" s="235">
        <f>C33+D30+E31</f>
        <v>33</v>
      </c>
      <c r="H32" s="235">
        <f t="shared" si="1"/>
        <v>45</v>
      </c>
      <c r="I32" s="236">
        <f t="shared" si="2"/>
        <v>0.26666666666666666</v>
      </c>
      <c r="J32" s="424">
        <f t="shared" ca="1" si="48"/>
        <v>4</v>
      </c>
      <c r="K32" s="425" t="str">
        <f t="shared" ca="1" si="4"/>
        <v>D8-4</v>
      </c>
      <c r="L32" s="499" t="s">
        <v>470</v>
      </c>
      <c r="M32" s="244" t="str">
        <f t="shared" ca="1" si="5"/>
        <v>Tom Langdon &amp; Heather Johnson</v>
      </c>
      <c r="N32" s="329">
        <v>11</v>
      </c>
      <c r="O32" s="329">
        <v>10</v>
      </c>
      <c r="P32" s="242">
        <v>5</v>
      </c>
      <c r="Q32" s="243">
        <v>11</v>
      </c>
      <c r="R32" s="245"/>
      <c r="S32" s="245"/>
      <c r="T32" s="243"/>
      <c r="U32" s="243"/>
      <c r="V32" s="452">
        <f t="shared" ref="V32:W32" si="51">(N32+P32+R32+T32)</f>
        <v>16</v>
      </c>
      <c r="W32" s="452">
        <f t="shared" si="51"/>
        <v>21</v>
      </c>
      <c r="X32" s="452">
        <f t="shared" si="7"/>
        <v>37</v>
      </c>
      <c r="Y32" s="329"/>
      <c r="Z32" s="329" t="s">
        <v>562</v>
      </c>
      <c r="AA32" s="329" t="str">
        <f t="shared" ca="1" si="8"/>
        <v>D1-4</v>
      </c>
      <c r="AB32" s="459">
        <f t="shared" ca="1" si="9"/>
        <v>10</v>
      </c>
      <c r="AC32" s="459">
        <f t="shared" ca="1" si="10"/>
        <v>33</v>
      </c>
      <c r="AD32" s="329">
        <f t="shared" ca="1" si="11"/>
        <v>43</v>
      </c>
      <c r="AE32" s="236">
        <f t="shared" ca="1" si="12"/>
        <v>0.23255813953488372</v>
      </c>
      <c r="AF32" s="341">
        <f t="shared" ca="1" si="13"/>
        <v>-89.767441860465112</v>
      </c>
      <c r="AG32" s="432">
        <f t="shared" ca="1" si="14"/>
        <v>31</v>
      </c>
      <c r="AH32" s="398"/>
    </row>
    <row r="33" spans="1:34" ht="15" customHeight="1">
      <c r="A33" s="239" t="s">
        <v>1381</v>
      </c>
      <c r="B33" s="109" t="s">
        <v>610</v>
      </c>
      <c r="C33" s="109">
        <v>11</v>
      </c>
      <c r="D33" s="110">
        <v>11</v>
      </c>
      <c r="E33" s="111">
        <v>11</v>
      </c>
      <c r="F33" s="252">
        <f t="shared" si="0"/>
        <v>33</v>
      </c>
      <c r="G33" s="252">
        <f>C32+D31+E30</f>
        <v>17</v>
      </c>
      <c r="H33" s="252">
        <f t="shared" si="1"/>
        <v>50</v>
      </c>
      <c r="I33" s="253">
        <f t="shared" si="2"/>
        <v>0.66</v>
      </c>
      <c r="J33" s="429">
        <f t="shared" ca="1" si="48"/>
        <v>1</v>
      </c>
      <c r="K33" s="430" t="str">
        <f t="shared" ca="1" si="4"/>
        <v>D8-1</v>
      </c>
      <c r="L33" s="500"/>
      <c r="M33" s="239">
        <f t="shared" ca="1" si="5"/>
        <v>0</v>
      </c>
      <c r="N33" s="337"/>
      <c r="O33" s="337"/>
      <c r="P33" s="256"/>
      <c r="Q33" s="257"/>
      <c r="R33" s="439"/>
      <c r="S33" s="439"/>
      <c r="T33" s="257"/>
      <c r="U33" s="257"/>
      <c r="V33" s="453">
        <f t="shared" ref="V33:W33" si="52">(N33+P33+R33+T33)</f>
        <v>0</v>
      </c>
      <c r="W33" s="453">
        <f t="shared" si="52"/>
        <v>0</v>
      </c>
      <c r="X33" s="453">
        <f t="shared" si="7"/>
        <v>0</v>
      </c>
      <c r="Y33" s="337"/>
      <c r="Z33" s="337" t="s">
        <v>583</v>
      </c>
      <c r="AA33" s="337" t="str">
        <f t="shared" ca="1" si="8"/>
        <v>D4-4</v>
      </c>
      <c r="AB33" s="460">
        <f t="shared" ca="1" si="9"/>
        <v>4</v>
      </c>
      <c r="AC33" s="460">
        <f t="shared" ca="1" si="10"/>
        <v>33</v>
      </c>
      <c r="AD33" s="337">
        <f t="shared" ca="1" si="11"/>
        <v>37</v>
      </c>
      <c r="AE33" s="253">
        <f t="shared" ca="1" si="12"/>
        <v>0.10810810810810811</v>
      </c>
      <c r="AF33" s="338">
        <f t="shared" ca="1" si="13"/>
        <v>-95.891891891891888</v>
      </c>
      <c r="AG33" s="434">
        <f t="shared" ca="1" si="14"/>
        <v>32</v>
      </c>
      <c r="AH33" s="398"/>
    </row>
    <row r="34" spans="1:34" ht="15" customHeight="1">
      <c r="A34" s="287"/>
      <c r="B34" s="290"/>
      <c r="C34" s="290"/>
      <c r="D34" s="290"/>
      <c r="E34" s="290"/>
      <c r="F34" s="290"/>
      <c r="G34" s="290"/>
      <c r="H34" s="290"/>
      <c r="I34" s="457"/>
      <c r="J34" s="458"/>
      <c r="K34" s="398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457"/>
      <c r="AF34" s="233"/>
      <c r="AG34" s="233"/>
      <c r="AH34" s="398"/>
    </row>
    <row r="35" spans="1:34" ht="15" customHeight="1">
      <c r="A35" s="287"/>
      <c r="B35" s="290"/>
      <c r="C35" s="290"/>
      <c r="D35" s="290"/>
      <c r="E35" s="290"/>
      <c r="F35" s="290"/>
      <c r="G35" s="290"/>
      <c r="H35" s="290"/>
      <c r="I35" s="457"/>
      <c r="J35" s="458"/>
      <c r="K35" s="398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457"/>
      <c r="AF35" s="233"/>
      <c r="AG35" s="233"/>
      <c r="AH35" s="398"/>
    </row>
    <row r="36" spans="1:34" ht="15" customHeight="1">
      <c r="A36" s="287"/>
      <c r="B36" s="290"/>
      <c r="C36" s="290"/>
      <c r="D36" s="290"/>
      <c r="E36" s="290"/>
      <c r="F36" s="290"/>
      <c r="G36" s="290"/>
      <c r="H36" s="290"/>
      <c r="I36" s="457"/>
      <c r="J36" s="458"/>
      <c r="K36" s="398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457"/>
      <c r="AF36" s="233"/>
      <c r="AG36" s="233"/>
      <c r="AH36" s="398"/>
    </row>
  </sheetData>
  <mergeCells count="16"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  <mergeCell ref="L2:L3"/>
    <mergeCell ref="L4:L5"/>
    <mergeCell ref="L6:L7"/>
    <mergeCell ref="L8:L9"/>
    <mergeCell ref="L10:L11"/>
  </mergeCells>
  <conditionalFormatting sqref="F2:F33">
    <cfRule type="cellIs" dxfId="13" priority="1" operator="equal">
      <formula>33</formula>
    </cfRule>
  </conditionalFormatting>
  <hyperlinks>
    <hyperlink ref="A1" location="Champions!A1" display="Home" xr:uid="{00000000-0004-0000-1F00-000000000000}"/>
    <hyperlink ref="AH1" location="Champions!A1" display="Home" xr:uid="{00000000-0004-0000-1F00-000001000000}"/>
  </hyperlinks>
  <pageMargins left="0.7" right="0.7" top="0.75" bottom="0.75" header="0" footer="0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6.4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6.453125" customWidth="1"/>
    <col min="12" max="12" width="8.54296875" customWidth="1"/>
    <col min="13" max="13" width="26.26953125" customWidth="1"/>
    <col min="14" max="21" width="6.26953125" customWidth="1"/>
    <col min="22" max="24" width="7.7265625" customWidth="1"/>
    <col min="25" max="25" width="6.81640625" customWidth="1"/>
    <col min="26" max="26" width="29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536</v>
      </c>
      <c r="C2" s="148">
        <v>8</v>
      </c>
      <c r="D2" s="165">
        <v>11</v>
      </c>
      <c r="E2" s="165">
        <v>7</v>
      </c>
      <c r="F2" s="213">
        <f t="shared" ref="F2:F17" si="0">SUM(C2:E2)</f>
        <v>26</v>
      </c>
      <c r="G2" s="213">
        <f>C3+D4+E5</f>
        <v>29</v>
      </c>
      <c r="H2" s="213">
        <f t="shared" ref="H2:H17" si="1">SUM(F2:G2)</f>
        <v>55</v>
      </c>
      <c r="I2" s="214">
        <f t="shared" ref="I2:I17" si="2">IFERROR(F2/H2,"")</f>
        <v>0.47272727272727272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499" t="s">
        <v>207</v>
      </c>
      <c r="M2" s="218" t="str">
        <f t="shared" ref="M2:M17" ca="1" si="5">IFERROR(INDEX($A$2:$K$17,MATCH(L2,$K$2:$K$17,0),2),)</f>
        <v>Bob Kreifels &amp; Steve Schanker</v>
      </c>
      <c r="N2" s="421"/>
      <c r="O2" s="422"/>
      <c r="P2" s="220">
        <v>6</v>
      </c>
      <c r="Q2" s="221">
        <v>11</v>
      </c>
      <c r="R2" s="217"/>
      <c r="S2" s="219"/>
      <c r="T2" s="222"/>
      <c r="U2" s="221"/>
      <c r="V2" s="223">
        <f t="shared" ref="V2:W2" si="6">(N2+P2+R2+T2)</f>
        <v>6</v>
      </c>
      <c r="W2" s="223">
        <f t="shared" si="6"/>
        <v>11</v>
      </c>
      <c r="X2" s="223">
        <f t="shared" ref="X2:X17" si="7">V2+W2</f>
        <v>17</v>
      </c>
      <c r="Y2" s="329"/>
      <c r="Z2" s="329" t="s">
        <v>68</v>
      </c>
      <c r="AA2" s="329" t="str">
        <f t="shared" ref="AA2:AA7" ca="1" si="8">IFERROR(INDEX($A$2:$K$17,MATCH(Z2,$B$2:$B$17,0),11),)</f>
        <v>D4-2</v>
      </c>
      <c r="AB2" s="329">
        <f t="shared" ref="AB2:AB17" ca="1" si="9">IFERROR((INDEX($A$2:$H$17,MATCH($Z2,$B$2:$B$17,0),6))+INDEX($M$2:$X$17,MATCH($Z2,$M$2:$M$17,0),10),INDEX($B$2:$G$17,MATCH($Z2,$B$2:$B$17,0),5))</f>
        <v>65</v>
      </c>
      <c r="AC2" s="329">
        <f t="shared" ref="AC2:AC17" ca="1" si="10">IFERROR((INDEX($A$2:$H$17,MATCH($Z2,$B$2:$B$17,0),7))+INDEX($M$2:$X$17,MATCH($Z2,$M$2:$M$17,0),11),INDEX($B$2:$G$17,MATCH($Z2,$B$2:$B$17,0),6))</f>
        <v>43</v>
      </c>
      <c r="AD2" s="329">
        <f t="shared" ref="AD2:AD17" ca="1" si="11">SUM(AB2:AC2)</f>
        <v>108</v>
      </c>
      <c r="AE2" s="236">
        <f t="shared" ref="AE2:AE17" ca="1" si="12">AB2/AD2</f>
        <v>0.60185185185185186</v>
      </c>
      <c r="AF2" s="330">
        <f t="shared" ref="AF2:AF17" ca="1" si="13">AE2-(100-AB2)</f>
        <v>-34.398148148148145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538</v>
      </c>
      <c r="C3" s="105">
        <v>11</v>
      </c>
      <c r="D3" s="106">
        <v>8</v>
      </c>
      <c r="E3" s="106">
        <v>4</v>
      </c>
      <c r="F3" s="235">
        <f t="shared" si="0"/>
        <v>23</v>
      </c>
      <c r="G3" s="235">
        <f>C2+D5+E4</f>
        <v>30</v>
      </c>
      <c r="H3" s="235">
        <f t="shared" si="1"/>
        <v>53</v>
      </c>
      <c r="I3" s="236">
        <f t="shared" si="2"/>
        <v>0.43396226415094341</v>
      </c>
      <c r="J3" s="424">
        <f t="shared" ca="1" si="3"/>
        <v>4</v>
      </c>
      <c r="K3" s="425" t="str">
        <f t="shared" ca="1" si="4"/>
        <v>D1-4</v>
      </c>
      <c r="L3" s="500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557</v>
      </c>
      <c r="AA3" s="329" t="str">
        <f t="shared" ca="1" si="8"/>
        <v>D4-1</v>
      </c>
      <c r="AB3" s="329">
        <f t="shared" ca="1" si="9"/>
        <v>63</v>
      </c>
      <c r="AC3" s="329">
        <f t="shared" ca="1" si="10"/>
        <v>46</v>
      </c>
      <c r="AD3" s="329">
        <f t="shared" ca="1" si="11"/>
        <v>109</v>
      </c>
      <c r="AE3" s="360">
        <f t="shared" ca="1" si="12"/>
        <v>0.57798165137614677</v>
      </c>
      <c r="AF3" s="341">
        <f t="shared" ca="1" si="13"/>
        <v>-36.422018348623851</v>
      </c>
      <c r="AG3" s="428">
        <f t="shared" ca="1" si="14"/>
        <v>2</v>
      </c>
      <c r="AH3" s="398"/>
    </row>
    <row r="4" spans="1:34" ht="15" customHeight="1">
      <c r="A4" s="244" t="s">
        <v>1367</v>
      </c>
      <c r="B4" s="107" t="s">
        <v>540</v>
      </c>
      <c r="C4" s="107">
        <v>6</v>
      </c>
      <c r="D4" s="108">
        <v>7</v>
      </c>
      <c r="E4" s="106">
        <v>11</v>
      </c>
      <c r="F4" s="235">
        <f t="shared" si="0"/>
        <v>24</v>
      </c>
      <c r="G4" s="235">
        <f>C5+D2+E3</f>
        <v>26</v>
      </c>
      <c r="H4" s="235">
        <f t="shared" si="1"/>
        <v>50</v>
      </c>
      <c r="I4" s="236">
        <f t="shared" si="2"/>
        <v>0.48</v>
      </c>
      <c r="J4" s="424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Rob Hurtado &amp; John Evatt</v>
      </c>
      <c r="N4" s="421"/>
      <c r="O4" s="422"/>
      <c r="P4" s="242">
        <v>11</v>
      </c>
      <c r="Q4" s="243">
        <v>6</v>
      </c>
      <c r="R4" s="244">
        <v>11</v>
      </c>
      <c r="S4" s="245">
        <v>7</v>
      </c>
      <c r="T4" s="246">
        <v>12</v>
      </c>
      <c r="U4" s="243">
        <v>8</v>
      </c>
      <c r="V4" s="223">
        <f t="shared" ref="V4:W4" si="16">(N4+P4+R4+T4)</f>
        <v>34</v>
      </c>
      <c r="W4" s="223">
        <f t="shared" si="16"/>
        <v>21</v>
      </c>
      <c r="X4" s="223">
        <f t="shared" si="7"/>
        <v>55</v>
      </c>
      <c r="Y4" s="329"/>
      <c r="Z4" s="329" t="s">
        <v>552</v>
      </c>
      <c r="AA4" s="329" t="str">
        <f t="shared" ca="1" si="8"/>
        <v>D3-1</v>
      </c>
      <c r="AB4" s="329">
        <f t="shared" ca="1" si="9"/>
        <v>50</v>
      </c>
      <c r="AC4" s="329">
        <f t="shared" ca="1" si="10"/>
        <v>36</v>
      </c>
      <c r="AD4" s="329">
        <f t="shared" ca="1" si="11"/>
        <v>86</v>
      </c>
      <c r="AE4" s="236">
        <f t="shared" ca="1" si="12"/>
        <v>0.58139534883720934</v>
      </c>
      <c r="AF4" s="341">
        <f t="shared" ca="1" si="13"/>
        <v>-49.418604651162788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537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21</v>
      </c>
      <c r="H5" s="252">
        <f t="shared" si="1"/>
        <v>54</v>
      </c>
      <c r="I5" s="253">
        <f t="shared" si="2"/>
        <v>0.61111111111111116</v>
      </c>
      <c r="J5" s="429">
        <f t="shared" ca="1" si="3"/>
        <v>1</v>
      </c>
      <c r="K5" s="430" t="str">
        <f t="shared" ca="1" si="4"/>
        <v>D1-1</v>
      </c>
      <c r="L5" s="500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549</v>
      </c>
      <c r="AA5" s="337" t="str">
        <f t="shared" ca="1" si="8"/>
        <v>D3-2</v>
      </c>
      <c r="AB5" s="337">
        <f t="shared" ca="1" si="9"/>
        <v>49</v>
      </c>
      <c r="AC5" s="337">
        <f t="shared" ca="1" si="10"/>
        <v>33</v>
      </c>
      <c r="AD5" s="337">
        <f t="shared" ca="1" si="11"/>
        <v>82</v>
      </c>
      <c r="AE5" s="253">
        <f t="shared" ca="1" si="12"/>
        <v>0.59756097560975607</v>
      </c>
      <c r="AF5" s="399">
        <f t="shared" ca="1" si="13"/>
        <v>-50.402439024390247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544</v>
      </c>
      <c r="C6" s="148">
        <v>11</v>
      </c>
      <c r="D6" s="165">
        <v>10</v>
      </c>
      <c r="E6" s="165">
        <v>11</v>
      </c>
      <c r="F6" s="213">
        <f t="shared" si="0"/>
        <v>32</v>
      </c>
      <c r="G6" s="213">
        <f>C7+D8+E9</f>
        <v>24</v>
      </c>
      <c r="H6" s="213">
        <f t="shared" si="1"/>
        <v>56</v>
      </c>
      <c r="I6" s="214">
        <f t="shared" si="2"/>
        <v>0.5714285714285714</v>
      </c>
      <c r="J6" s="445">
        <f t="shared" ref="J6:J9" ca="1" si="18">IFERROR(RANK(F6,OFFSET($F$6,0,0,COUNTA($F$6:$F$9),1)),)</f>
        <v>2</v>
      </c>
      <c r="K6" s="419" t="str">
        <f t="shared" ca="1" si="4"/>
        <v>D2-2</v>
      </c>
      <c r="L6" s="499" t="s">
        <v>225</v>
      </c>
      <c r="M6" s="218" t="str">
        <f t="shared" ca="1" si="5"/>
        <v>Matt Svoboda &amp; Brehon Davis</v>
      </c>
      <c r="N6" s="421"/>
      <c r="O6" s="422"/>
      <c r="P6" s="220">
        <v>3</v>
      </c>
      <c r="Q6" s="221">
        <v>11</v>
      </c>
      <c r="R6" s="244"/>
      <c r="S6" s="245"/>
      <c r="T6" s="246"/>
      <c r="U6" s="243"/>
      <c r="V6" s="223">
        <f t="shared" ref="V6:W6" si="19">(N6+P6+R6+T6)</f>
        <v>3</v>
      </c>
      <c r="W6" s="223">
        <f t="shared" si="19"/>
        <v>11</v>
      </c>
      <c r="X6" s="223">
        <f t="shared" si="7"/>
        <v>14</v>
      </c>
      <c r="Y6" s="340"/>
      <c r="Z6" s="340" t="s">
        <v>537</v>
      </c>
      <c r="AA6" s="340" t="str">
        <f t="shared" ca="1" si="8"/>
        <v>D1-1</v>
      </c>
      <c r="AB6" s="340">
        <f t="shared" ca="1" si="9"/>
        <v>39</v>
      </c>
      <c r="AC6" s="340">
        <f t="shared" ca="1" si="10"/>
        <v>32</v>
      </c>
      <c r="AD6" s="340">
        <f t="shared" ca="1" si="11"/>
        <v>71</v>
      </c>
      <c r="AE6" s="214">
        <f t="shared" ca="1" si="12"/>
        <v>0.54929577464788737</v>
      </c>
      <c r="AF6" s="341">
        <f t="shared" ca="1" si="13"/>
        <v>-60.450704225352112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547</v>
      </c>
      <c r="C7" s="105">
        <v>6</v>
      </c>
      <c r="D7" s="106">
        <v>7</v>
      </c>
      <c r="E7" s="106">
        <v>5</v>
      </c>
      <c r="F7" s="235">
        <f t="shared" si="0"/>
        <v>18</v>
      </c>
      <c r="G7" s="235">
        <f>C6+D9+E8</f>
        <v>33</v>
      </c>
      <c r="H7" s="235">
        <f t="shared" si="1"/>
        <v>51</v>
      </c>
      <c r="I7" s="236">
        <f t="shared" si="2"/>
        <v>0.35294117647058826</v>
      </c>
      <c r="J7" s="424">
        <f t="shared" ca="1" si="18"/>
        <v>4</v>
      </c>
      <c r="K7" s="425" t="str">
        <f t="shared" ca="1" si="4"/>
        <v>D2-4</v>
      </c>
      <c r="L7" s="500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544</v>
      </c>
      <c r="AA7" s="329" t="str">
        <f t="shared" ca="1" si="8"/>
        <v>D2-2</v>
      </c>
      <c r="AB7" s="329">
        <f t="shared" ca="1" si="9"/>
        <v>38</v>
      </c>
      <c r="AC7" s="329">
        <f t="shared" ca="1" si="10"/>
        <v>35</v>
      </c>
      <c r="AD7" s="329">
        <f t="shared" ca="1" si="11"/>
        <v>73</v>
      </c>
      <c r="AE7" s="236">
        <f t="shared" ca="1" si="12"/>
        <v>0.52054794520547942</v>
      </c>
      <c r="AF7" s="341">
        <f t="shared" ca="1" si="13"/>
        <v>-61.479452054794521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545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24</v>
      </c>
      <c r="H8" s="235">
        <f t="shared" si="1"/>
        <v>57</v>
      </c>
      <c r="I8" s="236">
        <f t="shared" si="2"/>
        <v>0.57894736842105265</v>
      </c>
      <c r="J8" s="424">
        <f t="shared" ca="1" si="18"/>
        <v>1</v>
      </c>
      <c r="K8" s="425" t="str">
        <f t="shared" ca="1" si="4"/>
        <v>D2-1</v>
      </c>
      <c r="L8" s="499" t="s">
        <v>253</v>
      </c>
      <c r="M8" s="218" t="str">
        <f t="shared" ca="1" si="5"/>
        <v>Tom Elmendorf &amp; Danny Ng</v>
      </c>
      <c r="N8" s="421"/>
      <c r="O8" s="422"/>
      <c r="P8" s="242">
        <v>11</v>
      </c>
      <c r="Q8" s="243">
        <v>3</v>
      </c>
      <c r="R8" s="244">
        <v>7</v>
      </c>
      <c r="S8" s="245">
        <v>11</v>
      </c>
      <c r="T8" s="246"/>
      <c r="U8" s="243"/>
      <c r="V8" s="223">
        <f t="shared" ref="V8:W8" si="21">(N8+P8+R8+T8)</f>
        <v>18</v>
      </c>
      <c r="W8" s="223">
        <f t="shared" si="21"/>
        <v>14</v>
      </c>
      <c r="X8" s="223">
        <f t="shared" si="7"/>
        <v>32</v>
      </c>
      <c r="Y8" s="329"/>
      <c r="Z8" s="329" t="s">
        <v>545</v>
      </c>
      <c r="AA8" s="329" t="str">
        <f t="array" aca="1" ref="AA8" ca="1">INDEX($A$2:$K$17,MATCH(Z8,$B$2:$B$17,0),11)</f>
        <v>D2-1</v>
      </c>
      <c r="AB8" s="329">
        <f t="shared" ca="1" si="9"/>
        <v>36</v>
      </c>
      <c r="AC8" s="329">
        <f t="shared" ca="1" si="10"/>
        <v>35</v>
      </c>
      <c r="AD8" s="329">
        <f t="shared" ca="1" si="11"/>
        <v>71</v>
      </c>
      <c r="AE8" s="236">
        <f t="shared" ca="1" si="12"/>
        <v>0.50704225352112675</v>
      </c>
      <c r="AF8" s="341">
        <f t="shared" ca="1" si="13"/>
        <v>-63.492957746478872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550</v>
      </c>
      <c r="C9" s="109">
        <v>9</v>
      </c>
      <c r="D9" s="110">
        <v>11</v>
      </c>
      <c r="E9" s="111">
        <v>7</v>
      </c>
      <c r="F9" s="252">
        <f t="shared" si="0"/>
        <v>27</v>
      </c>
      <c r="G9" s="252">
        <f>C8+D7+E6</f>
        <v>29</v>
      </c>
      <c r="H9" s="252">
        <f t="shared" si="1"/>
        <v>56</v>
      </c>
      <c r="I9" s="253">
        <f t="shared" si="2"/>
        <v>0.48214285714285715</v>
      </c>
      <c r="J9" s="429">
        <f t="shared" ca="1" si="18"/>
        <v>3</v>
      </c>
      <c r="K9" s="430" t="str">
        <f t="shared" ca="1" si="4"/>
        <v>D2-3</v>
      </c>
      <c r="L9" s="500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554</v>
      </c>
      <c r="AA9" s="337" t="str">
        <f t="shared" ref="AA9:AA17" ca="1" si="23">IFERROR(INDEX($A$2:$K$17,MATCH(Z9,$B$2:$B$17,0),11),)</f>
        <v>D3-3</v>
      </c>
      <c r="AB9" s="337">
        <f t="shared" ca="1" si="9"/>
        <v>29</v>
      </c>
      <c r="AC9" s="337">
        <f t="shared" ca="1" si="10"/>
        <v>29</v>
      </c>
      <c r="AD9" s="337">
        <f t="shared" ca="1" si="11"/>
        <v>58</v>
      </c>
      <c r="AE9" s="253">
        <f t="shared" ca="1" si="12"/>
        <v>0.5</v>
      </c>
      <c r="AF9" s="399">
        <f t="shared" ca="1" si="13"/>
        <v>-70.5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549</v>
      </c>
      <c r="C10" s="148">
        <v>11</v>
      </c>
      <c r="D10" s="165">
        <v>11</v>
      </c>
      <c r="E10" s="165">
        <v>9</v>
      </c>
      <c r="F10" s="213">
        <f t="shared" si="0"/>
        <v>31</v>
      </c>
      <c r="G10" s="213">
        <f>C11+D12+E13</f>
        <v>19</v>
      </c>
      <c r="H10" s="213">
        <f t="shared" si="1"/>
        <v>50</v>
      </c>
      <c r="I10" s="214">
        <f t="shared" si="2"/>
        <v>0.62</v>
      </c>
      <c r="J10" s="424">
        <f t="shared" ref="J10:J13" ca="1" si="24">IFERROR(RANK(F10,OFFSET($F$10,0,0,COUNTA($F$10:$F$13),1)),)</f>
        <v>2</v>
      </c>
      <c r="K10" s="419" t="str">
        <f t="shared" ca="1" si="4"/>
        <v>D3-2</v>
      </c>
      <c r="L10" s="499" t="s">
        <v>243</v>
      </c>
      <c r="M10" s="218" t="str">
        <f t="shared" ca="1" si="5"/>
        <v>Marlin Carlson &amp; Matt Hood</v>
      </c>
      <c r="N10" s="421"/>
      <c r="O10" s="422"/>
      <c r="P10" s="220">
        <v>11</v>
      </c>
      <c r="Q10" s="221">
        <v>6</v>
      </c>
      <c r="R10" s="217">
        <v>6</v>
      </c>
      <c r="S10" s="219">
        <v>11</v>
      </c>
      <c r="T10" s="246"/>
      <c r="U10" s="243"/>
      <c r="V10" s="223">
        <f t="shared" ref="V10:W10" si="25">(N10+P10+R10+T10)</f>
        <v>17</v>
      </c>
      <c r="W10" s="223">
        <f t="shared" si="25"/>
        <v>17</v>
      </c>
      <c r="X10" s="223">
        <f t="shared" si="7"/>
        <v>34</v>
      </c>
      <c r="Y10" s="329"/>
      <c r="Z10" s="329" t="s">
        <v>536</v>
      </c>
      <c r="AA10" s="329" t="str">
        <f t="shared" ca="1" si="23"/>
        <v>D1-2</v>
      </c>
      <c r="AB10" s="329">
        <f t="shared" ca="1" si="9"/>
        <v>28</v>
      </c>
      <c r="AC10" s="329">
        <f t="shared" ca="1" si="10"/>
        <v>40</v>
      </c>
      <c r="AD10" s="329">
        <f t="shared" ca="1" si="11"/>
        <v>68</v>
      </c>
      <c r="AE10" s="236">
        <f t="shared" ca="1" si="12"/>
        <v>0.41176470588235292</v>
      </c>
      <c r="AF10" s="341">
        <f t="shared" ca="1" si="13"/>
        <v>-71.588235294117652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554</v>
      </c>
      <c r="C11" s="105">
        <v>8</v>
      </c>
      <c r="D11" s="106">
        <v>10</v>
      </c>
      <c r="E11" s="106">
        <v>11</v>
      </c>
      <c r="F11" s="235">
        <f t="shared" si="0"/>
        <v>29</v>
      </c>
      <c r="G11" s="235">
        <f>C10+D13+E12</f>
        <v>29</v>
      </c>
      <c r="H11" s="235">
        <f t="shared" si="1"/>
        <v>58</v>
      </c>
      <c r="I11" s="236">
        <f t="shared" si="2"/>
        <v>0.5</v>
      </c>
      <c r="J11" s="424">
        <f t="shared" ca="1" si="24"/>
        <v>3</v>
      </c>
      <c r="K11" s="425" t="str">
        <f t="shared" ca="1" si="4"/>
        <v>D3-3</v>
      </c>
      <c r="L11" s="500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6">(N11+P11+R11+T11)</f>
        <v>0</v>
      </c>
      <c r="W11" s="223">
        <f t="shared" si="26"/>
        <v>0</v>
      </c>
      <c r="X11" s="223">
        <f t="shared" si="7"/>
        <v>0</v>
      </c>
      <c r="Y11" s="329"/>
      <c r="Z11" s="329" t="s">
        <v>550</v>
      </c>
      <c r="AA11" s="329" t="str">
        <f t="shared" ca="1" si="23"/>
        <v>D2-3</v>
      </c>
      <c r="AB11" s="329">
        <f t="shared" ca="1" si="9"/>
        <v>27</v>
      </c>
      <c r="AC11" s="329">
        <f t="shared" ca="1" si="10"/>
        <v>29</v>
      </c>
      <c r="AD11" s="329">
        <f t="shared" ca="1" si="11"/>
        <v>56</v>
      </c>
      <c r="AE11" s="236">
        <f t="shared" ca="1" si="12"/>
        <v>0.48214285714285715</v>
      </c>
      <c r="AF11" s="341">
        <f t="shared" ca="1" si="13"/>
        <v>-72.517857142857139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556</v>
      </c>
      <c r="C12" s="107">
        <v>0</v>
      </c>
      <c r="D12" s="108">
        <v>0</v>
      </c>
      <c r="E12" s="106">
        <v>7</v>
      </c>
      <c r="F12" s="235">
        <f t="shared" si="0"/>
        <v>7</v>
      </c>
      <c r="G12" s="235">
        <f>C13+D10+E11</f>
        <v>33</v>
      </c>
      <c r="H12" s="235">
        <f t="shared" si="1"/>
        <v>40</v>
      </c>
      <c r="I12" s="236">
        <f t="shared" si="2"/>
        <v>0.17499999999999999</v>
      </c>
      <c r="J12" s="424">
        <f t="shared" ca="1" si="24"/>
        <v>4</v>
      </c>
      <c r="K12" s="425" t="str">
        <f t="shared" ca="1" si="4"/>
        <v>D3-4</v>
      </c>
      <c r="L12" s="499" t="s">
        <v>230</v>
      </c>
      <c r="M12" s="218" t="str">
        <f t="shared" ca="1" si="5"/>
        <v>Cal Morgan &amp; Robert Reed</v>
      </c>
      <c r="N12" s="421"/>
      <c r="O12" s="422"/>
      <c r="P12" s="242">
        <v>6</v>
      </c>
      <c r="Q12" s="243">
        <v>11</v>
      </c>
      <c r="R12" s="244"/>
      <c r="S12" s="245"/>
      <c r="T12" s="246"/>
      <c r="U12" s="243"/>
      <c r="V12" s="223">
        <f t="shared" ref="V12:W12" si="27">(N12+P12+R12+T12)</f>
        <v>6</v>
      </c>
      <c r="W12" s="223">
        <f t="shared" si="27"/>
        <v>11</v>
      </c>
      <c r="X12" s="223">
        <f t="shared" si="7"/>
        <v>17</v>
      </c>
      <c r="Y12" s="329"/>
      <c r="Z12" s="329" t="s">
        <v>558</v>
      </c>
      <c r="AA12" s="329" t="str">
        <f t="shared" ca="1" si="23"/>
        <v>D4-3</v>
      </c>
      <c r="AB12" s="329">
        <f t="shared" ca="1" si="9"/>
        <v>26</v>
      </c>
      <c r="AC12" s="329">
        <f t="shared" ca="1" si="10"/>
        <v>31</v>
      </c>
      <c r="AD12" s="329">
        <f t="shared" ca="1" si="11"/>
        <v>57</v>
      </c>
      <c r="AE12" s="236">
        <f t="shared" ca="1" si="12"/>
        <v>0.45614035087719296</v>
      </c>
      <c r="AF12" s="375">
        <f t="shared" ca="1" si="13"/>
        <v>-73.543859649122808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552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19</v>
      </c>
      <c r="H13" s="252">
        <f t="shared" si="1"/>
        <v>52</v>
      </c>
      <c r="I13" s="253">
        <f t="shared" si="2"/>
        <v>0.63461538461538458</v>
      </c>
      <c r="J13" s="429">
        <f t="shared" ca="1" si="24"/>
        <v>1</v>
      </c>
      <c r="K13" s="430" t="str">
        <f t="shared" ca="1" si="4"/>
        <v>D3-1</v>
      </c>
      <c r="L13" s="500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8">(N13+P13+R13+T13)</f>
        <v>0</v>
      </c>
      <c r="W13" s="223">
        <f t="shared" si="28"/>
        <v>0</v>
      </c>
      <c r="X13" s="223">
        <f t="shared" si="7"/>
        <v>0</v>
      </c>
      <c r="Y13" s="337"/>
      <c r="Z13" s="337" t="s">
        <v>540</v>
      </c>
      <c r="AA13" s="337" t="str">
        <f t="shared" ca="1" si="23"/>
        <v>D1-3</v>
      </c>
      <c r="AB13" s="337">
        <f t="shared" ca="1" si="9"/>
        <v>24</v>
      </c>
      <c r="AC13" s="337">
        <f t="shared" ca="1" si="10"/>
        <v>26</v>
      </c>
      <c r="AD13" s="337">
        <f t="shared" ca="1" si="11"/>
        <v>50</v>
      </c>
      <c r="AE13" s="253">
        <f t="shared" ca="1" si="12"/>
        <v>0.48</v>
      </c>
      <c r="AF13" s="345">
        <f t="shared" ca="1" si="13"/>
        <v>-75.52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557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213">
        <f>C15+D16+E17</f>
        <v>26</v>
      </c>
      <c r="H14" s="213">
        <f t="shared" si="1"/>
        <v>59</v>
      </c>
      <c r="I14" s="214">
        <f t="shared" si="2"/>
        <v>0.55932203389830504</v>
      </c>
      <c r="J14" s="424">
        <f t="shared" ref="J14:J17" ca="1" si="29">IFERROR(RANK(F14,OFFSET($F$14,0,0,COUNTA($F$14:$F$17),1)),)</f>
        <v>1</v>
      </c>
      <c r="K14" s="419" t="str">
        <f t="shared" ca="1" si="4"/>
        <v>D4-1</v>
      </c>
      <c r="L14" s="499" t="s">
        <v>263</v>
      </c>
      <c r="M14" s="218" t="str">
        <f t="shared" ca="1" si="5"/>
        <v>Ryan Carpenter &amp; Mike McGillicuddy</v>
      </c>
      <c r="N14" s="421"/>
      <c r="O14" s="422"/>
      <c r="P14" s="220">
        <v>11</v>
      </c>
      <c r="Q14" s="221">
        <v>2</v>
      </c>
      <c r="R14" s="244">
        <v>11</v>
      </c>
      <c r="S14" s="245">
        <v>6</v>
      </c>
      <c r="T14" s="246">
        <v>8</v>
      </c>
      <c r="U14" s="243">
        <v>12</v>
      </c>
      <c r="V14" s="223">
        <f t="shared" ref="V14:W14" si="30">(N14+P14+R14+T14)</f>
        <v>30</v>
      </c>
      <c r="W14" s="223">
        <f t="shared" si="30"/>
        <v>20</v>
      </c>
      <c r="X14" s="223">
        <f t="shared" si="7"/>
        <v>50</v>
      </c>
      <c r="Y14" s="329"/>
      <c r="Z14" s="329" t="s">
        <v>538</v>
      </c>
      <c r="AA14" s="329" t="str">
        <f t="shared" ca="1" si="23"/>
        <v>D1-4</v>
      </c>
      <c r="AB14" s="329">
        <f t="shared" ca="1" si="9"/>
        <v>23</v>
      </c>
      <c r="AC14" s="329">
        <f t="shared" ca="1" si="10"/>
        <v>30</v>
      </c>
      <c r="AD14" s="329">
        <f t="shared" ca="1" si="11"/>
        <v>53</v>
      </c>
      <c r="AE14" s="236">
        <f t="shared" ca="1" si="12"/>
        <v>0.43396226415094341</v>
      </c>
      <c r="AF14" s="375">
        <f t="shared" ca="1" si="13"/>
        <v>-76.566037735849051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558</v>
      </c>
      <c r="C15" s="105">
        <v>9</v>
      </c>
      <c r="D15" s="106">
        <v>6</v>
      </c>
      <c r="E15" s="106">
        <v>11</v>
      </c>
      <c r="F15" s="235">
        <f t="shared" si="0"/>
        <v>26</v>
      </c>
      <c r="G15" s="235">
        <f>C14+D17+E16</f>
        <v>31</v>
      </c>
      <c r="H15" s="235">
        <f t="shared" si="1"/>
        <v>57</v>
      </c>
      <c r="I15" s="236">
        <f t="shared" si="2"/>
        <v>0.45614035087719296</v>
      </c>
      <c r="J15" s="424">
        <f t="shared" ca="1" si="29"/>
        <v>3</v>
      </c>
      <c r="K15" s="425" t="str">
        <f t="shared" ca="1" si="4"/>
        <v>D4-3</v>
      </c>
      <c r="L15" s="500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1">(N15+P15+R15+T15)</f>
        <v>0</v>
      </c>
      <c r="W15" s="223">
        <f t="shared" si="31"/>
        <v>0</v>
      </c>
      <c r="X15" s="223">
        <f t="shared" si="7"/>
        <v>0</v>
      </c>
      <c r="Y15" s="329"/>
      <c r="Z15" s="329" t="s">
        <v>560</v>
      </c>
      <c r="AA15" s="329" t="str">
        <f t="shared" ca="1" si="23"/>
        <v>D4-4</v>
      </c>
      <c r="AB15" s="329">
        <f t="shared" ca="1" si="9"/>
        <v>22</v>
      </c>
      <c r="AC15" s="329">
        <f t="shared" ca="1" si="10"/>
        <v>33</v>
      </c>
      <c r="AD15" s="329">
        <f t="shared" ca="1" si="11"/>
        <v>55</v>
      </c>
      <c r="AE15" s="236">
        <f t="shared" ca="1" si="12"/>
        <v>0.4</v>
      </c>
      <c r="AF15" s="341">
        <f t="shared" ca="1" si="13"/>
        <v>-77.599999999999994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560</v>
      </c>
      <c r="C16" s="107">
        <v>5</v>
      </c>
      <c r="D16" s="108">
        <v>8</v>
      </c>
      <c r="E16" s="106">
        <v>9</v>
      </c>
      <c r="F16" s="235">
        <f t="shared" si="0"/>
        <v>22</v>
      </c>
      <c r="G16" s="235">
        <f>C17+D14+E15</f>
        <v>33</v>
      </c>
      <c r="H16" s="235">
        <f t="shared" si="1"/>
        <v>55</v>
      </c>
      <c r="I16" s="236">
        <f t="shared" si="2"/>
        <v>0.4</v>
      </c>
      <c r="J16" s="424">
        <f t="shared" ca="1" si="29"/>
        <v>4</v>
      </c>
      <c r="K16" s="425" t="str">
        <f t="shared" ca="1" si="4"/>
        <v>D4-4</v>
      </c>
      <c r="L16" s="499" t="s">
        <v>218</v>
      </c>
      <c r="M16" s="437" t="str">
        <f t="shared" ca="1" si="5"/>
        <v>Dale Wooderson &amp; Michael Sullivan</v>
      </c>
      <c r="N16" s="421"/>
      <c r="O16" s="422"/>
      <c r="P16" s="242">
        <v>2</v>
      </c>
      <c r="Q16" s="243">
        <v>11</v>
      </c>
      <c r="R16" s="244"/>
      <c r="S16" s="245"/>
      <c r="T16" s="246"/>
      <c r="U16" s="243"/>
      <c r="V16" s="223">
        <f t="shared" ref="V16:W16" si="32">(N16+P16+R16+T16)</f>
        <v>2</v>
      </c>
      <c r="W16" s="223">
        <f t="shared" si="32"/>
        <v>11</v>
      </c>
      <c r="X16" s="223">
        <f t="shared" si="7"/>
        <v>13</v>
      </c>
      <c r="Y16" s="329"/>
      <c r="Z16" s="329" t="s">
        <v>547</v>
      </c>
      <c r="AA16" s="329" t="str">
        <f t="shared" ca="1" si="23"/>
        <v>D2-4</v>
      </c>
      <c r="AB16" s="329">
        <f t="shared" ca="1" si="9"/>
        <v>18</v>
      </c>
      <c r="AC16" s="329">
        <f t="shared" ca="1" si="10"/>
        <v>33</v>
      </c>
      <c r="AD16" s="329">
        <f t="shared" ca="1" si="11"/>
        <v>51</v>
      </c>
      <c r="AE16" s="236">
        <f t="shared" ca="1" si="12"/>
        <v>0.35294117647058826</v>
      </c>
      <c r="AF16" s="341">
        <f t="shared" ca="1" si="13"/>
        <v>-81.647058823529406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68</v>
      </c>
      <c r="C17" s="109">
        <v>11</v>
      </c>
      <c r="D17" s="110">
        <v>11</v>
      </c>
      <c r="E17" s="111">
        <v>9</v>
      </c>
      <c r="F17" s="252">
        <f t="shared" si="0"/>
        <v>31</v>
      </c>
      <c r="G17" s="252">
        <f>C16+D15+E14</f>
        <v>22</v>
      </c>
      <c r="H17" s="252">
        <f t="shared" si="1"/>
        <v>53</v>
      </c>
      <c r="I17" s="253">
        <f t="shared" si="2"/>
        <v>0.58490566037735847</v>
      </c>
      <c r="J17" s="429">
        <f t="shared" ca="1" si="29"/>
        <v>2</v>
      </c>
      <c r="K17" s="430" t="str">
        <f t="shared" ca="1" si="4"/>
        <v>D4-2</v>
      </c>
      <c r="L17" s="500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3">(N17+P17+R17+T17)</f>
        <v>0</v>
      </c>
      <c r="W17" s="223">
        <f t="shared" si="33"/>
        <v>0</v>
      </c>
      <c r="X17" s="223">
        <f t="shared" si="7"/>
        <v>0</v>
      </c>
      <c r="Y17" s="337"/>
      <c r="Z17" s="337" t="s">
        <v>556</v>
      </c>
      <c r="AA17" s="337" t="str">
        <f t="shared" ca="1" si="23"/>
        <v>D3-4</v>
      </c>
      <c r="AB17" s="337">
        <f t="shared" ca="1" si="9"/>
        <v>7</v>
      </c>
      <c r="AC17" s="337">
        <f t="shared" ca="1" si="10"/>
        <v>33</v>
      </c>
      <c r="AD17" s="337">
        <f t="shared" ca="1" si="11"/>
        <v>40</v>
      </c>
      <c r="AE17" s="253">
        <f t="shared" ca="1" si="12"/>
        <v>0.17499999999999999</v>
      </c>
      <c r="AF17" s="338">
        <f t="shared" ca="1" si="13"/>
        <v>-92.825000000000003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4">SUM(C2:C17)</f>
        <v>139</v>
      </c>
      <c r="D19" s="289">
        <f t="shared" si="34"/>
        <v>144</v>
      </c>
      <c r="E19" s="289">
        <f>SUM(E2:E18)</f>
        <v>145</v>
      </c>
      <c r="F19" s="290">
        <f t="shared" ref="F19:G19" si="35">SUM(F2:F17)</f>
        <v>428</v>
      </c>
      <c r="G19" s="290">
        <f t="shared" si="35"/>
        <v>428</v>
      </c>
      <c r="H19" s="292">
        <f>SUM(H2:H17)/2</f>
        <v>428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6">SUM(N2:N17)</f>
        <v>0</v>
      </c>
      <c r="O19" s="287">
        <f t="shared" si="36"/>
        <v>0</v>
      </c>
      <c r="P19" s="287">
        <f t="shared" si="36"/>
        <v>61</v>
      </c>
      <c r="Q19" s="287">
        <f t="shared" si="36"/>
        <v>61</v>
      </c>
      <c r="R19" s="287">
        <f t="shared" si="36"/>
        <v>35</v>
      </c>
      <c r="S19" s="287">
        <f t="shared" si="36"/>
        <v>35</v>
      </c>
      <c r="T19" s="287">
        <f t="shared" si="36"/>
        <v>20</v>
      </c>
      <c r="U19" s="287">
        <f t="shared" si="36"/>
        <v>20</v>
      </c>
      <c r="V19" s="287">
        <f t="shared" si="36"/>
        <v>116</v>
      </c>
      <c r="W19" s="287">
        <f t="shared" si="36"/>
        <v>116</v>
      </c>
      <c r="X19" s="287">
        <f>SUM(X2:X17)/2</f>
        <v>116</v>
      </c>
      <c r="Y19" s="287"/>
      <c r="Z19" s="287"/>
      <c r="AA19" s="287"/>
      <c r="AB19" s="287">
        <f t="shared" ref="AB19:AD19" ca="1" si="37">SUM(AB2:AB17)/2</f>
        <v>272</v>
      </c>
      <c r="AC19" s="287">
        <f t="shared" ca="1" si="37"/>
        <v>272</v>
      </c>
      <c r="AD19" s="287">
        <f t="shared" ca="1" si="37"/>
        <v>544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8">COUNTIF(C2:C17, 10)</f>
        <v>0</v>
      </c>
      <c r="D20" s="294">
        <f t="shared" si="38"/>
        <v>2</v>
      </c>
      <c r="E20" s="294">
        <f t="shared" si="38"/>
        <v>0</v>
      </c>
      <c r="F20" s="296"/>
      <c r="G20" s="296"/>
      <c r="H20" s="297">
        <f>AVERAGE(H2:H17)</f>
        <v>53.5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68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12" priority="4" operator="equal">
      <formula>33</formula>
    </cfRule>
  </conditionalFormatting>
  <conditionalFormatting sqref="M2:U17">
    <cfRule type="expression" dxfId="11" priority="1">
      <formula>$T2&gt;U2</formula>
    </cfRule>
  </conditionalFormatting>
  <conditionalFormatting sqref="P2:Q17">
    <cfRule type="expression" dxfId="10" priority="2">
      <formula>$P2=11</formula>
    </cfRule>
  </conditionalFormatting>
  <conditionalFormatting sqref="R2:S17">
    <cfRule type="expression" dxfId="9" priority="3">
      <formula>$R2=11</formula>
    </cfRule>
  </conditionalFormatting>
  <hyperlinks>
    <hyperlink ref="A1" location="Champions!A1" display="Home" xr:uid="{00000000-0004-0000-2000-000000000000}"/>
    <hyperlink ref="AH1" location="Champions!A1" display="Home" xr:uid="{00000000-0004-0000-2000-000001000000}"/>
    <hyperlink ref="A19" location="Champions!A1" display="Home" xr:uid="{00000000-0004-0000-2000-000002000000}"/>
    <hyperlink ref="K19" location="Champions!A1" display="Home" xr:uid="{00000000-0004-0000-2000-000003000000}"/>
  </hyperlinks>
  <pageMargins left="0.7" right="0.7" top="0.75" bottom="0.75" header="0" footer="0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H36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8.816406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4.7265625" customWidth="1"/>
    <col min="13" max="13" width="28.81640625" customWidth="1"/>
    <col min="14" max="21" width="6.26953125" customWidth="1"/>
    <col min="22" max="24" width="7.7265625" customWidth="1"/>
    <col min="25" max="25" width="6.81640625" customWidth="1"/>
    <col min="26" max="26" width="29.5429687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429</v>
      </c>
      <c r="C2" s="148">
        <v>11</v>
      </c>
      <c r="D2" s="165">
        <v>11</v>
      </c>
      <c r="E2" s="165">
        <v>9</v>
      </c>
      <c r="F2" s="213">
        <f t="shared" ref="F2:F33" si="0">SUM(C2:E2)</f>
        <v>31</v>
      </c>
      <c r="G2" s="353">
        <f>C3+D4+E5</f>
        <v>24</v>
      </c>
      <c r="H2" s="353">
        <f t="shared" ref="H2:H33" si="1">SUM(F2:G2)</f>
        <v>55</v>
      </c>
      <c r="I2" s="354">
        <f t="shared" ref="I2:I33" si="2">IFERROR(F2/H2,"")</f>
        <v>0.5636363636363636</v>
      </c>
      <c r="J2" s="461">
        <f t="shared" ref="J2:J5" ca="1" si="3">IFERROR(RANK(F2,OFFSET($F$2,0,0,COUNTA($F$2:$F$5),1)),)</f>
        <v>2</v>
      </c>
      <c r="K2" s="419" t="str">
        <f t="shared" ref="K2:K33" ca="1" si="4">A2&amp;"-"&amp;J2</f>
        <v>D1-2</v>
      </c>
      <c r="L2" s="501" t="s">
        <v>207</v>
      </c>
      <c r="M2" s="357" t="str">
        <f t="shared" ref="M2:M33" ca="1" si="5">IFERROR(INDEX($A$2:$K$33,MATCH(L2,$K$2:$K$33,0),2),)</f>
        <v>Sarah Page &amp; Matt Svoboda</v>
      </c>
      <c r="N2" s="374">
        <v>11</v>
      </c>
      <c r="O2" s="374">
        <v>4</v>
      </c>
      <c r="P2" s="462">
        <v>7</v>
      </c>
      <c r="Q2" s="463">
        <v>11</v>
      </c>
      <c r="R2" s="464"/>
      <c r="S2" s="464"/>
      <c r="T2" s="463"/>
      <c r="U2" s="463"/>
      <c r="V2" s="465">
        <f t="shared" ref="V2:W2" si="6">(N2+P2+R2+T2)</f>
        <v>18</v>
      </c>
      <c r="W2" s="465">
        <f t="shared" si="6"/>
        <v>15</v>
      </c>
      <c r="X2" s="465">
        <f t="shared" ref="X2:X33" si="7">V2+W2</f>
        <v>33</v>
      </c>
      <c r="Y2" s="359"/>
      <c r="Z2" s="359" t="s">
        <v>439</v>
      </c>
      <c r="AA2" s="329" t="str">
        <f t="shared" ref="AA2:AA24" ca="1" si="8">IFERROR(INDEX($A$2:$K$33,MATCH(Z2,$B$2:$B$33,0),11),)</f>
        <v>D2-1</v>
      </c>
      <c r="AB2" s="459">
        <f t="shared" ref="AB2:AB33" ca="1" si="9">IFERROR((INDEX($A$2:$H$33,MATCH($Z2,$B$2:$B$33,0),6))+INDEX($M$2:$X$33,MATCH($Z2,$M$2:$M$33,0),10),INDEX($B$2:$G$33,MATCH($Z2,$B$2:$B$33,0),5))</f>
        <v>78</v>
      </c>
      <c r="AC2" s="459">
        <f t="shared" ref="AC2:AC33" ca="1" si="10">IFERROR((INDEX($A$2:$H$33,MATCH($Z2,$B$2:$B$33,0),7))+INDEX($M$2:$X$33,MATCH($Z2,$M$2:$M$33,0),11),INDEX($B$2:$G$33,MATCH($Z2,$B$2:$B$33,0),6))</f>
        <v>38</v>
      </c>
      <c r="AD2" s="329">
        <f t="shared" ref="AD2:AD33" ca="1" si="11">SUM(AB2:AC2)</f>
        <v>116</v>
      </c>
      <c r="AE2" s="236">
        <f t="shared" ref="AE2:AE33" ca="1" si="12">AB2/AD2</f>
        <v>0.67241379310344829</v>
      </c>
      <c r="AF2" s="330">
        <f t="shared" ref="AF2:AF33" ca="1" si="13">AE2-(100-AB2)</f>
        <v>-21.327586206896552</v>
      </c>
      <c r="AG2" s="432">
        <f t="shared" ref="AG2:AG33" ca="1" si="14">RANK($AF2,OFFSET($AF$2,0,0,COUNTA($AF$2:$AF$33),1))</f>
        <v>1</v>
      </c>
      <c r="AH2" s="361"/>
    </row>
    <row r="3" spans="1:34" ht="15" customHeight="1">
      <c r="A3" s="466" t="s">
        <v>1367</v>
      </c>
      <c r="B3" s="318" t="s">
        <v>432</v>
      </c>
      <c r="C3" s="105">
        <v>8</v>
      </c>
      <c r="D3" s="106">
        <v>7</v>
      </c>
      <c r="E3" s="106">
        <v>11</v>
      </c>
      <c r="F3" s="235">
        <f t="shared" si="0"/>
        <v>26</v>
      </c>
      <c r="G3" s="363">
        <f>C2+D5+E4</f>
        <v>28</v>
      </c>
      <c r="H3" s="363">
        <f t="shared" si="1"/>
        <v>54</v>
      </c>
      <c r="I3" s="360">
        <f t="shared" si="2"/>
        <v>0.48148148148148145</v>
      </c>
      <c r="J3" s="467">
        <f t="shared" ca="1" si="3"/>
        <v>3</v>
      </c>
      <c r="K3" s="425" t="str">
        <f t="shared" ca="1" si="4"/>
        <v>D1-3</v>
      </c>
      <c r="L3" s="500"/>
      <c r="M3" s="466">
        <f t="shared" ca="1" si="5"/>
        <v>0</v>
      </c>
      <c r="N3" s="359"/>
      <c r="O3" s="359"/>
      <c r="P3" s="468"/>
      <c r="Q3" s="469"/>
      <c r="R3" s="470"/>
      <c r="S3" s="470"/>
      <c r="T3" s="469"/>
      <c r="U3" s="469"/>
      <c r="V3" s="465">
        <f t="shared" ref="V3:W3" si="15">(N3+P3+R3+T3)</f>
        <v>0</v>
      </c>
      <c r="W3" s="465">
        <f t="shared" si="15"/>
        <v>0</v>
      </c>
      <c r="X3" s="465">
        <f t="shared" si="7"/>
        <v>0</v>
      </c>
      <c r="Y3" s="359"/>
      <c r="Z3" s="359" t="s">
        <v>498</v>
      </c>
      <c r="AA3" s="329" t="str">
        <f t="shared" ca="1" si="8"/>
        <v>D7-2</v>
      </c>
      <c r="AB3" s="459">
        <f t="shared" ca="1" si="9"/>
        <v>66</v>
      </c>
      <c r="AC3" s="459">
        <f t="shared" ca="1" si="10"/>
        <v>63</v>
      </c>
      <c r="AD3" s="329">
        <f t="shared" ca="1" si="11"/>
        <v>129</v>
      </c>
      <c r="AE3" s="236">
        <f t="shared" ca="1" si="12"/>
        <v>0.51162790697674421</v>
      </c>
      <c r="AF3" s="341">
        <f t="shared" ca="1" si="13"/>
        <v>-33.488372093023258</v>
      </c>
      <c r="AG3" s="432">
        <f t="shared" ca="1" si="14"/>
        <v>2</v>
      </c>
      <c r="AH3" s="361"/>
    </row>
    <row r="4" spans="1:34" ht="15" customHeight="1">
      <c r="A4" s="466" t="s">
        <v>1367</v>
      </c>
      <c r="B4" s="318" t="s">
        <v>434</v>
      </c>
      <c r="C4" s="107">
        <v>10</v>
      </c>
      <c r="D4" s="108">
        <v>5</v>
      </c>
      <c r="E4" s="106">
        <v>6</v>
      </c>
      <c r="F4" s="235">
        <f t="shared" si="0"/>
        <v>21</v>
      </c>
      <c r="G4" s="363">
        <f>C5+D2+E3</f>
        <v>33</v>
      </c>
      <c r="H4" s="363">
        <f t="shared" si="1"/>
        <v>54</v>
      </c>
      <c r="I4" s="360">
        <f t="shared" si="2"/>
        <v>0.3888888888888889</v>
      </c>
      <c r="J4" s="467">
        <f t="shared" ca="1" si="3"/>
        <v>4</v>
      </c>
      <c r="K4" s="425" t="str">
        <f t="shared" ca="1" si="4"/>
        <v>D1-4</v>
      </c>
      <c r="L4" s="501" t="s">
        <v>265</v>
      </c>
      <c r="M4" s="466" t="str">
        <f t="shared" ca="1" si="5"/>
        <v>Rob Hurtado &amp; Imelda Tooey</v>
      </c>
      <c r="N4" s="359">
        <v>4</v>
      </c>
      <c r="O4" s="359">
        <v>11</v>
      </c>
      <c r="P4" s="468"/>
      <c r="Q4" s="469"/>
      <c r="R4" s="470"/>
      <c r="S4" s="470"/>
      <c r="T4" s="469"/>
      <c r="U4" s="469"/>
      <c r="V4" s="465">
        <f t="shared" ref="V4:W4" si="16">(N4+P4+R4+T4)</f>
        <v>4</v>
      </c>
      <c r="W4" s="465">
        <f t="shared" si="16"/>
        <v>11</v>
      </c>
      <c r="X4" s="465">
        <f t="shared" si="7"/>
        <v>15</v>
      </c>
      <c r="Y4" s="359"/>
      <c r="Z4" s="359" t="s">
        <v>487</v>
      </c>
      <c r="AA4" s="329" t="str">
        <f t="shared" ca="1" si="8"/>
        <v>D6-2</v>
      </c>
      <c r="AB4" s="459">
        <f t="shared" ca="1" si="9"/>
        <v>61</v>
      </c>
      <c r="AC4" s="459">
        <f t="shared" ca="1" si="10"/>
        <v>46</v>
      </c>
      <c r="AD4" s="329">
        <f t="shared" ca="1" si="11"/>
        <v>107</v>
      </c>
      <c r="AE4" s="236">
        <f t="shared" ca="1" si="12"/>
        <v>0.57009345794392519</v>
      </c>
      <c r="AF4" s="341">
        <f t="shared" ca="1" si="13"/>
        <v>-38.429906542056074</v>
      </c>
      <c r="AG4" s="432">
        <f t="shared" ca="1" si="14"/>
        <v>3</v>
      </c>
      <c r="AH4" s="361"/>
    </row>
    <row r="5" spans="1:34" ht="15" customHeight="1">
      <c r="A5" s="366" t="s">
        <v>1367</v>
      </c>
      <c r="B5" s="320" t="s">
        <v>430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368">
        <f>C4+D3+E2</f>
        <v>26</v>
      </c>
      <c r="H5" s="368">
        <f t="shared" si="1"/>
        <v>59</v>
      </c>
      <c r="I5" s="369">
        <f t="shared" si="2"/>
        <v>0.55932203389830504</v>
      </c>
      <c r="J5" s="471">
        <f t="shared" ca="1" si="3"/>
        <v>1</v>
      </c>
      <c r="K5" s="430" t="str">
        <f t="shared" ca="1" si="4"/>
        <v>D1-1</v>
      </c>
      <c r="L5" s="500"/>
      <c r="M5" s="366">
        <f t="shared" ca="1" si="5"/>
        <v>0</v>
      </c>
      <c r="N5" s="372"/>
      <c r="O5" s="372"/>
      <c r="P5" s="472"/>
      <c r="Q5" s="473"/>
      <c r="R5" s="474"/>
      <c r="S5" s="474"/>
      <c r="T5" s="473"/>
      <c r="U5" s="473"/>
      <c r="V5" s="475">
        <f t="shared" ref="V5:W5" si="17">(N5+P5+R5+T5)</f>
        <v>0</v>
      </c>
      <c r="W5" s="475">
        <f t="shared" si="17"/>
        <v>0</v>
      </c>
      <c r="X5" s="475">
        <f t="shared" si="7"/>
        <v>0</v>
      </c>
      <c r="Y5" s="372"/>
      <c r="Z5" s="372" t="s">
        <v>457</v>
      </c>
      <c r="AA5" s="337" t="str">
        <f t="shared" ca="1" si="8"/>
        <v>D4-1</v>
      </c>
      <c r="AB5" s="460">
        <f t="shared" ca="1" si="9"/>
        <v>59</v>
      </c>
      <c r="AC5" s="460">
        <f t="shared" ca="1" si="10"/>
        <v>56</v>
      </c>
      <c r="AD5" s="337">
        <f t="shared" ca="1" si="11"/>
        <v>115</v>
      </c>
      <c r="AE5" s="253">
        <f t="shared" ca="1" si="12"/>
        <v>0.5130434782608696</v>
      </c>
      <c r="AF5" s="338">
        <f t="shared" ca="1" si="13"/>
        <v>-40.486956521739131</v>
      </c>
      <c r="AG5" s="434">
        <f t="shared" ca="1" si="14"/>
        <v>4</v>
      </c>
      <c r="AH5" s="361"/>
    </row>
    <row r="6" spans="1:34" ht="15" customHeight="1">
      <c r="A6" s="357" t="s">
        <v>1368</v>
      </c>
      <c r="B6" s="318" t="s">
        <v>439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353">
        <f>C7+D8+E9</f>
        <v>18</v>
      </c>
      <c r="H6" s="353">
        <f t="shared" si="1"/>
        <v>51</v>
      </c>
      <c r="I6" s="354">
        <f t="shared" si="2"/>
        <v>0.6470588235294118</v>
      </c>
      <c r="J6" s="467">
        <f t="shared" ref="J6:J9" ca="1" si="18">IFERROR(RANK(F6,OFFSET($F$6,0,0,COUNTA($F$6:$F$9),1)),)</f>
        <v>1</v>
      </c>
      <c r="K6" s="419" t="str">
        <f t="shared" ca="1" si="4"/>
        <v>D2-1</v>
      </c>
      <c r="L6" s="501" t="s">
        <v>225</v>
      </c>
      <c r="M6" s="466" t="str">
        <f t="shared" ca="1" si="5"/>
        <v>Robin Yaple &amp; Bill Roller</v>
      </c>
      <c r="N6" s="359">
        <v>11</v>
      </c>
      <c r="O6" s="359">
        <v>5</v>
      </c>
      <c r="P6" s="468">
        <v>11</v>
      </c>
      <c r="Q6" s="469">
        <v>7</v>
      </c>
      <c r="R6" s="470">
        <v>11</v>
      </c>
      <c r="S6" s="470">
        <v>4</v>
      </c>
      <c r="T6" s="469">
        <v>12</v>
      </c>
      <c r="U6" s="469">
        <v>4</v>
      </c>
      <c r="V6" s="476">
        <f t="shared" ref="V6:W6" si="19">(N6+P6+R6+T6)</f>
        <v>45</v>
      </c>
      <c r="W6" s="476">
        <f t="shared" si="19"/>
        <v>20</v>
      </c>
      <c r="X6" s="476">
        <f t="shared" si="7"/>
        <v>65</v>
      </c>
      <c r="Y6" s="374"/>
      <c r="Z6" s="374" t="s">
        <v>469</v>
      </c>
      <c r="AA6" s="340" t="str">
        <f t="shared" ca="1" si="8"/>
        <v>D5-1</v>
      </c>
      <c r="AB6" s="420">
        <f t="shared" ca="1" si="9"/>
        <v>53</v>
      </c>
      <c r="AC6" s="420">
        <f t="shared" ca="1" si="10"/>
        <v>46</v>
      </c>
      <c r="AD6" s="340">
        <f t="shared" ca="1" si="11"/>
        <v>99</v>
      </c>
      <c r="AE6" s="214">
        <f t="shared" ca="1" si="12"/>
        <v>0.53535353535353536</v>
      </c>
      <c r="AF6" s="341">
        <f t="shared" ca="1" si="13"/>
        <v>-46.464646464646464</v>
      </c>
      <c r="AG6" s="432">
        <f t="shared" ca="1" si="14"/>
        <v>5</v>
      </c>
      <c r="AH6" s="361"/>
    </row>
    <row r="7" spans="1:34" ht="15" customHeight="1">
      <c r="A7" s="466" t="s">
        <v>1368</v>
      </c>
      <c r="B7" s="318" t="s">
        <v>441</v>
      </c>
      <c r="C7" s="105">
        <v>6</v>
      </c>
      <c r="D7" s="106">
        <v>3</v>
      </c>
      <c r="E7" s="106">
        <v>2</v>
      </c>
      <c r="F7" s="235">
        <f t="shared" si="0"/>
        <v>11</v>
      </c>
      <c r="G7" s="363">
        <f>C6+D9+E8</f>
        <v>33</v>
      </c>
      <c r="H7" s="363">
        <f t="shared" si="1"/>
        <v>44</v>
      </c>
      <c r="I7" s="360">
        <f t="shared" si="2"/>
        <v>0.25</v>
      </c>
      <c r="J7" s="467">
        <f t="shared" ca="1" si="18"/>
        <v>4</v>
      </c>
      <c r="K7" s="425" t="str">
        <f t="shared" ca="1" si="4"/>
        <v>D2-4</v>
      </c>
      <c r="L7" s="500"/>
      <c r="M7" s="466">
        <f t="shared" ca="1" si="5"/>
        <v>0</v>
      </c>
      <c r="N7" s="359"/>
      <c r="O7" s="359"/>
      <c r="P7" s="468"/>
      <c r="Q7" s="469"/>
      <c r="R7" s="470"/>
      <c r="S7" s="470"/>
      <c r="T7" s="469"/>
      <c r="U7" s="469"/>
      <c r="V7" s="465">
        <f t="shared" ref="V7:W7" si="20">(N7+P7+R7+T7)</f>
        <v>0</v>
      </c>
      <c r="W7" s="465">
        <f t="shared" si="20"/>
        <v>0</v>
      </c>
      <c r="X7" s="465">
        <f t="shared" si="7"/>
        <v>0</v>
      </c>
      <c r="Y7" s="359"/>
      <c r="Z7" s="359" t="s">
        <v>467</v>
      </c>
      <c r="AA7" s="329" t="str">
        <f t="shared" ca="1" si="8"/>
        <v>D5-2</v>
      </c>
      <c r="AB7" s="459">
        <f t="shared" ca="1" si="9"/>
        <v>52</v>
      </c>
      <c r="AC7" s="459">
        <f t="shared" ca="1" si="10"/>
        <v>35</v>
      </c>
      <c r="AD7" s="329">
        <f t="shared" ca="1" si="11"/>
        <v>87</v>
      </c>
      <c r="AE7" s="236">
        <f t="shared" ca="1" si="12"/>
        <v>0.5977011494252874</v>
      </c>
      <c r="AF7" s="341">
        <f t="shared" ca="1" si="13"/>
        <v>-47.402298850574709</v>
      </c>
      <c r="AG7" s="432">
        <f t="shared" ca="1" si="14"/>
        <v>6</v>
      </c>
      <c r="AH7" s="361"/>
    </row>
    <row r="8" spans="1:34" ht="15" customHeight="1">
      <c r="A8" s="466" t="s">
        <v>1368</v>
      </c>
      <c r="B8" s="318" t="s">
        <v>443</v>
      </c>
      <c r="C8" s="107">
        <v>11</v>
      </c>
      <c r="D8" s="108">
        <v>9</v>
      </c>
      <c r="E8" s="106">
        <v>11</v>
      </c>
      <c r="F8" s="235">
        <f t="shared" si="0"/>
        <v>31</v>
      </c>
      <c r="G8" s="363">
        <f>C9+D6+E7</f>
        <v>18</v>
      </c>
      <c r="H8" s="363">
        <f t="shared" si="1"/>
        <v>49</v>
      </c>
      <c r="I8" s="360">
        <f t="shared" si="2"/>
        <v>0.63265306122448983</v>
      </c>
      <c r="J8" s="467">
        <f t="shared" ca="1" si="18"/>
        <v>2</v>
      </c>
      <c r="K8" s="425" t="str">
        <f t="shared" ca="1" si="4"/>
        <v>D2-2</v>
      </c>
      <c r="L8" s="501" t="s">
        <v>253</v>
      </c>
      <c r="M8" s="466" t="str">
        <f t="shared" ca="1" si="5"/>
        <v>Maria Moore &amp; Greg Roith</v>
      </c>
      <c r="N8" s="359">
        <v>5</v>
      </c>
      <c r="O8" s="359">
        <v>11</v>
      </c>
      <c r="P8" s="468"/>
      <c r="Q8" s="469"/>
      <c r="R8" s="470"/>
      <c r="S8" s="470"/>
      <c r="T8" s="469"/>
      <c r="U8" s="469"/>
      <c r="V8" s="465">
        <f t="shared" ref="V8:W8" si="21">(N8+P8+R8+T8)</f>
        <v>5</v>
      </c>
      <c r="W8" s="465">
        <f t="shared" si="21"/>
        <v>11</v>
      </c>
      <c r="X8" s="465">
        <f t="shared" si="7"/>
        <v>16</v>
      </c>
      <c r="Y8" s="359"/>
      <c r="Z8" s="359" t="s">
        <v>430</v>
      </c>
      <c r="AA8" s="329" t="str">
        <f t="shared" ca="1" si="8"/>
        <v>D1-1</v>
      </c>
      <c r="AB8" s="459">
        <f t="shared" ca="1" si="9"/>
        <v>51</v>
      </c>
      <c r="AC8" s="459">
        <f t="shared" ca="1" si="10"/>
        <v>41</v>
      </c>
      <c r="AD8" s="329">
        <f t="shared" ca="1" si="11"/>
        <v>92</v>
      </c>
      <c r="AE8" s="236">
        <f t="shared" ca="1" si="12"/>
        <v>0.55434782608695654</v>
      </c>
      <c r="AF8" s="341">
        <f t="shared" ca="1" si="13"/>
        <v>-48.445652173913047</v>
      </c>
      <c r="AG8" s="432">
        <f t="shared" ca="1" si="14"/>
        <v>7</v>
      </c>
      <c r="AH8" s="361"/>
    </row>
    <row r="9" spans="1:34" ht="15" customHeight="1">
      <c r="A9" s="366" t="s">
        <v>1368</v>
      </c>
      <c r="B9" s="320" t="s">
        <v>446</v>
      </c>
      <c r="C9" s="109">
        <v>5</v>
      </c>
      <c r="D9" s="110">
        <v>11</v>
      </c>
      <c r="E9" s="111">
        <v>3</v>
      </c>
      <c r="F9" s="252">
        <f t="shared" si="0"/>
        <v>19</v>
      </c>
      <c r="G9" s="368">
        <f>C8+D7+E6</f>
        <v>25</v>
      </c>
      <c r="H9" s="368">
        <f t="shared" si="1"/>
        <v>44</v>
      </c>
      <c r="I9" s="369">
        <f t="shared" si="2"/>
        <v>0.43181818181818182</v>
      </c>
      <c r="J9" s="471">
        <f t="shared" ca="1" si="18"/>
        <v>3</v>
      </c>
      <c r="K9" s="430" t="str">
        <f t="shared" ca="1" si="4"/>
        <v>D2-3</v>
      </c>
      <c r="L9" s="500"/>
      <c r="M9" s="366">
        <f t="shared" ca="1" si="5"/>
        <v>0</v>
      </c>
      <c r="N9" s="372"/>
      <c r="O9" s="372"/>
      <c r="P9" s="472"/>
      <c r="Q9" s="473"/>
      <c r="R9" s="474"/>
      <c r="S9" s="474"/>
      <c r="T9" s="473"/>
      <c r="U9" s="473"/>
      <c r="V9" s="475">
        <f t="shared" ref="V9:W9" si="22">(N9+P9+R9+T9)</f>
        <v>0</v>
      </c>
      <c r="W9" s="475">
        <f t="shared" si="22"/>
        <v>0</v>
      </c>
      <c r="X9" s="475">
        <f t="shared" si="7"/>
        <v>0</v>
      </c>
      <c r="Y9" s="372"/>
      <c r="Z9" s="372" t="s">
        <v>448</v>
      </c>
      <c r="AA9" s="337" t="str">
        <f t="shared" ca="1" si="8"/>
        <v>D3-1</v>
      </c>
      <c r="AB9" s="460">
        <f t="shared" ca="1" si="9"/>
        <v>51</v>
      </c>
      <c r="AC9" s="460">
        <f t="shared" ca="1" si="10"/>
        <v>44</v>
      </c>
      <c r="AD9" s="337">
        <f t="shared" ca="1" si="11"/>
        <v>95</v>
      </c>
      <c r="AE9" s="253">
        <f t="shared" ca="1" si="12"/>
        <v>0.5368421052631579</v>
      </c>
      <c r="AF9" s="338">
        <f t="shared" ca="1" si="13"/>
        <v>-48.463157894736845</v>
      </c>
      <c r="AG9" s="434">
        <f t="shared" ca="1" si="14"/>
        <v>8</v>
      </c>
      <c r="AH9" s="361"/>
    </row>
    <row r="10" spans="1:34" ht="15" customHeight="1">
      <c r="A10" s="357" t="s">
        <v>1369</v>
      </c>
      <c r="B10" s="318" t="s">
        <v>448</v>
      </c>
      <c r="C10" s="148">
        <v>11</v>
      </c>
      <c r="D10" s="165">
        <v>10</v>
      </c>
      <c r="E10" s="165">
        <v>11</v>
      </c>
      <c r="F10" s="213">
        <f t="shared" si="0"/>
        <v>32</v>
      </c>
      <c r="G10" s="353">
        <f>C11+D12+E13</f>
        <v>23</v>
      </c>
      <c r="H10" s="353">
        <f t="shared" si="1"/>
        <v>55</v>
      </c>
      <c r="I10" s="354">
        <f t="shared" si="2"/>
        <v>0.58181818181818179</v>
      </c>
      <c r="J10" s="467">
        <f t="shared" ref="J10:J11" ca="1" si="23">IFERROR(RANK(F10,OFFSET($F$10,0,0,COUNTA($F$10:$F$13),1)),)</f>
        <v>1</v>
      </c>
      <c r="K10" s="419" t="str">
        <f t="shared" ca="1" si="4"/>
        <v>D3-1</v>
      </c>
      <c r="L10" s="501" t="s">
        <v>243</v>
      </c>
      <c r="M10" s="466" t="str">
        <f t="shared" ca="1" si="5"/>
        <v>John Evatt &amp; Wendy Leiker</v>
      </c>
      <c r="N10" s="359">
        <v>11</v>
      </c>
      <c r="O10" s="359">
        <v>10</v>
      </c>
      <c r="P10" s="468">
        <v>8</v>
      </c>
      <c r="Q10" s="469">
        <v>11</v>
      </c>
      <c r="R10" s="470"/>
      <c r="S10" s="470"/>
      <c r="T10" s="469"/>
      <c r="U10" s="469"/>
      <c r="V10" s="465">
        <f t="shared" ref="V10:W10" si="24">(N10+P10+R10+T10)</f>
        <v>19</v>
      </c>
      <c r="W10" s="465">
        <f t="shared" si="24"/>
        <v>21</v>
      </c>
      <c r="X10" s="465">
        <f t="shared" si="7"/>
        <v>40</v>
      </c>
      <c r="Y10" s="359"/>
      <c r="Z10" s="359" t="s">
        <v>443</v>
      </c>
      <c r="AA10" s="329" t="str">
        <f t="shared" ca="1" si="8"/>
        <v>D2-2</v>
      </c>
      <c r="AB10" s="459">
        <f t="shared" ca="1" si="9"/>
        <v>41</v>
      </c>
      <c r="AC10" s="459">
        <f t="shared" ca="1" si="10"/>
        <v>29</v>
      </c>
      <c r="AD10" s="329">
        <f t="shared" ca="1" si="11"/>
        <v>70</v>
      </c>
      <c r="AE10" s="236">
        <f t="shared" ca="1" si="12"/>
        <v>0.58571428571428574</v>
      </c>
      <c r="AF10" s="341">
        <f t="shared" ca="1" si="13"/>
        <v>-58.414285714285711</v>
      </c>
      <c r="AG10" s="432">
        <f t="shared" ca="1" si="14"/>
        <v>9</v>
      </c>
      <c r="AH10" s="361"/>
    </row>
    <row r="11" spans="1:34" ht="15" customHeight="1">
      <c r="A11" s="466" t="s">
        <v>1369</v>
      </c>
      <c r="B11" s="318" t="s">
        <v>444</v>
      </c>
      <c r="C11" s="105">
        <v>7</v>
      </c>
      <c r="D11" s="106">
        <v>11</v>
      </c>
      <c r="E11" s="106">
        <v>11</v>
      </c>
      <c r="F11" s="235">
        <f t="shared" si="0"/>
        <v>29</v>
      </c>
      <c r="G11" s="363">
        <f>C10+D13+E12</f>
        <v>26</v>
      </c>
      <c r="H11" s="363">
        <f t="shared" si="1"/>
        <v>55</v>
      </c>
      <c r="I11" s="360">
        <f t="shared" si="2"/>
        <v>0.52727272727272723</v>
      </c>
      <c r="J11" s="467">
        <f t="shared" ca="1" si="23"/>
        <v>2</v>
      </c>
      <c r="K11" s="425" t="str">
        <f t="shared" ca="1" si="4"/>
        <v>D3-2</v>
      </c>
      <c r="L11" s="500"/>
      <c r="M11" s="466">
        <f t="shared" ca="1" si="5"/>
        <v>0</v>
      </c>
      <c r="N11" s="359"/>
      <c r="O11" s="359"/>
      <c r="P11" s="468"/>
      <c r="Q11" s="469"/>
      <c r="R11" s="470"/>
      <c r="S11" s="470"/>
      <c r="T11" s="469"/>
      <c r="U11" s="469"/>
      <c r="V11" s="465">
        <f t="shared" ref="V11:W11" si="25">(N11+P11+R11+T11)</f>
        <v>0</v>
      </c>
      <c r="W11" s="465">
        <f t="shared" si="25"/>
        <v>0</v>
      </c>
      <c r="X11" s="465">
        <f t="shared" si="7"/>
        <v>0</v>
      </c>
      <c r="Y11" s="359"/>
      <c r="Z11" s="359" t="s">
        <v>489</v>
      </c>
      <c r="AA11" s="329" t="str">
        <f t="shared" ca="1" si="8"/>
        <v>D6-1</v>
      </c>
      <c r="AB11" s="459">
        <f t="shared" ca="1" si="9"/>
        <v>40</v>
      </c>
      <c r="AC11" s="459">
        <f t="shared" ca="1" si="10"/>
        <v>26</v>
      </c>
      <c r="AD11" s="329">
        <f t="shared" ca="1" si="11"/>
        <v>66</v>
      </c>
      <c r="AE11" s="236">
        <f t="shared" ca="1" si="12"/>
        <v>0.60606060606060608</v>
      </c>
      <c r="AF11" s="341">
        <f t="shared" ca="1" si="13"/>
        <v>-59.393939393939391</v>
      </c>
      <c r="AG11" s="432">
        <f t="shared" ca="1" si="14"/>
        <v>10</v>
      </c>
      <c r="AH11" s="361"/>
    </row>
    <row r="12" spans="1:34" ht="15" customHeight="1">
      <c r="A12" s="466" t="s">
        <v>1369</v>
      </c>
      <c r="B12" s="318" t="s">
        <v>451</v>
      </c>
      <c r="C12" s="107">
        <v>11</v>
      </c>
      <c r="D12" s="108">
        <v>11</v>
      </c>
      <c r="E12" s="106">
        <v>7</v>
      </c>
      <c r="F12" s="235">
        <f t="shared" si="0"/>
        <v>29</v>
      </c>
      <c r="G12" s="363">
        <f>C13+D10+E11</f>
        <v>28</v>
      </c>
      <c r="H12" s="363">
        <f t="shared" si="1"/>
        <v>57</v>
      </c>
      <c r="I12" s="360">
        <f t="shared" si="2"/>
        <v>0.50877192982456143</v>
      </c>
      <c r="J12" s="477">
        <v>3</v>
      </c>
      <c r="K12" s="425" t="str">
        <f t="shared" si="4"/>
        <v>D3-3</v>
      </c>
      <c r="L12" s="501" t="s">
        <v>230</v>
      </c>
      <c r="M12" s="466" t="str">
        <f t="shared" ca="1" si="5"/>
        <v>Steve Peterson &amp; Lorie Wilson</v>
      </c>
      <c r="N12" s="359">
        <v>10</v>
      </c>
      <c r="O12" s="359">
        <v>11</v>
      </c>
      <c r="P12" s="468"/>
      <c r="Q12" s="469"/>
      <c r="R12" s="470"/>
      <c r="S12" s="470"/>
      <c r="T12" s="469"/>
      <c r="U12" s="469"/>
      <c r="V12" s="465">
        <f t="shared" ref="V12:W12" si="26">(N12+P12+R12+T12)</f>
        <v>10</v>
      </c>
      <c r="W12" s="465">
        <f t="shared" si="26"/>
        <v>11</v>
      </c>
      <c r="X12" s="465">
        <f t="shared" si="7"/>
        <v>21</v>
      </c>
      <c r="Y12" s="359"/>
      <c r="Z12" s="359" t="s">
        <v>429</v>
      </c>
      <c r="AA12" s="329" t="str">
        <f t="shared" ca="1" si="8"/>
        <v>D1-2</v>
      </c>
      <c r="AB12" s="329">
        <f t="shared" ca="1" si="9"/>
        <v>39</v>
      </c>
      <c r="AC12" s="329">
        <f t="shared" ca="1" si="10"/>
        <v>35</v>
      </c>
      <c r="AD12" s="329">
        <f t="shared" ca="1" si="11"/>
        <v>74</v>
      </c>
      <c r="AE12" s="236">
        <f t="shared" ca="1" si="12"/>
        <v>0.52702702702702697</v>
      </c>
      <c r="AF12" s="341">
        <f t="shared" ca="1" si="13"/>
        <v>-60.472972972972975</v>
      </c>
      <c r="AG12" s="432">
        <f t="shared" ca="1" si="14"/>
        <v>11</v>
      </c>
      <c r="AH12" s="361"/>
    </row>
    <row r="13" spans="1:34" ht="15" customHeight="1">
      <c r="A13" s="366" t="s">
        <v>1369</v>
      </c>
      <c r="B13" s="320" t="s">
        <v>454</v>
      </c>
      <c r="C13" s="109">
        <v>7</v>
      </c>
      <c r="D13" s="110">
        <v>8</v>
      </c>
      <c r="E13" s="111">
        <v>5</v>
      </c>
      <c r="F13" s="252">
        <f t="shared" si="0"/>
        <v>20</v>
      </c>
      <c r="G13" s="368">
        <f>C12+D11+E10</f>
        <v>33</v>
      </c>
      <c r="H13" s="368">
        <f t="shared" si="1"/>
        <v>53</v>
      </c>
      <c r="I13" s="369">
        <f t="shared" si="2"/>
        <v>0.37735849056603776</v>
      </c>
      <c r="J13" s="471">
        <f ca="1">IFERROR(RANK(F13,OFFSET($F$10,0,0,COUNTA($F$10:$F$13),1)),)</f>
        <v>4</v>
      </c>
      <c r="K13" s="430" t="str">
        <f t="shared" ca="1" si="4"/>
        <v>D3-4</v>
      </c>
      <c r="L13" s="500"/>
      <c r="M13" s="366">
        <f t="shared" ca="1" si="5"/>
        <v>0</v>
      </c>
      <c r="N13" s="372"/>
      <c r="O13" s="372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7"/>
        <v>0</v>
      </c>
      <c r="Y13" s="372"/>
      <c r="Z13" s="372" t="s">
        <v>509</v>
      </c>
      <c r="AA13" s="337" t="str">
        <f t="shared" ca="1" si="8"/>
        <v>D7-1</v>
      </c>
      <c r="AB13" s="460">
        <f t="shared" ca="1" si="9"/>
        <v>39</v>
      </c>
      <c r="AC13" s="460">
        <f t="shared" ca="1" si="10"/>
        <v>36</v>
      </c>
      <c r="AD13" s="337">
        <f t="shared" ca="1" si="11"/>
        <v>75</v>
      </c>
      <c r="AE13" s="253">
        <f t="shared" ca="1" si="12"/>
        <v>0.52</v>
      </c>
      <c r="AF13" s="338">
        <f t="shared" ca="1" si="13"/>
        <v>-60.48</v>
      </c>
      <c r="AG13" s="434">
        <f t="shared" ca="1" si="14"/>
        <v>12</v>
      </c>
      <c r="AH13" s="361"/>
    </row>
    <row r="14" spans="1:34" ht="15" customHeight="1">
      <c r="A14" s="357" t="s">
        <v>1371</v>
      </c>
      <c r="B14" s="318" t="s">
        <v>456</v>
      </c>
      <c r="C14" s="148">
        <v>10</v>
      </c>
      <c r="D14" s="165">
        <v>8</v>
      </c>
      <c r="E14" s="165">
        <v>2</v>
      </c>
      <c r="F14" s="213">
        <f t="shared" si="0"/>
        <v>20</v>
      </c>
      <c r="G14" s="353">
        <f>C15+D16+E17</f>
        <v>33</v>
      </c>
      <c r="H14" s="353">
        <f t="shared" si="1"/>
        <v>53</v>
      </c>
      <c r="I14" s="354">
        <f t="shared" si="2"/>
        <v>0.37735849056603776</v>
      </c>
      <c r="J14" s="467">
        <f t="shared" ref="J14:J17" ca="1" si="28">IFERROR(RANK(F14,OFFSET($F$14,0,0,COUNTA($F$14:$F$17),1)),)</f>
        <v>4</v>
      </c>
      <c r="K14" s="419" t="str">
        <f t="shared" ca="1" si="4"/>
        <v>D4-4</v>
      </c>
      <c r="L14" s="501" t="s">
        <v>263</v>
      </c>
      <c r="M14" s="466" t="str">
        <f t="shared" ca="1" si="5"/>
        <v>Brian Sullivan &amp; Nikki Carpenter</v>
      </c>
      <c r="N14" s="359">
        <v>11</v>
      </c>
      <c r="O14" s="359">
        <v>8</v>
      </c>
      <c r="P14" s="468">
        <v>11</v>
      </c>
      <c r="Q14" s="469">
        <v>8</v>
      </c>
      <c r="R14" s="470">
        <v>4</v>
      </c>
      <c r="S14" s="470">
        <v>11</v>
      </c>
      <c r="T14" s="469"/>
      <c r="U14" s="469"/>
      <c r="V14" s="465">
        <f t="shared" ref="V14:W14" si="29">(N14+P14+R14+T14)</f>
        <v>26</v>
      </c>
      <c r="W14" s="465">
        <f t="shared" si="29"/>
        <v>27</v>
      </c>
      <c r="X14" s="465">
        <f t="shared" si="7"/>
        <v>53</v>
      </c>
      <c r="Y14" s="359"/>
      <c r="Z14" s="359" t="s">
        <v>523</v>
      </c>
      <c r="AA14" s="329" t="str">
        <f t="shared" ca="1" si="8"/>
        <v>D8-1</v>
      </c>
      <c r="AB14" s="459">
        <f t="shared" ca="1" si="9"/>
        <v>38</v>
      </c>
      <c r="AC14" s="459">
        <f t="shared" ca="1" si="10"/>
        <v>26</v>
      </c>
      <c r="AD14" s="329">
        <f t="shared" ca="1" si="11"/>
        <v>64</v>
      </c>
      <c r="AE14" s="236">
        <f t="shared" ca="1" si="12"/>
        <v>0.59375</v>
      </c>
      <c r="AF14" s="341">
        <f t="shared" ca="1" si="13"/>
        <v>-61.40625</v>
      </c>
      <c r="AG14" s="432">
        <f t="shared" ca="1" si="14"/>
        <v>13</v>
      </c>
      <c r="AH14" s="361"/>
    </row>
    <row r="15" spans="1:34" ht="15" customHeight="1">
      <c r="A15" s="466" t="s">
        <v>1371</v>
      </c>
      <c r="B15" s="318" t="s">
        <v>457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363">
        <f>C14+D17+E16</f>
        <v>29</v>
      </c>
      <c r="H15" s="363">
        <f t="shared" si="1"/>
        <v>62</v>
      </c>
      <c r="I15" s="360">
        <f t="shared" si="2"/>
        <v>0.532258064516129</v>
      </c>
      <c r="J15" s="467">
        <f t="shared" ca="1" si="28"/>
        <v>1</v>
      </c>
      <c r="K15" s="425" t="str">
        <f t="shared" ca="1" si="4"/>
        <v>D4-1</v>
      </c>
      <c r="L15" s="500"/>
      <c r="M15" s="466">
        <f t="shared" ca="1" si="5"/>
        <v>0</v>
      </c>
      <c r="N15" s="359"/>
      <c r="O15" s="359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7"/>
        <v>0</v>
      </c>
      <c r="Y15" s="359"/>
      <c r="Z15" s="359" t="s">
        <v>480</v>
      </c>
      <c r="AA15" s="329" t="str">
        <f t="shared" ca="1" si="8"/>
        <v>D8-2</v>
      </c>
      <c r="AB15" s="459">
        <f t="shared" ca="1" si="9"/>
        <v>36</v>
      </c>
      <c r="AC15" s="459">
        <f t="shared" ca="1" si="10"/>
        <v>41</v>
      </c>
      <c r="AD15" s="329">
        <f t="shared" ca="1" si="11"/>
        <v>77</v>
      </c>
      <c r="AE15" s="236">
        <f t="shared" ca="1" si="12"/>
        <v>0.46753246753246752</v>
      </c>
      <c r="AF15" s="341">
        <f t="shared" ca="1" si="13"/>
        <v>-63.532467532467535</v>
      </c>
      <c r="AG15" s="432">
        <f t="shared" ca="1" si="14"/>
        <v>14</v>
      </c>
      <c r="AH15" s="361"/>
    </row>
    <row r="16" spans="1:34" ht="15" customHeight="1">
      <c r="A16" s="466" t="s">
        <v>1371</v>
      </c>
      <c r="B16" s="318" t="s">
        <v>461</v>
      </c>
      <c r="C16" s="107">
        <v>1</v>
      </c>
      <c r="D16" s="108">
        <v>11</v>
      </c>
      <c r="E16" s="106">
        <v>10</v>
      </c>
      <c r="F16" s="235">
        <f t="shared" si="0"/>
        <v>22</v>
      </c>
      <c r="G16" s="363">
        <f>C17+D14+E15</f>
        <v>30</v>
      </c>
      <c r="H16" s="363">
        <f t="shared" si="1"/>
        <v>52</v>
      </c>
      <c r="I16" s="360">
        <f t="shared" si="2"/>
        <v>0.42307692307692307</v>
      </c>
      <c r="J16" s="467">
        <f t="shared" ca="1" si="28"/>
        <v>3</v>
      </c>
      <c r="K16" s="425" t="str">
        <f t="shared" ca="1" si="4"/>
        <v>D4-3</v>
      </c>
      <c r="L16" s="501" t="s">
        <v>218</v>
      </c>
      <c r="M16" s="466" t="str">
        <f t="shared" ca="1" si="5"/>
        <v>Michael Sullivan &amp; Deon Rasmuson</v>
      </c>
      <c r="N16" s="359">
        <v>8</v>
      </c>
      <c r="O16" s="359">
        <v>11</v>
      </c>
      <c r="P16" s="468"/>
      <c r="Q16" s="469"/>
      <c r="R16" s="470"/>
      <c r="S16" s="470"/>
      <c r="T16" s="469"/>
      <c r="U16" s="469"/>
      <c r="V16" s="465">
        <f t="shared" ref="V16:W16" si="31">(N16+P16+R16+T16)</f>
        <v>8</v>
      </c>
      <c r="W16" s="465">
        <f t="shared" si="31"/>
        <v>11</v>
      </c>
      <c r="X16" s="465">
        <f t="shared" si="7"/>
        <v>19</v>
      </c>
      <c r="Y16" s="359"/>
      <c r="Z16" s="359" t="s">
        <v>435</v>
      </c>
      <c r="AA16" s="329" t="str">
        <f t="shared" ca="1" si="8"/>
        <v>D4-2</v>
      </c>
      <c r="AB16" s="459">
        <f t="shared" ca="1" si="9"/>
        <v>35</v>
      </c>
      <c r="AC16" s="459">
        <f t="shared" ca="1" si="10"/>
        <v>25</v>
      </c>
      <c r="AD16" s="329">
        <f t="shared" ca="1" si="11"/>
        <v>60</v>
      </c>
      <c r="AE16" s="236">
        <f t="shared" ca="1" si="12"/>
        <v>0.58333333333333337</v>
      </c>
      <c r="AF16" s="341">
        <f t="shared" ca="1" si="13"/>
        <v>-64.416666666666671</v>
      </c>
      <c r="AG16" s="432">
        <f t="shared" ca="1" si="14"/>
        <v>15</v>
      </c>
      <c r="AH16" s="361"/>
    </row>
    <row r="17" spans="1:34" ht="15" customHeight="1">
      <c r="A17" s="366" t="s">
        <v>1371</v>
      </c>
      <c r="B17" s="320" t="s">
        <v>435</v>
      </c>
      <c r="C17" s="109">
        <v>11</v>
      </c>
      <c r="D17" s="110">
        <v>9</v>
      </c>
      <c r="E17" s="111">
        <v>11</v>
      </c>
      <c r="F17" s="252">
        <f t="shared" si="0"/>
        <v>31</v>
      </c>
      <c r="G17" s="368">
        <f>C16+D15+E14</f>
        <v>14</v>
      </c>
      <c r="H17" s="368">
        <f t="shared" si="1"/>
        <v>45</v>
      </c>
      <c r="I17" s="369">
        <f t="shared" si="2"/>
        <v>0.68888888888888888</v>
      </c>
      <c r="J17" s="471">
        <f t="shared" ca="1" si="28"/>
        <v>2</v>
      </c>
      <c r="K17" s="430" t="str">
        <f t="shared" ca="1" si="4"/>
        <v>D4-2</v>
      </c>
      <c r="L17" s="500"/>
      <c r="M17" s="366">
        <f t="shared" ca="1" si="5"/>
        <v>0</v>
      </c>
      <c r="N17" s="372"/>
      <c r="O17" s="372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7"/>
        <v>0</v>
      </c>
      <c r="Y17" s="372"/>
      <c r="Z17" s="372" t="s">
        <v>444</v>
      </c>
      <c r="AA17" s="337" t="str">
        <f t="shared" ca="1" si="8"/>
        <v>D3-2</v>
      </c>
      <c r="AB17" s="460">
        <f t="shared" ca="1" si="9"/>
        <v>34</v>
      </c>
      <c r="AC17" s="460">
        <f t="shared" ca="1" si="10"/>
        <v>37</v>
      </c>
      <c r="AD17" s="337">
        <f t="shared" ca="1" si="11"/>
        <v>71</v>
      </c>
      <c r="AE17" s="253">
        <f t="shared" ca="1" si="12"/>
        <v>0.47887323943661969</v>
      </c>
      <c r="AF17" s="338">
        <f t="shared" ca="1" si="13"/>
        <v>-65.521126760563376</v>
      </c>
      <c r="AG17" s="434">
        <f t="shared" ca="1" si="14"/>
        <v>16</v>
      </c>
      <c r="AH17" s="361"/>
    </row>
    <row r="18" spans="1:34" ht="15" customHeight="1">
      <c r="A18" s="357" t="s">
        <v>1376</v>
      </c>
      <c r="B18" s="352" t="s">
        <v>467</v>
      </c>
      <c r="C18" s="148">
        <v>11</v>
      </c>
      <c r="D18" s="165">
        <v>11</v>
      </c>
      <c r="E18" s="165">
        <v>9</v>
      </c>
      <c r="F18" s="213">
        <f t="shared" si="0"/>
        <v>31</v>
      </c>
      <c r="G18" s="353">
        <f>C19+D20+E21</f>
        <v>19</v>
      </c>
      <c r="H18" s="353">
        <f t="shared" si="1"/>
        <v>50</v>
      </c>
      <c r="I18" s="354">
        <f t="shared" si="2"/>
        <v>0.62</v>
      </c>
      <c r="J18" s="461">
        <f t="shared" ref="J18:J21" ca="1" si="33">IFERROR(RANK(F18,OFFSET($F$18,0,0,COUNTA($F$18:$F$21),1)),)</f>
        <v>2</v>
      </c>
      <c r="K18" s="419" t="str">
        <f t="shared" ca="1" si="4"/>
        <v>D5-2</v>
      </c>
      <c r="L18" s="501" t="s">
        <v>468</v>
      </c>
      <c r="M18" s="357" t="str">
        <f t="shared" ca="1" si="5"/>
        <v>Ron Larson &amp; Sia Carlile</v>
      </c>
      <c r="N18" s="374">
        <v>11</v>
      </c>
      <c r="O18" s="374">
        <v>10</v>
      </c>
      <c r="P18" s="462">
        <v>9</v>
      </c>
      <c r="Q18" s="463">
        <v>11</v>
      </c>
      <c r="R18" s="464"/>
      <c r="S18" s="464"/>
      <c r="T18" s="463"/>
      <c r="U18" s="463"/>
      <c r="V18" s="465">
        <f t="shared" ref="V18:W18" si="34">(N18+P18+R18+T18)</f>
        <v>20</v>
      </c>
      <c r="W18" s="465">
        <f t="shared" si="34"/>
        <v>21</v>
      </c>
      <c r="X18" s="465">
        <f t="shared" si="7"/>
        <v>41</v>
      </c>
      <c r="Y18" s="359"/>
      <c r="Z18" s="359" t="s">
        <v>451</v>
      </c>
      <c r="AA18" s="329" t="str">
        <f t="shared" si="8"/>
        <v>D3-3</v>
      </c>
      <c r="AB18" s="459">
        <f t="shared" ca="1" si="9"/>
        <v>29</v>
      </c>
      <c r="AC18" s="459">
        <f t="shared" ca="1" si="10"/>
        <v>28</v>
      </c>
      <c r="AD18" s="329">
        <f t="shared" ca="1" si="11"/>
        <v>57</v>
      </c>
      <c r="AE18" s="236">
        <f t="shared" ca="1" si="12"/>
        <v>0.50877192982456143</v>
      </c>
      <c r="AF18" s="341">
        <f t="shared" ca="1" si="13"/>
        <v>-70.491228070175438</v>
      </c>
      <c r="AG18" s="409">
        <f t="shared" ca="1" si="14"/>
        <v>17</v>
      </c>
      <c r="AH18" s="361"/>
    </row>
    <row r="19" spans="1:34" ht="15" customHeight="1">
      <c r="A19" s="466" t="s">
        <v>1376</v>
      </c>
      <c r="B19" s="318" t="s">
        <v>473</v>
      </c>
      <c r="C19" s="105">
        <v>7</v>
      </c>
      <c r="D19" s="106">
        <v>7</v>
      </c>
      <c r="E19" s="106">
        <v>9</v>
      </c>
      <c r="F19" s="235">
        <f t="shared" si="0"/>
        <v>23</v>
      </c>
      <c r="G19" s="363">
        <f>C18+D21+E20</f>
        <v>33</v>
      </c>
      <c r="H19" s="363">
        <f t="shared" si="1"/>
        <v>56</v>
      </c>
      <c r="I19" s="360">
        <f t="shared" si="2"/>
        <v>0.4107142857142857</v>
      </c>
      <c r="J19" s="467">
        <f t="shared" ca="1" si="33"/>
        <v>3</v>
      </c>
      <c r="K19" s="425" t="str">
        <f t="shared" ca="1" si="4"/>
        <v>D5-3</v>
      </c>
      <c r="L19" s="500"/>
      <c r="M19" s="466">
        <f t="shared" ca="1" si="5"/>
        <v>0</v>
      </c>
      <c r="N19" s="359"/>
      <c r="O19" s="359"/>
      <c r="P19" s="468"/>
      <c r="Q19" s="469"/>
      <c r="R19" s="470"/>
      <c r="S19" s="470"/>
      <c r="T19" s="469"/>
      <c r="U19" s="469"/>
      <c r="V19" s="465">
        <f t="shared" ref="V19:W19" si="35">(N19+P19+R19+T19)</f>
        <v>0</v>
      </c>
      <c r="W19" s="465">
        <f t="shared" si="35"/>
        <v>0</v>
      </c>
      <c r="X19" s="465">
        <f t="shared" si="7"/>
        <v>0</v>
      </c>
      <c r="Y19" s="359"/>
      <c r="Z19" s="359" t="s">
        <v>432</v>
      </c>
      <c r="AA19" s="329" t="str">
        <f t="shared" ca="1" si="8"/>
        <v>D1-3</v>
      </c>
      <c r="AB19" s="459">
        <f t="shared" ca="1" si="9"/>
        <v>26</v>
      </c>
      <c r="AC19" s="459">
        <f t="shared" ca="1" si="10"/>
        <v>28</v>
      </c>
      <c r="AD19" s="329">
        <f t="shared" ca="1" si="11"/>
        <v>54</v>
      </c>
      <c r="AE19" s="236">
        <f t="shared" ca="1" si="12"/>
        <v>0.48148148148148145</v>
      </c>
      <c r="AF19" s="341">
        <f t="shared" ca="1" si="13"/>
        <v>-73.518518518518519</v>
      </c>
      <c r="AG19" s="432">
        <f t="shared" ca="1" si="14"/>
        <v>18</v>
      </c>
      <c r="AH19" s="361"/>
    </row>
    <row r="20" spans="1:34" ht="15" customHeight="1">
      <c r="A20" s="466" t="s">
        <v>1376</v>
      </c>
      <c r="B20" s="318" t="s">
        <v>478</v>
      </c>
      <c r="C20" s="107">
        <v>9</v>
      </c>
      <c r="D20" s="108">
        <v>1</v>
      </c>
      <c r="E20" s="106">
        <v>11</v>
      </c>
      <c r="F20" s="235">
        <f t="shared" si="0"/>
        <v>21</v>
      </c>
      <c r="G20" s="363">
        <f>C21+D18+E19</f>
        <v>31</v>
      </c>
      <c r="H20" s="363">
        <f t="shared" si="1"/>
        <v>52</v>
      </c>
      <c r="I20" s="360">
        <f t="shared" si="2"/>
        <v>0.40384615384615385</v>
      </c>
      <c r="J20" s="467">
        <f t="shared" ca="1" si="33"/>
        <v>4</v>
      </c>
      <c r="K20" s="425" t="str">
        <f t="shared" ca="1" si="4"/>
        <v>D5-4</v>
      </c>
      <c r="L20" s="501" t="s">
        <v>479</v>
      </c>
      <c r="M20" s="466" t="str">
        <f t="shared" ca="1" si="5"/>
        <v>Jacqui O'Connor &amp; Mike McGillicuddy</v>
      </c>
      <c r="N20" s="359">
        <v>10</v>
      </c>
      <c r="O20" s="359">
        <v>11</v>
      </c>
      <c r="P20" s="468"/>
      <c r="Q20" s="469"/>
      <c r="R20" s="470"/>
      <c r="S20" s="470"/>
      <c r="T20" s="469"/>
      <c r="U20" s="469"/>
      <c r="V20" s="465">
        <f t="shared" ref="V20:W20" si="36">(N20+P20+R20+T20)</f>
        <v>10</v>
      </c>
      <c r="W20" s="465">
        <f t="shared" si="36"/>
        <v>11</v>
      </c>
      <c r="X20" s="465">
        <f t="shared" si="7"/>
        <v>21</v>
      </c>
      <c r="Y20" s="359"/>
      <c r="Z20" s="359" t="s">
        <v>516</v>
      </c>
      <c r="AA20" s="329" t="str">
        <f t="shared" ca="1" si="8"/>
        <v>D7-3</v>
      </c>
      <c r="AB20" s="459">
        <f t="shared" ca="1" si="9"/>
        <v>26</v>
      </c>
      <c r="AC20" s="459">
        <f t="shared" ca="1" si="10"/>
        <v>32</v>
      </c>
      <c r="AD20" s="329">
        <f t="shared" ca="1" si="11"/>
        <v>58</v>
      </c>
      <c r="AE20" s="236">
        <f t="shared" ca="1" si="12"/>
        <v>0.44827586206896552</v>
      </c>
      <c r="AF20" s="341">
        <f t="shared" ca="1" si="13"/>
        <v>-73.551724137931032</v>
      </c>
      <c r="AG20" s="432">
        <f t="shared" ca="1" si="14"/>
        <v>19</v>
      </c>
      <c r="AH20" s="361"/>
    </row>
    <row r="21" spans="1:34" ht="15" customHeight="1">
      <c r="A21" s="366" t="s">
        <v>1376</v>
      </c>
      <c r="B21" s="320" t="s">
        <v>469</v>
      </c>
      <c r="C21" s="109">
        <v>11</v>
      </c>
      <c r="D21" s="110">
        <v>11</v>
      </c>
      <c r="E21" s="111">
        <v>11</v>
      </c>
      <c r="F21" s="252">
        <f t="shared" si="0"/>
        <v>33</v>
      </c>
      <c r="G21" s="368">
        <f>C20+D19+E18</f>
        <v>25</v>
      </c>
      <c r="H21" s="368">
        <f t="shared" si="1"/>
        <v>58</v>
      </c>
      <c r="I21" s="369">
        <f t="shared" si="2"/>
        <v>0.56896551724137934</v>
      </c>
      <c r="J21" s="471">
        <f t="shared" ca="1" si="33"/>
        <v>1</v>
      </c>
      <c r="K21" s="430" t="str">
        <f t="shared" ca="1" si="4"/>
        <v>D5-1</v>
      </c>
      <c r="L21" s="500"/>
      <c r="M21" s="366">
        <f t="shared" ca="1" si="5"/>
        <v>0</v>
      </c>
      <c r="N21" s="372"/>
      <c r="O21" s="372"/>
      <c r="P21" s="472"/>
      <c r="Q21" s="473"/>
      <c r="R21" s="474"/>
      <c r="S21" s="474"/>
      <c r="T21" s="473"/>
      <c r="U21" s="473"/>
      <c r="V21" s="475">
        <f t="shared" ref="V21:W21" si="37">(N21+P21+R21+T21)</f>
        <v>0</v>
      </c>
      <c r="W21" s="475">
        <f t="shared" si="37"/>
        <v>0</v>
      </c>
      <c r="X21" s="475">
        <f t="shared" si="7"/>
        <v>0</v>
      </c>
      <c r="Y21" s="372"/>
      <c r="Z21" s="372" t="s">
        <v>507</v>
      </c>
      <c r="AA21" s="337" t="str">
        <f t="shared" ca="1" si="8"/>
        <v>D7-4</v>
      </c>
      <c r="AB21" s="460">
        <f t="shared" ca="1" si="9"/>
        <v>25</v>
      </c>
      <c r="AC21" s="460">
        <f t="shared" ca="1" si="10"/>
        <v>29</v>
      </c>
      <c r="AD21" s="337">
        <f t="shared" ca="1" si="11"/>
        <v>54</v>
      </c>
      <c r="AE21" s="253">
        <f t="shared" ca="1" si="12"/>
        <v>0.46296296296296297</v>
      </c>
      <c r="AF21" s="338">
        <f t="shared" ca="1" si="13"/>
        <v>-74.537037037037038</v>
      </c>
      <c r="AG21" s="434">
        <f t="shared" ca="1" si="14"/>
        <v>20</v>
      </c>
      <c r="AH21" s="361"/>
    </row>
    <row r="22" spans="1:34" ht="15" customHeight="1">
      <c r="A22" s="357" t="s">
        <v>1377</v>
      </c>
      <c r="B22" s="318" t="s">
        <v>487</v>
      </c>
      <c r="C22" s="148">
        <v>11</v>
      </c>
      <c r="D22" s="165">
        <v>8</v>
      </c>
      <c r="E22" s="165">
        <v>11</v>
      </c>
      <c r="F22" s="213">
        <f t="shared" si="0"/>
        <v>30</v>
      </c>
      <c r="G22" s="353">
        <f>C23+D24+E25</f>
        <v>18</v>
      </c>
      <c r="H22" s="353">
        <f t="shared" si="1"/>
        <v>48</v>
      </c>
      <c r="I22" s="354">
        <f t="shared" si="2"/>
        <v>0.625</v>
      </c>
      <c r="J22" s="467">
        <f t="shared" ref="J22:J25" ca="1" si="38">IFERROR(RANK(F22,OFFSET($F$22,0,0,COUNTA($F$22:$F$25),1)),)</f>
        <v>2</v>
      </c>
      <c r="K22" s="419" t="str">
        <f t="shared" ca="1" si="4"/>
        <v>D6-2</v>
      </c>
      <c r="L22" s="501" t="s">
        <v>488</v>
      </c>
      <c r="M22" s="466" t="str">
        <f t="shared" ca="1" si="5"/>
        <v>Todd Jones &amp; Beth McDonald</v>
      </c>
      <c r="N22" s="359">
        <v>7</v>
      </c>
      <c r="O22" s="359">
        <v>11</v>
      </c>
      <c r="P22" s="468"/>
      <c r="Q22" s="469"/>
      <c r="R22" s="470"/>
      <c r="S22" s="470"/>
      <c r="T22" s="469"/>
      <c r="U22" s="469"/>
      <c r="V22" s="476">
        <f t="shared" ref="V22:W22" si="39">(N22+P22+R22+T22)</f>
        <v>7</v>
      </c>
      <c r="W22" s="476">
        <f t="shared" si="39"/>
        <v>11</v>
      </c>
      <c r="X22" s="476">
        <f t="shared" si="7"/>
        <v>18</v>
      </c>
      <c r="Y22" s="374"/>
      <c r="Z22" s="374" t="s">
        <v>531</v>
      </c>
      <c r="AA22" s="340" t="str">
        <f t="shared" ca="1" si="8"/>
        <v>D8-3</v>
      </c>
      <c r="AB22" s="420">
        <f t="shared" ca="1" si="9"/>
        <v>24</v>
      </c>
      <c r="AC22" s="420">
        <f t="shared" ca="1" si="10"/>
        <v>28</v>
      </c>
      <c r="AD22" s="340">
        <f t="shared" ca="1" si="11"/>
        <v>52</v>
      </c>
      <c r="AE22" s="214">
        <f t="shared" ca="1" si="12"/>
        <v>0.46153846153846156</v>
      </c>
      <c r="AF22" s="341">
        <f t="shared" ca="1" si="13"/>
        <v>-75.538461538461533</v>
      </c>
      <c r="AG22" s="432">
        <f t="shared" ca="1" si="14"/>
        <v>21</v>
      </c>
      <c r="AH22" s="361"/>
    </row>
    <row r="23" spans="1:34" ht="15" customHeight="1">
      <c r="A23" s="466" t="s">
        <v>1377</v>
      </c>
      <c r="B23" s="318" t="s">
        <v>493</v>
      </c>
      <c r="C23" s="105">
        <v>1</v>
      </c>
      <c r="D23" s="106">
        <v>5</v>
      </c>
      <c r="E23" s="106">
        <v>6</v>
      </c>
      <c r="F23" s="235">
        <f t="shared" si="0"/>
        <v>12</v>
      </c>
      <c r="G23" s="363">
        <f>C22+D25+E24</f>
        <v>33</v>
      </c>
      <c r="H23" s="363">
        <f t="shared" si="1"/>
        <v>45</v>
      </c>
      <c r="I23" s="360">
        <f t="shared" si="2"/>
        <v>0.26666666666666666</v>
      </c>
      <c r="J23" s="467">
        <f t="shared" ca="1" si="38"/>
        <v>4</v>
      </c>
      <c r="K23" s="425" t="str">
        <f t="shared" ca="1" si="4"/>
        <v>D6-4</v>
      </c>
      <c r="L23" s="500"/>
      <c r="M23" s="466">
        <f t="shared" ca="1" si="5"/>
        <v>0</v>
      </c>
      <c r="N23" s="359"/>
      <c r="O23" s="359"/>
      <c r="P23" s="468"/>
      <c r="Q23" s="469"/>
      <c r="R23" s="470"/>
      <c r="S23" s="470"/>
      <c r="T23" s="469"/>
      <c r="U23" s="469"/>
      <c r="V23" s="465">
        <f t="shared" ref="V23:W23" si="40">(N23+P23+R23+T23)</f>
        <v>0</v>
      </c>
      <c r="W23" s="465">
        <f t="shared" si="40"/>
        <v>0</v>
      </c>
      <c r="X23" s="465">
        <f t="shared" si="7"/>
        <v>0</v>
      </c>
      <c r="Y23" s="359"/>
      <c r="Z23" s="359" t="s">
        <v>473</v>
      </c>
      <c r="AA23" s="329" t="str">
        <f t="shared" ca="1" si="8"/>
        <v>D5-3</v>
      </c>
      <c r="AB23" s="455">
        <f t="shared" ca="1" si="9"/>
        <v>23</v>
      </c>
      <c r="AC23" s="455">
        <f t="shared" ca="1" si="10"/>
        <v>33</v>
      </c>
      <c r="AD23" s="329">
        <f t="shared" ca="1" si="11"/>
        <v>56</v>
      </c>
      <c r="AE23" s="236">
        <f t="shared" ca="1" si="12"/>
        <v>0.4107142857142857</v>
      </c>
      <c r="AF23" s="341">
        <f t="shared" ca="1" si="13"/>
        <v>-76.589285714285708</v>
      </c>
      <c r="AG23" s="432">
        <f t="shared" ca="1" si="14"/>
        <v>22</v>
      </c>
      <c r="AH23" s="361"/>
    </row>
    <row r="24" spans="1:34" ht="15" customHeight="1">
      <c r="A24" s="466" t="s">
        <v>1377</v>
      </c>
      <c r="B24" s="318" t="s">
        <v>489</v>
      </c>
      <c r="C24" s="107">
        <v>11</v>
      </c>
      <c r="D24" s="108">
        <v>11</v>
      </c>
      <c r="E24" s="106">
        <v>11</v>
      </c>
      <c r="F24" s="235">
        <f t="shared" si="0"/>
        <v>33</v>
      </c>
      <c r="G24" s="363">
        <f>C25+D22+E23</f>
        <v>15</v>
      </c>
      <c r="H24" s="363">
        <f t="shared" si="1"/>
        <v>48</v>
      </c>
      <c r="I24" s="360">
        <f t="shared" si="2"/>
        <v>0.6875</v>
      </c>
      <c r="J24" s="467">
        <f t="shared" ca="1" si="38"/>
        <v>1</v>
      </c>
      <c r="K24" s="425" t="str">
        <f t="shared" ca="1" si="4"/>
        <v>D6-1</v>
      </c>
      <c r="L24" s="501" t="s">
        <v>497</v>
      </c>
      <c r="M24" s="466" t="str">
        <f t="shared" ca="1" si="5"/>
        <v>Jodi Hanish &amp; Allen Meyer</v>
      </c>
      <c r="N24" s="359">
        <v>11</v>
      </c>
      <c r="O24" s="359">
        <v>7</v>
      </c>
      <c r="P24" s="468">
        <v>11</v>
      </c>
      <c r="Q24" s="469">
        <v>9</v>
      </c>
      <c r="R24" s="470">
        <v>11</v>
      </c>
      <c r="S24" s="470">
        <v>9</v>
      </c>
      <c r="T24" s="469">
        <v>4</v>
      </c>
      <c r="U24" s="469">
        <v>12</v>
      </c>
      <c r="V24" s="465">
        <f t="shared" ref="V24:W24" si="41">(N24+P24+R24+T24)</f>
        <v>37</v>
      </c>
      <c r="W24" s="465">
        <f t="shared" si="41"/>
        <v>37</v>
      </c>
      <c r="X24" s="465">
        <f t="shared" si="7"/>
        <v>74</v>
      </c>
      <c r="Y24" s="359"/>
      <c r="Z24" s="359" t="s">
        <v>527</v>
      </c>
      <c r="AA24" s="329" t="str">
        <f t="shared" ca="1" si="8"/>
        <v>D8-4</v>
      </c>
      <c r="AB24" s="455">
        <f t="shared" ca="1" si="9"/>
        <v>23</v>
      </c>
      <c r="AC24" s="455">
        <f t="shared" ca="1" si="10"/>
        <v>33</v>
      </c>
      <c r="AD24" s="329">
        <f t="shared" ca="1" si="11"/>
        <v>56</v>
      </c>
      <c r="AE24" s="236">
        <f t="shared" ca="1" si="12"/>
        <v>0.4107142857142857</v>
      </c>
      <c r="AF24" s="341">
        <f t="shared" ca="1" si="13"/>
        <v>-76.589285714285708</v>
      </c>
      <c r="AG24" s="432">
        <f t="shared" ca="1" si="14"/>
        <v>22</v>
      </c>
      <c r="AH24" s="361"/>
    </row>
    <row r="25" spans="1:34" ht="15" customHeight="1">
      <c r="A25" s="366" t="s">
        <v>1377</v>
      </c>
      <c r="B25" s="320" t="s">
        <v>502</v>
      </c>
      <c r="C25" s="109">
        <v>1</v>
      </c>
      <c r="D25" s="110">
        <v>11</v>
      </c>
      <c r="E25" s="111">
        <v>6</v>
      </c>
      <c r="F25" s="252">
        <f t="shared" si="0"/>
        <v>18</v>
      </c>
      <c r="G25" s="368">
        <f>C24+D23+E22</f>
        <v>27</v>
      </c>
      <c r="H25" s="368">
        <f t="shared" si="1"/>
        <v>45</v>
      </c>
      <c r="I25" s="369">
        <f t="shared" si="2"/>
        <v>0.4</v>
      </c>
      <c r="J25" s="471">
        <f t="shared" ca="1" si="38"/>
        <v>3</v>
      </c>
      <c r="K25" s="430" t="str">
        <f t="shared" ca="1" si="4"/>
        <v>D6-3</v>
      </c>
      <c r="L25" s="500"/>
      <c r="M25" s="366">
        <f t="shared" ca="1" si="5"/>
        <v>0</v>
      </c>
      <c r="N25" s="372"/>
      <c r="O25" s="372"/>
      <c r="P25" s="472"/>
      <c r="Q25" s="473"/>
      <c r="R25" s="474"/>
      <c r="S25" s="474"/>
      <c r="T25" s="473"/>
      <c r="U25" s="473"/>
      <c r="V25" s="475">
        <f t="shared" ref="V25:W25" si="42">(N25+P25+R25+T25)</f>
        <v>0</v>
      </c>
      <c r="W25" s="475">
        <f t="shared" si="42"/>
        <v>0</v>
      </c>
      <c r="X25" s="475">
        <f t="shared" si="7"/>
        <v>0</v>
      </c>
      <c r="Y25" s="372"/>
      <c r="Z25" s="372" t="s">
        <v>461</v>
      </c>
      <c r="AA25" s="337" t="str">
        <f t="array" aca="1" ref="AA25" ca="1">IFERROR(INDEX($A$2:$K$17,MATCH(Z25,$B$2:$B$17,0),11),)</f>
        <v>D4-3</v>
      </c>
      <c r="AB25" s="460">
        <f t="shared" ca="1" si="9"/>
        <v>22</v>
      </c>
      <c r="AC25" s="460">
        <f t="shared" ca="1" si="10"/>
        <v>30</v>
      </c>
      <c r="AD25" s="337">
        <f t="shared" ca="1" si="11"/>
        <v>52</v>
      </c>
      <c r="AE25" s="253">
        <f t="shared" ca="1" si="12"/>
        <v>0.42307692307692307</v>
      </c>
      <c r="AF25" s="338">
        <f t="shared" ca="1" si="13"/>
        <v>-77.57692307692308</v>
      </c>
      <c r="AG25" s="434">
        <f t="shared" ca="1" si="14"/>
        <v>24</v>
      </c>
      <c r="AH25" s="361"/>
    </row>
    <row r="26" spans="1:34" ht="15" customHeight="1">
      <c r="A26" s="357" t="s">
        <v>1380</v>
      </c>
      <c r="B26" s="318" t="s">
        <v>507</v>
      </c>
      <c r="C26" s="148">
        <v>11</v>
      </c>
      <c r="D26" s="165">
        <v>10</v>
      </c>
      <c r="E26" s="165">
        <v>4</v>
      </c>
      <c r="F26" s="213">
        <f t="shared" si="0"/>
        <v>25</v>
      </c>
      <c r="G26" s="353">
        <f>C27+D28+E29</f>
        <v>29</v>
      </c>
      <c r="H26" s="353">
        <f t="shared" si="1"/>
        <v>54</v>
      </c>
      <c r="I26" s="354">
        <f t="shared" si="2"/>
        <v>0.46296296296296297</v>
      </c>
      <c r="J26" s="467">
        <f t="shared" ref="J26:J29" ca="1" si="43">IFERROR(RANK(F26,OFFSET($F$26,0,0,COUNTA($F$26:$F$29),1)),)</f>
        <v>4</v>
      </c>
      <c r="K26" s="419" t="str">
        <f t="shared" ca="1" si="4"/>
        <v>D7-4</v>
      </c>
      <c r="L26" s="501" t="s">
        <v>508</v>
      </c>
      <c r="M26" s="466" t="str">
        <f t="shared" ca="1" si="5"/>
        <v>Steve Baker &amp; Lynn Potter</v>
      </c>
      <c r="N26" s="359">
        <v>7</v>
      </c>
      <c r="O26" s="359">
        <v>11</v>
      </c>
      <c r="P26" s="468"/>
      <c r="Q26" s="469"/>
      <c r="R26" s="470"/>
      <c r="S26" s="470"/>
      <c r="T26" s="469"/>
      <c r="U26" s="469"/>
      <c r="V26" s="465">
        <f t="shared" ref="V26:W26" si="44">(N26+P26+R26+T26)</f>
        <v>7</v>
      </c>
      <c r="W26" s="465">
        <f t="shared" si="44"/>
        <v>11</v>
      </c>
      <c r="X26" s="465">
        <f t="shared" si="7"/>
        <v>18</v>
      </c>
      <c r="Y26" s="359"/>
      <c r="Z26" s="359" t="s">
        <v>478</v>
      </c>
      <c r="AA26" s="329" t="str">
        <f t="shared" ref="AA26:AA33" ca="1" si="45">IFERROR(INDEX($A$2:$K$33,MATCH(Z26,$B$2:$B$33,0),11),)</f>
        <v>D5-4</v>
      </c>
      <c r="AB26" s="459">
        <f t="shared" ca="1" si="9"/>
        <v>21</v>
      </c>
      <c r="AC26" s="459">
        <f t="shared" ca="1" si="10"/>
        <v>31</v>
      </c>
      <c r="AD26" s="329">
        <f t="shared" ca="1" si="11"/>
        <v>52</v>
      </c>
      <c r="AE26" s="236">
        <f t="shared" ca="1" si="12"/>
        <v>0.40384615384615385</v>
      </c>
      <c r="AF26" s="341">
        <f t="shared" ca="1" si="13"/>
        <v>-78.59615384615384</v>
      </c>
      <c r="AG26" s="432">
        <f t="shared" ca="1" si="14"/>
        <v>25</v>
      </c>
      <c r="AH26" s="361"/>
    </row>
    <row r="27" spans="1:34" ht="15" customHeight="1">
      <c r="A27" s="466" t="s">
        <v>1380</v>
      </c>
      <c r="B27" s="318" t="s">
        <v>498</v>
      </c>
      <c r="C27" s="105">
        <v>7</v>
      </c>
      <c r="D27" s="106">
        <v>11</v>
      </c>
      <c r="E27" s="106">
        <v>11</v>
      </c>
      <c r="F27" s="235">
        <f t="shared" si="0"/>
        <v>29</v>
      </c>
      <c r="G27" s="363">
        <f>C26+D29+E28</f>
        <v>26</v>
      </c>
      <c r="H27" s="363">
        <f t="shared" si="1"/>
        <v>55</v>
      </c>
      <c r="I27" s="360">
        <f t="shared" si="2"/>
        <v>0.52727272727272723</v>
      </c>
      <c r="J27" s="467">
        <f t="shared" ca="1" si="43"/>
        <v>2</v>
      </c>
      <c r="K27" s="425" t="str">
        <f t="shared" ca="1" si="4"/>
        <v>D7-2</v>
      </c>
      <c r="L27" s="500"/>
      <c r="M27" s="466">
        <f t="shared" ca="1" si="5"/>
        <v>0</v>
      </c>
      <c r="N27" s="359"/>
      <c r="O27" s="359"/>
      <c r="P27" s="468"/>
      <c r="Q27" s="469"/>
      <c r="R27" s="470"/>
      <c r="S27" s="470"/>
      <c r="T27" s="469"/>
      <c r="U27" s="469"/>
      <c r="V27" s="465">
        <f t="shared" ref="V27:W27" si="46">(N27+P27+R27+T27)</f>
        <v>0</v>
      </c>
      <c r="W27" s="465">
        <f t="shared" si="46"/>
        <v>0</v>
      </c>
      <c r="X27" s="465">
        <f t="shared" si="7"/>
        <v>0</v>
      </c>
      <c r="Y27" s="359"/>
      <c r="Z27" s="359" t="s">
        <v>434</v>
      </c>
      <c r="AA27" s="329" t="str">
        <f t="shared" ca="1" si="45"/>
        <v>D1-4</v>
      </c>
      <c r="AB27" s="459">
        <f t="shared" ca="1" si="9"/>
        <v>21</v>
      </c>
      <c r="AC27" s="459">
        <f t="shared" ca="1" si="10"/>
        <v>33</v>
      </c>
      <c r="AD27" s="329">
        <f t="shared" ca="1" si="11"/>
        <v>54</v>
      </c>
      <c r="AE27" s="236">
        <f t="shared" ca="1" si="12"/>
        <v>0.3888888888888889</v>
      </c>
      <c r="AF27" s="341">
        <f t="shared" ca="1" si="13"/>
        <v>-78.611111111111114</v>
      </c>
      <c r="AG27" s="432">
        <f t="shared" ca="1" si="14"/>
        <v>26</v>
      </c>
      <c r="AH27" s="361"/>
    </row>
    <row r="28" spans="1:34" ht="15" customHeight="1">
      <c r="A28" s="466" t="s">
        <v>1380</v>
      </c>
      <c r="B28" s="318" t="s">
        <v>516</v>
      </c>
      <c r="C28" s="107">
        <v>10</v>
      </c>
      <c r="D28" s="108">
        <v>11</v>
      </c>
      <c r="E28" s="106">
        <v>5</v>
      </c>
      <c r="F28" s="235">
        <f t="shared" si="0"/>
        <v>26</v>
      </c>
      <c r="G28" s="363">
        <f>C29+D26+E27</f>
        <v>32</v>
      </c>
      <c r="H28" s="363">
        <f t="shared" si="1"/>
        <v>58</v>
      </c>
      <c r="I28" s="360">
        <f t="shared" si="2"/>
        <v>0.44827586206896552</v>
      </c>
      <c r="J28" s="467">
        <f t="shared" ca="1" si="43"/>
        <v>3</v>
      </c>
      <c r="K28" s="425" t="str">
        <f t="shared" ca="1" si="4"/>
        <v>D7-3</v>
      </c>
      <c r="L28" s="501" t="s">
        <v>490</v>
      </c>
      <c r="M28" s="466" t="str">
        <f t="shared" ca="1" si="5"/>
        <v>Jodi Wilson &amp; Marc Richard</v>
      </c>
      <c r="N28" s="359">
        <v>11</v>
      </c>
      <c r="O28" s="359">
        <v>7</v>
      </c>
      <c r="P28" s="468">
        <v>11</v>
      </c>
      <c r="Q28" s="469">
        <v>10</v>
      </c>
      <c r="R28" s="470">
        <v>9</v>
      </c>
      <c r="S28" s="470">
        <v>11</v>
      </c>
      <c r="T28" s="469"/>
      <c r="U28" s="469"/>
      <c r="V28" s="465">
        <f t="shared" ref="V28:W28" si="47">(N28+P28+R28+T28)</f>
        <v>31</v>
      </c>
      <c r="W28" s="465">
        <f t="shared" si="47"/>
        <v>28</v>
      </c>
      <c r="X28" s="465">
        <f t="shared" si="7"/>
        <v>59</v>
      </c>
      <c r="Y28" s="359"/>
      <c r="Z28" s="359" t="s">
        <v>454</v>
      </c>
      <c r="AA28" s="329" t="str">
        <f t="shared" ca="1" si="45"/>
        <v>D3-4</v>
      </c>
      <c r="AB28" s="455">
        <f t="shared" ca="1" si="9"/>
        <v>20</v>
      </c>
      <c r="AC28" s="455">
        <f t="shared" ca="1" si="10"/>
        <v>33</v>
      </c>
      <c r="AD28" s="329">
        <f t="shared" ca="1" si="11"/>
        <v>53</v>
      </c>
      <c r="AE28" s="236">
        <f t="shared" ca="1" si="12"/>
        <v>0.37735849056603776</v>
      </c>
      <c r="AF28" s="341">
        <f t="shared" ca="1" si="13"/>
        <v>-79.622641509433961</v>
      </c>
      <c r="AG28" s="432">
        <f t="shared" ca="1" si="14"/>
        <v>27</v>
      </c>
      <c r="AH28" s="361"/>
    </row>
    <row r="29" spans="1:34" ht="15" customHeight="1">
      <c r="A29" s="366" t="s">
        <v>1380</v>
      </c>
      <c r="B29" s="320" t="s">
        <v>509</v>
      </c>
      <c r="C29" s="109">
        <v>11</v>
      </c>
      <c r="D29" s="110">
        <v>10</v>
      </c>
      <c r="E29" s="111">
        <v>11</v>
      </c>
      <c r="F29" s="252">
        <f t="shared" si="0"/>
        <v>32</v>
      </c>
      <c r="G29" s="368">
        <f>C28+D27+E26</f>
        <v>25</v>
      </c>
      <c r="H29" s="368">
        <f t="shared" si="1"/>
        <v>57</v>
      </c>
      <c r="I29" s="369">
        <f t="shared" si="2"/>
        <v>0.56140350877192979</v>
      </c>
      <c r="J29" s="471">
        <f t="shared" ca="1" si="43"/>
        <v>1</v>
      </c>
      <c r="K29" s="430" t="str">
        <f t="shared" ca="1" si="4"/>
        <v>D7-1</v>
      </c>
      <c r="L29" s="500"/>
      <c r="M29" s="366">
        <f t="shared" ca="1" si="5"/>
        <v>0</v>
      </c>
      <c r="N29" s="372"/>
      <c r="O29" s="372"/>
      <c r="P29" s="472"/>
      <c r="Q29" s="473"/>
      <c r="R29" s="474"/>
      <c r="S29" s="474"/>
      <c r="T29" s="473"/>
      <c r="U29" s="473"/>
      <c r="V29" s="475">
        <f t="shared" ref="V29:W29" si="48">(N29+P29+R29+T29)</f>
        <v>0</v>
      </c>
      <c r="W29" s="475">
        <f t="shared" si="48"/>
        <v>0</v>
      </c>
      <c r="X29" s="475">
        <f t="shared" si="7"/>
        <v>0</v>
      </c>
      <c r="Y29" s="372"/>
      <c r="Z29" s="372" t="s">
        <v>456</v>
      </c>
      <c r="AA29" s="337" t="str">
        <f t="shared" ca="1" si="45"/>
        <v>D4-4</v>
      </c>
      <c r="AB29" s="456">
        <f t="shared" ca="1" si="9"/>
        <v>20</v>
      </c>
      <c r="AC29" s="456">
        <f t="shared" ca="1" si="10"/>
        <v>33</v>
      </c>
      <c r="AD29" s="337">
        <f t="shared" ca="1" si="11"/>
        <v>53</v>
      </c>
      <c r="AE29" s="253">
        <f t="shared" ca="1" si="12"/>
        <v>0.37735849056603776</v>
      </c>
      <c r="AF29" s="338">
        <f t="shared" ca="1" si="13"/>
        <v>-79.622641509433961</v>
      </c>
      <c r="AG29" s="434">
        <f t="shared" ca="1" si="14"/>
        <v>27</v>
      </c>
      <c r="AH29" s="361"/>
    </row>
    <row r="30" spans="1:34" ht="15" customHeight="1">
      <c r="A30" s="357" t="s">
        <v>1381</v>
      </c>
      <c r="B30" s="318" t="s">
        <v>523</v>
      </c>
      <c r="C30" s="100">
        <v>11</v>
      </c>
      <c r="D30" s="101">
        <v>11</v>
      </c>
      <c r="E30" s="101">
        <v>11</v>
      </c>
      <c r="F30" s="213">
        <f t="shared" si="0"/>
        <v>33</v>
      </c>
      <c r="G30" s="353">
        <f>C31+D32+E33</f>
        <v>15</v>
      </c>
      <c r="H30" s="353">
        <f t="shared" si="1"/>
        <v>48</v>
      </c>
      <c r="I30" s="354">
        <f t="shared" si="2"/>
        <v>0.6875</v>
      </c>
      <c r="J30" s="467">
        <f t="shared" ref="J30:J33" ca="1" si="49">IFERROR(RANK(F30,OFFSET($F$30,0,0,COUNTA($F$30:$F$33),1)),)</f>
        <v>1</v>
      </c>
      <c r="K30" s="419" t="str">
        <f t="shared" ca="1" si="4"/>
        <v>D8-1</v>
      </c>
      <c r="L30" s="501" t="s">
        <v>524</v>
      </c>
      <c r="M30" s="466" t="str">
        <f t="shared" ca="1" si="5"/>
        <v>Erinn Metcalf &amp; Jeff Potts</v>
      </c>
      <c r="N30" s="359">
        <v>5</v>
      </c>
      <c r="O30" s="359">
        <v>11</v>
      </c>
      <c r="P30" s="468"/>
      <c r="Q30" s="469"/>
      <c r="R30" s="470"/>
      <c r="S30" s="470"/>
      <c r="T30" s="469"/>
      <c r="U30" s="469"/>
      <c r="V30" s="465">
        <f t="shared" ref="V30:W30" si="50">(N30+P30+R30+T30)</f>
        <v>5</v>
      </c>
      <c r="W30" s="465">
        <f t="shared" si="50"/>
        <v>11</v>
      </c>
      <c r="X30" s="465">
        <f t="shared" si="7"/>
        <v>16</v>
      </c>
      <c r="Y30" s="359"/>
      <c r="Z30" s="359" t="s">
        <v>446</v>
      </c>
      <c r="AA30" s="329" t="str">
        <f t="shared" ca="1" si="45"/>
        <v>D2-3</v>
      </c>
      <c r="AB30" s="459">
        <f t="shared" ca="1" si="9"/>
        <v>19</v>
      </c>
      <c r="AC30" s="459">
        <f t="shared" ca="1" si="10"/>
        <v>25</v>
      </c>
      <c r="AD30" s="329">
        <f t="shared" ca="1" si="11"/>
        <v>44</v>
      </c>
      <c r="AE30" s="236">
        <f t="shared" ca="1" si="12"/>
        <v>0.43181818181818182</v>
      </c>
      <c r="AF30" s="341">
        <f t="shared" ca="1" si="13"/>
        <v>-80.568181818181813</v>
      </c>
      <c r="AG30" s="432">
        <f t="shared" ca="1" si="14"/>
        <v>29</v>
      </c>
      <c r="AH30" s="361"/>
    </row>
    <row r="31" spans="1:34" ht="15" customHeight="1">
      <c r="A31" s="466" t="s">
        <v>1381</v>
      </c>
      <c r="B31" s="318" t="s">
        <v>527</v>
      </c>
      <c r="C31" s="105">
        <v>7</v>
      </c>
      <c r="D31" s="106">
        <v>10</v>
      </c>
      <c r="E31" s="106">
        <v>6</v>
      </c>
      <c r="F31" s="235">
        <f t="shared" si="0"/>
        <v>23</v>
      </c>
      <c r="G31" s="363">
        <f>C30+D33+E32</f>
        <v>33</v>
      </c>
      <c r="H31" s="363">
        <f t="shared" si="1"/>
        <v>56</v>
      </c>
      <c r="I31" s="360">
        <f t="shared" si="2"/>
        <v>0.4107142857142857</v>
      </c>
      <c r="J31" s="467">
        <f t="shared" ca="1" si="49"/>
        <v>4</v>
      </c>
      <c r="K31" s="425" t="str">
        <f t="shared" ca="1" si="4"/>
        <v>D8-4</v>
      </c>
      <c r="L31" s="500"/>
      <c r="M31" s="466">
        <f t="shared" ca="1" si="5"/>
        <v>0</v>
      </c>
      <c r="N31" s="359"/>
      <c r="O31" s="359"/>
      <c r="P31" s="468"/>
      <c r="Q31" s="469"/>
      <c r="R31" s="470"/>
      <c r="S31" s="470"/>
      <c r="T31" s="469"/>
      <c r="U31" s="469"/>
      <c r="V31" s="465">
        <f t="shared" ref="V31:W31" si="51">(N31+P31+R31+T31)</f>
        <v>0</v>
      </c>
      <c r="W31" s="465">
        <f t="shared" si="51"/>
        <v>0</v>
      </c>
      <c r="X31" s="465">
        <f t="shared" si="7"/>
        <v>0</v>
      </c>
      <c r="Y31" s="359"/>
      <c r="Z31" s="359" t="s">
        <v>502</v>
      </c>
      <c r="AA31" s="329" t="str">
        <f t="shared" ca="1" si="45"/>
        <v>D6-3</v>
      </c>
      <c r="AB31" s="459">
        <f t="shared" ca="1" si="9"/>
        <v>18</v>
      </c>
      <c r="AC31" s="459">
        <f t="shared" ca="1" si="10"/>
        <v>27</v>
      </c>
      <c r="AD31" s="329">
        <f t="shared" ca="1" si="11"/>
        <v>45</v>
      </c>
      <c r="AE31" s="236">
        <f t="shared" ca="1" si="12"/>
        <v>0.4</v>
      </c>
      <c r="AF31" s="341">
        <f t="shared" ca="1" si="13"/>
        <v>-81.599999999999994</v>
      </c>
      <c r="AG31" s="432">
        <f t="shared" ca="1" si="14"/>
        <v>30</v>
      </c>
      <c r="AH31" s="361"/>
    </row>
    <row r="32" spans="1:34" ht="15" customHeight="1">
      <c r="A32" s="466" t="s">
        <v>1381</v>
      </c>
      <c r="B32" s="318" t="s">
        <v>531</v>
      </c>
      <c r="C32" s="107">
        <v>9</v>
      </c>
      <c r="D32" s="108">
        <v>4</v>
      </c>
      <c r="E32" s="106">
        <v>11</v>
      </c>
      <c r="F32" s="235">
        <f t="shared" si="0"/>
        <v>24</v>
      </c>
      <c r="G32" s="363">
        <f>C33+D30+E31</f>
        <v>28</v>
      </c>
      <c r="H32" s="363">
        <f t="shared" si="1"/>
        <v>52</v>
      </c>
      <c r="I32" s="360">
        <f t="shared" si="2"/>
        <v>0.46153846153846156</v>
      </c>
      <c r="J32" s="467">
        <f t="shared" ca="1" si="49"/>
        <v>3</v>
      </c>
      <c r="K32" s="425" t="str">
        <f t="shared" ca="1" si="4"/>
        <v>D8-3</v>
      </c>
      <c r="L32" s="501" t="s">
        <v>470</v>
      </c>
      <c r="M32" s="466" t="str">
        <f t="shared" ca="1" si="5"/>
        <v>Matt Hood &amp; Lindsey Kalivoda</v>
      </c>
      <c r="N32" s="359">
        <v>11</v>
      </c>
      <c r="O32" s="359">
        <v>5</v>
      </c>
      <c r="P32" s="468">
        <v>10</v>
      </c>
      <c r="Q32" s="469">
        <v>11</v>
      </c>
      <c r="R32" s="470"/>
      <c r="S32" s="470"/>
      <c r="T32" s="469"/>
      <c r="U32" s="469"/>
      <c r="V32" s="465">
        <f t="shared" ref="V32:W32" si="52">(N32+P32+R32+T32)</f>
        <v>21</v>
      </c>
      <c r="W32" s="465">
        <f t="shared" si="52"/>
        <v>16</v>
      </c>
      <c r="X32" s="465">
        <f t="shared" si="7"/>
        <v>37</v>
      </c>
      <c r="Y32" s="359"/>
      <c r="Z32" s="359" t="s">
        <v>493</v>
      </c>
      <c r="AA32" s="329" t="str">
        <f t="shared" ca="1" si="45"/>
        <v>D6-4</v>
      </c>
      <c r="AB32" s="459">
        <f t="shared" ca="1" si="9"/>
        <v>12</v>
      </c>
      <c r="AC32" s="459">
        <f t="shared" ca="1" si="10"/>
        <v>33</v>
      </c>
      <c r="AD32" s="329">
        <f t="shared" ca="1" si="11"/>
        <v>45</v>
      </c>
      <c r="AE32" s="236">
        <f t="shared" ca="1" si="12"/>
        <v>0.26666666666666666</v>
      </c>
      <c r="AF32" s="341">
        <f t="shared" ca="1" si="13"/>
        <v>-87.733333333333334</v>
      </c>
      <c r="AG32" s="432">
        <f t="shared" ca="1" si="14"/>
        <v>31</v>
      </c>
      <c r="AH32" s="361"/>
    </row>
    <row r="33" spans="1:34" ht="15" customHeight="1">
      <c r="A33" s="366" t="s">
        <v>1381</v>
      </c>
      <c r="B33" s="320" t="s">
        <v>480</v>
      </c>
      <c r="C33" s="109">
        <v>11</v>
      </c>
      <c r="D33" s="110">
        <v>11</v>
      </c>
      <c r="E33" s="111">
        <v>4</v>
      </c>
      <c r="F33" s="252">
        <f t="shared" si="0"/>
        <v>26</v>
      </c>
      <c r="G33" s="368">
        <f>C32+D31+E30</f>
        <v>30</v>
      </c>
      <c r="H33" s="368">
        <f t="shared" si="1"/>
        <v>56</v>
      </c>
      <c r="I33" s="369">
        <f t="shared" si="2"/>
        <v>0.4642857142857143</v>
      </c>
      <c r="J33" s="471">
        <f t="shared" ca="1" si="49"/>
        <v>2</v>
      </c>
      <c r="K33" s="430" t="str">
        <f t="shared" ca="1" si="4"/>
        <v>D8-2</v>
      </c>
      <c r="L33" s="500"/>
      <c r="M33" s="366">
        <f t="shared" ca="1" si="5"/>
        <v>0</v>
      </c>
      <c r="N33" s="372"/>
      <c r="O33" s="372"/>
      <c r="P33" s="472"/>
      <c r="Q33" s="473"/>
      <c r="R33" s="478"/>
      <c r="S33" s="478"/>
      <c r="T33" s="473"/>
      <c r="U33" s="473"/>
      <c r="V33" s="475">
        <f t="shared" ref="V33:W33" si="53">(N33+P33+R33+T33)</f>
        <v>0</v>
      </c>
      <c r="W33" s="475">
        <f t="shared" si="53"/>
        <v>0</v>
      </c>
      <c r="X33" s="475">
        <f t="shared" si="7"/>
        <v>0</v>
      </c>
      <c r="Y33" s="372"/>
      <c r="Z33" s="372" t="s">
        <v>441</v>
      </c>
      <c r="AA33" s="337" t="str">
        <f t="shared" ca="1" si="45"/>
        <v>D2-4</v>
      </c>
      <c r="AB33" s="460">
        <f t="shared" ca="1" si="9"/>
        <v>11</v>
      </c>
      <c r="AC33" s="460">
        <f t="shared" ca="1" si="10"/>
        <v>33</v>
      </c>
      <c r="AD33" s="337">
        <f t="shared" ca="1" si="11"/>
        <v>44</v>
      </c>
      <c r="AE33" s="253">
        <f t="shared" ca="1" si="12"/>
        <v>0.25</v>
      </c>
      <c r="AF33" s="338">
        <f t="shared" ca="1" si="13"/>
        <v>-88.75</v>
      </c>
      <c r="AG33" s="434">
        <f t="shared" ca="1" si="14"/>
        <v>32</v>
      </c>
      <c r="AH33" s="361"/>
    </row>
    <row r="34" spans="1:34" ht="15" customHeight="1">
      <c r="A34" s="385"/>
      <c r="B34" s="389"/>
      <c r="C34" s="389"/>
      <c r="D34" s="389"/>
      <c r="E34" s="389"/>
      <c r="F34" s="389"/>
      <c r="G34" s="389"/>
      <c r="H34" s="389"/>
      <c r="I34" s="479"/>
      <c r="J34" s="480"/>
      <c r="K34" s="361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  <c r="AA34" s="385"/>
      <c r="AB34" s="385"/>
      <c r="AC34" s="385"/>
      <c r="AD34" s="385"/>
      <c r="AE34" s="479"/>
      <c r="AF34" s="481"/>
      <c r="AG34" s="481"/>
      <c r="AH34" s="361"/>
    </row>
    <row r="35" spans="1:34" ht="15" customHeight="1">
      <c r="A35" s="385"/>
      <c r="B35" s="389"/>
      <c r="C35" s="389"/>
      <c r="D35" s="389"/>
      <c r="E35" s="389"/>
      <c r="F35" s="389"/>
      <c r="G35" s="389"/>
      <c r="H35" s="389"/>
      <c r="I35" s="479"/>
      <c r="J35" s="480"/>
      <c r="K35" s="361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  <c r="AA35" s="385"/>
      <c r="AB35" s="385"/>
      <c r="AC35" s="385"/>
      <c r="AD35" s="385">
        <f ca="1">SUM(AD2:AD33)/2</f>
        <v>1113</v>
      </c>
      <c r="AE35" s="479"/>
      <c r="AF35" s="481"/>
      <c r="AG35" s="481"/>
      <c r="AH35" s="361"/>
    </row>
    <row r="36" spans="1:34" ht="15" customHeight="1">
      <c r="A36" s="385"/>
      <c r="B36" s="389"/>
      <c r="C36" s="389"/>
      <c r="D36" s="389"/>
      <c r="E36" s="389"/>
      <c r="F36" s="389"/>
      <c r="G36" s="389"/>
      <c r="H36" s="389"/>
      <c r="I36" s="479"/>
      <c r="J36" s="480"/>
      <c r="K36" s="361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  <c r="AA36" s="385"/>
      <c r="AB36" s="385"/>
      <c r="AC36" s="385"/>
      <c r="AD36" s="396">
        <f ca="1">AVERAGE(AD2:AD33)</f>
        <v>69.5625</v>
      </c>
      <c r="AE36" s="479"/>
      <c r="AF36" s="481"/>
      <c r="AG36" s="481"/>
      <c r="AH36" s="361"/>
    </row>
  </sheetData>
  <mergeCells count="16"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  <mergeCell ref="L2:L3"/>
    <mergeCell ref="L4:L5"/>
    <mergeCell ref="L6:L7"/>
    <mergeCell ref="L8:L9"/>
    <mergeCell ref="L10:L11"/>
  </mergeCells>
  <conditionalFormatting sqref="F2:F33">
    <cfRule type="cellIs" dxfId="8" priority="1" operator="equal">
      <formula>33</formula>
    </cfRule>
  </conditionalFormatting>
  <hyperlinks>
    <hyperlink ref="A1" location="Champions!A1" display="Home" xr:uid="{00000000-0004-0000-2100-000000000000}"/>
    <hyperlink ref="AH1" location="Champions!A1" display="Home" xr:uid="{00000000-0004-0000-2100-000001000000}"/>
  </hyperlinks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4.7265625" customWidth="1"/>
    <col min="13" max="13" width="28" customWidth="1"/>
    <col min="14" max="21" width="6.26953125" customWidth="1"/>
    <col min="22" max="24" width="7.7265625" customWidth="1"/>
    <col min="25" max="25" width="6.81640625" customWidth="1"/>
    <col min="26" max="26" width="28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59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353">
        <f>C3+D4+E5</f>
        <v>4</v>
      </c>
      <c r="H2" s="353">
        <f t="shared" ref="H2:H17" si="1">SUM(F2:G2)</f>
        <v>37</v>
      </c>
      <c r="I2" s="354">
        <f t="shared" ref="I2:I17" si="2">IFERROR(F2/H2,"")</f>
        <v>0.89189189189189189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499" t="s">
        <v>207</v>
      </c>
      <c r="M2" s="218" t="str">
        <f t="shared" ref="M2:M17" ca="1" si="5">IFERROR(INDEX($A$2:$K$17,MATCH(L2,$K$2:$K$17,0),2),)</f>
        <v>Bond Marrs &amp; Bill Roller</v>
      </c>
      <c r="N2" s="482"/>
      <c r="O2" s="482"/>
      <c r="P2" s="462">
        <v>11</v>
      </c>
      <c r="Q2" s="463">
        <v>6</v>
      </c>
      <c r="R2" s="464">
        <v>11</v>
      </c>
      <c r="S2" s="464">
        <v>6</v>
      </c>
      <c r="T2" s="463">
        <v>12</v>
      </c>
      <c r="U2" s="463">
        <v>4</v>
      </c>
      <c r="V2" s="465">
        <f t="shared" ref="V2:W2" si="6">(N2+P2+R2+T2)</f>
        <v>34</v>
      </c>
      <c r="W2" s="465">
        <f t="shared" si="6"/>
        <v>16</v>
      </c>
      <c r="X2" s="465">
        <f t="shared" ref="X2:X17" si="7">V2+W2</f>
        <v>50</v>
      </c>
      <c r="Y2" s="359"/>
      <c r="Z2" s="359" t="s">
        <v>59</v>
      </c>
      <c r="AA2" s="329" t="str">
        <f t="shared" ref="AA2:AA3" ca="1" si="8">IFERROR(INDEX($A$2:$K$17,MATCH(Z2,$B$2:$B$17,0),11),)</f>
        <v>D1-1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20</v>
      </c>
      <c r="AD2" s="329">
        <f t="shared" ref="AD2:AD17" ca="1" si="11">SUM(AB2:AC2)</f>
        <v>87</v>
      </c>
      <c r="AE2" s="236">
        <f t="shared" ref="AE2:AE17" ca="1" si="12">AB2/AD2</f>
        <v>0.77011494252873558</v>
      </c>
      <c r="AF2" s="330">
        <f t="shared" ref="AF2:AF17" ca="1" si="13">AE2-(100-AB2)</f>
        <v>-32.229885057471265</v>
      </c>
      <c r="AG2" s="432">
        <f t="shared" ref="AG2:AG17" ca="1" si="14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403</v>
      </c>
      <c r="C3" s="105">
        <v>0</v>
      </c>
      <c r="D3" s="106">
        <v>1</v>
      </c>
      <c r="E3" s="106">
        <v>1</v>
      </c>
      <c r="F3" s="235">
        <f t="shared" si="0"/>
        <v>2</v>
      </c>
      <c r="G3" s="363">
        <f>C2+D5+E4</f>
        <v>33</v>
      </c>
      <c r="H3" s="363">
        <f t="shared" si="1"/>
        <v>35</v>
      </c>
      <c r="I3" s="360">
        <f t="shared" si="2"/>
        <v>5.7142857142857141E-2</v>
      </c>
      <c r="J3" s="467">
        <f t="shared" ca="1" si="3"/>
        <v>4</v>
      </c>
      <c r="K3" s="425" t="str">
        <f t="shared" ca="1" si="4"/>
        <v>D1-4</v>
      </c>
      <c r="L3" s="500"/>
      <c r="M3" s="240">
        <f t="shared" ca="1" si="5"/>
        <v>0</v>
      </c>
      <c r="N3" s="483"/>
      <c r="O3" s="483"/>
      <c r="P3" s="468"/>
      <c r="Q3" s="469"/>
      <c r="R3" s="470"/>
      <c r="S3" s="470"/>
      <c r="T3" s="469"/>
      <c r="U3" s="469"/>
      <c r="V3" s="465">
        <f t="shared" ref="V3:W3" si="15">(N3+P3+R3+T3)</f>
        <v>0</v>
      </c>
      <c r="W3" s="465">
        <f t="shared" si="15"/>
        <v>0</v>
      </c>
      <c r="X3" s="465">
        <f t="shared" si="7"/>
        <v>0</v>
      </c>
      <c r="Y3" s="359"/>
      <c r="Z3" s="359" t="s">
        <v>60</v>
      </c>
      <c r="AA3" s="329" t="str">
        <f t="shared" ca="1" si="8"/>
        <v>D3-1</v>
      </c>
      <c r="AB3" s="329">
        <f t="shared" ca="1" si="9"/>
        <v>59</v>
      </c>
      <c r="AC3" s="329">
        <f t="shared" ca="1" si="10"/>
        <v>36</v>
      </c>
      <c r="AD3" s="329">
        <f t="shared" ca="1" si="11"/>
        <v>95</v>
      </c>
      <c r="AE3" s="236">
        <f t="shared" ca="1" si="12"/>
        <v>0.62105263157894741</v>
      </c>
      <c r="AF3" s="333">
        <f t="shared" ca="1" si="13"/>
        <v>-40.378947368421052</v>
      </c>
      <c r="AG3" s="432">
        <f t="shared" ca="1" si="14"/>
        <v>2</v>
      </c>
      <c r="AH3" s="361"/>
    </row>
    <row r="4" spans="1:34" ht="15" customHeight="1">
      <c r="A4" s="466" t="s">
        <v>1367</v>
      </c>
      <c r="B4" s="318" t="s">
        <v>405</v>
      </c>
      <c r="C4" s="107">
        <v>10</v>
      </c>
      <c r="D4" s="108">
        <v>1</v>
      </c>
      <c r="E4" s="106">
        <v>11</v>
      </c>
      <c r="F4" s="235">
        <f t="shared" si="0"/>
        <v>22</v>
      </c>
      <c r="G4" s="363">
        <f>C5+D2+E3</f>
        <v>23</v>
      </c>
      <c r="H4" s="363">
        <f t="shared" si="1"/>
        <v>45</v>
      </c>
      <c r="I4" s="360">
        <f t="shared" si="2"/>
        <v>0.48888888888888887</v>
      </c>
      <c r="J4" s="467">
        <f t="shared" ca="1" si="3"/>
        <v>3</v>
      </c>
      <c r="K4" s="425" t="str">
        <f t="shared" ca="1" si="4"/>
        <v>D1-3</v>
      </c>
      <c r="L4" s="499" t="s">
        <v>265</v>
      </c>
      <c r="M4" s="218" t="str">
        <f t="shared" ca="1" si="5"/>
        <v>Troy Davig &amp; Anant Puri</v>
      </c>
      <c r="N4" s="483"/>
      <c r="O4" s="483"/>
      <c r="P4" s="468">
        <v>6</v>
      </c>
      <c r="Q4" s="469">
        <v>11</v>
      </c>
      <c r="R4" s="470"/>
      <c r="S4" s="470"/>
      <c r="T4" s="469"/>
      <c r="U4" s="469"/>
      <c r="V4" s="465">
        <f t="shared" ref="V4:W4" si="16">(N4+P4+R4+T4)</f>
        <v>6</v>
      </c>
      <c r="W4" s="465">
        <f t="shared" si="16"/>
        <v>11</v>
      </c>
      <c r="X4" s="465">
        <f t="shared" si="7"/>
        <v>17</v>
      </c>
      <c r="Y4" s="359"/>
      <c r="Z4" s="359" t="s">
        <v>410</v>
      </c>
      <c r="AA4" s="329" t="str">
        <f t="array" aca="1" ref="AA4" ca="1">INDEX($A$2:$K$17,MATCH(Z4,$B$2:$B$17,0),11)</f>
        <v>D2-1</v>
      </c>
      <c r="AB4" s="329">
        <f t="shared" ca="1" si="9"/>
        <v>50</v>
      </c>
      <c r="AC4" s="329">
        <f t="shared" ca="1" si="10"/>
        <v>33</v>
      </c>
      <c r="AD4" s="329">
        <f t="shared" ca="1" si="11"/>
        <v>83</v>
      </c>
      <c r="AE4" s="236">
        <f t="shared" ca="1" si="12"/>
        <v>0.60240963855421692</v>
      </c>
      <c r="AF4" s="341">
        <f t="shared" ca="1" si="13"/>
        <v>-49.397590361445786</v>
      </c>
      <c r="AG4" s="432">
        <f t="shared" ca="1" si="14"/>
        <v>3</v>
      </c>
      <c r="AH4" s="361"/>
    </row>
    <row r="5" spans="1:34" ht="15" customHeight="1">
      <c r="A5" s="366" t="s">
        <v>1367</v>
      </c>
      <c r="B5" s="320" t="s">
        <v>407</v>
      </c>
      <c r="C5" s="109">
        <v>11</v>
      </c>
      <c r="D5" s="110">
        <v>11</v>
      </c>
      <c r="E5" s="111">
        <v>3</v>
      </c>
      <c r="F5" s="252">
        <f t="shared" si="0"/>
        <v>25</v>
      </c>
      <c r="G5" s="368">
        <f>C4+D3+E2</f>
        <v>22</v>
      </c>
      <c r="H5" s="368">
        <f t="shared" si="1"/>
        <v>47</v>
      </c>
      <c r="I5" s="369">
        <f t="shared" si="2"/>
        <v>0.53191489361702127</v>
      </c>
      <c r="J5" s="471">
        <f t="shared" ca="1" si="3"/>
        <v>2</v>
      </c>
      <c r="K5" s="430" t="str">
        <f t="shared" ca="1" si="4"/>
        <v>D1-2</v>
      </c>
      <c r="L5" s="500"/>
      <c r="M5" s="240">
        <f t="shared" ca="1" si="5"/>
        <v>0</v>
      </c>
      <c r="N5" s="484"/>
      <c r="O5" s="484"/>
      <c r="P5" s="472"/>
      <c r="Q5" s="473"/>
      <c r="R5" s="474"/>
      <c r="S5" s="474"/>
      <c r="T5" s="473"/>
      <c r="U5" s="473"/>
      <c r="V5" s="475">
        <f t="shared" ref="V5:W5" si="17">(N5+P5+R5+T5)</f>
        <v>0</v>
      </c>
      <c r="W5" s="475">
        <f t="shared" si="17"/>
        <v>0</v>
      </c>
      <c r="X5" s="475">
        <f t="shared" si="7"/>
        <v>0</v>
      </c>
      <c r="Y5" s="372"/>
      <c r="Z5" s="372" t="s">
        <v>420</v>
      </c>
      <c r="AA5" s="337" t="str">
        <f t="shared" ref="AA5:AA17" ca="1" si="18">IFERROR(INDEX($A$2:$K$17,MATCH(Z5,$B$2:$B$17,0),11),)</f>
        <v>D4-1</v>
      </c>
      <c r="AB5" s="337">
        <f t="shared" ca="1" si="9"/>
        <v>46</v>
      </c>
      <c r="AC5" s="337">
        <f t="shared" ca="1" si="10"/>
        <v>35</v>
      </c>
      <c r="AD5" s="337">
        <f t="shared" ca="1" si="11"/>
        <v>81</v>
      </c>
      <c r="AE5" s="253">
        <f t="shared" ca="1" si="12"/>
        <v>0.5679012345679012</v>
      </c>
      <c r="AF5" s="338">
        <f t="shared" ca="1" si="13"/>
        <v>-53.432098765432102</v>
      </c>
      <c r="AG5" s="434">
        <f t="shared" ca="1" si="14"/>
        <v>4</v>
      </c>
      <c r="AH5" s="361"/>
    </row>
    <row r="6" spans="1:34" ht="15" customHeight="1">
      <c r="A6" s="357" t="s">
        <v>1368</v>
      </c>
      <c r="B6" s="318" t="s">
        <v>409</v>
      </c>
      <c r="C6" s="148">
        <v>3</v>
      </c>
      <c r="D6" s="165">
        <v>2</v>
      </c>
      <c r="E6" s="165">
        <v>11</v>
      </c>
      <c r="F6" s="213">
        <f t="shared" si="0"/>
        <v>16</v>
      </c>
      <c r="G6" s="353">
        <f>C7+D8+E9</f>
        <v>27</v>
      </c>
      <c r="H6" s="353">
        <f t="shared" si="1"/>
        <v>43</v>
      </c>
      <c r="I6" s="354">
        <f t="shared" si="2"/>
        <v>0.37209302325581395</v>
      </c>
      <c r="J6" s="467">
        <f t="shared" ref="J6:J9" ca="1" si="19">IFERROR(RANK(F6,OFFSET($F$6,0,0,COUNTA($F$6:$F$9),1)),)</f>
        <v>4</v>
      </c>
      <c r="K6" s="419" t="str">
        <f t="shared" ca="1" si="4"/>
        <v>D2-4</v>
      </c>
      <c r="L6" s="499" t="s">
        <v>225</v>
      </c>
      <c r="M6" s="218" t="str">
        <f t="shared" ca="1" si="5"/>
        <v>Brehon Davis &amp; Paul Yaple</v>
      </c>
      <c r="N6" s="483"/>
      <c r="O6" s="483"/>
      <c r="P6" s="468">
        <v>11</v>
      </c>
      <c r="Q6" s="469">
        <v>7</v>
      </c>
      <c r="R6" s="470">
        <v>6</v>
      </c>
      <c r="S6" s="470">
        <v>11</v>
      </c>
      <c r="T6" s="469"/>
      <c r="U6" s="469"/>
      <c r="V6" s="476">
        <f t="shared" ref="V6:W6" si="20">(N6+P6+R6+T6)</f>
        <v>17</v>
      </c>
      <c r="W6" s="476">
        <f t="shared" si="20"/>
        <v>18</v>
      </c>
      <c r="X6" s="476">
        <f t="shared" si="7"/>
        <v>35</v>
      </c>
      <c r="Y6" s="374"/>
      <c r="Z6" s="374" t="s">
        <v>413</v>
      </c>
      <c r="AA6" s="340" t="str">
        <f t="shared" ca="1" si="18"/>
        <v>D3-2</v>
      </c>
      <c r="AB6" s="340">
        <f t="shared" ca="1" si="9"/>
        <v>35</v>
      </c>
      <c r="AC6" s="340">
        <f t="shared" ca="1" si="10"/>
        <v>30</v>
      </c>
      <c r="AD6" s="340">
        <f t="shared" ca="1" si="11"/>
        <v>65</v>
      </c>
      <c r="AE6" s="214">
        <f t="shared" ca="1" si="12"/>
        <v>0.53846153846153844</v>
      </c>
      <c r="AF6" s="341">
        <f t="shared" ca="1" si="13"/>
        <v>-64.461538461538467</v>
      </c>
      <c r="AG6" s="432">
        <f t="shared" ca="1" si="14"/>
        <v>5</v>
      </c>
      <c r="AH6" s="361"/>
    </row>
    <row r="7" spans="1:34" ht="15" customHeight="1">
      <c r="A7" s="466" t="s">
        <v>1368</v>
      </c>
      <c r="B7" s="318" t="s">
        <v>412</v>
      </c>
      <c r="C7" s="105">
        <v>11</v>
      </c>
      <c r="D7" s="106">
        <v>9</v>
      </c>
      <c r="E7" s="106">
        <v>5</v>
      </c>
      <c r="F7" s="235">
        <f t="shared" si="0"/>
        <v>25</v>
      </c>
      <c r="G7" s="363">
        <f>C6+D9+E8</f>
        <v>25</v>
      </c>
      <c r="H7" s="363">
        <f t="shared" si="1"/>
        <v>50</v>
      </c>
      <c r="I7" s="360">
        <f t="shared" si="2"/>
        <v>0.5</v>
      </c>
      <c r="J7" s="467">
        <f t="shared" ca="1" si="19"/>
        <v>2</v>
      </c>
      <c r="K7" s="425" t="str">
        <f t="shared" ca="1" si="4"/>
        <v>D2-2</v>
      </c>
      <c r="L7" s="500"/>
      <c r="M7" s="240">
        <f t="shared" ca="1" si="5"/>
        <v>0</v>
      </c>
      <c r="N7" s="483"/>
      <c r="O7" s="483"/>
      <c r="P7" s="468"/>
      <c r="Q7" s="469"/>
      <c r="R7" s="470"/>
      <c r="S7" s="470"/>
      <c r="T7" s="469"/>
      <c r="U7" s="469"/>
      <c r="V7" s="465">
        <f t="shared" ref="V7:W7" si="21">(N7+P7+R7+T7)</f>
        <v>0</v>
      </c>
      <c r="W7" s="465">
        <f t="shared" si="21"/>
        <v>0</v>
      </c>
      <c r="X7" s="465">
        <f t="shared" si="7"/>
        <v>0</v>
      </c>
      <c r="Y7" s="359"/>
      <c r="Z7" s="359" t="s">
        <v>406</v>
      </c>
      <c r="AA7" s="329" t="str">
        <f t="shared" ca="1" si="18"/>
        <v>D4-2</v>
      </c>
      <c r="AB7" s="329">
        <f t="shared" ca="1" si="9"/>
        <v>35</v>
      </c>
      <c r="AC7" s="329">
        <f t="shared" ca="1" si="10"/>
        <v>32</v>
      </c>
      <c r="AD7" s="329">
        <f t="shared" ca="1" si="11"/>
        <v>67</v>
      </c>
      <c r="AE7" s="236">
        <f t="shared" ca="1" si="12"/>
        <v>0.52238805970149249</v>
      </c>
      <c r="AF7" s="341">
        <f t="shared" ca="1" si="13"/>
        <v>-64.477611940298502</v>
      </c>
      <c r="AG7" s="432">
        <f t="shared" ca="1" si="14"/>
        <v>6</v>
      </c>
      <c r="AH7" s="361"/>
    </row>
    <row r="8" spans="1:34" ht="15" customHeight="1">
      <c r="A8" s="466" t="s">
        <v>1368</v>
      </c>
      <c r="B8" s="318" t="s">
        <v>410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363">
        <f>C9+D6+E7</f>
        <v>15</v>
      </c>
      <c r="H8" s="363">
        <f t="shared" si="1"/>
        <v>48</v>
      </c>
      <c r="I8" s="360">
        <f t="shared" si="2"/>
        <v>0.6875</v>
      </c>
      <c r="J8" s="467">
        <f t="shared" ca="1" si="19"/>
        <v>1</v>
      </c>
      <c r="K8" s="425" t="str">
        <f t="shared" ca="1" si="4"/>
        <v>D2-1</v>
      </c>
      <c r="L8" s="499" t="s">
        <v>253</v>
      </c>
      <c r="M8" s="218" t="str">
        <f t="shared" ca="1" si="5"/>
        <v>Yash Ramoo &amp; William Edwards</v>
      </c>
      <c r="N8" s="483"/>
      <c r="O8" s="483"/>
      <c r="P8" s="468">
        <v>7</v>
      </c>
      <c r="Q8" s="469">
        <v>11</v>
      </c>
      <c r="R8" s="470"/>
      <c r="S8" s="470"/>
      <c r="T8" s="469"/>
      <c r="U8" s="469"/>
      <c r="V8" s="465">
        <f t="shared" ref="V8:W8" si="22">(N8+P8+R8+T8)</f>
        <v>7</v>
      </c>
      <c r="W8" s="465">
        <f t="shared" si="22"/>
        <v>11</v>
      </c>
      <c r="X8" s="465">
        <f t="shared" si="7"/>
        <v>18</v>
      </c>
      <c r="Y8" s="359"/>
      <c r="Z8" s="359" t="s">
        <v>412</v>
      </c>
      <c r="AA8" s="329" t="str">
        <f t="shared" ca="1" si="18"/>
        <v>D2-2</v>
      </c>
      <c r="AB8" s="329">
        <f t="shared" ca="1" si="9"/>
        <v>32</v>
      </c>
      <c r="AC8" s="329">
        <f t="shared" ca="1" si="10"/>
        <v>36</v>
      </c>
      <c r="AD8" s="329">
        <f t="shared" ca="1" si="11"/>
        <v>68</v>
      </c>
      <c r="AE8" s="236">
        <f t="shared" ca="1" si="12"/>
        <v>0.47058823529411764</v>
      </c>
      <c r="AF8" s="341">
        <f t="shared" ca="1" si="13"/>
        <v>-67.529411764705884</v>
      </c>
      <c r="AG8" s="432">
        <f t="shared" ca="1" si="14"/>
        <v>7</v>
      </c>
      <c r="AH8" s="361"/>
    </row>
    <row r="9" spans="1:34" ht="15" customHeight="1">
      <c r="A9" s="366" t="s">
        <v>1368</v>
      </c>
      <c r="B9" s="320" t="s">
        <v>415</v>
      </c>
      <c r="C9" s="109">
        <v>8</v>
      </c>
      <c r="D9" s="110">
        <v>11</v>
      </c>
      <c r="E9" s="111">
        <v>5</v>
      </c>
      <c r="F9" s="252">
        <f t="shared" si="0"/>
        <v>24</v>
      </c>
      <c r="G9" s="368">
        <f>C8+D7+E6</f>
        <v>31</v>
      </c>
      <c r="H9" s="368">
        <f t="shared" si="1"/>
        <v>55</v>
      </c>
      <c r="I9" s="369">
        <f t="shared" si="2"/>
        <v>0.43636363636363634</v>
      </c>
      <c r="J9" s="471">
        <f t="shared" ca="1" si="19"/>
        <v>3</v>
      </c>
      <c r="K9" s="430" t="str">
        <f t="shared" ca="1" si="4"/>
        <v>D2-3</v>
      </c>
      <c r="L9" s="500"/>
      <c r="M9" s="240">
        <f t="shared" ca="1" si="5"/>
        <v>0</v>
      </c>
      <c r="N9" s="484"/>
      <c r="O9" s="484"/>
      <c r="P9" s="472"/>
      <c r="Q9" s="473"/>
      <c r="R9" s="474"/>
      <c r="S9" s="474"/>
      <c r="T9" s="473"/>
      <c r="U9" s="473"/>
      <c r="V9" s="475">
        <f t="shared" ref="V9:W9" si="23">(N9+P9+R9+T9)</f>
        <v>0</v>
      </c>
      <c r="W9" s="475">
        <f t="shared" si="23"/>
        <v>0</v>
      </c>
      <c r="X9" s="475">
        <f t="shared" si="7"/>
        <v>0</v>
      </c>
      <c r="Y9" s="372"/>
      <c r="Z9" s="372" t="s">
        <v>407</v>
      </c>
      <c r="AA9" s="337" t="str">
        <f t="shared" ca="1" si="18"/>
        <v>D1-2</v>
      </c>
      <c r="AB9" s="337">
        <f t="shared" ca="1" si="9"/>
        <v>29</v>
      </c>
      <c r="AC9" s="337">
        <f t="shared" ca="1" si="10"/>
        <v>33</v>
      </c>
      <c r="AD9" s="337">
        <f t="shared" ca="1" si="11"/>
        <v>62</v>
      </c>
      <c r="AE9" s="253">
        <f t="shared" ca="1" si="12"/>
        <v>0.46774193548387094</v>
      </c>
      <c r="AF9" s="399">
        <f t="shared" ca="1" si="13"/>
        <v>-70.532258064516128</v>
      </c>
      <c r="AG9" s="434">
        <f t="shared" ca="1" si="14"/>
        <v>8</v>
      </c>
      <c r="AH9" s="361"/>
    </row>
    <row r="10" spans="1:34" ht="15" customHeight="1">
      <c r="A10" s="357" t="s">
        <v>1369</v>
      </c>
      <c r="B10" s="318" t="s">
        <v>416</v>
      </c>
      <c r="C10" s="148">
        <v>1</v>
      </c>
      <c r="D10" s="165">
        <v>8</v>
      </c>
      <c r="E10" s="165">
        <v>9</v>
      </c>
      <c r="F10" s="213">
        <f t="shared" si="0"/>
        <v>18</v>
      </c>
      <c r="G10" s="353">
        <f>C11+D12+E13</f>
        <v>33</v>
      </c>
      <c r="H10" s="353">
        <f t="shared" si="1"/>
        <v>51</v>
      </c>
      <c r="I10" s="354">
        <f t="shared" si="2"/>
        <v>0.35294117647058826</v>
      </c>
      <c r="J10" s="467">
        <f t="shared" ref="J10:J13" ca="1" si="24">IFERROR(RANK(F10,OFFSET($F$10,0,0,COUNTA($F$10:$F$13),1)),)</f>
        <v>4</v>
      </c>
      <c r="K10" s="419" t="str">
        <f t="shared" ca="1" si="4"/>
        <v>D3-4</v>
      </c>
      <c r="L10" s="499" t="s">
        <v>243</v>
      </c>
      <c r="M10" s="218" t="str">
        <f t="shared" ca="1" si="5"/>
        <v>Mike McGillicuddy &amp; Barry Vonada</v>
      </c>
      <c r="N10" s="483"/>
      <c r="O10" s="483"/>
      <c r="P10" s="468">
        <v>11</v>
      </c>
      <c r="Q10" s="469">
        <v>7</v>
      </c>
      <c r="R10" s="470">
        <v>11</v>
      </c>
      <c r="S10" s="470">
        <v>2</v>
      </c>
      <c r="T10" s="469">
        <v>4</v>
      </c>
      <c r="U10" s="469">
        <v>12</v>
      </c>
      <c r="V10" s="465">
        <f t="shared" ref="V10:W10" si="25">(N10+P10+R10+T10)</f>
        <v>26</v>
      </c>
      <c r="W10" s="465">
        <f t="shared" si="25"/>
        <v>21</v>
      </c>
      <c r="X10" s="465">
        <f t="shared" si="7"/>
        <v>47</v>
      </c>
      <c r="Y10" s="359"/>
      <c r="Z10" s="359" t="s">
        <v>415</v>
      </c>
      <c r="AA10" s="329" t="str">
        <f t="shared" ca="1" si="18"/>
        <v>D2-3</v>
      </c>
      <c r="AB10" s="329">
        <f t="shared" ca="1" si="9"/>
        <v>24</v>
      </c>
      <c r="AC10" s="329">
        <f t="shared" ca="1" si="10"/>
        <v>31</v>
      </c>
      <c r="AD10" s="329">
        <f t="shared" ca="1" si="11"/>
        <v>55</v>
      </c>
      <c r="AE10" s="236">
        <f t="shared" ca="1" si="12"/>
        <v>0.43636363636363634</v>
      </c>
      <c r="AF10" s="333">
        <f t="shared" ca="1" si="13"/>
        <v>-75.563636363636363</v>
      </c>
      <c r="AG10" s="432">
        <f t="shared" ca="1" si="14"/>
        <v>9</v>
      </c>
      <c r="AH10" s="361"/>
    </row>
    <row r="11" spans="1:34" ht="15" customHeight="1">
      <c r="A11" s="466" t="s">
        <v>1369</v>
      </c>
      <c r="B11" s="318" t="s">
        <v>413</v>
      </c>
      <c r="C11" s="105">
        <v>11</v>
      </c>
      <c r="D11" s="106">
        <v>11</v>
      </c>
      <c r="E11" s="106">
        <v>6</v>
      </c>
      <c r="F11" s="235">
        <f t="shared" si="0"/>
        <v>28</v>
      </c>
      <c r="G11" s="363">
        <f>C10+D13+E12</f>
        <v>19</v>
      </c>
      <c r="H11" s="363">
        <f t="shared" si="1"/>
        <v>47</v>
      </c>
      <c r="I11" s="360">
        <f t="shared" si="2"/>
        <v>0.5957446808510638</v>
      </c>
      <c r="J11" s="467">
        <f t="shared" ca="1" si="24"/>
        <v>2</v>
      </c>
      <c r="K11" s="425" t="str">
        <f t="shared" ca="1" si="4"/>
        <v>D3-2</v>
      </c>
      <c r="L11" s="500"/>
      <c r="M11" s="240">
        <f t="shared" ca="1" si="5"/>
        <v>0</v>
      </c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6">(N11+P11+R11+T11)</f>
        <v>0</v>
      </c>
      <c r="W11" s="465">
        <f t="shared" si="26"/>
        <v>0</v>
      </c>
      <c r="X11" s="465">
        <f t="shared" si="7"/>
        <v>0</v>
      </c>
      <c r="Y11" s="359"/>
      <c r="Z11" s="359" t="s">
        <v>405</v>
      </c>
      <c r="AA11" s="329" t="str">
        <f t="shared" ca="1" si="18"/>
        <v>D1-3</v>
      </c>
      <c r="AB11" s="329">
        <f t="shared" ca="1" si="9"/>
        <v>22</v>
      </c>
      <c r="AC11" s="329">
        <f t="shared" ca="1" si="10"/>
        <v>23</v>
      </c>
      <c r="AD11" s="329">
        <f t="shared" ca="1" si="11"/>
        <v>45</v>
      </c>
      <c r="AE11" s="236">
        <f t="shared" ca="1" si="12"/>
        <v>0.48888888888888887</v>
      </c>
      <c r="AF11" s="341">
        <f t="shared" ca="1" si="13"/>
        <v>-77.511111111111106</v>
      </c>
      <c r="AG11" s="432">
        <f t="shared" ca="1" si="14"/>
        <v>10</v>
      </c>
      <c r="AH11" s="361"/>
    </row>
    <row r="12" spans="1:34" ht="15" customHeight="1">
      <c r="A12" s="466" t="s">
        <v>1369</v>
      </c>
      <c r="B12" s="318" t="s">
        <v>60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363">
        <f>C13+D10+E11</f>
        <v>15</v>
      </c>
      <c r="H12" s="363">
        <f t="shared" si="1"/>
        <v>48</v>
      </c>
      <c r="I12" s="360">
        <f t="shared" si="2"/>
        <v>0.6875</v>
      </c>
      <c r="J12" s="467">
        <f t="shared" ca="1" si="24"/>
        <v>1</v>
      </c>
      <c r="K12" s="425" t="str">
        <f t="shared" ca="1" si="4"/>
        <v>D3-1</v>
      </c>
      <c r="L12" s="499" t="s">
        <v>230</v>
      </c>
      <c r="M12" s="218" t="str">
        <f t="shared" ca="1" si="5"/>
        <v>Randy Swearengin &amp; Tom Wolfe</v>
      </c>
      <c r="N12" s="483"/>
      <c r="O12" s="483"/>
      <c r="P12" s="468">
        <v>7</v>
      </c>
      <c r="Q12" s="469">
        <v>11</v>
      </c>
      <c r="R12" s="470"/>
      <c r="S12" s="470"/>
      <c r="T12" s="469"/>
      <c r="U12" s="469"/>
      <c r="V12" s="465">
        <f t="shared" ref="V12:W12" si="27">(N12+P12+R12+T12)</f>
        <v>7</v>
      </c>
      <c r="W12" s="465">
        <f t="shared" si="27"/>
        <v>11</v>
      </c>
      <c r="X12" s="465">
        <f t="shared" si="7"/>
        <v>18</v>
      </c>
      <c r="Y12" s="359"/>
      <c r="Z12" s="359" t="s">
        <v>422</v>
      </c>
      <c r="AA12" s="329" t="str">
        <f t="shared" ca="1" si="18"/>
        <v>D4-3</v>
      </c>
      <c r="AB12" s="329">
        <f t="shared" ca="1" si="9"/>
        <v>22</v>
      </c>
      <c r="AC12" s="329">
        <f t="shared" ca="1" si="10"/>
        <v>33</v>
      </c>
      <c r="AD12" s="329">
        <f t="shared" ca="1" si="11"/>
        <v>55</v>
      </c>
      <c r="AE12" s="236">
        <f t="shared" ca="1" si="12"/>
        <v>0.4</v>
      </c>
      <c r="AF12" s="343">
        <f t="shared" ca="1" si="13"/>
        <v>-77.599999999999994</v>
      </c>
      <c r="AG12" s="432">
        <f t="shared" ca="1" si="14"/>
        <v>11</v>
      </c>
      <c r="AH12" s="361"/>
    </row>
    <row r="13" spans="1:34" ht="15" customHeight="1">
      <c r="A13" s="366" t="s">
        <v>1369</v>
      </c>
      <c r="B13" s="320" t="s">
        <v>418</v>
      </c>
      <c r="C13" s="109">
        <v>1</v>
      </c>
      <c r="D13" s="110">
        <v>7</v>
      </c>
      <c r="E13" s="111">
        <v>11</v>
      </c>
      <c r="F13" s="252">
        <f t="shared" si="0"/>
        <v>19</v>
      </c>
      <c r="G13" s="368">
        <f>C12+D11+E10</f>
        <v>31</v>
      </c>
      <c r="H13" s="368">
        <f t="shared" si="1"/>
        <v>50</v>
      </c>
      <c r="I13" s="369">
        <f t="shared" si="2"/>
        <v>0.38</v>
      </c>
      <c r="J13" s="471">
        <f t="shared" ca="1" si="24"/>
        <v>3</v>
      </c>
      <c r="K13" s="430" t="str">
        <f t="shared" ca="1" si="4"/>
        <v>D3-3</v>
      </c>
      <c r="L13" s="500"/>
      <c r="M13" s="240">
        <f t="shared" ca="1" si="5"/>
        <v>0</v>
      </c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8">(N13+P13+R13+T13)</f>
        <v>0</v>
      </c>
      <c r="W13" s="475">
        <f t="shared" si="28"/>
        <v>0</v>
      </c>
      <c r="X13" s="475">
        <f t="shared" si="7"/>
        <v>0</v>
      </c>
      <c r="Y13" s="372"/>
      <c r="Z13" s="372" t="s">
        <v>419</v>
      </c>
      <c r="AA13" s="337" t="str">
        <f t="shared" ca="1" si="18"/>
        <v>D4-4</v>
      </c>
      <c r="AB13" s="337">
        <f t="shared" ca="1" si="9"/>
        <v>21</v>
      </c>
      <c r="AC13" s="337">
        <f t="shared" ca="1" si="10"/>
        <v>31</v>
      </c>
      <c r="AD13" s="337">
        <f t="shared" ca="1" si="11"/>
        <v>52</v>
      </c>
      <c r="AE13" s="253">
        <f t="shared" ca="1" si="12"/>
        <v>0.40384615384615385</v>
      </c>
      <c r="AF13" s="401">
        <f t="shared" ca="1" si="13"/>
        <v>-78.59615384615384</v>
      </c>
      <c r="AG13" s="434">
        <f t="shared" ca="1" si="14"/>
        <v>12</v>
      </c>
      <c r="AH13" s="361"/>
    </row>
    <row r="14" spans="1:34" ht="15" customHeight="1">
      <c r="A14" s="357" t="s">
        <v>1371</v>
      </c>
      <c r="B14" s="318" t="s">
        <v>419</v>
      </c>
      <c r="C14" s="148">
        <v>11</v>
      </c>
      <c r="D14" s="165">
        <v>5</v>
      </c>
      <c r="E14" s="165">
        <v>5</v>
      </c>
      <c r="F14" s="213">
        <f t="shared" si="0"/>
        <v>21</v>
      </c>
      <c r="G14" s="353">
        <f>C15+D16+E17</f>
        <v>31</v>
      </c>
      <c r="H14" s="353">
        <f t="shared" si="1"/>
        <v>52</v>
      </c>
      <c r="I14" s="354">
        <f t="shared" si="2"/>
        <v>0.40384615384615385</v>
      </c>
      <c r="J14" s="467">
        <f t="shared" ref="J14:J17" ca="1" si="29">IFERROR(RANK(F14,OFFSET($F$14,0,0,COUNTA($F$14:$F$17),1)),)</f>
        <v>4</v>
      </c>
      <c r="K14" s="419" t="str">
        <f t="shared" ca="1" si="4"/>
        <v>D4-4</v>
      </c>
      <c r="L14" s="499" t="s">
        <v>263</v>
      </c>
      <c r="M14" s="218" t="str">
        <f t="shared" ca="1" si="5"/>
        <v>Joe Jacelone &amp; Jeff Potts</v>
      </c>
      <c r="N14" s="483"/>
      <c r="O14" s="483"/>
      <c r="P14" s="468">
        <v>11</v>
      </c>
      <c r="Q14" s="469">
        <v>4</v>
      </c>
      <c r="R14" s="470">
        <v>2</v>
      </c>
      <c r="S14" s="470">
        <v>11</v>
      </c>
      <c r="T14" s="469"/>
      <c r="U14" s="469"/>
      <c r="V14" s="465">
        <f t="shared" ref="V14:W14" si="30">(N14+P14+R14+T14)</f>
        <v>13</v>
      </c>
      <c r="W14" s="465">
        <f t="shared" si="30"/>
        <v>15</v>
      </c>
      <c r="X14" s="465">
        <f t="shared" si="7"/>
        <v>28</v>
      </c>
      <c r="Y14" s="359"/>
      <c r="Z14" s="359" t="s">
        <v>418</v>
      </c>
      <c r="AA14" s="329" t="str">
        <f t="shared" ca="1" si="18"/>
        <v>D3-3</v>
      </c>
      <c r="AB14" s="329">
        <f t="shared" ca="1" si="9"/>
        <v>19</v>
      </c>
      <c r="AC14" s="329">
        <f t="shared" ca="1" si="10"/>
        <v>31</v>
      </c>
      <c r="AD14" s="329">
        <f t="shared" ca="1" si="11"/>
        <v>50</v>
      </c>
      <c r="AE14" s="236">
        <f t="shared" ca="1" si="12"/>
        <v>0.38</v>
      </c>
      <c r="AF14" s="343">
        <f t="shared" ca="1" si="13"/>
        <v>-80.62</v>
      </c>
      <c r="AG14" s="432">
        <f t="shared" ca="1" si="14"/>
        <v>13</v>
      </c>
      <c r="AH14" s="361"/>
    </row>
    <row r="15" spans="1:34" ht="15" customHeight="1">
      <c r="A15" s="466" t="s">
        <v>1371</v>
      </c>
      <c r="B15" s="318" t="s">
        <v>422</v>
      </c>
      <c r="C15" s="105">
        <v>9</v>
      </c>
      <c r="D15" s="106">
        <v>8</v>
      </c>
      <c r="E15" s="106">
        <v>5</v>
      </c>
      <c r="F15" s="235">
        <f t="shared" si="0"/>
        <v>22</v>
      </c>
      <c r="G15" s="363">
        <f>C14+D17+E16</f>
        <v>33</v>
      </c>
      <c r="H15" s="363">
        <f t="shared" si="1"/>
        <v>55</v>
      </c>
      <c r="I15" s="360">
        <f t="shared" si="2"/>
        <v>0.4</v>
      </c>
      <c r="J15" s="467">
        <f t="shared" ca="1" si="29"/>
        <v>3</v>
      </c>
      <c r="K15" s="425" t="str">
        <f t="shared" ca="1" si="4"/>
        <v>D4-3</v>
      </c>
      <c r="L15" s="500"/>
      <c r="M15" s="240">
        <f t="shared" ca="1" si="5"/>
        <v>0</v>
      </c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1">(N15+P15+R15+T15)</f>
        <v>0</v>
      </c>
      <c r="W15" s="465">
        <f t="shared" si="31"/>
        <v>0</v>
      </c>
      <c r="X15" s="465">
        <f t="shared" si="7"/>
        <v>0</v>
      </c>
      <c r="Y15" s="359"/>
      <c r="Z15" s="359" t="s">
        <v>416</v>
      </c>
      <c r="AA15" s="329" t="str">
        <f t="shared" ca="1" si="18"/>
        <v>D3-4</v>
      </c>
      <c r="AB15" s="329">
        <f t="shared" ca="1" si="9"/>
        <v>18</v>
      </c>
      <c r="AC15" s="329">
        <f t="shared" ca="1" si="10"/>
        <v>33</v>
      </c>
      <c r="AD15" s="329">
        <f t="shared" ca="1" si="11"/>
        <v>51</v>
      </c>
      <c r="AE15" s="236">
        <f t="shared" ca="1" si="12"/>
        <v>0.35294117647058826</v>
      </c>
      <c r="AF15" s="341">
        <f t="shared" ca="1" si="13"/>
        <v>-81.647058823529406</v>
      </c>
      <c r="AG15" s="432">
        <f t="shared" ca="1" si="14"/>
        <v>14</v>
      </c>
      <c r="AH15" s="361"/>
    </row>
    <row r="16" spans="1:34" ht="15" customHeight="1">
      <c r="A16" s="466" t="s">
        <v>1371</v>
      </c>
      <c r="B16" s="318" t="s">
        <v>406</v>
      </c>
      <c r="C16" s="107">
        <v>7</v>
      </c>
      <c r="D16" s="108">
        <v>11</v>
      </c>
      <c r="E16" s="106">
        <v>11</v>
      </c>
      <c r="F16" s="235">
        <f t="shared" si="0"/>
        <v>29</v>
      </c>
      <c r="G16" s="363">
        <f>C17+D14+E15</f>
        <v>21</v>
      </c>
      <c r="H16" s="363">
        <f t="shared" si="1"/>
        <v>50</v>
      </c>
      <c r="I16" s="360">
        <f t="shared" si="2"/>
        <v>0.57999999999999996</v>
      </c>
      <c r="J16" s="467">
        <f t="shared" ca="1" si="29"/>
        <v>2</v>
      </c>
      <c r="K16" s="425" t="str">
        <f t="shared" ca="1" si="4"/>
        <v>D4-2</v>
      </c>
      <c r="L16" s="499" t="s">
        <v>218</v>
      </c>
      <c r="M16" s="437" t="str">
        <f t="shared" ca="1" si="5"/>
        <v>Dung Le &amp; Allen Meyer</v>
      </c>
      <c r="N16" s="483"/>
      <c r="O16" s="483"/>
      <c r="P16" s="468">
        <v>4</v>
      </c>
      <c r="Q16" s="469">
        <v>11</v>
      </c>
      <c r="R16" s="470"/>
      <c r="S16" s="470"/>
      <c r="T16" s="469"/>
      <c r="U16" s="469"/>
      <c r="V16" s="465">
        <f t="shared" ref="V16:W16" si="32">(N16+P16+R16+T16)</f>
        <v>4</v>
      </c>
      <c r="W16" s="465">
        <f t="shared" si="32"/>
        <v>11</v>
      </c>
      <c r="X16" s="465">
        <f t="shared" si="7"/>
        <v>15</v>
      </c>
      <c r="Y16" s="359"/>
      <c r="Z16" s="359" t="s">
        <v>409</v>
      </c>
      <c r="AA16" s="329" t="str">
        <f t="shared" ca="1" si="18"/>
        <v>D2-4</v>
      </c>
      <c r="AB16" s="329">
        <f t="shared" ca="1" si="9"/>
        <v>16</v>
      </c>
      <c r="AC16" s="329">
        <f t="shared" ca="1" si="10"/>
        <v>27</v>
      </c>
      <c r="AD16" s="329">
        <f t="shared" ca="1" si="11"/>
        <v>43</v>
      </c>
      <c r="AE16" s="236">
        <f t="shared" ca="1" si="12"/>
        <v>0.37209302325581395</v>
      </c>
      <c r="AF16" s="341">
        <f t="shared" ca="1" si="13"/>
        <v>-83.627906976744185</v>
      </c>
      <c r="AG16" s="432">
        <f t="shared" ca="1" si="14"/>
        <v>15</v>
      </c>
      <c r="AH16" s="361"/>
    </row>
    <row r="17" spans="1:34" ht="15" customHeight="1">
      <c r="A17" s="366" t="s">
        <v>1371</v>
      </c>
      <c r="B17" s="320" t="s">
        <v>420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368">
        <f>C16+D15+E14</f>
        <v>20</v>
      </c>
      <c r="H17" s="368">
        <f t="shared" si="1"/>
        <v>53</v>
      </c>
      <c r="I17" s="369">
        <f t="shared" si="2"/>
        <v>0.62264150943396224</v>
      </c>
      <c r="J17" s="471">
        <f t="shared" ca="1" si="29"/>
        <v>1</v>
      </c>
      <c r="K17" s="430" t="str">
        <f t="shared" ca="1" si="4"/>
        <v>D4-1</v>
      </c>
      <c r="L17" s="500"/>
      <c r="M17" s="438">
        <f t="shared" ca="1" si="5"/>
        <v>0</v>
      </c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3">(N17+P17+R17+T17)</f>
        <v>0</v>
      </c>
      <c r="W17" s="475">
        <f t="shared" si="33"/>
        <v>0</v>
      </c>
      <c r="X17" s="475">
        <f t="shared" si="7"/>
        <v>0</v>
      </c>
      <c r="Y17" s="372"/>
      <c r="Z17" s="372" t="s">
        <v>403</v>
      </c>
      <c r="AA17" s="337" t="str">
        <f t="shared" ca="1" si="18"/>
        <v>D1-4</v>
      </c>
      <c r="AB17" s="337">
        <f t="shared" ca="1" si="9"/>
        <v>2</v>
      </c>
      <c r="AC17" s="337">
        <f t="shared" ca="1" si="10"/>
        <v>33</v>
      </c>
      <c r="AD17" s="337">
        <f t="shared" ca="1" si="11"/>
        <v>35</v>
      </c>
      <c r="AE17" s="369">
        <f t="shared" ca="1" si="12"/>
        <v>5.7142857142857141E-2</v>
      </c>
      <c r="AF17" s="338">
        <f t="shared" ca="1" si="13"/>
        <v>-97.942857142857136</v>
      </c>
      <c r="AG17" s="431">
        <f t="shared" ca="1" si="14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4">SUM(C2:C17)</f>
        <v>127</v>
      </c>
      <c r="D19" s="388">
        <f t="shared" si="34"/>
        <v>129</v>
      </c>
      <c r="E19" s="388">
        <f>SUM(E2:E18)</f>
        <v>127</v>
      </c>
      <c r="F19" s="389">
        <f t="shared" ref="F19:G19" si="35">SUM(F2:F17)</f>
        <v>383</v>
      </c>
      <c r="G19" s="389">
        <f t="shared" si="35"/>
        <v>383</v>
      </c>
      <c r="H19" s="390">
        <f>SUM(H2:H17)/2</f>
        <v>383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6">SUM(N2:N17)</f>
        <v>0</v>
      </c>
      <c r="O19" s="385">
        <f t="shared" si="36"/>
        <v>0</v>
      </c>
      <c r="P19" s="385">
        <f t="shared" si="36"/>
        <v>68</v>
      </c>
      <c r="Q19" s="385">
        <f t="shared" si="36"/>
        <v>68</v>
      </c>
      <c r="R19" s="385">
        <f t="shared" si="36"/>
        <v>30</v>
      </c>
      <c r="S19" s="385">
        <f t="shared" si="36"/>
        <v>30</v>
      </c>
      <c r="T19" s="385">
        <f t="shared" si="36"/>
        <v>16</v>
      </c>
      <c r="U19" s="385">
        <f t="shared" si="36"/>
        <v>16</v>
      </c>
      <c r="V19" s="385">
        <f t="shared" si="36"/>
        <v>114</v>
      </c>
      <c r="W19" s="385">
        <f t="shared" si="36"/>
        <v>114</v>
      </c>
      <c r="X19" s="385">
        <f>SUM(X2:X17)/2</f>
        <v>114</v>
      </c>
      <c r="Y19" s="385"/>
      <c r="Z19" s="385"/>
      <c r="AA19" s="385"/>
      <c r="AB19" s="385">
        <f t="shared" ref="AB19:AD19" ca="1" si="37">SUM(AB2:AB17)/2</f>
        <v>248.5</v>
      </c>
      <c r="AC19" s="385">
        <f t="shared" ca="1" si="37"/>
        <v>248.5</v>
      </c>
      <c r="AD19" s="385">
        <f t="shared" ca="1" si="37"/>
        <v>497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8">COUNTIF(C2:C17, 10)</f>
        <v>1</v>
      </c>
      <c r="D20" s="393">
        <f t="shared" si="38"/>
        <v>0</v>
      </c>
      <c r="E20" s="393">
        <f t="shared" si="38"/>
        <v>0</v>
      </c>
      <c r="F20" s="386"/>
      <c r="G20" s="386"/>
      <c r="H20" s="394">
        <f>AVERAGE(H2:H17)</f>
        <v>47.875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62.125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7" priority="2" operator="equal">
      <formula>33</formula>
    </cfRule>
  </conditionalFormatting>
  <conditionalFormatting sqref="M2:M17">
    <cfRule type="expression" dxfId="6" priority="1">
      <formula>$T2&gt;U2</formula>
    </cfRule>
  </conditionalFormatting>
  <hyperlinks>
    <hyperlink ref="A1" location="Champions!A1" display="Home" xr:uid="{00000000-0004-0000-2200-000000000000}"/>
    <hyperlink ref="AH1" location="Champions!A1" display="Home" xr:uid="{00000000-0004-0000-2200-000001000000}"/>
    <hyperlink ref="A19" location="Champions!A1" display="Home" xr:uid="{00000000-0004-0000-2200-000002000000}"/>
    <hyperlink ref="K19" location="Champions!A1" display="Home" xr:uid="{00000000-0004-0000-2200-000003000000}"/>
  </hyperlinks>
  <pageMargins left="0.7" right="0.7" top="0.75" bottom="0.75" header="0" footer="0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7.4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0.1796875" customWidth="1"/>
    <col min="13" max="13" width="25.453125" customWidth="1"/>
    <col min="14" max="21" width="6.26953125" customWidth="1"/>
    <col min="22" max="24" width="7.7265625" customWidth="1"/>
    <col min="25" max="25" width="6.81640625" customWidth="1"/>
    <col min="26" max="26" width="26.269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381</v>
      </c>
      <c r="C2" s="148">
        <v>9</v>
      </c>
      <c r="D2" s="165">
        <v>9</v>
      </c>
      <c r="E2" s="165">
        <v>6</v>
      </c>
      <c r="F2" s="213">
        <f t="shared" ref="F2:F17" si="0">SUM(C2:E2)</f>
        <v>24</v>
      </c>
      <c r="G2" s="353">
        <f>C3+D4+E5</f>
        <v>33</v>
      </c>
      <c r="H2" s="353">
        <f t="shared" ref="H2:H17" si="1">SUM(F2:G2)</f>
        <v>57</v>
      </c>
      <c r="I2" s="354">
        <f t="shared" ref="I2:I17" si="2">IFERROR(F2/H2,"")</f>
        <v>0.42105263157894735</v>
      </c>
      <c r="J2" s="467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01" t="s">
        <v>218</v>
      </c>
      <c r="M2" s="357" t="s">
        <v>382</v>
      </c>
      <c r="N2" s="482"/>
      <c r="O2" s="482"/>
      <c r="P2" s="462">
        <v>9</v>
      </c>
      <c r="Q2" s="463">
        <v>11</v>
      </c>
      <c r="R2" s="464"/>
      <c r="S2" s="464"/>
      <c r="T2" s="463"/>
      <c r="U2" s="463"/>
      <c r="V2" s="465">
        <f t="shared" ref="V2:W2" si="5">(N2+P2+R2+T2)</f>
        <v>9</v>
      </c>
      <c r="W2" s="465">
        <f t="shared" si="5"/>
        <v>11</v>
      </c>
      <c r="X2" s="465">
        <f t="shared" ref="X2:X17" si="6">V2+W2</f>
        <v>20</v>
      </c>
      <c r="Y2" s="359"/>
      <c r="Z2" s="359" t="s">
        <v>56</v>
      </c>
      <c r="AA2" s="329" t="str">
        <f t="shared" ref="AA2:AA9" ca="1" si="7">IFERROR(INDEX($A$2:$K$17,MATCH(Z2,$B$2:$B$17,0),11),)</f>
        <v>D2-1</v>
      </c>
      <c r="AB2" s="329">
        <f t="shared" ref="AB2:AB17" ca="1" si="8">IFERROR((INDEX($A$2:$H$17,MATCH($Z2,$B$2:$B$17,0),6))+INDEX($M$2:$X$17,MATCH($Z2,$M$2:$M$17,0),10),INDEX($B$2:$G$17,MATCH($Z2,$B$2:$B$17,0),5))</f>
        <v>67</v>
      </c>
      <c r="AC2" s="329">
        <f t="shared" ref="AC2:AC17" ca="1" si="9">IFERROR((INDEX($A$2:$H$17,MATCH($Z2,$B$2:$B$17,0),7))+INDEX($M$2:$X$17,MATCH($Z2,$M$2:$M$17,0),11),INDEX($B$2:$G$17,MATCH($Z2,$B$2:$B$17,0),6))</f>
        <v>34</v>
      </c>
      <c r="AD2" s="329">
        <f t="shared" ref="AD2:AD17" ca="1" si="10">SUM(AB2:AC2)</f>
        <v>101</v>
      </c>
      <c r="AE2" s="236">
        <f t="shared" ref="AE2:AE17" ca="1" si="11">AB2/AD2</f>
        <v>0.6633663366336634</v>
      </c>
      <c r="AF2" s="330">
        <f t="shared" ref="AF2:AF17" ca="1" si="12">AE2-(100-AB2)</f>
        <v>-32.336633663366335</v>
      </c>
      <c r="AG2" s="432">
        <f t="shared" ref="AG2:AG17" ca="1" si="13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382</v>
      </c>
      <c r="C3" s="105">
        <v>11</v>
      </c>
      <c r="D3" s="106">
        <v>11</v>
      </c>
      <c r="E3" s="106">
        <v>8</v>
      </c>
      <c r="F3" s="235">
        <f t="shared" si="0"/>
        <v>30</v>
      </c>
      <c r="G3" s="363">
        <f>C2+D5+E4</f>
        <v>28</v>
      </c>
      <c r="H3" s="363">
        <f t="shared" si="1"/>
        <v>58</v>
      </c>
      <c r="I3" s="360">
        <f t="shared" si="2"/>
        <v>0.51724137931034486</v>
      </c>
      <c r="J3" s="467">
        <f t="shared" ca="1" si="3"/>
        <v>2</v>
      </c>
      <c r="K3" s="425" t="str">
        <f t="shared" ca="1" si="4"/>
        <v>D1-2</v>
      </c>
      <c r="L3" s="500"/>
      <c r="M3" s="466"/>
      <c r="N3" s="483"/>
      <c r="O3" s="483"/>
      <c r="P3" s="468"/>
      <c r="Q3" s="469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57</v>
      </c>
      <c r="AA3" s="329" t="str">
        <f t="shared" ca="1" si="7"/>
        <v>D3-1</v>
      </c>
      <c r="AB3" s="329">
        <f t="shared" ca="1" si="8"/>
        <v>59</v>
      </c>
      <c r="AC3" s="329">
        <f t="shared" ca="1" si="9"/>
        <v>36</v>
      </c>
      <c r="AD3" s="329">
        <f t="shared" ca="1" si="10"/>
        <v>95</v>
      </c>
      <c r="AE3" s="236">
        <f t="shared" ca="1" si="11"/>
        <v>0.62105263157894741</v>
      </c>
      <c r="AF3" s="333">
        <f t="shared" ca="1" si="12"/>
        <v>-40.378947368421052</v>
      </c>
      <c r="AG3" s="432">
        <f t="shared" ca="1" si="13"/>
        <v>2</v>
      </c>
      <c r="AH3" s="361"/>
    </row>
    <row r="4" spans="1:34" ht="15" customHeight="1">
      <c r="A4" s="466" t="s">
        <v>1367</v>
      </c>
      <c r="B4" s="318" t="s">
        <v>384</v>
      </c>
      <c r="C4" s="107">
        <v>7</v>
      </c>
      <c r="D4" s="108">
        <v>11</v>
      </c>
      <c r="E4" s="106">
        <v>9</v>
      </c>
      <c r="F4" s="235">
        <f t="shared" si="0"/>
        <v>27</v>
      </c>
      <c r="G4" s="363">
        <f>C5+D2+E3</f>
        <v>28</v>
      </c>
      <c r="H4" s="363">
        <f t="shared" si="1"/>
        <v>55</v>
      </c>
      <c r="I4" s="360">
        <f t="shared" si="2"/>
        <v>0.49090909090909091</v>
      </c>
      <c r="J4" s="467">
        <f t="shared" ca="1" si="3"/>
        <v>3</v>
      </c>
      <c r="K4" s="425" t="str">
        <f t="shared" ca="1" si="4"/>
        <v>D1-3</v>
      </c>
      <c r="L4" s="501" t="s">
        <v>265</v>
      </c>
      <c r="M4" s="466" t="str">
        <f t="array" aca="1" ref="M4" ca="1">IFERROR(INDEX($A$2:$K$17,MATCH(L4,$K$2:$K$17,0),2),)</f>
        <v>Jay Sidie &amp; Tom Spenceri</v>
      </c>
      <c r="N4" s="483"/>
      <c r="O4" s="483"/>
      <c r="P4" s="468">
        <v>11</v>
      </c>
      <c r="Q4" s="469">
        <v>9</v>
      </c>
      <c r="R4" s="470">
        <v>8</v>
      </c>
      <c r="S4" s="470">
        <v>11</v>
      </c>
      <c r="T4" s="469"/>
      <c r="U4" s="469"/>
      <c r="V4" s="465">
        <f t="shared" ref="V4:W4" si="15">(N4+P4+R4+T4)</f>
        <v>19</v>
      </c>
      <c r="W4" s="465">
        <f t="shared" si="15"/>
        <v>20</v>
      </c>
      <c r="X4" s="465">
        <f t="shared" si="6"/>
        <v>39</v>
      </c>
      <c r="Y4" s="359"/>
      <c r="Z4" s="359" t="s">
        <v>399</v>
      </c>
      <c r="AA4" s="329" t="str">
        <f t="shared" ca="1" si="7"/>
        <v>D4-1</v>
      </c>
      <c r="AB4" s="329">
        <f t="shared" ca="1" si="8"/>
        <v>47</v>
      </c>
      <c r="AC4" s="329">
        <f t="shared" ca="1" si="9"/>
        <v>28</v>
      </c>
      <c r="AD4" s="329">
        <f t="shared" ca="1" si="10"/>
        <v>75</v>
      </c>
      <c r="AE4" s="236">
        <f t="shared" ca="1" si="11"/>
        <v>0.62666666666666671</v>
      </c>
      <c r="AF4" s="341">
        <f t="shared" ca="1" si="12"/>
        <v>-52.373333333333335</v>
      </c>
      <c r="AG4" s="432">
        <f t="shared" ca="1" si="13"/>
        <v>3</v>
      </c>
      <c r="AH4" s="361"/>
    </row>
    <row r="5" spans="1:34" ht="15" customHeight="1">
      <c r="A5" s="366" t="s">
        <v>1367</v>
      </c>
      <c r="B5" s="320" t="s">
        <v>387</v>
      </c>
      <c r="C5" s="109">
        <v>11</v>
      </c>
      <c r="D5" s="110">
        <v>10</v>
      </c>
      <c r="E5" s="111">
        <v>11</v>
      </c>
      <c r="F5" s="252">
        <f t="shared" si="0"/>
        <v>32</v>
      </c>
      <c r="G5" s="368">
        <f>C4+D3+E2</f>
        <v>24</v>
      </c>
      <c r="H5" s="368">
        <f t="shared" si="1"/>
        <v>56</v>
      </c>
      <c r="I5" s="369">
        <f t="shared" si="2"/>
        <v>0.5714285714285714</v>
      </c>
      <c r="J5" s="471">
        <f t="shared" ca="1" si="3"/>
        <v>1</v>
      </c>
      <c r="K5" s="430" t="str">
        <f t="shared" ca="1" si="4"/>
        <v>D1-1</v>
      </c>
      <c r="L5" s="500"/>
      <c r="M5" s="366"/>
      <c r="N5" s="484"/>
      <c r="O5" s="484"/>
      <c r="P5" s="472"/>
      <c r="Q5" s="473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385</v>
      </c>
      <c r="AA5" s="337" t="str">
        <f t="shared" ca="1" si="7"/>
        <v>D4-2</v>
      </c>
      <c r="AB5" s="337">
        <f t="shared" ca="1" si="8"/>
        <v>43</v>
      </c>
      <c r="AC5" s="337">
        <f t="shared" ca="1" si="9"/>
        <v>42</v>
      </c>
      <c r="AD5" s="337">
        <f t="shared" ca="1" si="10"/>
        <v>85</v>
      </c>
      <c r="AE5" s="253">
        <f t="shared" ca="1" si="11"/>
        <v>0.50588235294117645</v>
      </c>
      <c r="AF5" s="338">
        <f t="shared" ca="1" si="12"/>
        <v>-56.494117647058822</v>
      </c>
      <c r="AG5" s="434">
        <f t="shared" ca="1" si="13"/>
        <v>4</v>
      </c>
      <c r="AH5" s="361"/>
    </row>
    <row r="6" spans="1:34" ht="15" customHeight="1">
      <c r="A6" s="357" t="s">
        <v>1368</v>
      </c>
      <c r="B6" s="318" t="s">
        <v>389</v>
      </c>
      <c r="C6" s="148">
        <v>4</v>
      </c>
      <c r="D6" s="165">
        <v>0</v>
      </c>
      <c r="E6" s="165">
        <v>11</v>
      </c>
      <c r="F6" s="213">
        <f t="shared" si="0"/>
        <v>15</v>
      </c>
      <c r="G6" s="353">
        <f>C7+D8+E9</f>
        <v>32</v>
      </c>
      <c r="H6" s="353">
        <f t="shared" si="1"/>
        <v>47</v>
      </c>
      <c r="I6" s="354">
        <f t="shared" si="2"/>
        <v>0.31914893617021278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01" t="s">
        <v>225</v>
      </c>
      <c r="M6" s="466" t="str">
        <f t="array" aca="1" ref="M6" ca="1">IFERROR(INDEX($A$2:$K$17,MATCH(L6,$K$2:$K$17,0),2),)</f>
        <v>Marlin Carlson &amp; Marc Richard</v>
      </c>
      <c r="N6" s="483"/>
      <c r="O6" s="483"/>
      <c r="P6" s="468">
        <v>11</v>
      </c>
      <c r="Q6" s="469">
        <v>8</v>
      </c>
      <c r="R6" s="470">
        <v>11</v>
      </c>
      <c r="S6" s="470">
        <v>8</v>
      </c>
      <c r="T6" s="469">
        <v>12</v>
      </c>
      <c r="U6" s="469">
        <v>4</v>
      </c>
      <c r="V6" s="476">
        <f t="shared" ref="V6:W6" si="18">(N6+P6+R6+T6)</f>
        <v>34</v>
      </c>
      <c r="W6" s="476">
        <f t="shared" si="18"/>
        <v>20</v>
      </c>
      <c r="X6" s="476">
        <f t="shared" si="6"/>
        <v>54</v>
      </c>
      <c r="Y6" s="374"/>
      <c r="Z6" s="374" t="s">
        <v>382</v>
      </c>
      <c r="AA6" s="340" t="str">
        <f t="shared" ca="1" si="7"/>
        <v>D1-2</v>
      </c>
      <c r="AB6" s="340">
        <f t="shared" si="8"/>
        <v>39</v>
      </c>
      <c r="AC6" s="340">
        <f t="shared" si="9"/>
        <v>39</v>
      </c>
      <c r="AD6" s="340">
        <f t="shared" si="10"/>
        <v>78</v>
      </c>
      <c r="AE6" s="214">
        <f t="shared" si="11"/>
        <v>0.5</v>
      </c>
      <c r="AF6" s="333">
        <f t="shared" si="12"/>
        <v>-60.5</v>
      </c>
      <c r="AG6" s="432">
        <f t="shared" ca="1" si="13"/>
        <v>5</v>
      </c>
      <c r="AH6" s="361"/>
    </row>
    <row r="7" spans="1:34" ht="15" customHeight="1">
      <c r="A7" s="466" t="s">
        <v>1368</v>
      </c>
      <c r="B7" s="318" t="s">
        <v>390</v>
      </c>
      <c r="C7" s="105">
        <v>11</v>
      </c>
      <c r="D7" s="106">
        <v>11</v>
      </c>
      <c r="E7" s="106">
        <v>7</v>
      </c>
      <c r="F7" s="235">
        <f t="shared" si="0"/>
        <v>29</v>
      </c>
      <c r="G7" s="363">
        <f>C6+D9+E8</f>
        <v>21</v>
      </c>
      <c r="H7" s="363">
        <f t="shared" si="1"/>
        <v>50</v>
      </c>
      <c r="I7" s="360">
        <f t="shared" si="2"/>
        <v>0.57999999999999996</v>
      </c>
      <c r="J7" s="467">
        <f t="shared" ca="1" si="17"/>
        <v>2</v>
      </c>
      <c r="K7" s="425" t="str">
        <f t="shared" ca="1" si="4"/>
        <v>D2-2</v>
      </c>
      <c r="L7" s="500"/>
      <c r="M7" s="466"/>
      <c r="N7" s="483"/>
      <c r="O7" s="483"/>
      <c r="P7" s="468"/>
      <c r="Q7" s="469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391</v>
      </c>
      <c r="AA7" s="329" t="str">
        <f t="shared" ca="1" si="7"/>
        <v>D3-2</v>
      </c>
      <c r="AB7" s="329">
        <f t="shared" ca="1" si="8"/>
        <v>38</v>
      </c>
      <c r="AC7" s="329">
        <f t="shared" ca="1" si="9"/>
        <v>35</v>
      </c>
      <c r="AD7" s="329">
        <f t="shared" ca="1" si="10"/>
        <v>73</v>
      </c>
      <c r="AE7" s="236">
        <f t="shared" ca="1" si="11"/>
        <v>0.52054794520547942</v>
      </c>
      <c r="AF7" s="341">
        <f t="shared" ca="1" si="12"/>
        <v>-61.479452054794521</v>
      </c>
      <c r="AG7" s="432">
        <f t="shared" ca="1" si="13"/>
        <v>6</v>
      </c>
      <c r="AH7" s="361"/>
    </row>
    <row r="8" spans="1:34" ht="15" customHeight="1">
      <c r="A8" s="466" t="s">
        <v>1368</v>
      </c>
      <c r="B8" s="318" t="s">
        <v>56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363">
        <f>C9+D6+E7</f>
        <v>14</v>
      </c>
      <c r="H8" s="363">
        <f t="shared" si="1"/>
        <v>47</v>
      </c>
      <c r="I8" s="360">
        <f t="shared" si="2"/>
        <v>0.7021276595744681</v>
      </c>
      <c r="J8" s="467">
        <f t="shared" ca="1" si="17"/>
        <v>1</v>
      </c>
      <c r="K8" s="425" t="str">
        <f t="shared" ca="1" si="4"/>
        <v>D2-1</v>
      </c>
      <c r="L8" s="501" t="s">
        <v>253</v>
      </c>
      <c r="M8" s="466" t="str">
        <f t="array" aca="1" ref="M8" ca="1">IFERROR(INDEX($A$2:$K$17,MATCH(L8,$K$2:$K$17,0),2),)</f>
        <v>Paul Yaple &amp; Yash Ramoo</v>
      </c>
      <c r="N8" s="483"/>
      <c r="O8" s="483"/>
      <c r="P8" s="468">
        <v>8</v>
      </c>
      <c r="Q8" s="469">
        <v>11</v>
      </c>
      <c r="R8" s="470"/>
      <c r="S8" s="470"/>
      <c r="T8" s="469"/>
      <c r="U8" s="469"/>
      <c r="V8" s="465">
        <f t="shared" ref="V8:W8" si="20">(N8+P8+R8+T8)</f>
        <v>8</v>
      </c>
      <c r="W8" s="465">
        <f t="shared" si="20"/>
        <v>11</v>
      </c>
      <c r="X8" s="465">
        <f t="shared" si="6"/>
        <v>19</v>
      </c>
      <c r="Y8" s="359"/>
      <c r="Z8" s="359" t="s">
        <v>387</v>
      </c>
      <c r="AA8" s="329" t="str">
        <f t="shared" ca="1" si="7"/>
        <v>D1-1</v>
      </c>
      <c r="AB8" s="329">
        <f t="shared" ca="1" si="8"/>
        <v>35</v>
      </c>
      <c r="AC8" s="329">
        <f t="shared" ca="1" si="9"/>
        <v>35</v>
      </c>
      <c r="AD8" s="329">
        <f t="shared" ca="1" si="10"/>
        <v>70</v>
      </c>
      <c r="AE8" s="236">
        <f t="shared" ca="1" si="11"/>
        <v>0.5</v>
      </c>
      <c r="AF8" s="341">
        <f t="shared" ca="1" si="12"/>
        <v>-64.5</v>
      </c>
      <c r="AG8" s="432">
        <f t="shared" ca="1" si="13"/>
        <v>7</v>
      </c>
      <c r="AH8" s="361"/>
    </row>
    <row r="9" spans="1:34" ht="15" customHeight="1">
      <c r="A9" s="366" t="s">
        <v>1368</v>
      </c>
      <c r="B9" s="320" t="s">
        <v>393</v>
      </c>
      <c r="C9" s="109">
        <v>7</v>
      </c>
      <c r="D9" s="110">
        <v>6</v>
      </c>
      <c r="E9" s="111">
        <v>10</v>
      </c>
      <c r="F9" s="252">
        <f t="shared" si="0"/>
        <v>23</v>
      </c>
      <c r="G9" s="368">
        <f>C8+D7+E6</f>
        <v>33</v>
      </c>
      <c r="H9" s="368">
        <f t="shared" si="1"/>
        <v>56</v>
      </c>
      <c r="I9" s="369">
        <f t="shared" si="2"/>
        <v>0.4107142857142857</v>
      </c>
      <c r="J9" s="471">
        <f t="shared" ca="1" si="17"/>
        <v>3</v>
      </c>
      <c r="K9" s="430" t="str">
        <f t="shared" ca="1" si="4"/>
        <v>D2-3</v>
      </c>
      <c r="L9" s="500"/>
      <c r="M9" s="366"/>
      <c r="N9" s="484"/>
      <c r="O9" s="484"/>
      <c r="P9" s="472"/>
      <c r="Q9" s="473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390</v>
      </c>
      <c r="AA9" s="337" t="str">
        <f t="shared" ca="1" si="7"/>
        <v>D2-2</v>
      </c>
      <c r="AB9" s="337">
        <f t="shared" ca="1" si="8"/>
        <v>31</v>
      </c>
      <c r="AC9" s="337">
        <f t="shared" ca="1" si="9"/>
        <v>32</v>
      </c>
      <c r="AD9" s="337">
        <f t="shared" ca="1" si="10"/>
        <v>63</v>
      </c>
      <c r="AE9" s="253">
        <f t="shared" ca="1" si="11"/>
        <v>0.49206349206349204</v>
      </c>
      <c r="AF9" s="338">
        <f t="shared" ca="1" si="12"/>
        <v>-68.507936507936506</v>
      </c>
      <c r="AG9" s="434">
        <f t="shared" ca="1" si="13"/>
        <v>8</v>
      </c>
      <c r="AH9" s="361"/>
    </row>
    <row r="10" spans="1:34" ht="15" customHeight="1">
      <c r="A10" s="357" t="s">
        <v>1369</v>
      </c>
      <c r="B10" s="318" t="s">
        <v>57</v>
      </c>
      <c r="C10" s="148">
        <v>11</v>
      </c>
      <c r="D10" s="165">
        <v>11</v>
      </c>
      <c r="E10" s="165">
        <v>11</v>
      </c>
      <c r="F10" s="213">
        <f t="shared" si="0"/>
        <v>33</v>
      </c>
      <c r="G10" s="353">
        <f>C11+D12+E13</f>
        <v>19</v>
      </c>
      <c r="H10" s="353">
        <f t="shared" si="1"/>
        <v>52</v>
      </c>
      <c r="I10" s="354">
        <f t="shared" si="2"/>
        <v>0.63461538461538458</v>
      </c>
      <c r="J10" s="467">
        <f t="shared" ref="J10:J13" ca="1" si="22">IFERROR(RANK(F10,OFFSET($F$10,0,0,COUNTA($F$10:$F$13),1)),)</f>
        <v>1</v>
      </c>
      <c r="K10" s="419" t="str">
        <f t="shared" ca="1" si="4"/>
        <v>D3-1</v>
      </c>
      <c r="L10" s="501" t="s">
        <v>243</v>
      </c>
      <c r="M10" s="466" t="str">
        <f t="array" aca="1" ref="M10" ca="1">IFERROR(INDEX($A$2:$K$17,MATCH(L10,$K$2:$K$17,0),2),)</f>
        <v>John Stolte &amp; Craig Donnelly</v>
      </c>
      <c r="N10" s="483"/>
      <c r="O10" s="483"/>
      <c r="P10" s="468">
        <v>11</v>
      </c>
      <c r="Q10" s="469">
        <v>2</v>
      </c>
      <c r="R10" s="470">
        <v>11</v>
      </c>
      <c r="S10" s="470">
        <v>3</v>
      </c>
      <c r="T10" s="469">
        <v>4</v>
      </c>
      <c r="U10" s="469">
        <v>12</v>
      </c>
      <c r="V10" s="465">
        <f t="shared" ref="V10:W10" si="23">(N10+P10+R10+T10)</f>
        <v>26</v>
      </c>
      <c r="W10" s="465">
        <f t="shared" si="23"/>
        <v>17</v>
      </c>
      <c r="X10" s="465">
        <f t="shared" si="6"/>
        <v>43</v>
      </c>
      <c r="Y10" s="359"/>
      <c r="Z10" s="359" t="s">
        <v>384</v>
      </c>
      <c r="AA10" s="329" t="str">
        <f t="array" aca="1" ref="AA10" ca="1">INDEX($A$2:$K$17,MATCH(Z10,$B$2:$B$17,0),11)</f>
        <v>D1-3</v>
      </c>
      <c r="AB10" s="329">
        <f t="shared" ca="1" si="8"/>
        <v>27</v>
      </c>
      <c r="AC10" s="329">
        <f t="shared" ca="1" si="9"/>
        <v>28</v>
      </c>
      <c r="AD10" s="329">
        <f t="shared" ca="1" si="10"/>
        <v>55</v>
      </c>
      <c r="AE10" s="236">
        <f t="shared" ca="1" si="11"/>
        <v>0.49090909090909091</v>
      </c>
      <c r="AF10" s="341">
        <f t="shared" ca="1" si="12"/>
        <v>-72.509090909090915</v>
      </c>
      <c r="AG10" s="432">
        <f t="shared" ca="1" si="13"/>
        <v>9</v>
      </c>
      <c r="AH10" s="361"/>
    </row>
    <row r="11" spans="1:34" ht="15" customHeight="1">
      <c r="A11" s="466" t="s">
        <v>1369</v>
      </c>
      <c r="B11" s="318" t="s">
        <v>395</v>
      </c>
      <c r="C11" s="105">
        <v>5</v>
      </c>
      <c r="D11" s="106">
        <v>6</v>
      </c>
      <c r="E11" s="106">
        <v>5</v>
      </c>
      <c r="F11" s="235">
        <f t="shared" si="0"/>
        <v>16</v>
      </c>
      <c r="G11" s="363">
        <f>C10+D13+E12</f>
        <v>33</v>
      </c>
      <c r="H11" s="363">
        <f t="shared" si="1"/>
        <v>49</v>
      </c>
      <c r="I11" s="360">
        <f t="shared" si="2"/>
        <v>0.32653061224489793</v>
      </c>
      <c r="J11" s="467">
        <f t="shared" ca="1" si="22"/>
        <v>4</v>
      </c>
      <c r="K11" s="425" t="str">
        <f t="shared" ca="1" si="4"/>
        <v>D3-4</v>
      </c>
      <c r="L11" s="500"/>
      <c r="M11" s="466"/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398</v>
      </c>
      <c r="AA11" s="329" t="str">
        <f t="shared" ref="AA11:AA17" ca="1" si="25">IFERROR(INDEX($A$2:$K$17,MATCH(Z11,$B$2:$B$17,0),11),)</f>
        <v>D3-3</v>
      </c>
      <c r="AB11" s="329">
        <f t="shared" ca="1" si="8"/>
        <v>25</v>
      </c>
      <c r="AC11" s="329">
        <f t="shared" ca="1" si="9"/>
        <v>28</v>
      </c>
      <c r="AD11" s="329">
        <f t="shared" ca="1" si="10"/>
        <v>53</v>
      </c>
      <c r="AE11" s="236">
        <f t="shared" ca="1" si="11"/>
        <v>0.47169811320754718</v>
      </c>
      <c r="AF11" s="333">
        <f t="shared" ca="1" si="12"/>
        <v>-74.528301886792448</v>
      </c>
      <c r="AG11" s="432">
        <f t="shared" ca="1" si="13"/>
        <v>10</v>
      </c>
      <c r="AH11" s="361"/>
    </row>
    <row r="12" spans="1:34" ht="15" customHeight="1">
      <c r="A12" s="466" t="s">
        <v>1369</v>
      </c>
      <c r="B12" s="318" t="s">
        <v>391</v>
      </c>
      <c r="C12" s="107">
        <v>11</v>
      </c>
      <c r="D12" s="108">
        <v>8</v>
      </c>
      <c r="E12" s="106">
        <v>11</v>
      </c>
      <c r="F12" s="235">
        <f t="shared" si="0"/>
        <v>30</v>
      </c>
      <c r="G12" s="363">
        <f>C13+D10+E11</f>
        <v>24</v>
      </c>
      <c r="H12" s="363">
        <f t="shared" si="1"/>
        <v>54</v>
      </c>
      <c r="I12" s="360">
        <f t="shared" si="2"/>
        <v>0.55555555555555558</v>
      </c>
      <c r="J12" s="467">
        <f t="shared" ca="1" si="22"/>
        <v>2</v>
      </c>
      <c r="K12" s="425" t="str">
        <f t="shared" ca="1" si="4"/>
        <v>D3-2</v>
      </c>
      <c r="L12" s="501" t="s">
        <v>230</v>
      </c>
      <c r="M12" s="466" t="str">
        <f t="array" aca="1" ref="M12" ca="1">IFERROR(INDEX($A$2:$K$17,MATCH(L12,$K$2:$K$17,0),2),)</f>
        <v>Randy Swearengin &amp; Joe Zucht</v>
      </c>
      <c r="N12" s="483"/>
      <c r="O12" s="483"/>
      <c r="P12" s="468">
        <v>2</v>
      </c>
      <c r="Q12" s="469">
        <v>11</v>
      </c>
      <c r="R12" s="470"/>
      <c r="S12" s="470"/>
      <c r="T12" s="469"/>
      <c r="U12" s="469"/>
      <c r="V12" s="465">
        <f t="shared" ref="V12:W12" si="26">(N12+P12+R12+T12)</f>
        <v>2</v>
      </c>
      <c r="W12" s="465">
        <f t="shared" si="26"/>
        <v>11</v>
      </c>
      <c r="X12" s="465">
        <f t="shared" si="6"/>
        <v>13</v>
      </c>
      <c r="Y12" s="359"/>
      <c r="Z12" s="359" t="s">
        <v>381</v>
      </c>
      <c r="AA12" s="329" t="str">
        <f t="shared" ca="1" si="25"/>
        <v>D1-4</v>
      </c>
      <c r="AB12" s="329">
        <f t="shared" ca="1" si="8"/>
        <v>24</v>
      </c>
      <c r="AC12" s="329">
        <f t="shared" ca="1" si="9"/>
        <v>33</v>
      </c>
      <c r="AD12" s="329">
        <f t="shared" ca="1" si="10"/>
        <v>57</v>
      </c>
      <c r="AE12" s="236">
        <f t="shared" ca="1" si="11"/>
        <v>0.42105263157894735</v>
      </c>
      <c r="AF12" s="343">
        <f t="shared" ca="1" si="12"/>
        <v>-75.578947368421055</v>
      </c>
      <c r="AG12" s="432">
        <f t="shared" ca="1" si="13"/>
        <v>11</v>
      </c>
      <c r="AH12" s="361"/>
    </row>
    <row r="13" spans="1:34" ht="15" customHeight="1">
      <c r="A13" s="366" t="s">
        <v>1369</v>
      </c>
      <c r="B13" s="320" t="s">
        <v>398</v>
      </c>
      <c r="C13" s="109">
        <v>8</v>
      </c>
      <c r="D13" s="110">
        <v>11</v>
      </c>
      <c r="E13" s="111">
        <v>6</v>
      </c>
      <c r="F13" s="252">
        <f t="shared" si="0"/>
        <v>25</v>
      </c>
      <c r="G13" s="368">
        <f>C12+D11+E10</f>
        <v>28</v>
      </c>
      <c r="H13" s="368">
        <f t="shared" si="1"/>
        <v>53</v>
      </c>
      <c r="I13" s="369">
        <f t="shared" si="2"/>
        <v>0.47169811320754718</v>
      </c>
      <c r="J13" s="471">
        <f t="shared" ca="1" si="22"/>
        <v>3</v>
      </c>
      <c r="K13" s="430" t="str">
        <f t="shared" ca="1" si="4"/>
        <v>D3-3</v>
      </c>
      <c r="L13" s="500"/>
      <c r="M13" s="366"/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393</v>
      </c>
      <c r="AA13" s="337" t="str">
        <f t="shared" ca="1" si="25"/>
        <v>D2-3</v>
      </c>
      <c r="AB13" s="337">
        <f t="shared" ca="1" si="8"/>
        <v>23</v>
      </c>
      <c r="AC13" s="337">
        <f t="shared" ca="1" si="9"/>
        <v>33</v>
      </c>
      <c r="AD13" s="337">
        <f t="shared" ca="1" si="10"/>
        <v>56</v>
      </c>
      <c r="AE13" s="253">
        <f t="shared" ca="1" si="11"/>
        <v>0.4107142857142857</v>
      </c>
      <c r="AF13" s="401">
        <f t="shared" ca="1" si="12"/>
        <v>-76.589285714285708</v>
      </c>
      <c r="AG13" s="434">
        <f t="shared" ca="1" si="13"/>
        <v>12</v>
      </c>
      <c r="AH13" s="361"/>
    </row>
    <row r="14" spans="1:34" ht="15" customHeight="1">
      <c r="A14" s="357" t="s">
        <v>1371</v>
      </c>
      <c r="B14" s="318" t="s">
        <v>399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353">
        <f>C15+D16+E17</f>
        <v>14</v>
      </c>
      <c r="H14" s="353">
        <f t="shared" si="1"/>
        <v>47</v>
      </c>
      <c r="I14" s="354">
        <f t="shared" si="2"/>
        <v>0.7021276595744681</v>
      </c>
      <c r="J14" s="467">
        <f t="shared" ref="J14:J17" ca="1" si="28">IFERROR(RANK(F14,OFFSET($F$14,0,0,COUNTA($F$14:$F$17),1)),)</f>
        <v>1</v>
      </c>
      <c r="K14" s="419" t="str">
        <f t="shared" ca="1" si="4"/>
        <v>D4-1</v>
      </c>
      <c r="L14" s="501" t="s">
        <v>263</v>
      </c>
      <c r="M14" s="466" t="str">
        <f t="array" aca="1" ref="M14" ca="1">IFERROR(INDEX($A$2:$K$17,MATCH(L14,$K$2:$K$17,0),2),)</f>
        <v>Monty Miller &amp; Kevin O'Dwyer</v>
      </c>
      <c r="N14" s="483"/>
      <c r="O14" s="483"/>
      <c r="P14" s="468">
        <v>11</v>
      </c>
      <c r="Q14" s="469">
        <v>3</v>
      </c>
      <c r="R14" s="470">
        <v>3</v>
      </c>
      <c r="S14" s="470">
        <v>11</v>
      </c>
      <c r="T14" s="469"/>
      <c r="U14" s="469"/>
      <c r="V14" s="465">
        <f t="shared" ref="V14:W14" si="29">(N14+P14+R14+T14)</f>
        <v>14</v>
      </c>
      <c r="W14" s="465">
        <f t="shared" si="29"/>
        <v>14</v>
      </c>
      <c r="X14" s="465">
        <f t="shared" si="6"/>
        <v>28</v>
      </c>
      <c r="Y14" s="359"/>
      <c r="Z14" s="359" t="s">
        <v>402</v>
      </c>
      <c r="AA14" s="329" t="str">
        <f t="shared" ca="1" si="25"/>
        <v>D4-3</v>
      </c>
      <c r="AB14" s="329">
        <f t="shared" ca="1" si="8"/>
        <v>21</v>
      </c>
      <c r="AC14" s="329">
        <f t="shared" ca="1" si="9"/>
        <v>24</v>
      </c>
      <c r="AD14" s="329">
        <f t="shared" ca="1" si="10"/>
        <v>45</v>
      </c>
      <c r="AE14" s="360">
        <f t="shared" ca="1" si="11"/>
        <v>0.46666666666666667</v>
      </c>
      <c r="AF14" s="343">
        <f t="shared" ca="1" si="12"/>
        <v>-78.533333333333331</v>
      </c>
      <c r="AG14" s="428">
        <f t="shared" ca="1" si="13"/>
        <v>13</v>
      </c>
      <c r="AH14" s="361"/>
    </row>
    <row r="15" spans="1:34" ht="15" customHeight="1">
      <c r="A15" s="466" t="s">
        <v>1371</v>
      </c>
      <c r="B15" s="318" t="s">
        <v>385</v>
      </c>
      <c r="C15" s="105">
        <v>2</v>
      </c>
      <c r="D15" s="106">
        <v>11</v>
      </c>
      <c r="E15" s="106">
        <v>11</v>
      </c>
      <c r="F15" s="235">
        <f t="shared" si="0"/>
        <v>24</v>
      </c>
      <c r="G15" s="363">
        <f>C14+D17+E16</f>
        <v>22</v>
      </c>
      <c r="H15" s="363">
        <f t="shared" si="1"/>
        <v>46</v>
      </c>
      <c r="I15" s="360">
        <f t="shared" si="2"/>
        <v>0.52173913043478259</v>
      </c>
      <c r="J15" s="467">
        <f t="shared" ca="1" si="28"/>
        <v>2</v>
      </c>
      <c r="K15" s="425" t="str">
        <f t="shared" ca="1" si="4"/>
        <v>D4-2</v>
      </c>
      <c r="L15" s="500"/>
      <c r="M15" s="466"/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395</v>
      </c>
      <c r="AA15" s="329" t="str">
        <f t="shared" ca="1" si="25"/>
        <v>D3-4</v>
      </c>
      <c r="AB15" s="329">
        <f t="shared" ca="1" si="8"/>
        <v>16</v>
      </c>
      <c r="AC15" s="329">
        <f t="shared" ca="1" si="9"/>
        <v>33</v>
      </c>
      <c r="AD15" s="329">
        <f t="shared" ca="1" si="10"/>
        <v>49</v>
      </c>
      <c r="AE15" s="236">
        <f t="shared" ca="1" si="11"/>
        <v>0.32653061224489793</v>
      </c>
      <c r="AF15" s="341">
        <f t="shared" ca="1" si="12"/>
        <v>-83.673469387755105</v>
      </c>
      <c r="AG15" s="432">
        <f t="shared" ca="1" si="13"/>
        <v>14</v>
      </c>
      <c r="AH15" s="361"/>
    </row>
    <row r="16" spans="1:34" ht="15" customHeight="1">
      <c r="A16" s="466" t="s">
        <v>1371</v>
      </c>
      <c r="B16" s="318" t="s">
        <v>401</v>
      </c>
      <c r="C16" s="107">
        <v>2</v>
      </c>
      <c r="D16" s="108">
        <v>7</v>
      </c>
      <c r="E16" s="106">
        <v>6</v>
      </c>
      <c r="F16" s="235">
        <f t="shared" si="0"/>
        <v>15</v>
      </c>
      <c r="G16" s="363">
        <f>C17+D14+E15</f>
        <v>33</v>
      </c>
      <c r="H16" s="363">
        <f t="shared" si="1"/>
        <v>48</v>
      </c>
      <c r="I16" s="360">
        <f t="shared" si="2"/>
        <v>0.3125</v>
      </c>
      <c r="J16" s="467">
        <f t="shared" ca="1" si="28"/>
        <v>4</v>
      </c>
      <c r="K16" s="425" t="str">
        <f t="shared" ca="1" si="4"/>
        <v>D4-4</v>
      </c>
      <c r="L16" s="501" t="s">
        <v>207</v>
      </c>
      <c r="M16" s="466" t="s">
        <v>387</v>
      </c>
      <c r="N16" s="483"/>
      <c r="O16" s="483"/>
      <c r="P16" s="468">
        <v>3</v>
      </c>
      <c r="Q16" s="469">
        <v>11</v>
      </c>
      <c r="R16" s="470"/>
      <c r="S16" s="470"/>
      <c r="T16" s="469"/>
      <c r="U16" s="469"/>
      <c r="V16" s="465">
        <f t="shared" ref="V16:W16" si="31">(N16+P16+R16+T16)</f>
        <v>3</v>
      </c>
      <c r="W16" s="465">
        <f t="shared" si="31"/>
        <v>11</v>
      </c>
      <c r="X16" s="465">
        <f t="shared" si="6"/>
        <v>14</v>
      </c>
      <c r="Y16" s="359"/>
      <c r="Z16" s="359" t="s">
        <v>389</v>
      </c>
      <c r="AA16" s="329" t="str">
        <f t="shared" ca="1" si="25"/>
        <v>D2-4</v>
      </c>
      <c r="AB16" s="329">
        <f t="shared" ca="1" si="8"/>
        <v>15</v>
      </c>
      <c r="AC16" s="329">
        <f t="shared" ca="1" si="9"/>
        <v>32</v>
      </c>
      <c r="AD16" s="329">
        <f t="shared" ca="1" si="10"/>
        <v>47</v>
      </c>
      <c r="AE16" s="236">
        <f t="shared" ca="1" si="11"/>
        <v>0.31914893617021278</v>
      </c>
      <c r="AF16" s="341">
        <f t="shared" ca="1" si="12"/>
        <v>-84.680851063829792</v>
      </c>
      <c r="AG16" s="432">
        <f t="shared" ca="1" si="13"/>
        <v>15</v>
      </c>
      <c r="AH16" s="361"/>
    </row>
    <row r="17" spans="1:34" ht="15" customHeight="1">
      <c r="A17" s="366" t="s">
        <v>1371</v>
      </c>
      <c r="B17" s="320" t="s">
        <v>402</v>
      </c>
      <c r="C17" s="109">
        <v>11</v>
      </c>
      <c r="D17" s="110">
        <v>5</v>
      </c>
      <c r="E17" s="111">
        <v>5</v>
      </c>
      <c r="F17" s="252">
        <f t="shared" si="0"/>
        <v>21</v>
      </c>
      <c r="G17" s="368">
        <f>C16+D15+E14</f>
        <v>24</v>
      </c>
      <c r="H17" s="368">
        <f t="shared" si="1"/>
        <v>45</v>
      </c>
      <c r="I17" s="369">
        <f t="shared" si="2"/>
        <v>0.46666666666666667</v>
      </c>
      <c r="J17" s="471">
        <f t="shared" ca="1" si="28"/>
        <v>3</v>
      </c>
      <c r="K17" s="430" t="str">
        <f t="shared" ca="1" si="4"/>
        <v>D4-3</v>
      </c>
      <c r="L17" s="500"/>
      <c r="M17" s="366"/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401</v>
      </c>
      <c r="AA17" s="337" t="str">
        <f t="shared" ca="1" si="25"/>
        <v>D4-4</v>
      </c>
      <c r="AB17" s="337">
        <f t="shared" ca="1" si="8"/>
        <v>15</v>
      </c>
      <c r="AC17" s="337">
        <f t="shared" ca="1" si="9"/>
        <v>33</v>
      </c>
      <c r="AD17" s="337">
        <f t="shared" ca="1" si="10"/>
        <v>48</v>
      </c>
      <c r="AE17" s="253">
        <f t="shared" ca="1" si="11"/>
        <v>0.3125</v>
      </c>
      <c r="AF17" s="338">
        <f t="shared" ca="1" si="12"/>
        <v>-84.6875</v>
      </c>
      <c r="AG17" s="434">
        <f t="shared" ca="1" si="13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132</v>
      </c>
      <c r="D19" s="388">
        <f t="shared" si="33"/>
        <v>139</v>
      </c>
      <c r="E19" s="388">
        <f>SUM(E2:E18)</f>
        <v>139</v>
      </c>
      <c r="F19" s="389">
        <f t="shared" ref="F19:G19" si="34">SUM(F2:F17)</f>
        <v>410</v>
      </c>
      <c r="G19" s="389">
        <f t="shared" si="34"/>
        <v>410</v>
      </c>
      <c r="H19" s="390">
        <f>SUM(H2:H17)/2</f>
        <v>410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66</v>
      </c>
      <c r="Q19" s="385">
        <f t="shared" si="35"/>
        <v>66</v>
      </c>
      <c r="R19" s="385">
        <f t="shared" si="35"/>
        <v>33</v>
      </c>
      <c r="S19" s="385">
        <f t="shared" si="35"/>
        <v>33</v>
      </c>
      <c r="T19" s="385">
        <f t="shared" si="35"/>
        <v>16</v>
      </c>
      <c r="U19" s="385">
        <f t="shared" si="35"/>
        <v>16</v>
      </c>
      <c r="V19" s="385">
        <f t="shared" si="35"/>
        <v>115</v>
      </c>
      <c r="W19" s="385">
        <f t="shared" si="35"/>
        <v>115</v>
      </c>
      <c r="X19" s="385">
        <f>SUM(X2:X17)/2</f>
        <v>115</v>
      </c>
      <c r="Y19" s="385"/>
      <c r="Z19" s="385"/>
      <c r="AA19" s="385"/>
      <c r="AB19" s="385">
        <f t="shared" ref="AB19:AD19" ca="1" si="36">SUM(AB2:AB17)/2</f>
        <v>262.5</v>
      </c>
      <c r="AC19" s="385">
        <f t="shared" ca="1" si="36"/>
        <v>262.5</v>
      </c>
      <c r="AD19" s="385">
        <f t="shared" ca="1" si="36"/>
        <v>525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1</v>
      </c>
      <c r="E20" s="393">
        <f t="shared" si="37"/>
        <v>1</v>
      </c>
      <c r="F20" s="386"/>
      <c r="G20" s="386"/>
      <c r="H20" s="394">
        <f>AVERAGE(H2:H17)</f>
        <v>51.25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65.625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" priority="1" operator="equal">
      <formula>33</formula>
    </cfRule>
  </conditionalFormatting>
  <hyperlinks>
    <hyperlink ref="A1" location="Champions!A1" display="Home" xr:uid="{00000000-0004-0000-2300-000000000000}"/>
    <hyperlink ref="AH1" location="Champions!A1" display="Home" xr:uid="{00000000-0004-0000-2300-000001000000}"/>
    <hyperlink ref="A19" location="Champions!A1" display="Home" xr:uid="{00000000-0004-0000-2300-000002000000}"/>
    <hyperlink ref="K19" location="Champions!A1" display="Home" xr:uid="{00000000-0004-0000-2300-000003000000}"/>
  </hyperlinks>
  <pageMargins left="0.7" right="0.7" top="0.75" bottom="0.75" header="0" footer="0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8.4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0.81640625" customWidth="1"/>
    <col min="13" max="13" width="28" customWidth="1"/>
    <col min="14" max="21" width="6.26953125" customWidth="1"/>
    <col min="22" max="24" width="7.7265625" customWidth="1"/>
    <col min="25" max="25" width="6.81640625" customWidth="1"/>
    <col min="26" max="26" width="28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90" t="s">
        <v>186</v>
      </c>
      <c r="Q1" s="490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359</v>
      </c>
      <c r="C2" s="148">
        <v>5</v>
      </c>
      <c r="D2" s="165">
        <v>8</v>
      </c>
      <c r="E2" s="165">
        <v>6</v>
      </c>
      <c r="F2" s="213">
        <f t="shared" ref="F2:F17" si="0">SUM(C2:E2)</f>
        <v>19</v>
      </c>
      <c r="G2" s="353">
        <f>C3+D4+E5</f>
        <v>33</v>
      </c>
      <c r="H2" s="353">
        <f t="shared" ref="H2:H17" si="1">SUM(F2:G2)</f>
        <v>52</v>
      </c>
      <c r="I2" s="354">
        <f t="shared" ref="I2:I17" si="2">IFERROR(F2/H2,"")</f>
        <v>0.36538461538461536</v>
      </c>
      <c r="J2" s="467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01" t="s">
        <v>207</v>
      </c>
      <c r="M2" s="357" t="str">
        <f t="array" aca="1" ref="M2" ca="1">IFERROR(INDEX($A$2:$K$17,MATCH(L2,$K$2:$K$17,0),2),)</f>
        <v>Witold Rzepnicki &amp; Tom Wolfe</v>
      </c>
      <c r="N2" s="482"/>
      <c r="O2" s="482"/>
      <c r="P2" s="462">
        <v>11</v>
      </c>
      <c r="Q2" s="463">
        <v>6</v>
      </c>
      <c r="R2" s="464">
        <v>11</v>
      </c>
      <c r="S2" s="464">
        <v>8</v>
      </c>
      <c r="T2" s="463">
        <v>10</v>
      </c>
      <c r="U2" s="463">
        <v>13</v>
      </c>
      <c r="V2" s="465">
        <f t="shared" ref="V2:W2" si="5">(N2+P2+R2+T2)</f>
        <v>32</v>
      </c>
      <c r="W2" s="465">
        <f t="shared" si="5"/>
        <v>27</v>
      </c>
      <c r="X2" s="465">
        <f t="shared" ref="X2:X17" si="6">V2+W2</f>
        <v>59</v>
      </c>
      <c r="Y2" s="359"/>
      <c r="Z2" s="359" t="s">
        <v>51</v>
      </c>
      <c r="AA2" s="329" t="str">
        <f t="shared" ref="AA2:AA10" ca="1" si="7">IFERROR(INDEX($A$2:$K$17,MATCH(Z2,$B$2:$B$17,0),11),)</f>
        <v>D3-1</v>
      </c>
      <c r="AB2" s="329">
        <f t="shared" ref="AB2:AB17" ca="1" si="8">IFERROR((INDEX($A$2:$H$17,MATCH($Z2,$B$2:$B$17,0),6))+INDEX($M$2:$X$17,MATCH($Z2,$M$2:$M$17,0),10),INDEX($B$2:$G$17,MATCH($Z2,$B$2:$B$17,0),5))</f>
        <v>68</v>
      </c>
      <c r="AC2" s="329">
        <f t="shared" ref="AC2:AC17" ca="1" si="9">IFERROR((INDEX($A$2:$H$17,MATCH($Z2,$B$2:$B$17,0),7))+INDEX($M$2:$X$17,MATCH($Z2,$M$2:$M$17,0),11),INDEX($B$2:$G$17,MATCH($Z2,$B$2:$B$17,0),6))</f>
        <v>37</v>
      </c>
      <c r="AD2" s="329">
        <f t="shared" ref="AD2:AD17" ca="1" si="10">SUM(AB2:AC2)</f>
        <v>105</v>
      </c>
      <c r="AE2" s="236">
        <f t="shared" ref="AE2:AE17" ca="1" si="11">AB2/AD2</f>
        <v>0.64761904761904765</v>
      </c>
      <c r="AF2" s="400">
        <f t="shared" ref="AF2:AF17" ca="1" si="12">AE2-(100-AB2)</f>
        <v>-31.352380952380951</v>
      </c>
      <c r="AG2" s="432">
        <f t="shared" ref="AG2:AG17" ca="1" si="13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361</v>
      </c>
      <c r="C3" s="105">
        <v>11</v>
      </c>
      <c r="D3" s="106">
        <v>6</v>
      </c>
      <c r="E3" s="106">
        <v>11</v>
      </c>
      <c r="F3" s="235">
        <f t="shared" si="0"/>
        <v>28</v>
      </c>
      <c r="G3" s="363">
        <f>C2+D5+E4</f>
        <v>22</v>
      </c>
      <c r="H3" s="363">
        <f t="shared" si="1"/>
        <v>50</v>
      </c>
      <c r="I3" s="360">
        <f t="shared" si="2"/>
        <v>0.56000000000000005</v>
      </c>
      <c r="J3" s="467">
        <f t="shared" ca="1" si="3"/>
        <v>2</v>
      </c>
      <c r="K3" s="425" t="str">
        <f t="shared" ca="1" si="4"/>
        <v>D1-2</v>
      </c>
      <c r="L3" s="500"/>
      <c r="M3" s="466"/>
      <c r="N3" s="483"/>
      <c r="O3" s="483"/>
      <c r="P3" s="468"/>
      <c r="Q3" s="469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52</v>
      </c>
      <c r="AA3" s="329" t="str">
        <f t="shared" ca="1" si="7"/>
        <v>D1-1</v>
      </c>
      <c r="AB3" s="329">
        <f t="shared" ca="1" si="8"/>
        <v>65</v>
      </c>
      <c r="AC3" s="329">
        <f t="shared" ca="1" si="9"/>
        <v>45</v>
      </c>
      <c r="AD3" s="329">
        <f t="shared" ca="1" si="10"/>
        <v>110</v>
      </c>
      <c r="AE3" s="236">
        <f t="shared" ca="1" si="11"/>
        <v>0.59090909090909094</v>
      </c>
      <c r="AF3" s="341">
        <f t="shared" ca="1" si="12"/>
        <v>-34.409090909090907</v>
      </c>
      <c r="AG3" s="432">
        <f t="shared" ca="1" si="13"/>
        <v>2</v>
      </c>
      <c r="AH3" s="361"/>
    </row>
    <row r="4" spans="1:34" ht="15" customHeight="1">
      <c r="A4" s="466" t="s">
        <v>1367</v>
      </c>
      <c r="B4" s="318" t="s">
        <v>362</v>
      </c>
      <c r="C4" s="107">
        <v>6</v>
      </c>
      <c r="D4" s="108">
        <v>11</v>
      </c>
      <c r="E4" s="106">
        <v>6</v>
      </c>
      <c r="F4" s="235">
        <f t="shared" si="0"/>
        <v>23</v>
      </c>
      <c r="G4" s="363">
        <f>C5+D2+E3</f>
        <v>30</v>
      </c>
      <c r="H4" s="363">
        <f t="shared" si="1"/>
        <v>53</v>
      </c>
      <c r="I4" s="360">
        <f t="shared" si="2"/>
        <v>0.43396226415094341</v>
      </c>
      <c r="J4" s="467">
        <f t="shared" ca="1" si="3"/>
        <v>3</v>
      </c>
      <c r="K4" s="425" t="str">
        <f t="shared" ca="1" si="4"/>
        <v>D1-3</v>
      </c>
      <c r="L4" s="501" t="s">
        <v>265</v>
      </c>
      <c r="M4" s="466" t="str">
        <f t="array" aca="1" ref="M4" ca="1">IFERROR(INDEX($A$2:$K$17,MATCH(L4,$K$2:$K$17,0),2),)</f>
        <v>Rod Muff &amp; Danny Ng</v>
      </c>
      <c r="N4" s="483"/>
      <c r="O4" s="483"/>
      <c r="P4" s="468">
        <v>6</v>
      </c>
      <c r="Q4" s="469">
        <v>11</v>
      </c>
      <c r="R4" s="470"/>
      <c r="S4" s="470"/>
      <c r="T4" s="469"/>
      <c r="U4" s="469"/>
      <c r="V4" s="465">
        <f t="shared" ref="V4:W4" si="15">(N4+P4+R4+T4)</f>
        <v>6</v>
      </c>
      <c r="W4" s="465">
        <f t="shared" si="15"/>
        <v>11</v>
      </c>
      <c r="X4" s="465">
        <f t="shared" si="6"/>
        <v>17</v>
      </c>
      <c r="Y4" s="359"/>
      <c r="Z4" s="359" t="s">
        <v>378</v>
      </c>
      <c r="AA4" s="329" t="str">
        <f t="shared" ca="1" si="7"/>
        <v>D4-1</v>
      </c>
      <c r="AB4" s="329">
        <f t="shared" ca="1" si="8"/>
        <v>49</v>
      </c>
      <c r="AC4" s="329">
        <f t="shared" ca="1" si="9"/>
        <v>42</v>
      </c>
      <c r="AD4" s="329">
        <f t="shared" ca="1" si="10"/>
        <v>91</v>
      </c>
      <c r="AE4" s="360">
        <f t="shared" ca="1" si="11"/>
        <v>0.53846153846153844</v>
      </c>
      <c r="AF4" s="341">
        <f t="shared" ca="1" si="12"/>
        <v>-50.46153846153846</v>
      </c>
      <c r="AG4" s="428">
        <f t="shared" ca="1" si="13"/>
        <v>3</v>
      </c>
      <c r="AH4" s="361"/>
    </row>
    <row r="5" spans="1:34" ht="15" customHeight="1">
      <c r="A5" s="366" t="s">
        <v>1367</v>
      </c>
      <c r="B5" s="320" t="s">
        <v>52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368">
        <f>C4+D3+E2</f>
        <v>18</v>
      </c>
      <c r="H5" s="368">
        <f t="shared" si="1"/>
        <v>51</v>
      </c>
      <c r="I5" s="369">
        <f t="shared" si="2"/>
        <v>0.6470588235294118</v>
      </c>
      <c r="J5" s="471">
        <f t="shared" ca="1" si="3"/>
        <v>1</v>
      </c>
      <c r="K5" s="430" t="str">
        <f t="shared" ca="1" si="4"/>
        <v>D1-1</v>
      </c>
      <c r="L5" s="500"/>
      <c r="M5" s="366"/>
      <c r="N5" s="484"/>
      <c r="O5" s="484"/>
      <c r="P5" s="472"/>
      <c r="Q5" s="473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366</v>
      </c>
      <c r="AA5" s="337" t="str">
        <f t="shared" ca="1" si="7"/>
        <v>D2-1</v>
      </c>
      <c r="AB5" s="337">
        <f t="shared" ca="1" si="8"/>
        <v>48</v>
      </c>
      <c r="AC5" s="337">
        <f t="shared" ca="1" si="9"/>
        <v>40</v>
      </c>
      <c r="AD5" s="337">
        <f t="shared" ca="1" si="10"/>
        <v>88</v>
      </c>
      <c r="AE5" s="253">
        <f t="shared" ca="1" si="11"/>
        <v>0.54545454545454541</v>
      </c>
      <c r="AF5" s="338">
        <f t="shared" ca="1" si="12"/>
        <v>-51.454545454545453</v>
      </c>
      <c r="AG5" s="434">
        <f t="shared" ca="1" si="13"/>
        <v>4</v>
      </c>
      <c r="AH5" s="361"/>
    </row>
    <row r="6" spans="1:34" ht="15" customHeight="1">
      <c r="A6" s="357" t="s">
        <v>1368</v>
      </c>
      <c r="B6" s="318" t="s">
        <v>365</v>
      </c>
      <c r="C6" s="148">
        <v>5</v>
      </c>
      <c r="D6" s="165">
        <v>5</v>
      </c>
      <c r="E6" s="165">
        <v>11</v>
      </c>
      <c r="F6" s="213">
        <f t="shared" si="0"/>
        <v>21</v>
      </c>
      <c r="G6" s="353">
        <f>C7+D8+E9</f>
        <v>30</v>
      </c>
      <c r="H6" s="353">
        <f t="shared" si="1"/>
        <v>51</v>
      </c>
      <c r="I6" s="354">
        <f t="shared" si="2"/>
        <v>0.41176470588235292</v>
      </c>
      <c r="J6" s="467">
        <v>4</v>
      </c>
      <c r="K6" s="419" t="str">
        <f t="shared" si="4"/>
        <v>D2-4</v>
      </c>
      <c r="L6" s="501" t="s">
        <v>225</v>
      </c>
      <c r="M6" s="466" t="str">
        <f t="array" aca="1" ref="M6" ca="1">IFERROR(INDEX($A$2:$K$17,MATCH(L6,$K$2:$K$17,0),2),)</f>
        <v>Yash Ramoo &amp; Anant Puri</v>
      </c>
      <c r="N6" s="483"/>
      <c r="O6" s="483"/>
      <c r="P6" s="468">
        <v>11</v>
      </c>
      <c r="Q6" s="469">
        <v>8</v>
      </c>
      <c r="R6" s="470">
        <v>8</v>
      </c>
      <c r="S6" s="470">
        <v>11</v>
      </c>
      <c r="T6" s="469"/>
      <c r="U6" s="469"/>
      <c r="V6" s="476">
        <f t="shared" ref="V6:W6" si="17">(N6+P6+R6+T6)</f>
        <v>19</v>
      </c>
      <c r="W6" s="476">
        <f t="shared" si="17"/>
        <v>19</v>
      </c>
      <c r="X6" s="476">
        <f t="shared" si="6"/>
        <v>38</v>
      </c>
      <c r="Y6" s="374"/>
      <c r="Z6" s="374" t="s">
        <v>361</v>
      </c>
      <c r="AA6" s="340" t="str">
        <f t="shared" ca="1" si="7"/>
        <v>D1-2</v>
      </c>
      <c r="AB6" s="340">
        <f t="shared" ca="1" si="8"/>
        <v>37</v>
      </c>
      <c r="AC6" s="340">
        <f t="shared" ca="1" si="9"/>
        <v>33</v>
      </c>
      <c r="AD6" s="340">
        <f t="shared" ca="1" si="10"/>
        <v>70</v>
      </c>
      <c r="AE6" s="214">
        <f t="shared" ca="1" si="11"/>
        <v>0.52857142857142858</v>
      </c>
      <c r="AF6" s="333">
        <f t="shared" ca="1" si="12"/>
        <v>-62.471428571428568</v>
      </c>
      <c r="AG6" s="432">
        <f t="shared" ca="1" si="13"/>
        <v>5</v>
      </c>
      <c r="AH6" s="361"/>
    </row>
    <row r="7" spans="1:34" ht="15" customHeight="1">
      <c r="A7" s="466" t="s">
        <v>1368</v>
      </c>
      <c r="B7" s="318" t="s">
        <v>367</v>
      </c>
      <c r="C7" s="105">
        <v>11</v>
      </c>
      <c r="D7" s="106">
        <v>11</v>
      </c>
      <c r="E7" s="106">
        <v>5</v>
      </c>
      <c r="F7" s="235">
        <f t="shared" si="0"/>
        <v>27</v>
      </c>
      <c r="G7" s="363">
        <f>C6+D9+E8</f>
        <v>18</v>
      </c>
      <c r="H7" s="363">
        <f t="shared" si="1"/>
        <v>45</v>
      </c>
      <c r="I7" s="360">
        <f t="shared" si="2"/>
        <v>0.6</v>
      </c>
      <c r="J7" s="467">
        <f t="shared" ref="J7:J9" ca="1" si="18">IFERROR(RANK(F7,OFFSET($F$6,0,0,COUNTA($F$6:$F$9),1)),)</f>
        <v>2</v>
      </c>
      <c r="K7" s="425" t="str">
        <f t="shared" ca="1" si="4"/>
        <v>D2-2</v>
      </c>
      <c r="L7" s="500"/>
      <c r="M7" s="466"/>
      <c r="N7" s="483"/>
      <c r="O7" s="483"/>
      <c r="P7" s="468"/>
      <c r="Q7" s="469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363</v>
      </c>
      <c r="AA7" s="329" t="str">
        <f t="shared" ca="1" si="7"/>
        <v>D4-2</v>
      </c>
      <c r="AB7" s="329">
        <f t="shared" ca="1" si="8"/>
        <v>37</v>
      </c>
      <c r="AC7" s="329">
        <f t="shared" ca="1" si="9"/>
        <v>34</v>
      </c>
      <c r="AD7" s="329">
        <f t="shared" ca="1" si="10"/>
        <v>71</v>
      </c>
      <c r="AE7" s="236">
        <f t="shared" ca="1" si="11"/>
        <v>0.52112676056338025</v>
      </c>
      <c r="AF7" s="341">
        <f t="shared" ca="1" si="12"/>
        <v>-62.478873239436616</v>
      </c>
      <c r="AG7" s="432">
        <f t="shared" ca="1" si="13"/>
        <v>6</v>
      </c>
      <c r="AH7" s="361"/>
    </row>
    <row r="8" spans="1:34" ht="15" customHeight="1">
      <c r="A8" s="466" t="s">
        <v>1368</v>
      </c>
      <c r="B8" s="318" t="s">
        <v>366</v>
      </c>
      <c r="C8" s="107">
        <v>7</v>
      </c>
      <c r="D8" s="108">
        <v>11</v>
      </c>
      <c r="E8" s="106">
        <v>11</v>
      </c>
      <c r="F8" s="235">
        <f t="shared" si="0"/>
        <v>29</v>
      </c>
      <c r="G8" s="363">
        <f>C9+D6+E7</f>
        <v>21</v>
      </c>
      <c r="H8" s="363">
        <f t="shared" si="1"/>
        <v>50</v>
      </c>
      <c r="I8" s="360">
        <f t="shared" si="2"/>
        <v>0.57999999999999996</v>
      </c>
      <c r="J8" s="467">
        <f t="shared" ca="1" si="18"/>
        <v>1</v>
      </c>
      <c r="K8" s="425" t="str">
        <f t="shared" ca="1" si="4"/>
        <v>D2-1</v>
      </c>
      <c r="L8" s="501" t="s">
        <v>253</v>
      </c>
      <c r="M8" s="466" t="str">
        <f t="array" aca="1" ref="M8" ca="1">IFERROR(INDEX($A$2:$K$17,MATCH(L8,$K$2:$K$17,0),2),)</f>
        <v>Monty Miller &amp; Allen Meyer</v>
      </c>
      <c r="N8" s="483"/>
      <c r="O8" s="483"/>
      <c r="P8" s="468">
        <v>8</v>
      </c>
      <c r="Q8" s="469">
        <v>11</v>
      </c>
      <c r="R8" s="470"/>
      <c r="S8" s="470"/>
      <c r="T8" s="469"/>
      <c r="U8" s="469"/>
      <c r="V8" s="465">
        <f t="shared" ref="V8:W8" si="20">(N8+P8+R8+T8)</f>
        <v>8</v>
      </c>
      <c r="W8" s="465">
        <f t="shared" si="20"/>
        <v>11</v>
      </c>
      <c r="X8" s="465">
        <f t="shared" si="6"/>
        <v>19</v>
      </c>
      <c r="Y8" s="359"/>
      <c r="Z8" s="359" t="s">
        <v>367</v>
      </c>
      <c r="AA8" s="329" t="str">
        <f t="shared" ca="1" si="7"/>
        <v>D2-2</v>
      </c>
      <c r="AB8" s="329">
        <f t="shared" ca="1" si="8"/>
        <v>36</v>
      </c>
      <c r="AC8" s="329">
        <f t="shared" ca="1" si="9"/>
        <v>29</v>
      </c>
      <c r="AD8" s="329">
        <f t="shared" ca="1" si="10"/>
        <v>65</v>
      </c>
      <c r="AE8" s="236">
        <f t="shared" ca="1" si="11"/>
        <v>0.55384615384615388</v>
      </c>
      <c r="AF8" s="341">
        <f t="shared" ca="1" si="12"/>
        <v>-63.446153846153848</v>
      </c>
      <c r="AG8" s="432">
        <f t="shared" ca="1" si="13"/>
        <v>7</v>
      </c>
      <c r="AH8" s="361"/>
    </row>
    <row r="9" spans="1:34" ht="15" customHeight="1">
      <c r="A9" s="366" t="s">
        <v>1368</v>
      </c>
      <c r="B9" s="320" t="s">
        <v>371</v>
      </c>
      <c r="C9" s="109">
        <v>11</v>
      </c>
      <c r="D9" s="110">
        <v>2</v>
      </c>
      <c r="E9" s="111">
        <v>8</v>
      </c>
      <c r="F9" s="252">
        <f t="shared" si="0"/>
        <v>21</v>
      </c>
      <c r="G9" s="368">
        <f>C8+D7+E6</f>
        <v>29</v>
      </c>
      <c r="H9" s="368">
        <f t="shared" si="1"/>
        <v>50</v>
      </c>
      <c r="I9" s="369">
        <f t="shared" si="2"/>
        <v>0.42</v>
      </c>
      <c r="J9" s="471">
        <f t="shared" ca="1" si="18"/>
        <v>3</v>
      </c>
      <c r="K9" s="430" t="str">
        <f t="shared" ca="1" si="4"/>
        <v>D2-3</v>
      </c>
      <c r="L9" s="500"/>
      <c r="M9" s="366"/>
      <c r="N9" s="484"/>
      <c r="O9" s="484"/>
      <c r="P9" s="472"/>
      <c r="Q9" s="473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368</v>
      </c>
      <c r="AA9" s="337" t="str">
        <f t="shared" ca="1" si="7"/>
        <v>D3-2</v>
      </c>
      <c r="AB9" s="337">
        <f t="shared" ca="1" si="8"/>
        <v>34</v>
      </c>
      <c r="AC9" s="337">
        <f t="shared" ca="1" si="9"/>
        <v>36</v>
      </c>
      <c r="AD9" s="337">
        <f t="shared" ca="1" si="10"/>
        <v>70</v>
      </c>
      <c r="AE9" s="253">
        <f t="shared" ca="1" si="11"/>
        <v>0.48571428571428571</v>
      </c>
      <c r="AF9" s="338">
        <f t="shared" ca="1" si="12"/>
        <v>-65.51428571428572</v>
      </c>
      <c r="AG9" s="434">
        <f t="shared" ca="1" si="13"/>
        <v>8</v>
      </c>
      <c r="AH9" s="361"/>
    </row>
    <row r="10" spans="1:34" ht="15" customHeight="1">
      <c r="A10" s="357" t="s">
        <v>1369</v>
      </c>
      <c r="B10" s="318" t="s">
        <v>373</v>
      </c>
      <c r="C10" s="148">
        <v>8</v>
      </c>
      <c r="D10" s="165">
        <v>5</v>
      </c>
      <c r="E10" s="165">
        <v>4</v>
      </c>
      <c r="F10" s="213">
        <f t="shared" si="0"/>
        <v>17</v>
      </c>
      <c r="G10" s="353">
        <f>C11+D12+E13</f>
        <v>33</v>
      </c>
      <c r="H10" s="353">
        <f t="shared" si="1"/>
        <v>50</v>
      </c>
      <c r="I10" s="354">
        <f t="shared" si="2"/>
        <v>0.34</v>
      </c>
      <c r="J10" s="467">
        <f t="shared" ref="J10:J13" ca="1" si="22">IFERROR(RANK(F10,OFFSET($F$10,0,0,COUNTA($F$10:$F$13),1)),)</f>
        <v>4</v>
      </c>
      <c r="K10" s="419" t="str">
        <f t="shared" ca="1" si="4"/>
        <v>D3-4</v>
      </c>
      <c r="L10" s="501" t="s">
        <v>243</v>
      </c>
      <c r="M10" s="466" t="str">
        <f t="array" aca="1" ref="M10" ca="1">IFERROR(INDEX($A$2:$K$17,MATCH(L10,$K$2:$K$17,0),2),)</f>
        <v>Craig Donnelly &amp; Matt Don</v>
      </c>
      <c r="N10" s="483"/>
      <c r="O10" s="483"/>
      <c r="P10" s="468">
        <v>11</v>
      </c>
      <c r="Q10" s="469">
        <v>9</v>
      </c>
      <c r="R10" s="470">
        <v>11</v>
      </c>
      <c r="S10" s="470">
        <v>5</v>
      </c>
      <c r="T10" s="469">
        <v>13</v>
      </c>
      <c r="U10" s="469">
        <v>10</v>
      </c>
      <c r="V10" s="465">
        <f t="shared" ref="V10:W10" si="23">(N10+P10+R10+T10)</f>
        <v>35</v>
      </c>
      <c r="W10" s="465">
        <f t="shared" si="23"/>
        <v>24</v>
      </c>
      <c r="X10" s="465">
        <f t="shared" si="6"/>
        <v>59</v>
      </c>
      <c r="Y10" s="359"/>
      <c r="Z10" s="359" t="s">
        <v>379</v>
      </c>
      <c r="AA10" s="329" t="str">
        <f t="shared" ca="1" si="7"/>
        <v>D4-3</v>
      </c>
      <c r="AB10" s="329">
        <f t="shared" ca="1" si="8"/>
        <v>26</v>
      </c>
      <c r="AC10" s="329">
        <f t="shared" ca="1" si="9"/>
        <v>25</v>
      </c>
      <c r="AD10" s="329">
        <f t="shared" ca="1" si="10"/>
        <v>51</v>
      </c>
      <c r="AE10" s="236">
        <f t="shared" ca="1" si="11"/>
        <v>0.50980392156862742</v>
      </c>
      <c r="AF10" s="341">
        <f t="shared" ca="1" si="12"/>
        <v>-73.490196078431367</v>
      </c>
      <c r="AG10" s="432">
        <f t="shared" ca="1" si="13"/>
        <v>9</v>
      </c>
      <c r="AH10" s="361"/>
    </row>
    <row r="11" spans="1:34" ht="15" customHeight="1">
      <c r="A11" s="466" t="s">
        <v>1369</v>
      </c>
      <c r="B11" s="318" t="s">
        <v>368</v>
      </c>
      <c r="C11" s="105">
        <v>11</v>
      </c>
      <c r="D11" s="106">
        <v>4</v>
      </c>
      <c r="E11" s="106">
        <v>11</v>
      </c>
      <c r="F11" s="235">
        <f t="shared" si="0"/>
        <v>26</v>
      </c>
      <c r="G11" s="363">
        <f>C10+D13+E12</f>
        <v>25</v>
      </c>
      <c r="H11" s="363">
        <f t="shared" si="1"/>
        <v>51</v>
      </c>
      <c r="I11" s="360">
        <f t="shared" si="2"/>
        <v>0.50980392156862742</v>
      </c>
      <c r="J11" s="467">
        <f t="shared" ca="1" si="22"/>
        <v>2</v>
      </c>
      <c r="K11" s="425" t="str">
        <f t="shared" ca="1" si="4"/>
        <v>D3-2</v>
      </c>
      <c r="L11" s="500"/>
      <c r="M11" s="466"/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362</v>
      </c>
      <c r="AA11" s="329" t="str">
        <f t="array" aca="1" ref="AA11" ca="1">INDEX($A$2:$K$17,MATCH(Z11,$B$2:$B$17,0),11)</f>
        <v>D1-3</v>
      </c>
      <c r="AB11" s="329">
        <f t="shared" ca="1" si="8"/>
        <v>23</v>
      </c>
      <c r="AC11" s="329">
        <f t="shared" ca="1" si="9"/>
        <v>30</v>
      </c>
      <c r="AD11" s="329">
        <f t="shared" ca="1" si="10"/>
        <v>53</v>
      </c>
      <c r="AE11" s="236">
        <f t="shared" ca="1" si="11"/>
        <v>0.43396226415094341</v>
      </c>
      <c r="AF11" s="341">
        <f t="shared" ca="1" si="12"/>
        <v>-76.566037735849051</v>
      </c>
      <c r="AG11" s="432">
        <f t="shared" ca="1" si="13"/>
        <v>10</v>
      </c>
      <c r="AH11" s="361"/>
    </row>
    <row r="12" spans="1:34" ht="15" customHeight="1">
      <c r="A12" s="466" t="s">
        <v>1369</v>
      </c>
      <c r="B12" s="318" t="s">
        <v>374</v>
      </c>
      <c r="C12" s="107">
        <v>5</v>
      </c>
      <c r="D12" s="108">
        <v>11</v>
      </c>
      <c r="E12" s="106">
        <v>6</v>
      </c>
      <c r="F12" s="235">
        <f t="shared" si="0"/>
        <v>22</v>
      </c>
      <c r="G12" s="363">
        <f>C13+D10+E11</f>
        <v>27</v>
      </c>
      <c r="H12" s="363">
        <f t="shared" si="1"/>
        <v>49</v>
      </c>
      <c r="I12" s="360">
        <f t="shared" si="2"/>
        <v>0.44897959183673469</v>
      </c>
      <c r="J12" s="467">
        <f t="shared" ca="1" si="22"/>
        <v>3</v>
      </c>
      <c r="K12" s="425" t="str">
        <f t="shared" ca="1" si="4"/>
        <v>D3-3</v>
      </c>
      <c r="L12" s="501" t="s">
        <v>230</v>
      </c>
      <c r="M12" s="466" t="str">
        <f t="array" aca="1" ref="M12" ca="1">IFERROR(INDEX($A$2:$K$17,MATCH(L12,$K$2:$K$17,0),2),)</f>
        <v>Scott Siemers &amp; Barry Vonada</v>
      </c>
      <c r="N12" s="483"/>
      <c r="O12" s="483"/>
      <c r="P12" s="468">
        <v>9</v>
      </c>
      <c r="Q12" s="469">
        <v>11</v>
      </c>
      <c r="R12" s="470"/>
      <c r="S12" s="470"/>
      <c r="T12" s="469"/>
      <c r="U12" s="469"/>
      <c r="V12" s="465">
        <f t="shared" ref="V12:W12" si="25">(N12+P12+R12+T12)</f>
        <v>9</v>
      </c>
      <c r="W12" s="465">
        <f t="shared" si="25"/>
        <v>11</v>
      </c>
      <c r="X12" s="465">
        <f t="shared" si="6"/>
        <v>20</v>
      </c>
      <c r="Y12" s="359"/>
      <c r="Z12" s="359" t="s">
        <v>374</v>
      </c>
      <c r="AA12" s="329" t="str">
        <f t="shared" ref="AA12:AA17" ca="1" si="26">IFERROR(INDEX($A$2:$K$17,MATCH(Z12,$B$2:$B$17,0),11),)</f>
        <v>D3-3</v>
      </c>
      <c r="AB12" s="329">
        <f t="shared" ca="1" si="8"/>
        <v>22</v>
      </c>
      <c r="AC12" s="329">
        <f t="shared" ca="1" si="9"/>
        <v>27</v>
      </c>
      <c r="AD12" s="329">
        <f t="shared" ca="1" si="10"/>
        <v>49</v>
      </c>
      <c r="AE12" s="236">
        <f t="shared" ca="1" si="11"/>
        <v>0.44897959183673469</v>
      </c>
      <c r="AF12" s="343">
        <f t="shared" ca="1" si="12"/>
        <v>-77.551020408163268</v>
      </c>
      <c r="AG12" s="432">
        <f t="shared" ca="1" si="13"/>
        <v>11</v>
      </c>
      <c r="AH12" s="361"/>
    </row>
    <row r="13" spans="1:34" ht="15" customHeight="1">
      <c r="A13" s="366" t="s">
        <v>1369</v>
      </c>
      <c r="B13" s="320" t="s">
        <v>51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368">
        <f>C12+D11+E10</f>
        <v>13</v>
      </c>
      <c r="H13" s="368">
        <f t="shared" si="1"/>
        <v>46</v>
      </c>
      <c r="I13" s="369">
        <f t="shared" si="2"/>
        <v>0.71739130434782605</v>
      </c>
      <c r="J13" s="471">
        <f t="shared" ca="1" si="22"/>
        <v>1</v>
      </c>
      <c r="K13" s="430" t="str">
        <f t="shared" ca="1" si="4"/>
        <v>D3-1</v>
      </c>
      <c r="L13" s="500"/>
      <c r="M13" s="366"/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371</v>
      </c>
      <c r="AA13" s="337" t="str">
        <f t="shared" ca="1" si="26"/>
        <v>D2-3</v>
      </c>
      <c r="AB13" s="337">
        <f t="shared" ca="1" si="8"/>
        <v>21</v>
      </c>
      <c r="AC13" s="337">
        <f t="shared" ca="1" si="9"/>
        <v>29</v>
      </c>
      <c r="AD13" s="337">
        <f t="shared" ca="1" si="10"/>
        <v>50</v>
      </c>
      <c r="AE13" s="253">
        <f t="shared" ca="1" si="11"/>
        <v>0.42</v>
      </c>
      <c r="AF13" s="401">
        <f t="shared" ca="1" si="12"/>
        <v>-78.58</v>
      </c>
      <c r="AG13" s="434">
        <f t="shared" ca="1" si="13"/>
        <v>12</v>
      </c>
      <c r="AH13" s="361"/>
    </row>
    <row r="14" spans="1:34" ht="15" customHeight="1">
      <c r="A14" s="357" t="s">
        <v>1371</v>
      </c>
      <c r="B14" s="318" t="s">
        <v>377</v>
      </c>
      <c r="C14" s="148">
        <v>4</v>
      </c>
      <c r="D14" s="165">
        <v>3</v>
      </c>
      <c r="E14" s="165">
        <v>6</v>
      </c>
      <c r="F14" s="213">
        <f t="shared" si="0"/>
        <v>13</v>
      </c>
      <c r="G14" s="353">
        <f>C15+D16+E17</f>
        <v>33</v>
      </c>
      <c r="H14" s="353">
        <f t="shared" si="1"/>
        <v>46</v>
      </c>
      <c r="I14" s="354">
        <f t="shared" si="2"/>
        <v>0.28260869565217389</v>
      </c>
      <c r="J14" s="467">
        <f t="shared" ref="J14:J17" ca="1" si="28">IFERROR(RANK(F14,OFFSET($F$14,0,0,COUNTA($F$14:$F$17),1)),)</f>
        <v>4</v>
      </c>
      <c r="K14" s="419" t="str">
        <f t="shared" ca="1" si="4"/>
        <v>D4-4</v>
      </c>
      <c r="L14" s="501" t="s">
        <v>263</v>
      </c>
      <c r="M14" s="466" t="str">
        <f t="array" aca="1" ref="M14" ca="1">IFERROR(INDEX($A$2:$K$17,MATCH(L14,$K$2:$K$17,0),2),)</f>
        <v>Michael Sullivan &amp; William Edwards</v>
      </c>
      <c r="N14" s="483"/>
      <c r="O14" s="483"/>
      <c r="P14" s="468">
        <v>11</v>
      </c>
      <c r="Q14" s="469">
        <v>9</v>
      </c>
      <c r="R14" s="470">
        <v>5</v>
      </c>
      <c r="S14" s="470">
        <v>11</v>
      </c>
      <c r="T14" s="469"/>
      <c r="U14" s="469"/>
      <c r="V14" s="465">
        <f t="shared" ref="V14:W14" si="29">(N14+P14+R14+T14)</f>
        <v>16</v>
      </c>
      <c r="W14" s="465">
        <f t="shared" si="29"/>
        <v>20</v>
      </c>
      <c r="X14" s="465">
        <f t="shared" si="6"/>
        <v>36</v>
      </c>
      <c r="Y14" s="359"/>
      <c r="Z14" s="359" t="s">
        <v>365</v>
      </c>
      <c r="AA14" s="329" t="str">
        <f t="shared" si="26"/>
        <v>D2-4</v>
      </c>
      <c r="AB14" s="329">
        <f t="shared" ca="1" si="8"/>
        <v>21</v>
      </c>
      <c r="AC14" s="329">
        <f t="shared" ca="1" si="9"/>
        <v>30</v>
      </c>
      <c r="AD14" s="329">
        <f t="shared" ca="1" si="10"/>
        <v>51</v>
      </c>
      <c r="AE14" s="236">
        <f t="shared" ca="1" si="11"/>
        <v>0.41176470588235292</v>
      </c>
      <c r="AF14" s="343">
        <f t="shared" ca="1" si="12"/>
        <v>-78.588235294117652</v>
      </c>
      <c r="AG14" s="432">
        <f t="shared" ca="1" si="13"/>
        <v>13</v>
      </c>
      <c r="AH14" s="361"/>
    </row>
    <row r="15" spans="1:34" ht="15" customHeight="1">
      <c r="A15" s="466" t="s">
        <v>1371</v>
      </c>
      <c r="B15" s="318" t="s">
        <v>363</v>
      </c>
      <c r="C15" s="105">
        <v>11</v>
      </c>
      <c r="D15" s="106">
        <v>9</v>
      </c>
      <c r="E15" s="106">
        <v>11</v>
      </c>
      <c r="F15" s="235">
        <f t="shared" si="0"/>
        <v>31</v>
      </c>
      <c r="G15" s="363">
        <f>C14+D17+E16</f>
        <v>23</v>
      </c>
      <c r="H15" s="363">
        <f t="shared" si="1"/>
        <v>54</v>
      </c>
      <c r="I15" s="360">
        <f t="shared" si="2"/>
        <v>0.57407407407407407</v>
      </c>
      <c r="J15" s="467">
        <f t="shared" ca="1" si="28"/>
        <v>2</v>
      </c>
      <c r="K15" s="425" t="str">
        <f t="shared" ca="1" si="4"/>
        <v>D4-2</v>
      </c>
      <c r="L15" s="500"/>
      <c r="M15" s="466"/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359</v>
      </c>
      <c r="AA15" s="329" t="str">
        <f t="shared" ca="1" si="26"/>
        <v>D1-4</v>
      </c>
      <c r="AB15" s="329">
        <f t="shared" ca="1" si="8"/>
        <v>19</v>
      </c>
      <c r="AC15" s="329">
        <f t="shared" ca="1" si="9"/>
        <v>33</v>
      </c>
      <c r="AD15" s="329">
        <f t="shared" ca="1" si="10"/>
        <v>52</v>
      </c>
      <c r="AE15" s="236">
        <f t="shared" ca="1" si="11"/>
        <v>0.36538461538461536</v>
      </c>
      <c r="AF15" s="341">
        <f t="shared" ca="1" si="12"/>
        <v>-80.634615384615387</v>
      </c>
      <c r="AG15" s="432">
        <f t="shared" ca="1" si="13"/>
        <v>14</v>
      </c>
      <c r="AH15" s="361"/>
    </row>
    <row r="16" spans="1:34" ht="15" customHeight="1">
      <c r="A16" s="466" t="s">
        <v>1371</v>
      </c>
      <c r="B16" s="318" t="s">
        <v>379</v>
      </c>
      <c r="C16" s="107">
        <v>7</v>
      </c>
      <c r="D16" s="108">
        <v>11</v>
      </c>
      <c r="E16" s="106">
        <v>8</v>
      </c>
      <c r="F16" s="235">
        <f t="shared" si="0"/>
        <v>26</v>
      </c>
      <c r="G16" s="363">
        <f>C17+D14+E15</f>
        <v>25</v>
      </c>
      <c r="H16" s="363">
        <f t="shared" si="1"/>
        <v>51</v>
      </c>
      <c r="I16" s="360">
        <f t="shared" si="2"/>
        <v>0.50980392156862742</v>
      </c>
      <c r="J16" s="467">
        <f t="shared" ca="1" si="28"/>
        <v>3</v>
      </c>
      <c r="K16" s="425" t="str">
        <f t="shared" ca="1" si="4"/>
        <v>D4-3</v>
      </c>
      <c r="L16" s="501" t="s">
        <v>218</v>
      </c>
      <c r="M16" s="466" t="str">
        <f t="array" aca="1" ref="M16" ca="1">IFERROR(INDEX($A$2:$K$17,MATCH(L16,$K$2:$K$17,0),2),)</f>
        <v>Mickey Tan &amp; John Evatt</v>
      </c>
      <c r="N16" s="483"/>
      <c r="O16" s="483"/>
      <c r="P16" s="468">
        <v>9</v>
      </c>
      <c r="Q16" s="469">
        <v>11</v>
      </c>
      <c r="R16" s="470"/>
      <c r="S16" s="470"/>
      <c r="T16" s="469"/>
      <c r="U16" s="469"/>
      <c r="V16" s="465">
        <f t="shared" ref="V16:W16" si="31">(N16+P16+R16+T16)</f>
        <v>9</v>
      </c>
      <c r="W16" s="465">
        <f t="shared" si="31"/>
        <v>11</v>
      </c>
      <c r="X16" s="465">
        <f t="shared" si="6"/>
        <v>20</v>
      </c>
      <c r="Y16" s="359"/>
      <c r="Z16" s="359" t="s">
        <v>373</v>
      </c>
      <c r="AA16" s="329" t="str">
        <f t="shared" ca="1" si="26"/>
        <v>D3-4</v>
      </c>
      <c r="AB16" s="329">
        <f t="shared" ca="1" si="8"/>
        <v>17</v>
      </c>
      <c r="AC16" s="329">
        <f t="shared" ca="1" si="9"/>
        <v>33</v>
      </c>
      <c r="AD16" s="329">
        <f t="shared" ca="1" si="10"/>
        <v>50</v>
      </c>
      <c r="AE16" s="236">
        <f t="shared" ca="1" si="11"/>
        <v>0.34</v>
      </c>
      <c r="AF16" s="333">
        <f t="shared" ca="1" si="12"/>
        <v>-82.66</v>
      </c>
      <c r="AG16" s="432">
        <f t="shared" ca="1" si="13"/>
        <v>15</v>
      </c>
      <c r="AH16" s="361"/>
    </row>
    <row r="17" spans="1:34" ht="15" customHeight="1">
      <c r="A17" s="366" t="s">
        <v>1371</v>
      </c>
      <c r="B17" s="320" t="s">
        <v>378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368">
        <f>C16+D15+E14</f>
        <v>22</v>
      </c>
      <c r="H17" s="368">
        <f t="shared" si="1"/>
        <v>55</v>
      </c>
      <c r="I17" s="369">
        <f t="shared" si="2"/>
        <v>0.6</v>
      </c>
      <c r="J17" s="471">
        <f t="shared" ca="1" si="28"/>
        <v>1</v>
      </c>
      <c r="K17" s="430" t="str">
        <f t="shared" ca="1" si="4"/>
        <v>D4-1</v>
      </c>
      <c r="L17" s="500"/>
      <c r="M17" s="366"/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377</v>
      </c>
      <c r="AA17" s="337" t="str">
        <f t="shared" ca="1" si="26"/>
        <v>D4-4</v>
      </c>
      <c r="AB17" s="337">
        <f t="shared" ca="1" si="8"/>
        <v>13</v>
      </c>
      <c r="AC17" s="337">
        <f t="shared" ca="1" si="9"/>
        <v>33</v>
      </c>
      <c r="AD17" s="337">
        <f t="shared" ca="1" si="10"/>
        <v>46</v>
      </c>
      <c r="AE17" s="253">
        <f t="shared" ca="1" si="11"/>
        <v>0.28260869565217389</v>
      </c>
      <c r="AF17" s="338">
        <f t="shared" ca="1" si="12"/>
        <v>-86.717391304347828</v>
      </c>
      <c r="AG17" s="434">
        <f t="shared" ca="1" si="13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135</v>
      </c>
      <c r="D19" s="388">
        <f t="shared" si="33"/>
        <v>130</v>
      </c>
      <c r="E19" s="388">
        <f>SUM(E2:E18)</f>
        <v>137</v>
      </c>
      <c r="F19" s="389">
        <f t="shared" ref="F19:G19" si="34">SUM(F2:F17)</f>
        <v>402</v>
      </c>
      <c r="G19" s="389">
        <f t="shared" si="34"/>
        <v>402</v>
      </c>
      <c r="H19" s="390">
        <f>SUM(H2:H17)/2</f>
        <v>402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76</v>
      </c>
      <c r="Q19" s="385">
        <f t="shared" si="35"/>
        <v>76</v>
      </c>
      <c r="R19" s="385">
        <f t="shared" si="35"/>
        <v>35</v>
      </c>
      <c r="S19" s="385">
        <f t="shared" si="35"/>
        <v>35</v>
      </c>
      <c r="T19" s="385">
        <f t="shared" si="35"/>
        <v>23</v>
      </c>
      <c r="U19" s="385">
        <f t="shared" si="35"/>
        <v>23</v>
      </c>
      <c r="V19" s="385">
        <f t="shared" si="35"/>
        <v>134</v>
      </c>
      <c r="W19" s="385">
        <f t="shared" si="35"/>
        <v>134</v>
      </c>
      <c r="X19" s="385">
        <f>SUM(X2:X17)/2</f>
        <v>134</v>
      </c>
      <c r="Y19" s="385"/>
      <c r="Z19" s="385"/>
      <c r="AA19" s="385"/>
      <c r="AB19" s="385">
        <f t="shared" ref="AB19:AD19" ca="1" si="36">SUM(AB2:AB17)/2</f>
        <v>268</v>
      </c>
      <c r="AC19" s="385">
        <f t="shared" ca="1" si="36"/>
        <v>268</v>
      </c>
      <c r="AD19" s="385">
        <f t="shared" ca="1" si="36"/>
        <v>536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0</v>
      </c>
      <c r="F20" s="386"/>
      <c r="G20" s="386"/>
      <c r="H20" s="394">
        <f>AVERAGE(H2:H17)</f>
        <v>50.25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1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67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" priority="1" operator="equal">
      <formula>33</formula>
    </cfRule>
  </conditionalFormatting>
  <hyperlinks>
    <hyperlink ref="A1" location="Champions!A1" display="Home" xr:uid="{00000000-0004-0000-2400-000000000000}"/>
    <hyperlink ref="AH1" location="Champions!A1" display="Home" xr:uid="{00000000-0004-0000-2400-000001000000}"/>
    <hyperlink ref="A19" location="Champions!A1" display="Home" xr:uid="{00000000-0004-0000-2400-000002000000}"/>
    <hyperlink ref="K19" location="Champions!A1" display="Home" xr:uid="{00000000-0004-0000-2400-000003000000}"/>
  </hyperlinks>
  <pageMargins left="0.7" right="0.7" top="0.75" bottom="0.75" header="0" footer="0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30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4.7265625" customWidth="1"/>
    <col min="13" max="13" width="24.7265625" customWidth="1"/>
    <col min="14" max="21" width="6.26953125" customWidth="1"/>
    <col min="22" max="24" width="7.7265625" customWidth="1"/>
    <col min="25" max="25" width="6.81640625" customWidth="1"/>
    <col min="26" max="26" width="29.269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334</v>
      </c>
      <c r="C2" s="148">
        <v>1</v>
      </c>
      <c r="D2" s="165">
        <v>9</v>
      </c>
      <c r="E2" s="165">
        <v>11</v>
      </c>
      <c r="F2" s="213">
        <f t="shared" ref="F2:F17" si="0">SUM(C2:E2)</f>
        <v>21</v>
      </c>
      <c r="G2" s="353">
        <f>C3+D4+E5</f>
        <v>30</v>
      </c>
      <c r="H2" s="353">
        <f t="shared" ref="H2:H17" si="1">SUM(F2:G2)</f>
        <v>51</v>
      </c>
      <c r="I2" s="354">
        <f t="shared" ref="I2:I17" si="2">IFERROR(F2/H2,"")</f>
        <v>0.41176470588235292</v>
      </c>
      <c r="J2" s="467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501" t="s">
        <v>207</v>
      </c>
      <c r="M2" s="357" t="str">
        <f t="array" aca="1" ref="M2" ca="1">IFERROR(INDEX($A$2:$K$17,MATCH(L2,$K$2:$K$17,0),2),)</f>
        <v>Randy Swearengin &amp; Irwin Don</v>
      </c>
      <c r="N2" s="482"/>
      <c r="O2" s="482"/>
      <c r="P2" s="482"/>
      <c r="Q2" s="493"/>
      <c r="R2" s="464">
        <v>9</v>
      </c>
      <c r="S2" s="464">
        <v>13</v>
      </c>
      <c r="T2" s="463"/>
      <c r="U2" s="463"/>
      <c r="V2" s="465">
        <f t="shared" ref="V2:W2" si="5">(N2+P2+R2+T2)</f>
        <v>9</v>
      </c>
      <c r="W2" s="465">
        <f t="shared" si="5"/>
        <v>13</v>
      </c>
      <c r="X2" s="465">
        <f t="shared" ref="X2:X17" si="6">V2+W2</f>
        <v>22</v>
      </c>
      <c r="Y2" s="359"/>
      <c r="Z2" s="359" t="s">
        <v>46</v>
      </c>
      <c r="AA2" s="329" t="str">
        <f t="shared" ref="AA2:AA13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67</v>
      </c>
      <c r="AC2" s="329">
        <f t="shared" ref="AC2:AC17" ca="1" si="9">IFERROR((INDEX($A$2:$H$17,MATCH($Z2,$B$2:$B$17,0),7))+INDEX($M$2:$X$17,MATCH($Z2,$M$2:$M$17,0),11),INDEX($B$2:$G$17,MATCH($Z2,$B$2:$B$17,0),6))</f>
        <v>47</v>
      </c>
      <c r="AD2" s="329">
        <f t="shared" ref="AD2:AD17" ca="1" si="10">SUM(AB2:AC2)</f>
        <v>114</v>
      </c>
      <c r="AE2" s="236">
        <f t="shared" ref="AE2:AE17" ca="1" si="11">AB2/AD2</f>
        <v>0.58771929824561409</v>
      </c>
      <c r="AF2" s="400">
        <f t="shared" ref="AF2:AF17" ca="1" si="12">AE2-(100-AB2)</f>
        <v>-32.412280701754383</v>
      </c>
      <c r="AG2" s="449">
        <v>1</v>
      </c>
      <c r="AH2" s="361"/>
    </row>
    <row r="3" spans="1:34" ht="15" customHeight="1">
      <c r="A3" s="466" t="s">
        <v>1367</v>
      </c>
      <c r="B3" s="318" t="s">
        <v>336</v>
      </c>
      <c r="C3" s="105">
        <v>11</v>
      </c>
      <c r="D3" s="106">
        <v>11</v>
      </c>
      <c r="E3" s="106">
        <v>7</v>
      </c>
      <c r="F3" s="235">
        <f t="shared" si="0"/>
        <v>29</v>
      </c>
      <c r="G3" s="363">
        <f>C2+D5+E4</f>
        <v>13</v>
      </c>
      <c r="H3" s="363">
        <f t="shared" si="1"/>
        <v>42</v>
      </c>
      <c r="I3" s="360">
        <f t="shared" si="2"/>
        <v>0.69047619047619047</v>
      </c>
      <c r="J3" s="467">
        <f t="shared" ca="1" si="3"/>
        <v>2</v>
      </c>
      <c r="K3" s="425" t="str">
        <f t="shared" ca="1" si="4"/>
        <v>D1-2</v>
      </c>
      <c r="L3" s="502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3">(N3+P3+R3+T3)</f>
        <v>0</v>
      </c>
      <c r="W3" s="465">
        <f t="shared" si="13"/>
        <v>0</v>
      </c>
      <c r="X3" s="465">
        <f t="shared" si="6"/>
        <v>0</v>
      </c>
      <c r="Y3" s="359"/>
      <c r="Z3" s="359" t="s">
        <v>349</v>
      </c>
      <c r="AA3" s="329" t="str">
        <f t="shared" ca="1" si="7"/>
        <v>D3-1</v>
      </c>
      <c r="AB3" s="329">
        <f t="shared" ca="1" si="8"/>
        <v>68</v>
      </c>
      <c r="AC3" s="329">
        <f t="shared" ca="1" si="9"/>
        <v>43</v>
      </c>
      <c r="AD3" s="329">
        <f t="shared" ca="1" si="10"/>
        <v>111</v>
      </c>
      <c r="AE3" s="236">
        <f t="shared" ca="1" si="11"/>
        <v>0.61261261261261257</v>
      </c>
      <c r="AF3" s="341">
        <f t="shared" ca="1" si="12"/>
        <v>-31.387387387387388</v>
      </c>
      <c r="AG3" s="449">
        <v>2</v>
      </c>
      <c r="AH3" s="361"/>
    </row>
    <row r="4" spans="1:34" ht="15" customHeight="1">
      <c r="A4" s="466" t="s">
        <v>1367</v>
      </c>
      <c r="B4" s="318" t="s">
        <v>335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363">
        <f>C5+D2+E3</f>
        <v>20</v>
      </c>
      <c r="H4" s="363">
        <f t="shared" si="1"/>
        <v>53</v>
      </c>
      <c r="I4" s="360">
        <f t="shared" si="2"/>
        <v>0.62264150943396224</v>
      </c>
      <c r="J4" s="467">
        <f t="shared" ca="1" si="3"/>
        <v>1</v>
      </c>
      <c r="K4" s="425" t="str">
        <f t="shared" ca="1" si="4"/>
        <v>D1-1</v>
      </c>
      <c r="L4" s="502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4">(N4+P4+R4+T4)</f>
        <v>0</v>
      </c>
      <c r="W4" s="465">
        <f t="shared" si="14"/>
        <v>0</v>
      </c>
      <c r="X4" s="465">
        <f t="shared" si="6"/>
        <v>0</v>
      </c>
      <c r="Y4" s="359"/>
      <c r="Z4" s="359" t="s">
        <v>342</v>
      </c>
      <c r="AA4" s="329" t="str">
        <f t="shared" ca="1" si="7"/>
        <v>D2-1</v>
      </c>
      <c r="AB4" s="329">
        <f t="shared" ca="1" si="8"/>
        <v>43</v>
      </c>
      <c r="AC4" s="329">
        <f t="shared" ca="1" si="9"/>
        <v>29</v>
      </c>
      <c r="AD4" s="329">
        <f t="shared" ca="1" si="10"/>
        <v>72</v>
      </c>
      <c r="AE4" s="236">
        <f t="shared" ca="1" si="11"/>
        <v>0.59722222222222221</v>
      </c>
      <c r="AF4" s="341">
        <f t="shared" ca="1" si="12"/>
        <v>-56.402777777777779</v>
      </c>
      <c r="AG4" s="432">
        <f t="shared" ref="AG4:AG17" ca="1" si="15">RANK($AF4,OFFSET($AF$2,0,0,COUNTA($AF$2:$AF$17),1))</f>
        <v>3</v>
      </c>
      <c r="AH4" s="361"/>
    </row>
    <row r="5" spans="1:34" ht="15" customHeight="1">
      <c r="A5" s="366" t="s">
        <v>1367</v>
      </c>
      <c r="B5" s="320" t="s">
        <v>1386</v>
      </c>
      <c r="C5" s="109">
        <v>4</v>
      </c>
      <c r="D5" s="110">
        <v>1</v>
      </c>
      <c r="E5" s="111">
        <v>8</v>
      </c>
      <c r="F5" s="252">
        <f t="shared" si="0"/>
        <v>13</v>
      </c>
      <c r="G5" s="368">
        <f>C4+D3+E2</f>
        <v>33</v>
      </c>
      <c r="H5" s="368">
        <f t="shared" si="1"/>
        <v>46</v>
      </c>
      <c r="I5" s="369">
        <f t="shared" si="2"/>
        <v>0.28260869565217389</v>
      </c>
      <c r="J5" s="471">
        <f t="shared" ca="1" si="3"/>
        <v>4</v>
      </c>
      <c r="K5" s="430" t="str">
        <f t="shared" ca="1" si="4"/>
        <v>D1-4</v>
      </c>
      <c r="L5" s="500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335</v>
      </c>
      <c r="AA5" s="337" t="str">
        <f t="shared" ca="1" si="7"/>
        <v>D1-1</v>
      </c>
      <c r="AB5" s="337">
        <f t="shared" ca="1" si="8"/>
        <v>42</v>
      </c>
      <c r="AC5" s="337">
        <f t="shared" ca="1" si="9"/>
        <v>33</v>
      </c>
      <c r="AD5" s="337">
        <f t="shared" ca="1" si="10"/>
        <v>75</v>
      </c>
      <c r="AE5" s="369">
        <f t="shared" ca="1" si="11"/>
        <v>0.56000000000000005</v>
      </c>
      <c r="AF5" s="338">
        <f t="shared" ca="1" si="12"/>
        <v>-57.44</v>
      </c>
      <c r="AG5" s="431">
        <f t="shared" ca="1" si="15"/>
        <v>4</v>
      </c>
      <c r="AH5" s="361"/>
    </row>
    <row r="6" spans="1:34" ht="15" customHeight="1">
      <c r="A6" s="357" t="s">
        <v>1368</v>
      </c>
      <c r="B6" s="318" t="s">
        <v>341</v>
      </c>
      <c r="C6" s="148">
        <v>5</v>
      </c>
      <c r="D6" s="165">
        <v>2</v>
      </c>
      <c r="E6" s="165">
        <v>6</v>
      </c>
      <c r="F6" s="213">
        <f t="shared" si="0"/>
        <v>13</v>
      </c>
      <c r="G6" s="353">
        <f>C7+D8+E9</f>
        <v>33</v>
      </c>
      <c r="H6" s="353">
        <f t="shared" si="1"/>
        <v>46</v>
      </c>
      <c r="I6" s="354">
        <f t="shared" si="2"/>
        <v>0.28260869565217389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01" t="s">
        <v>225</v>
      </c>
      <c r="M6" s="466" t="str">
        <f t="array" aca="1" ref="M6" ca="1">IFERROR(INDEX($A$2:$K$17,MATCH(L6,$K$2:$K$17,0),2),)</f>
        <v>Andy Peng &amp; Monty Miller</v>
      </c>
      <c r="N6" s="483"/>
      <c r="O6" s="483"/>
      <c r="P6" s="483"/>
      <c r="Q6" s="494"/>
      <c r="R6" s="470">
        <v>10</v>
      </c>
      <c r="S6" s="470">
        <v>15</v>
      </c>
      <c r="T6" s="469"/>
      <c r="U6" s="469"/>
      <c r="V6" s="476">
        <f t="shared" ref="V6:W6" si="18">(N6+P6+R6+T6)</f>
        <v>10</v>
      </c>
      <c r="W6" s="476">
        <f t="shared" si="18"/>
        <v>15</v>
      </c>
      <c r="X6" s="476">
        <f t="shared" si="6"/>
        <v>25</v>
      </c>
      <c r="Y6" s="374"/>
      <c r="Z6" s="374" t="s">
        <v>354</v>
      </c>
      <c r="AA6" s="340" t="str">
        <f t="shared" ca="1" si="7"/>
        <v>D4-2</v>
      </c>
      <c r="AB6" s="340">
        <f t="shared" ca="1" si="8"/>
        <v>32</v>
      </c>
      <c r="AC6" s="340">
        <f t="shared" ca="1" si="9"/>
        <v>18</v>
      </c>
      <c r="AD6" s="340">
        <f t="shared" ca="1" si="10"/>
        <v>50</v>
      </c>
      <c r="AE6" s="214">
        <f t="shared" ca="1" si="11"/>
        <v>0.64</v>
      </c>
      <c r="AF6" s="341">
        <f t="shared" ca="1" si="12"/>
        <v>-67.36</v>
      </c>
      <c r="AG6" s="432">
        <f t="shared" ca="1" si="15"/>
        <v>5</v>
      </c>
      <c r="AH6" s="361"/>
    </row>
    <row r="7" spans="1:34" ht="15" customHeight="1">
      <c r="A7" s="466" t="s">
        <v>1368</v>
      </c>
      <c r="B7" s="318" t="s">
        <v>342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363">
        <f>C6+D9+E8</f>
        <v>14</v>
      </c>
      <c r="H7" s="363">
        <f t="shared" si="1"/>
        <v>47</v>
      </c>
      <c r="I7" s="360">
        <f t="shared" si="2"/>
        <v>0.7021276595744681</v>
      </c>
      <c r="J7" s="467">
        <f t="shared" ca="1" si="17"/>
        <v>1</v>
      </c>
      <c r="K7" s="425" t="str">
        <f t="shared" ca="1" si="4"/>
        <v>D2-1</v>
      </c>
      <c r="L7" s="502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336</v>
      </c>
      <c r="AA7" s="329" t="str">
        <f t="shared" ca="1" si="7"/>
        <v>D1-2</v>
      </c>
      <c r="AB7" s="329">
        <f t="shared" ca="1" si="8"/>
        <v>29</v>
      </c>
      <c r="AC7" s="329">
        <f t="shared" ca="1" si="9"/>
        <v>13</v>
      </c>
      <c r="AD7" s="329">
        <f t="shared" ca="1" si="10"/>
        <v>42</v>
      </c>
      <c r="AE7" s="236">
        <f t="shared" ca="1" si="11"/>
        <v>0.69047619047619047</v>
      </c>
      <c r="AF7" s="341">
        <f t="shared" ca="1" si="12"/>
        <v>-70.30952380952381</v>
      </c>
      <c r="AG7" s="432">
        <f t="shared" ca="1" si="15"/>
        <v>6</v>
      </c>
      <c r="AH7" s="361"/>
    </row>
    <row r="8" spans="1:34" ht="15" customHeight="1">
      <c r="A8" s="466" t="s">
        <v>1368</v>
      </c>
      <c r="B8" s="318" t="s">
        <v>344</v>
      </c>
      <c r="C8" s="107">
        <v>11</v>
      </c>
      <c r="D8" s="108">
        <v>11</v>
      </c>
      <c r="E8" s="106">
        <v>4</v>
      </c>
      <c r="F8" s="235">
        <f t="shared" si="0"/>
        <v>26</v>
      </c>
      <c r="G8" s="363">
        <f>C9+D6+E7</f>
        <v>18</v>
      </c>
      <c r="H8" s="363">
        <f t="shared" si="1"/>
        <v>44</v>
      </c>
      <c r="I8" s="360">
        <f t="shared" si="2"/>
        <v>0.59090909090909094</v>
      </c>
      <c r="J8" s="467">
        <f t="shared" ca="1" si="17"/>
        <v>2</v>
      </c>
      <c r="K8" s="425" t="str">
        <f t="shared" ca="1" si="4"/>
        <v>D2-2</v>
      </c>
      <c r="L8" s="502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348</v>
      </c>
      <c r="AA8" s="329" t="str">
        <f t="shared" ca="1" si="7"/>
        <v>D3-2</v>
      </c>
      <c r="AB8" s="329">
        <f t="shared" ca="1" si="8"/>
        <v>27</v>
      </c>
      <c r="AC8" s="329">
        <f t="shared" ca="1" si="9"/>
        <v>22</v>
      </c>
      <c r="AD8" s="329">
        <f t="shared" ca="1" si="10"/>
        <v>49</v>
      </c>
      <c r="AE8" s="236">
        <f t="shared" ca="1" si="11"/>
        <v>0.55102040816326525</v>
      </c>
      <c r="AF8" s="341">
        <f t="shared" ca="1" si="12"/>
        <v>-72.448979591836732</v>
      </c>
      <c r="AG8" s="432">
        <f t="shared" ca="1" si="15"/>
        <v>7</v>
      </c>
      <c r="AH8" s="361"/>
    </row>
    <row r="9" spans="1:34" ht="15" customHeight="1">
      <c r="A9" s="366" t="s">
        <v>1368</v>
      </c>
      <c r="B9" s="320" t="s">
        <v>347</v>
      </c>
      <c r="C9" s="109">
        <v>5</v>
      </c>
      <c r="D9" s="110">
        <v>5</v>
      </c>
      <c r="E9" s="111">
        <v>11</v>
      </c>
      <c r="F9" s="252">
        <f t="shared" si="0"/>
        <v>21</v>
      </c>
      <c r="G9" s="368">
        <f>C8+D7+E6</f>
        <v>28</v>
      </c>
      <c r="H9" s="368">
        <f t="shared" si="1"/>
        <v>49</v>
      </c>
      <c r="I9" s="369">
        <f t="shared" si="2"/>
        <v>0.42857142857142855</v>
      </c>
      <c r="J9" s="471">
        <f t="shared" ca="1" si="17"/>
        <v>3</v>
      </c>
      <c r="K9" s="430" t="str">
        <f t="shared" ca="1" si="4"/>
        <v>D2-3</v>
      </c>
      <c r="L9" s="500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344</v>
      </c>
      <c r="AA9" s="337" t="str">
        <f t="shared" ca="1" si="7"/>
        <v>D2-2</v>
      </c>
      <c r="AB9" s="337">
        <f t="shared" ca="1" si="8"/>
        <v>26</v>
      </c>
      <c r="AC9" s="337">
        <f t="shared" ca="1" si="9"/>
        <v>18</v>
      </c>
      <c r="AD9" s="337">
        <f t="shared" ca="1" si="10"/>
        <v>44</v>
      </c>
      <c r="AE9" s="253">
        <f t="shared" ca="1" si="11"/>
        <v>0.59090909090909094</v>
      </c>
      <c r="AF9" s="338">
        <f t="shared" ca="1" si="12"/>
        <v>-73.409090909090907</v>
      </c>
      <c r="AG9" s="434">
        <f t="shared" ca="1" si="15"/>
        <v>8</v>
      </c>
      <c r="AH9" s="361"/>
    </row>
    <row r="10" spans="1:34" ht="15" customHeight="1">
      <c r="A10" s="357" t="s">
        <v>1369</v>
      </c>
      <c r="B10" s="318" t="s">
        <v>348</v>
      </c>
      <c r="C10" s="148">
        <v>11</v>
      </c>
      <c r="D10" s="165">
        <v>5</v>
      </c>
      <c r="E10" s="165">
        <v>11</v>
      </c>
      <c r="F10" s="213">
        <f t="shared" si="0"/>
        <v>27</v>
      </c>
      <c r="G10" s="353">
        <f>C11+D12+E13</f>
        <v>22</v>
      </c>
      <c r="H10" s="353">
        <f t="shared" si="1"/>
        <v>49</v>
      </c>
      <c r="I10" s="354">
        <f t="shared" si="2"/>
        <v>0.55102040816326525</v>
      </c>
      <c r="J10" s="467">
        <f t="shared" ref="J10:J13" ca="1" si="22">IFERROR(RANK(F10,OFFSET($F$10,0,0,COUNTA($F$10:$F$13),1)),)</f>
        <v>2</v>
      </c>
      <c r="K10" s="419" t="str">
        <f t="shared" ca="1" si="4"/>
        <v>D3-2</v>
      </c>
      <c r="L10" s="501" t="s">
        <v>243</v>
      </c>
      <c r="M10" s="466" t="str">
        <f t="array" aca="1" ref="M10" ca="1">IFERROR(INDEX($A$2:$K$17,MATCH(L10,$K$2:$K$17,0),2),)</f>
        <v>Tom Lee &amp; Scott Heffner</v>
      </c>
      <c r="N10" s="483"/>
      <c r="O10" s="483"/>
      <c r="P10" s="483"/>
      <c r="Q10" s="494"/>
      <c r="R10" s="470">
        <v>15</v>
      </c>
      <c r="S10" s="470">
        <v>10</v>
      </c>
      <c r="T10" s="469">
        <v>20</v>
      </c>
      <c r="U10" s="469">
        <v>21</v>
      </c>
      <c r="V10" s="465">
        <f t="shared" ref="V10:W10" si="23">(N10+P10+R10+T10)</f>
        <v>35</v>
      </c>
      <c r="W10" s="465">
        <f t="shared" si="23"/>
        <v>31</v>
      </c>
      <c r="X10" s="465">
        <f t="shared" si="6"/>
        <v>66</v>
      </c>
      <c r="Y10" s="359"/>
      <c r="Z10" s="359" t="s">
        <v>357</v>
      </c>
      <c r="AA10" s="329" t="str">
        <f t="shared" ca="1" si="7"/>
        <v>D4-3</v>
      </c>
      <c r="AB10" s="329">
        <f t="shared" ca="1" si="8"/>
        <v>24</v>
      </c>
      <c r="AC10" s="329">
        <f t="shared" ca="1" si="9"/>
        <v>26</v>
      </c>
      <c r="AD10" s="329">
        <f t="shared" ca="1" si="10"/>
        <v>50</v>
      </c>
      <c r="AE10" s="236">
        <f t="shared" ca="1" si="11"/>
        <v>0.48</v>
      </c>
      <c r="AF10" s="341">
        <f t="shared" ca="1" si="12"/>
        <v>-75.52</v>
      </c>
      <c r="AG10" s="432">
        <f t="shared" ca="1" si="15"/>
        <v>9</v>
      </c>
      <c r="AH10" s="361"/>
    </row>
    <row r="11" spans="1:34" ht="15" customHeight="1">
      <c r="A11" s="466" t="s">
        <v>1369</v>
      </c>
      <c r="B11" s="318" t="s">
        <v>350</v>
      </c>
      <c r="C11" s="105">
        <v>6</v>
      </c>
      <c r="D11" s="106">
        <v>11</v>
      </c>
      <c r="E11" s="106">
        <v>1</v>
      </c>
      <c r="F11" s="235">
        <f t="shared" si="0"/>
        <v>18</v>
      </c>
      <c r="G11" s="363">
        <f>C10+D13+E12</f>
        <v>30</v>
      </c>
      <c r="H11" s="363">
        <f t="shared" si="1"/>
        <v>48</v>
      </c>
      <c r="I11" s="360">
        <f t="shared" si="2"/>
        <v>0.375</v>
      </c>
      <c r="J11" s="467">
        <f t="shared" ca="1" si="22"/>
        <v>4</v>
      </c>
      <c r="K11" s="425" t="str">
        <f t="shared" ca="1" si="4"/>
        <v>D3-4</v>
      </c>
      <c r="L11" s="502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347</v>
      </c>
      <c r="AA11" s="329" t="str">
        <f t="shared" ca="1" si="7"/>
        <v>D2-3</v>
      </c>
      <c r="AB11" s="329">
        <f t="shared" ca="1" si="8"/>
        <v>21</v>
      </c>
      <c r="AC11" s="329">
        <f t="shared" ca="1" si="9"/>
        <v>28</v>
      </c>
      <c r="AD11" s="329">
        <f t="shared" ca="1" si="10"/>
        <v>49</v>
      </c>
      <c r="AE11" s="236">
        <f t="shared" ca="1" si="11"/>
        <v>0.42857142857142855</v>
      </c>
      <c r="AF11" s="341">
        <f t="shared" ca="1" si="12"/>
        <v>-78.571428571428569</v>
      </c>
      <c r="AG11" s="432">
        <f t="shared" ca="1" si="15"/>
        <v>10</v>
      </c>
      <c r="AH11" s="361"/>
    </row>
    <row r="12" spans="1:34" ht="15" customHeight="1">
      <c r="A12" s="466" t="s">
        <v>1369</v>
      </c>
      <c r="B12" s="318" t="s">
        <v>349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363">
        <f>C13+D10+E11</f>
        <v>12</v>
      </c>
      <c r="H12" s="363">
        <f t="shared" si="1"/>
        <v>45</v>
      </c>
      <c r="I12" s="360">
        <f t="shared" si="2"/>
        <v>0.73333333333333328</v>
      </c>
      <c r="J12" s="467">
        <f t="shared" ca="1" si="22"/>
        <v>1</v>
      </c>
      <c r="K12" s="425" t="str">
        <f t="shared" ca="1" si="4"/>
        <v>D3-1</v>
      </c>
      <c r="L12" s="502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334</v>
      </c>
      <c r="AA12" s="329" t="str">
        <f t="shared" ca="1" si="7"/>
        <v>D1-3</v>
      </c>
      <c r="AB12" s="329">
        <f t="shared" ca="1" si="8"/>
        <v>21</v>
      </c>
      <c r="AC12" s="329">
        <f t="shared" ca="1" si="9"/>
        <v>30</v>
      </c>
      <c r="AD12" s="329">
        <f t="shared" ca="1" si="10"/>
        <v>51</v>
      </c>
      <c r="AE12" s="236">
        <f t="shared" ca="1" si="11"/>
        <v>0.41176470588235292</v>
      </c>
      <c r="AF12" s="375">
        <f t="shared" ca="1" si="12"/>
        <v>-78.588235294117652</v>
      </c>
      <c r="AG12" s="432">
        <f t="shared" ca="1" si="15"/>
        <v>11</v>
      </c>
      <c r="AH12" s="361"/>
    </row>
    <row r="13" spans="1:34" ht="15" customHeight="1">
      <c r="A13" s="366" t="s">
        <v>1369</v>
      </c>
      <c r="B13" s="320" t="s">
        <v>351</v>
      </c>
      <c r="C13" s="109">
        <v>6</v>
      </c>
      <c r="D13" s="110">
        <v>8</v>
      </c>
      <c r="E13" s="111">
        <v>5</v>
      </c>
      <c r="F13" s="252">
        <f t="shared" si="0"/>
        <v>19</v>
      </c>
      <c r="G13" s="368">
        <f>C12+D11+E10</f>
        <v>33</v>
      </c>
      <c r="H13" s="368">
        <f t="shared" si="1"/>
        <v>52</v>
      </c>
      <c r="I13" s="369">
        <f t="shared" si="2"/>
        <v>0.36538461538461536</v>
      </c>
      <c r="J13" s="471">
        <f t="shared" ca="1" si="22"/>
        <v>3</v>
      </c>
      <c r="K13" s="430" t="str">
        <f t="shared" ca="1" si="4"/>
        <v>D3-3</v>
      </c>
      <c r="L13" s="500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351</v>
      </c>
      <c r="AA13" s="337" t="str">
        <f t="shared" ca="1" si="7"/>
        <v>D3-3</v>
      </c>
      <c r="AB13" s="337">
        <f t="shared" ca="1" si="8"/>
        <v>19</v>
      </c>
      <c r="AC13" s="337">
        <f t="shared" ca="1" si="9"/>
        <v>33</v>
      </c>
      <c r="AD13" s="337">
        <f t="shared" ca="1" si="10"/>
        <v>52</v>
      </c>
      <c r="AE13" s="253">
        <f t="shared" ca="1" si="11"/>
        <v>0.36538461538461536</v>
      </c>
      <c r="AF13" s="401">
        <f t="shared" ca="1" si="12"/>
        <v>-80.634615384615387</v>
      </c>
      <c r="AG13" s="434">
        <f t="shared" ca="1" si="15"/>
        <v>12</v>
      </c>
      <c r="AH13" s="361"/>
    </row>
    <row r="14" spans="1:34" ht="15" customHeight="1">
      <c r="A14" s="357" t="s">
        <v>1371</v>
      </c>
      <c r="B14" s="318" t="s">
        <v>352</v>
      </c>
      <c r="C14" s="148">
        <v>2</v>
      </c>
      <c r="D14" s="165">
        <v>0</v>
      </c>
      <c r="E14" s="165">
        <v>4</v>
      </c>
      <c r="F14" s="213">
        <f t="shared" si="0"/>
        <v>6</v>
      </c>
      <c r="G14" s="353">
        <f>C15+D16+E17</f>
        <v>33</v>
      </c>
      <c r="H14" s="353">
        <f t="shared" si="1"/>
        <v>39</v>
      </c>
      <c r="I14" s="354">
        <f t="shared" si="2"/>
        <v>0.15384615384615385</v>
      </c>
      <c r="J14" s="467">
        <f t="shared" ref="J14:J17" ca="1" si="27">IFERROR(RANK(F14,OFFSET($F$14,0,0,COUNTA($F$14:$F$17),1)),)</f>
        <v>4</v>
      </c>
      <c r="K14" s="419" t="str">
        <f t="shared" ca="1" si="4"/>
        <v>D4-4</v>
      </c>
      <c r="L14" s="501" t="s">
        <v>263</v>
      </c>
      <c r="M14" s="466" t="str">
        <f t="array" aca="1" ref="M14" ca="1">IFERROR(INDEX($A$2:$K$17,MATCH(L14,$K$2:$K$17,0),2),)</f>
        <v>Travis Gillitzer &amp; Shuai Wang</v>
      </c>
      <c r="N14" s="483"/>
      <c r="O14" s="483"/>
      <c r="P14" s="483"/>
      <c r="Q14" s="494"/>
      <c r="R14" s="470">
        <v>13</v>
      </c>
      <c r="S14" s="470">
        <v>9</v>
      </c>
      <c r="T14" s="469">
        <v>21</v>
      </c>
      <c r="U14" s="469">
        <v>20</v>
      </c>
      <c r="V14" s="465">
        <f t="shared" ref="V14:W14" si="28">(N14+P14+R14+T14)</f>
        <v>34</v>
      </c>
      <c r="W14" s="465">
        <f t="shared" si="28"/>
        <v>29</v>
      </c>
      <c r="X14" s="465">
        <f t="shared" si="6"/>
        <v>63</v>
      </c>
      <c r="Y14" s="359"/>
      <c r="Z14" s="359" t="s">
        <v>350</v>
      </c>
      <c r="AA14" s="329" t="str">
        <f t="array" aca="1" ref="AA14" ca="1">INDEX($A$2:$K$17,MATCH(Z14,$B$2:$B$17,0),11)</f>
        <v>D3-4</v>
      </c>
      <c r="AB14" s="329">
        <f t="shared" ca="1" si="8"/>
        <v>18</v>
      </c>
      <c r="AC14" s="329">
        <f t="shared" ca="1" si="9"/>
        <v>30</v>
      </c>
      <c r="AD14" s="329">
        <f t="shared" ca="1" si="10"/>
        <v>48</v>
      </c>
      <c r="AE14" s="236">
        <f t="shared" ca="1" si="11"/>
        <v>0.375</v>
      </c>
      <c r="AF14" s="343">
        <f t="shared" ca="1" si="12"/>
        <v>-81.625</v>
      </c>
      <c r="AG14" s="432">
        <f t="shared" ca="1" si="15"/>
        <v>13</v>
      </c>
      <c r="AH14" s="361"/>
    </row>
    <row r="15" spans="1:34" ht="15" customHeight="1">
      <c r="A15" s="466" t="s">
        <v>1371</v>
      </c>
      <c r="B15" s="318" t="s">
        <v>354</v>
      </c>
      <c r="C15" s="105">
        <v>11</v>
      </c>
      <c r="D15" s="106">
        <v>11</v>
      </c>
      <c r="E15" s="106">
        <v>10</v>
      </c>
      <c r="F15" s="235">
        <f t="shared" si="0"/>
        <v>32</v>
      </c>
      <c r="G15" s="363">
        <f>C14+D17+E16</f>
        <v>18</v>
      </c>
      <c r="H15" s="363">
        <f t="shared" si="1"/>
        <v>50</v>
      </c>
      <c r="I15" s="360">
        <f t="shared" si="2"/>
        <v>0.64</v>
      </c>
      <c r="J15" s="467">
        <f t="shared" ca="1" si="27"/>
        <v>2</v>
      </c>
      <c r="K15" s="425" t="str">
        <f t="shared" ca="1" si="4"/>
        <v>D4-2</v>
      </c>
      <c r="L15" s="502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1386</v>
      </c>
      <c r="AA15" s="329" t="str">
        <f t="shared" ref="AA15:AA17" ca="1" si="30">IFERROR(INDEX($A$2:$K$17,MATCH(Z15,$B$2:$B$17,0),11),)</f>
        <v>D1-4</v>
      </c>
      <c r="AB15" s="455">
        <f t="shared" ca="1" si="8"/>
        <v>13</v>
      </c>
      <c r="AC15" s="455">
        <f t="shared" ca="1" si="9"/>
        <v>33</v>
      </c>
      <c r="AD15" s="329">
        <f t="shared" ca="1" si="10"/>
        <v>46</v>
      </c>
      <c r="AE15" s="236">
        <f t="shared" ca="1" si="11"/>
        <v>0.28260869565217389</v>
      </c>
      <c r="AF15" s="341">
        <f t="shared" ca="1" si="12"/>
        <v>-86.717391304347828</v>
      </c>
      <c r="AG15" s="432">
        <f t="shared" ca="1" si="15"/>
        <v>14</v>
      </c>
      <c r="AH15" s="361"/>
    </row>
    <row r="16" spans="1:34" ht="15" customHeight="1">
      <c r="A16" s="466" t="s">
        <v>1371</v>
      </c>
      <c r="B16" s="318" t="s">
        <v>46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363">
        <f>C17+D14+E15</f>
        <v>18</v>
      </c>
      <c r="H16" s="363">
        <f t="shared" si="1"/>
        <v>51</v>
      </c>
      <c r="I16" s="360">
        <f t="shared" si="2"/>
        <v>0.6470588235294118</v>
      </c>
      <c r="J16" s="467">
        <f t="shared" ca="1" si="27"/>
        <v>1</v>
      </c>
      <c r="K16" s="425" t="str">
        <f t="shared" ca="1" si="4"/>
        <v>D4-1</v>
      </c>
      <c r="L16" s="502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1">(N16+P16+R16+T16)</f>
        <v>0</v>
      </c>
      <c r="W16" s="465">
        <f t="shared" si="31"/>
        <v>0</v>
      </c>
      <c r="X16" s="465">
        <f t="shared" si="6"/>
        <v>0</v>
      </c>
      <c r="Y16" s="359"/>
      <c r="Z16" s="359" t="s">
        <v>341</v>
      </c>
      <c r="AA16" s="329" t="str">
        <f t="shared" ca="1" si="30"/>
        <v>D2-4</v>
      </c>
      <c r="AB16" s="455">
        <f t="shared" ca="1" si="8"/>
        <v>13</v>
      </c>
      <c r="AC16" s="455">
        <f t="shared" ca="1" si="9"/>
        <v>33</v>
      </c>
      <c r="AD16" s="329">
        <f t="shared" ca="1" si="10"/>
        <v>46</v>
      </c>
      <c r="AE16" s="236">
        <f t="shared" ca="1" si="11"/>
        <v>0.28260869565217389</v>
      </c>
      <c r="AF16" s="333">
        <f t="shared" ca="1" si="12"/>
        <v>-86.717391304347828</v>
      </c>
      <c r="AG16" s="432">
        <f t="shared" ca="1" si="15"/>
        <v>14</v>
      </c>
      <c r="AH16" s="361"/>
    </row>
    <row r="17" spans="1:34" ht="15" customHeight="1">
      <c r="A17" s="366" t="s">
        <v>1371</v>
      </c>
      <c r="B17" s="320" t="s">
        <v>357</v>
      </c>
      <c r="C17" s="109">
        <v>8</v>
      </c>
      <c r="D17" s="110">
        <v>5</v>
      </c>
      <c r="E17" s="111">
        <v>11</v>
      </c>
      <c r="F17" s="252">
        <f t="shared" si="0"/>
        <v>24</v>
      </c>
      <c r="G17" s="368">
        <f>C16+D15+E14</f>
        <v>26</v>
      </c>
      <c r="H17" s="368">
        <f t="shared" si="1"/>
        <v>50</v>
      </c>
      <c r="I17" s="369">
        <f t="shared" si="2"/>
        <v>0.48</v>
      </c>
      <c r="J17" s="471">
        <f t="shared" ca="1" si="27"/>
        <v>3</v>
      </c>
      <c r="K17" s="430" t="str">
        <f t="shared" ca="1" si="4"/>
        <v>D4-3</v>
      </c>
      <c r="L17" s="500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352</v>
      </c>
      <c r="AA17" s="337" t="str">
        <f t="shared" ca="1" si="30"/>
        <v>D4-4</v>
      </c>
      <c r="AB17" s="337">
        <f t="shared" ca="1" si="8"/>
        <v>6</v>
      </c>
      <c r="AC17" s="337">
        <f t="shared" ca="1" si="9"/>
        <v>33</v>
      </c>
      <c r="AD17" s="337">
        <f t="shared" ca="1" si="10"/>
        <v>39</v>
      </c>
      <c r="AE17" s="253">
        <f t="shared" ca="1" si="11"/>
        <v>0.15384615384615385</v>
      </c>
      <c r="AF17" s="338">
        <f t="shared" ca="1" si="12"/>
        <v>-93.84615384615384</v>
      </c>
      <c r="AG17" s="434">
        <f t="shared" ca="1" si="15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125</v>
      </c>
      <c r="D19" s="388">
        <f t="shared" si="33"/>
        <v>123</v>
      </c>
      <c r="E19" s="388">
        <f>SUM(E2:E18)</f>
        <v>133</v>
      </c>
      <c r="F19" s="389">
        <f t="shared" ref="F19:G19" si="34">SUM(F2:F17)</f>
        <v>381</v>
      </c>
      <c r="G19" s="389">
        <f t="shared" si="34"/>
        <v>381</v>
      </c>
      <c r="H19" s="390">
        <f>SUM(H2:H17)/2</f>
        <v>381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47</v>
      </c>
      <c r="S19" s="385">
        <f t="shared" si="35"/>
        <v>47</v>
      </c>
      <c r="T19" s="385">
        <f t="shared" si="35"/>
        <v>41</v>
      </c>
      <c r="U19" s="385">
        <f t="shared" si="35"/>
        <v>41</v>
      </c>
      <c r="V19" s="385">
        <f t="shared" si="35"/>
        <v>88</v>
      </c>
      <c r="W19" s="385">
        <f t="shared" si="35"/>
        <v>88</v>
      </c>
      <c r="X19" s="385">
        <f>SUM(X2:X17)/2</f>
        <v>88</v>
      </c>
      <c r="Y19" s="385"/>
      <c r="Z19" s="385"/>
      <c r="AA19" s="385"/>
      <c r="AB19" s="385">
        <f t="shared" ref="AB19:AD19" ca="1" si="36">SUM(AB2:AB17)/2</f>
        <v>234.5</v>
      </c>
      <c r="AC19" s="385">
        <f t="shared" ca="1" si="36"/>
        <v>234.5</v>
      </c>
      <c r="AD19" s="385">
        <f t="shared" ca="1" si="36"/>
        <v>469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1</v>
      </c>
      <c r="F20" s="386"/>
      <c r="G20" s="386"/>
      <c r="H20" s="394">
        <f>AVERAGE(H2:H17)</f>
        <v>47.625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1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58.625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4">
    <mergeCell ref="L2:L5"/>
    <mergeCell ref="L6:L9"/>
    <mergeCell ref="L10:L13"/>
    <mergeCell ref="L14:L17"/>
  </mergeCells>
  <conditionalFormatting sqref="F2:F17">
    <cfRule type="cellIs" dxfId="3" priority="1" operator="equal">
      <formula>33</formula>
    </cfRule>
  </conditionalFormatting>
  <hyperlinks>
    <hyperlink ref="A1" location="Champions!A1" display="Home" xr:uid="{00000000-0004-0000-2500-000000000000}"/>
    <hyperlink ref="AH1" location="Champions!A1" display="Home" xr:uid="{00000000-0004-0000-2500-000001000000}"/>
    <hyperlink ref="A19" location="Champions!A1" display="Home" xr:uid="{00000000-0004-0000-2500-000002000000}"/>
    <hyperlink ref="K19" location="Champions!A1" display="Home" xr:uid="{00000000-0004-0000-2500-000003000000}"/>
  </hyperlinks>
  <pageMargins left="0.7" right="0.7" top="0.75" bottom="0.75" header="0" footer="0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7.4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4.7265625" customWidth="1"/>
    <col min="13" max="13" width="25.453125" customWidth="1"/>
    <col min="14" max="21" width="6.26953125" customWidth="1"/>
    <col min="22" max="24" width="7.7265625" customWidth="1"/>
    <col min="25" max="25" width="6.81640625" customWidth="1"/>
    <col min="26" max="26" width="27.269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311</v>
      </c>
      <c r="C2" s="496">
        <v>11</v>
      </c>
      <c r="D2" s="497">
        <v>11</v>
      </c>
      <c r="E2" s="498">
        <v>9</v>
      </c>
      <c r="F2" s="213">
        <f t="shared" ref="F2:F17" si="0">SUM(C2:E2)</f>
        <v>31</v>
      </c>
      <c r="G2" s="353">
        <f>C5+D4+E3</f>
        <v>24</v>
      </c>
      <c r="H2" s="353">
        <f t="shared" ref="H2:H17" si="1">SUM(F2:G2)</f>
        <v>55</v>
      </c>
      <c r="I2" s="354">
        <f t="shared" ref="I2:I17" si="2">IFERROR(F2/H2,"")</f>
        <v>0.5636363636363636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01" t="s">
        <v>207</v>
      </c>
      <c r="M2" s="357" t="str">
        <f t="array" aca="1" ref="M2" ca="1">IFERROR(INDEX($A$2:$K$17,MATCH(L2,$K$2:$K$17,0),2),)</f>
        <v>Devin Gist &amp; Brandon Vereyken</v>
      </c>
      <c r="N2" s="482"/>
      <c r="O2" s="482"/>
      <c r="P2" s="482"/>
      <c r="Q2" s="493"/>
      <c r="R2" s="464">
        <v>5</v>
      </c>
      <c r="S2" s="464">
        <v>12</v>
      </c>
      <c r="T2" s="463"/>
      <c r="U2" s="463"/>
      <c r="V2" s="465">
        <f t="shared" ref="V2:W2" si="5">(N2+P2+R2+T2)</f>
        <v>5</v>
      </c>
      <c r="W2" s="465">
        <f t="shared" si="5"/>
        <v>12</v>
      </c>
      <c r="X2" s="465">
        <f t="shared" ref="X2:X17" si="6">V2+W2</f>
        <v>17</v>
      </c>
      <c r="Y2" s="359"/>
      <c r="Z2" s="359" t="s">
        <v>43</v>
      </c>
      <c r="AA2" s="329" t="str">
        <f t="shared" ref="AA2:AA5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58</v>
      </c>
      <c r="AC2" s="329">
        <f t="shared" ref="AC2:AC17" ca="1" si="9">IFERROR((INDEX($A$2:$H$17,MATCH($Z2,$B$2:$B$17,0),7))+INDEX($M$2:$X$17,MATCH($Z2,$M$2:$M$17,0),11),INDEX($B$2:$G$17,MATCH($Z2,$B$2:$B$17,0),6))</f>
        <v>33</v>
      </c>
      <c r="AD2" s="329">
        <f t="shared" ref="AD2:AD17" ca="1" si="10">SUM(AB2:AC2)</f>
        <v>91</v>
      </c>
      <c r="AE2" s="236">
        <f t="shared" ref="AE2:AE17" ca="1" si="11">AB2/AD2</f>
        <v>0.63736263736263732</v>
      </c>
      <c r="AF2" s="330">
        <f t="shared" ref="AF2:AF17" ca="1" si="12">AE2-(100-AB2)</f>
        <v>-41.362637362637365</v>
      </c>
      <c r="AG2" s="449">
        <v>1</v>
      </c>
    </row>
    <row r="3" spans="1:34" ht="15" customHeight="1">
      <c r="A3" s="466" t="s">
        <v>1367</v>
      </c>
      <c r="B3" s="318" t="s">
        <v>312</v>
      </c>
      <c r="C3" s="316">
        <v>8</v>
      </c>
      <c r="D3" s="317">
        <v>4</v>
      </c>
      <c r="E3" s="317">
        <v>11</v>
      </c>
      <c r="F3" s="235">
        <f t="shared" si="0"/>
        <v>23</v>
      </c>
      <c r="G3" s="363">
        <f>C4+D5+E2</f>
        <v>31</v>
      </c>
      <c r="H3" s="363">
        <f t="shared" si="1"/>
        <v>54</v>
      </c>
      <c r="I3" s="360">
        <f t="shared" si="2"/>
        <v>0.42592592592592593</v>
      </c>
      <c r="J3" s="467">
        <f t="shared" ca="1" si="3"/>
        <v>4</v>
      </c>
      <c r="K3" s="425" t="str">
        <f t="shared" ca="1" si="4"/>
        <v>D1-4</v>
      </c>
      <c r="L3" s="502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3">(N3+P3+R3+T3)</f>
        <v>0</v>
      </c>
      <c r="W3" s="465">
        <f t="shared" si="13"/>
        <v>0</v>
      </c>
      <c r="X3" s="465">
        <f t="shared" si="6"/>
        <v>0</v>
      </c>
      <c r="Y3" s="359"/>
      <c r="Z3" s="359" t="s">
        <v>44</v>
      </c>
      <c r="AA3" s="329" t="str">
        <f t="shared" ca="1" si="7"/>
        <v>D3-1</v>
      </c>
      <c r="AB3" s="329">
        <f t="shared" ca="1" si="8"/>
        <v>60</v>
      </c>
      <c r="AC3" s="329">
        <f t="shared" ca="1" si="9"/>
        <v>36</v>
      </c>
      <c r="AD3" s="329">
        <f t="shared" ca="1" si="10"/>
        <v>96</v>
      </c>
      <c r="AE3" s="236">
        <f t="shared" ca="1" si="11"/>
        <v>0.625</v>
      </c>
      <c r="AF3" s="341">
        <f t="shared" ca="1" si="12"/>
        <v>-39.375</v>
      </c>
      <c r="AG3" s="449">
        <v>2</v>
      </c>
    </row>
    <row r="4" spans="1:34" ht="15" customHeight="1">
      <c r="A4" s="466" t="s">
        <v>1367</v>
      </c>
      <c r="B4" s="318" t="s">
        <v>313</v>
      </c>
      <c r="C4" s="316">
        <v>11</v>
      </c>
      <c r="D4" s="319">
        <v>6</v>
      </c>
      <c r="E4" s="319">
        <v>11</v>
      </c>
      <c r="F4" s="235">
        <f t="shared" si="0"/>
        <v>28</v>
      </c>
      <c r="G4" s="363">
        <f>C3+D2+E5</f>
        <v>26</v>
      </c>
      <c r="H4" s="363">
        <f t="shared" si="1"/>
        <v>54</v>
      </c>
      <c r="I4" s="360">
        <f t="shared" si="2"/>
        <v>0.51851851851851849</v>
      </c>
      <c r="J4" s="467">
        <f t="shared" ca="1" si="3"/>
        <v>2</v>
      </c>
      <c r="K4" s="425" t="str">
        <f t="shared" ca="1" si="4"/>
        <v>D1-2</v>
      </c>
      <c r="L4" s="502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4">(N4+P4+R4+T4)</f>
        <v>0</v>
      </c>
      <c r="W4" s="465">
        <f t="shared" si="14"/>
        <v>0</v>
      </c>
      <c r="X4" s="465">
        <f t="shared" si="6"/>
        <v>0</v>
      </c>
      <c r="Y4" s="359"/>
      <c r="Z4" s="359" t="s">
        <v>317</v>
      </c>
      <c r="AA4" s="329" t="str">
        <f t="shared" ca="1" si="7"/>
        <v>D2-1</v>
      </c>
      <c r="AB4" s="329">
        <f t="shared" ca="1" si="8"/>
        <v>42</v>
      </c>
      <c r="AC4" s="329">
        <f t="shared" ca="1" si="9"/>
        <v>33</v>
      </c>
      <c r="AD4" s="329">
        <f t="shared" ca="1" si="10"/>
        <v>75</v>
      </c>
      <c r="AE4" s="236">
        <f t="shared" ca="1" si="11"/>
        <v>0.56000000000000005</v>
      </c>
      <c r="AF4" s="341">
        <f t="shared" ca="1" si="12"/>
        <v>-57.44</v>
      </c>
      <c r="AG4" s="432">
        <f t="shared" ref="AG4:AG17" ca="1" si="15">RANK($AF4,OFFSET($AF$2,0,0,COUNTA($AF$2:$AF$17),1))</f>
        <v>3</v>
      </c>
    </row>
    <row r="5" spans="1:34" ht="15" customHeight="1">
      <c r="A5" s="366" t="s">
        <v>1367</v>
      </c>
      <c r="B5" s="320" t="s">
        <v>314</v>
      </c>
      <c r="C5" s="320">
        <v>7</v>
      </c>
      <c r="D5" s="321">
        <v>11</v>
      </c>
      <c r="E5" s="322">
        <v>7</v>
      </c>
      <c r="F5" s="252">
        <f t="shared" si="0"/>
        <v>25</v>
      </c>
      <c r="G5" s="368">
        <f>C2+D3+E4</f>
        <v>26</v>
      </c>
      <c r="H5" s="368">
        <f t="shared" si="1"/>
        <v>51</v>
      </c>
      <c r="I5" s="369">
        <f t="shared" si="2"/>
        <v>0.49019607843137253</v>
      </c>
      <c r="J5" s="471">
        <f t="shared" ca="1" si="3"/>
        <v>3</v>
      </c>
      <c r="K5" s="430" t="str">
        <f t="shared" ca="1" si="4"/>
        <v>D1-3</v>
      </c>
      <c r="L5" s="500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311</v>
      </c>
      <c r="AA5" s="337" t="str">
        <f t="shared" ca="1" si="7"/>
        <v>D1-1</v>
      </c>
      <c r="AB5" s="337">
        <f t="shared" ca="1" si="8"/>
        <v>36</v>
      </c>
      <c r="AC5" s="337">
        <f t="shared" ca="1" si="9"/>
        <v>36</v>
      </c>
      <c r="AD5" s="337">
        <f t="shared" ca="1" si="10"/>
        <v>72</v>
      </c>
      <c r="AE5" s="253">
        <f t="shared" ca="1" si="11"/>
        <v>0.5</v>
      </c>
      <c r="AF5" s="399">
        <f t="shared" ca="1" si="12"/>
        <v>-63.5</v>
      </c>
      <c r="AG5" s="434">
        <f t="shared" ca="1" si="15"/>
        <v>4</v>
      </c>
    </row>
    <row r="6" spans="1:34" ht="15" customHeight="1">
      <c r="A6" s="357" t="s">
        <v>1368</v>
      </c>
      <c r="B6" s="318" t="s">
        <v>316</v>
      </c>
      <c r="C6" s="496">
        <v>6</v>
      </c>
      <c r="D6" s="497">
        <v>9</v>
      </c>
      <c r="E6" s="498">
        <v>5</v>
      </c>
      <c r="F6" s="213">
        <f t="shared" si="0"/>
        <v>20</v>
      </c>
      <c r="G6" s="353">
        <f>C7+D9+E8</f>
        <v>33</v>
      </c>
      <c r="H6" s="353">
        <f t="shared" si="1"/>
        <v>53</v>
      </c>
      <c r="I6" s="354">
        <f t="shared" si="2"/>
        <v>0.37735849056603776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01" t="s">
        <v>225</v>
      </c>
      <c r="M6" s="466" t="str">
        <f t="array" aca="1" ref="M6" ca="1">IFERROR(INDEX($A$2:$K$17,MATCH(L6,$K$2:$K$17,0),2),)</f>
        <v>Sid Khan &amp; Gary Bicknell</v>
      </c>
      <c r="N6" s="483"/>
      <c r="O6" s="483"/>
      <c r="P6" s="483"/>
      <c r="Q6" s="494"/>
      <c r="R6" s="470">
        <v>9</v>
      </c>
      <c r="S6" s="470">
        <v>13</v>
      </c>
      <c r="T6" s="469"/>
      <c r="U6" s="469"/>
      <c r="V6" s="476">
        <f t="shared" ref="V6:W6" si="18">(N6+P6+R6+T6)</f>
        <v>9</v>
      </c>
      <c r="W6" s="476">
        <f t="shared" si="18"/>
        <v>13</v>
      </c>
      <c r="X6" s="476">
        <f t="shared" si="6"/>
        <v>22</v>
      </c>
      <c r="Y6" s="374"/>
      <c r="Z6" s="374" t="s">
        <v>325</v>
      </c>
      <c r="AA6" s="340" t="str">
        <f t="array" aca="1" ref="AA6" ca="1">INDEX($A$2:$K$17,MATCH(Z6,$B$2:$B$17,0),11)</f>
        <v>D3-2</v>
      </c>
      <c r="AB6" s="340">
        <f t="shared" ca="1" si="8"/>
        <v>29</v>
      </c>
      <c r="AC6" s="340">
        <f t="shared" ca="1" si="9"/>
        <v>24</v>
      </c>
      <c r="AD6" s="340">
        <f t="shared" ca="1" si="10"/>
        <v>53</v>
      </c>
      <c r="AE6" s="214">
        <f t="shared" ca="1" si="11"/>
        <v>0.54716981132075471</v>
      </c>
      <c r="AF6" s="341">
        <f t="shared" ca="1" si="12"/>
        <v>-70.452830188679243</v>
      </c>
      <c r="AG6" s="432">
        <f t="shared" ca="1" si="15"/>
        <v>5</v>
      </c>
    </row>
    <row r="7" spans="1:34" ht="15" customHeight="1">
      <c r="A7" s="466" t="s">
        <v>1368</v>
      </c>
      <c r="B7" s="318" t="s">
        <v>317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363">
        <f>C6+D8+E9</f>
        <v>20</v>
      </c>
      <c r="H7" s="363">
        <f t="shared" si="1"/>
        <v>53</v>
      </c>
      <c r="I7" s="360">
        <f t="shared" si="2"/>
        <v>0.62264150943396224</v>
      </c>
      <c r="J7" s="467">
        <f t="shared" ca="1" si="17"/>
        <v>1</v>
      </c>
      <c r="K7" s="425" t="str">
        <f t="shared" ca="1" si="4"/>
        <v>D2-1</v>
      </c>
      <c r="L7" s="502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47</v>
      </c>
      <c r="AA7" s="329" t="str">
        <f t="shared" ref="AA7:AA17" ca="1" si="20">IFERROR(INDEX($A$2:$K$17,MATCH(Z7,$B$2:$B$17,0),11),)</f>
        <v>D2-2</v>
      </c>
      <c r="AB7" s="329">
        <f t="shared" ca="1" si="8"/>
        <v>29</v>
      </c>
      <c r="AC7" s="329">
        <f t="shared" ca="1" si="9"/>
        <v>27</v>
      </c>
      <c r="AD7" s="329">
        <f t="shared" ca="1" si="10"/>
        <v>56</v>
      </c>
      <c r="AE7" s="236">
        <f t="shared" ca="1" si="11"/>
        <v>0.5178571428571429</v>
      </c>
      <c r="AF7" s="341">
        <f t="shared" ca="1" si="12"/>
        <v>-70.482142857142861</v>
      </c>
      <c r="AG7" s="432">
        <f t="shared" ca="1" si="15"/>
        <v>6</v>
      </c>
    </row>
    <row r="8" spans="1:34" ht="15" customHeight="1">
      <c r="A8" s="466" t="s">
        <v>1368</v>
      </c>
      <c r="B8" s="318" t="s">
        <v>47</v>
      </c>
      <c r="C8" s="316">
        <v>9</v>
      </c>
      <c r="D8" s="319">
        <v>9</v>
      </c>
      <c r="E8" s="319">
        <v>11</v>
      </c>
      <c r="F8" s="235">
        <f t="shared" si="0"/>
        <v>29</v>
      </c>
      <c r="G8" s="363">
        <f>C9+D7+E6</f>
        <v>27</v>
      </c>
      <c r="H8" s="363">
        <f t="shared" si="1"/>
        <v>56</v>
      </c>
      <c r="I8" s="360">
        <f t="shared" si="2"/>
        <v>0.5178571428571429</v>
      </c>
      <c r="J8" s="467">
        <f t="shared" ca="1" si="17"/>
        <v>2</v>
      </c>
      <c r="K8" s="425" t="str">
        <f t="shared" ca="1" si="4"/>
        <v>D2-2</v>
      </c>
      <c r="L8" s="502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1">(N8+P8+R8+T8)</f>
        <v>0</v>
      </c>
      <c r="W8" s="465">
        <f t="shared" si="21"/>
        <v>0</v>
      </c>
      <c r="X8" s="465">
        <f t="shared" si="6"/>
        <v>0</v>
      </c>
      <c r="Y8" s="359"/>
      <c r="Z8" s="359" t="s">
        <v>313</v>
      </c>
      <c r="AA8" s="329" t="str">
        <f t="shared" ca="1" si="20"/>
        <v>D1-2</v>
      </c>
      <c r="AB8" s="329">
        <f t="shared" ca="1" si="8"/>
        <v>28</v>
      </c>
      <c r="AC8" s="329">
        <f t="shared" ca="1" si="9"/>
        <v>26</v>
      </c>
      <c r="AD8" s="329">
        <f t="shared" ca="1" si="10"/>
        <v>54</v>
      </c>
      <c r="AE8" s="360">
        <f t="shared" ca="1" si="11"/>
        <v>0.51851851851851849</v>
      </c>
      <c r="AF8" s="341">
        <f t="shared" ca="1" si="12"/>
        <v>-71.481481481481481</v>
      </c>
      <c r="AG8" s="428">
        <f t="shared" ca="1" si="15"/>
        <v>7</v>
      </c>
    </row>
    <row r="9" spans="1:34" ht="15" customHeight="1">
      <c r="A9" s="366" t="s">
        <v>1368</v>
      </c>
      <c r="B9" s="320" t="s">
        <v>322</v>
      </c>
      <c r="C9" s="320">
        <v>11</v>
      </c>
      <c r="D9" s="321">
        <v>11</v>
      </c>
      <c r="E9" s="322">
        <v>5</v>
      </c>
      <c r="F9" s="252">
        <f t="shared" si="0"/>
        <v>27</v>
      </c>
      <c r="G9" s="368">
        <f>C8+D6+E7</f>
        <v>29</v>
      </c>
      <c r="H9" s="368">
        <f t="shared" si="1"/>
        <v>56</v>
      </c>
      <c r="I9" s="369">
        <f t="shared" si="2"/>
        <v>0.48214285714285715</v>
      </c>
      <c r="J9" s="471">
        <f t="shared" ca="1" si="17"/>
        <v>3</v>
      </c>
      <c r="K9" s="430" t="str">
        <f t="shared" ca="1" si="4"/>
        <v>D2-3</v>
      </c>
      <c r="L9" s="500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2">(N9+P9+R9+T9)</f>
        <v>0</v>
      </c>
      <c r="W9" s="475">
        <f t="shared" si="22"/>
        <v>0</v>
      </c>
      <c r="X9" s="475">
        <f t="shared" si="6"/>
        <v>0</v>
      </c>
      <c r="Y9" s="372"/>
      <c r="Z9" s="372" t="s">
        <v>322</v>
      </c>
      <c r="AA9" s="337" t="str">
        <f t="shared" ca="1" si="20"/>
        <v>D2-3</v>
      </c>
      <c r="AB9" s="337">
        <f t="shared" ca="1" si="8"/>
        <v>27</v>
      </c>
      <c r="AC9" s="337">
        <f t="shared" ca="1" si="9"/>
        <v>29</v>
      </c>
      <c r="AD9" s="337">
        <f t="shared" ca="1" si="10"/>
        <v>56</v>
      </c>
      <c r="AE9" s="253">
        <f t="shared" ca="1" si="11"/>
        <v>0.48214285714285715</v>
      </c>
      <c r="AF9" s="338">
        <f t="shared" ca="1" si="12"/>
        <v>-72.517857142857139</v>
      </c>
      <c r="AG9" s="434">
        <f t="shared" ca="1" si="15"/>
        <v>8</v>
      </c>
    </row>
    <row r="10" spans="1:34" ht="15" customHeight="1">
      <c r="A10" s="357" t="s">
        <v>1369</v>
      </c>
      <c r="B10" s="318" t="s">
        <v>323</v>
      </c>
      <c r="C10" s="496">
        <v>0</v>
      </c>
      <c r="D10" s="497">
        <v>3</v>
      </c>
      <c r="E10" s="498">
        <v>7</v>
      </c>
      <c r="F10" s="213">
        <f t="shared" si="0"/>
        <v>10</v>
      </c>
      <c r="G10" s="353">
        <f>C12+D11+E13</f>
        <v>33</v>
      </c>
      <c r="H10" s="353">
        <f t="shared" si="1"/>
        <v>43</v>
      </c>
      <c r="I10" s="354">
        <f t="shared" si="2"/>
        <v>0.23255813953488372</v>
      </c>
      <c r="J10" s="467">
        <f t="shared" ref="J10:J13" ca="1" si="23">IFERROR(RANK(F10,OFFSET($F$10,0,0,COUNTA($F$10:$F$13),1)),)</f>
        <v>4</v>
      </c>
      <c r="K10" s="419" t="str">
        <f t="shared" ca="1" si="4"/>
        <v>D3-4</v>
      </c>
      <c r="L10" s="501" t="s">
        <v>243</v>
      </c>
      <c r="M10" s="466" t="str">
        <f t="array" aca="1" ref="M10" ca="1">IFERROR(INDEX($A$2:$K$17,MATCH(L10,$K$2:$K$17,0),2),)</f>
        <v>Brian Sullivan &amp; Danny Ng</v>
      </c>
      <c r="N10" s="483"/>
      <c r="O10" s="483"/>
      <c r="P10" s="483"/>
      <c r="Q10" s="494"/>
      <c r="R10" s="470">
        <v>13</v>
      </c>
      <c r="S10" s="470">
        <v>9</v>
      </c>
      <c r="T10" s="469">
        <v>15</v>
      </c>
      <c r="U10" s="469">
        <v>13</v>
      </c>
      <c r="V10" s="465">
        <f t="shared" ref="V10:W10" si="24">(N10+P10+R10+T10)</f>
        <v>28</v>
      </c>
      <c r="W10" s="465">
        <f t="shared" si="24"/>
        <v>22</v>
      </c>
      <c r="X10" s="465">
        <f t="shared" si="6"/>
        <v>50</v>
      </c>
      <c r="Y10" s="359"/>
      <c r="Z10" s="359" t="s">
        <v>330</v>
      </c>
      <c r="AA10" s="329" t="str">
        <f t="shared" ca="1" si="20"/>
        <v>D4-2</v>
      </c>
      <c r="AB10" s="329">
        <f t="shared" ca="1" si="8"/>
        <v>26</v>
      </c>
      <c r="AC10" s="329">
        <f t="shared" ca="1" si="9"/>
        <v>24</v>
      </c>
      <c r="AD10" s="329">
        <f t="shared" ca="1" si="10"/>
        <v>50</v>
      </c>
      <c r="AE10" s="236">
        <f t="shared" ca="1" si="11"/>
        <v>0.52</v>
      </c>
      <c r="AF10" s="341">
        <f t="shared" ca="1" si="12"/>
        <v>-73.48</v>
      </c>
      <c r="AG10" s="432">
        <f t="shared" ca="1" si="15"/>
        <v>9</v>
      </c>
    </row>
    <row r="11" spans="1:34" ht="15" customHeight="1">
      <c r="A11" s="466" t="s">
        <v>1369</v>
      </c>
      <c r="B11" s="318" t="s">
        <v>325</v>
      </c>
      <c r="C11" s="316">
        <v>7</v>
      </c>
      <c r="D11" s="317">
        <v>11</v>
      </c>
      <c r="E11" s="317">
        <v>11</v>
      </c>
      <c r="F11" s="235">
        <f t="shared" si="0"/>
        <v>29</v>
      </c>
      <c r="G11" s="363">
        <f>C13+D10+E12</f>
        <v>24</v>
      </c>
      <c r="H11" s="363">
        <f t="shared" si="1"/>
        <v>53</v>
      </c>
      <c r="I11" s="360">
        <f t="shared" si="2"/>
        <v>0.54716981132075471</v>
      </c>
      <c r="J11" s="467">
        <f t="shared" ca="1" si="23"/>
        <v>2</v>
      </c>
      <c r="K11" s="425" t="str">
        <f t="shared" ca="1" si="4"/>
        <v>D3-2</v>
      </c>
      <c r="L11" s="502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5">(N11+P11+R11+T11)</f>
        <v>0</v>
      </c>
      <c r="W11" s="465">
        <f t="shared" si="25"/>
        <v>0</v>
      </c>
      <c r="X11" s="465">
        <f t="shared" si="6"/>
        <v>0</v>
      </c>
      <c r="Y11" s="359"/>
      <c r="Z11" s="359" t="s">
        <v>327</v>
      </c>
      <c r="AA11" s="329" t="str">
        <f t="shared" ca="1" si="20"/>
        <v>D3-3</v>
      </c>
      <c r="AB11" s="329">
        <f t="shared" ca="1" si="8"/>
        <v>25</v>
      </c>
      <c r="AC11" s="329">
        <f t="shared" ca="1" si="9"/>
        <v>25</v>
      </c>
      <c r="AD11" s="329">
        <f t="shared" ca="1" si="10"/>
        <v>50</v>
      </c>
      <c r="AE11" s="236">
        <f t="shared" ca="1" si="11"/>
        <v>0.5</v>
      </c>
      <c r="AF11" s="333">
        <f t="shared" ca="1" si="12"/>
        <v>-74.5</v>
      </c>
      <c r="AG11" s="432">
        <f t="shared" ca="1" si="15"/>
        <v>10</v>
      </c>
    </row>
    <row r="12" spans="1:34" ht="15" customHeight="1">
      <c r="A12" s="466" t="s">
        <v>1369</v>
      </c>
      <c r="B12" s="318" t="s">
        <v>44</v>
      </c>
      <c r="C12" s="316">
        <v>11</v>
      </c>
      <c r="D12" s="319">
        <v>11</v>
      </c>
      <c r="E12" s="319">
        <v>10</v>
      </c>
      <c r="F12" s="235">
        <f t="shared" si="0"/>
        <v>32</v>
      </c>
      <c r="G12" s="363">
        <f>C10+D13+E11</f>
        <v>14</v>
      </c>
      <c r="H12" s="363">
        <f t="shared" si="1"/>
        <v>46</v>
      </c>
      <c r="I12" s="360">
        <f t="shared" si="2"/>
        <v>0.69565217391304346</v>
      </c>
      <c r="J12" s="467">
        <f t="shared" ca="1" si="23"/>
        <v>1</v>
      </c>
      <c r="K12" s="425" t="str">
        <f t="shared" ca="1" si="4"/>
        <v>D3-1</v>
      </c>
      <c r="L12" s="502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6">(N12+P12+R12+T12)</f>
        <v>0</v>
      </c>
      <c r="W12" s="465">
        <f t="shared" si="26"/>
        <v>0</v>
      </c>
      <c r="X12" s="465">
        <f t="shared" si="6"/>
        <v>0</v>
      </c>
      <c r="Y12" s="359"/>
      <c r="Z12" s="359" t="s">
        <v>314</v>
      </c>
      <c r="AA12" s="329" t="str">
        <f t="shared" ca="1" si="20"/>
        <v>D1-3</v>
      </c>
      <c r="AB12" s="329">
        <f t="shared" ca="1" si="8"/>
        <v>25</v>
      </c>
      <c r="AC12" s="329">
        <f t="shared" ca="1" si="9"/>
        <v>26</v>
      </c>
      <c r="AD12" s="329">
        <f t="shared" ca="1" si="10"/>
        <v>51</v>
      </c>
      <c r="AE12" s="236">
        <f t="shared" ca="1" si="11"/>
        <v>0.49019607843137253</v>
      </c>
      <c r="AF12" s="343">
        <f t="shared" ca="1" si="12"/>
        <v>-74.509803921568633</v>
      </c>
      <c r="AG12" s="432">
        <f t="shared" ca="1" si="15"/>
        <v>11</v>
      </c>
    </row>
    <row r="13" spans="1:34" ht="15" customHeight="1">
      <c r="A13" s="366" t="s">
        <v>1369</v>
      </c>
      <c r="B13" s="320" t="s">
        <v>327</v>
      </c>
      <c r="C13" s="320">
        <v>11</v>
      </c>
      <c r="D13" s="321">
        <v>3</v>
      </c>
      <c r="E13" s="322">
        <v>11</v>
      </c>
      <c r="F13" s="252">
        <f t="shared" si="0"/>
        <v>25</v>
      </c>
      <c r="G13" s="368">
        <f>C11+D12+E10</f>
        <v>25</v>
      </c>
      <c r="H13" s="368">
        <f t="shared" si="1"/>
        <v>50</v>
      </c>
      <c r="I13" s="369">
        <f t="shared" si="2"/>
        <v>0.5</v>
      </c>
      <c r="J13" s="471">
        <f t="shared" ca="1" si="23"/>
        <v>3</v>
      </c>
      <c r="K13" s="430" t="str">
        <f t="shared" ca="1" si="4"/>
        <v>D3-3</v>
      </c>
      <c r="L13" s="500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312</v>
      </c>
      <c r="AA13" s="337" t="str">
        <f t="shared" ca="1" si="20"/>
        <v>D1-4</v>
      </c>
      <c r="AB13" s="337">
        <f t="shared" ca="1" si="8"/>
        <v>23</v>
      </c>
      <c r="AC13" s="337">
        <f t="shared" ca="1" si="9"/>
        <v>31</v>
      </c>
      <c r="AD13" s="337">
        <f t="shared" ca="1" si="10"/>
        <v>54</v>
      </c>
      <c r="AE13" s="253">
        <f t="shared" ca="1" si="11"/>
        <v>0.42592592592592593</v>
      </c>
      <c r="AF13" s="345">
        <f t="shared" ca="1" si="12"/>
        <v>-76.574074074074076</v>
      </c>
      <c r="AG13" s="434">
        <f t="shared" ca="1" si="15"/>
        <v>12</v>
      </c>
    </row>
    <row r="14" spans="1:34" ht="15" customHeight="1">
      <c r="A14" s="357" t="s">
        <v>1371</v>
      </c>
      <c r="B14" s="318" t="s">
        <v>328</v>
      </c>
      <c r="C14" s="496">
        <v>6</v>
      </c>
      <c r="D14" s="497">
        <v>11</v>
      </c>
      <c r="E14" s="498">
        <v>5</v>
      </c>
      <c r="F14" s="213">
        <f t="shared" si="0"/>
        <v>22</v>
      </c>
      <c r="G14" s="353">
        <f>C17+D16+E15</f>
        <v>31</v>
      </c>
      <c r="H14" s="353">
        <f t="shared" si="1"/>
        <v>53</v>
      </c>
      <c r="I14" s="354">
        <f t="shared" si="2"/>
        <v>0.41509433962264153</v>
      </c>
      <c r="J14" s="467">
        <f t="shared" ref="J14:J17" ca="1" si="28">IFERROR(RANK(F14,OFFSET($F$14,0,0,COUNTA($F$14:$F$17),1)),)</f>
        <v>3</v>
      </c>
      <c r="K14" s="419" t="str">
        <f t="shared" ca="1" si="4"/>
        <v>D4-3</v>
      </c>
      <c r="L14" s="501" t="s">
        <v>263</v>
      </c>
      <c r="M14" s="466" t="str">
        <f t="array" aca="1" ref="M14" ca="1">IFERROR(INDEX($A$2:$K$17,MATCH(L14,$K$2:$K$17,0),2),)</f>
        <v>Gary Bradley &amp; Mickey Tan</v>
      </c>
      <c r="N14" s="483"/>
      <c r="O14" s="483"/>
      <c r="P14" s="483"/>
      <c r="Q14" s="494"/>
      <c r="R14" s="470">
        <v>12</v>
      </c>
      <c r="S14" s="470">
        <v>5</v>
      </c>
      <c r="T14" s="469">
        <v>13</v>
      </c>
      <c r="U14" s="469">
        <v>15</v>
      </c>
      <c r="V14" s="465">
        <f t="shared" ref="V14:W14" si="29">(N14+P14+R14+T14)</f>
        <v>25</v>
      </c>
      <c r="W14" s="465">
        <f t="shared" si="29"/>
        <v>20</v>
      </c>
      <c r="X14" s="465">
        <f t="shared" si="6"/>
        <v>45</v>
      </c>
      <c r="Y14" s="359"/>
      <c r="Z14" s="359" t="s">
        <v>328</v>
      </c>
      <c r="AA14" s="329" t="str">
        <f t="shared" ca="1" si="20"/>
        <v>D4-3</v>
      </c>
      <c r="AB14" s="329">
        <f t="shared" ca="1" si="8"/>
        <v>22</v>
      </c>
      <c r="AC14" s="329">
        <f t="shared" ca="1" si="9"/>
        <v>31</v>
      </c>
      <c r="AD14" s="329">
        <f t="shared" ca="1" si="10"/>
        <v>53</v>
      </c>
      <c r="AE14" s="236">
        <f t="shared" ca="1" si="11"/>
        <v>0.41509433962264153</v>
      </c>
      <c r="AF14" s="343">
        <f t="shared" ca="1" si="12"/>
        <v>-77.584905660377359</v>
      </c>
      <c r="AG14" s="432">
        <f t="shared" ca="1" si="15"/>
        <v>13</v>
      </c>
    </row>
    <row r="15" spans="1:34" ht="15" customHeight="1">
      <c r="A15" s="466" t="s">
        <v>1371</v>
      </c>
      <c r="B15" s="318" t="s">
        <v>330</v>
      </c>
      <c r="C15" s="316">
        <v>11</v>
      </c>
      <c r="D15" s="317">
        <v>4</v>
      </c>
      <c r="E15" s="317">
        <v>11</v>
      </c>
      <c r="F15" s="235">
        <f t="shared" si="0"/>
        <v>26</v>
      </c>
      <c r="G15" s="363">
        <f>C16+D17+E14</f>
        <v>24</v>
      </c>
      <c r="H15" s="363">
        <f t="shared" si="1"/>
        <v>50</v>
      </c>
      <c r="I15" s="360">
        <f t="shared" si="2"/>
        <v>0.52</v>
      </c>
      <c r="J15" s="467">
        <f t="shared" ca="1" si="28"/>
        <v>2</v>
      </c>
      <c r="K15" s="425" t="str">
        <f t="shared" ca="1" si="4"/>
        <v>D4-2</v>
      </c>
      <c r="L15" s="502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316</v>
      </c>
      <c r="AA15" s="329" t="str">
        <f t="shared" ca="1" si="20"/>
        <v>D2-4</v>
      </c>
      <c r="AB15" s="329">
        <f t="shared" ca="1" si="8"/>
        <v>20</v>
      </c>
      <c r="AC15" s="329">
        <f t="shared" ca="1" si="9"/>
        <v>33</v>
      </c>
      <c r="AD15" s="329">
        <f t="shared" ca="1" si="10"/>
        <v>53</v>
      </c>
      <c r="AE15" s="236">
        <f t="shared" ca="1" si="11"/>
        <v>0.37735849056603776</v>
      </c>
      <c r="AF15" s="333">
        <f t="shared" ca="1" si="12"/>
        <v>-79.622641509433961</v>
      </c>
      <c r="AG15" s="432">
        <f t="shared" ca="1" si="15"/>
        <v>14</v>
      </c>
    </row>
    <row r="16" spans="1:34" ht="15" customHeight="1">
      <c r="A16" s="466" t="s">
        <v>1371</v>
      </c>
      <c r="B16" s="318" t="s">
        <v>331</v>
      </c>
      <c r="C16" s="316">
        <v>8</v>
      </c>
      <c r="D16" s="319">
        <v>9</v>
      </c>
      <c r="E16" s="319">
        <v>3</v>
      </c>
      <c r="F16" s="235">
        <f t="shared" si="0"/>
        <v>20</v>
      </c>
      <c r="G16" s="363">
        <f>C15+D14+E17</f>
        <v>33</v>
      </c>
      <c r="H16" s="363">
        <f t="shared" si="1"/>
        <v>53</v>
      </c>
      <c r="I16" s="360">
        <f t="shared" si="2"/>
        <v>0.37735849056603776</v>
      </c>
      <c r="J16" s="467">
        <f t="shared" ca="1" si="28"/>
        <v>4</v>
      </c>
      <c r="K16" s="425" t="str">
        <f t="shared" ca="1" si="4"/>
        <v>D4-4</v>
      </c>
      <c r="L16" s="502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1">(N16+P16+R16+T16)</f>
        <v>0</v>
      </c>
      <c r="W16" s="465">
        <f t="shared" si="31"/>
        <v>0</v>
      </c>
      <c r="X16" s="465">
        <f t="shared" si="6"/>
        <v>0</v>
      </c>
      <c r="Y16" s="359"/>
      <c r="Z16" s="359" t="s">
        <v>331</v>
      </c>
      <c r="AA16" s="329" t="str">
        <f t="shared" ca="1" si="20"/>
        <v>D4-4</v>
      </c>
      <c r="AB16" s="329">
        <f t="shared" ca="1" si="8"/>
        <v>20</v>
      </c>
      <c r="AC16" s="329">
        <f t="shared" ca="1" si="9"/>
        <v>33</v>
      </c>
      <c r="AD16" s="329">
        <f t="shared" ca="1" si="10"/>
        <v>53</v>
      </c>
      <c r="AE16" s="236">
        <f t="shared" ca="1" si="11"/>
        <v>0.37735849056603776</v>
      </c>
      <c r="AF16" s="333">
        <f t="shared" ca="1" si="12"/>
        <v>-79.622641509433961</v>
      </c>
      <c r="AG16" s="432">
        <f t="shared" ca="1" si="15"/>
        <v>14</v>
      </c>
    </row>
    <row r="17" spans="1:33" ht="15" customHeight="1">
      <c r="A17" s="366" t="s">
        <v>1371</v>
      </c>
      <c r="B17" s="320" t="s">
        <v>43</v>
      </c>
      <c r="C17" s="320">
        <v>11</v>
      </c>
      <c r="D17" s="321">
        <v>11</v>
      </c>
      <c r="E17" s="322">
        <v>11</v>
      </c>
      <c r="F17" s="252">
        <f t="shared" si="0"/>
        <v>33</v>
      </c>
      <c r="G17" s="368">
        <f>C14+D15+E16</f>
        <v>13</v>
      </c>
      <c r="H17" s="368">
        <f t="shared" si="1"/>
        <v>46</v>
      </c>
      <c r="I17" s="369">
        <f t="shared" si="2"/>
        <v>0.71739130434782605</v>
      </c>
      <c r="J17" s="471">
        <f t="shared" ca="1" si="28"/>
        <v>1</v>
      </c>
      <c r="K17" s="430" t="str">
        <f t="shared" ca="1" si="4"/>
        <v>D4-1</v>
      </c>
      <c r="L17" s="500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323</v>
      </c>
      <c r="AA17" s="337" t="str">
        <f t="shared" ca="1" si="20"/>
        <v>D3-4</v>
      </c>
      <c r="AB17" s="337">
        <f t="shared" ca="1" si="8"/>
        <v>10</v>
      </c>
      <c r="AC17" s="337">
        <f t="shared" ca="1" si="9"/>
        <v>33</v>
      </c>
      <c r="AD17" s="337">
        <f t="shared" ca="1" si="10"/>
        <v>43</v>
      </c>
      <c r="AE17" s="253">
        <f t="shared" ca="1" si="11"/>
        <v>0.23255813953488372</v>
      </c>
      <c r="AF17" s="338">
        <f t="shared" ca="1" si="12"/>
        <v>-89.767441860465112</v>
      </c>
      <c r="AG17" s="434">
        <f t="shared" ca="1" si="15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3">SUM(C2:C17)</f>
        <v>139</v>
      </c>
      <c r="D19" s="388">
        <f t="shared" si="33"/>
        <v>135</v>
      </c>
      <c r="E19" s="388">
        <f>SUM(E2:E18)</f>
        <v>139</v>
      </c>
      <c r="F19" s="389">
        <f t="shared" ref="F19:G19" si="34">SUM(F2:F17)</f>
        <v>413</v>
      </c>
      <c r="G19" s="389">
        <f t="shared" si="34"/>
        <v>413</v>
      </c>
      <c r="H19" s="390">
        <f>SUM(H2:H17)/2</f>
        <v>413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39</v>
      </c>
      <c r="S19" s="385">
        <f t="shared" si="35"/>
        <v>39</v>
      </c>
      <c r="T19" s="385">
        <f t="shared" si="35"/>
        <v>28</v>
      </c>
      <c r="U19" s="385">
        <f t="shared" si="35"/>
        <v>28</v>
      </c>
      <c r="V19" s="385">
        <f t="shared" si="35"/>
        <v>67</v>
      </c>
      <c r="W19" s="385">
        <f t="shared" si="35"/>
        <v>67</v>
      </c>
      <c r="X19" s="385">
        <f>SUM(X2:X17)/2</f>
        <v>67</v>
      </c>
      <c r="Y19" s="385"/>
      <c r="Z19" s="385"/>
      <c r="AA19" s="385"/>
      <c r="AB19" s="385">
        <f t="shared" ref="AB19:AD19" ca="1" si="36">SUM(AB2:AB17)/2</f>
        <v>240</v>
      </c>
      <c r="AC19" s="385">
        <f t="shared" ca="1" si="36"/>
        <v>240</v>
      </c>
      <c r="AD19" s="385">
        <f t="shared" ca="1" si="36"/>
        <v>480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1</v>
      </c>
      <c r="F20" s="386"/>
      <c r="G20" s="386"/>
      <c r="H20" s="394">
        <f>AVERAGE(H2:H17)</f>
        <v>51.625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60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2" priority="1" operator="equal">
      <formula>33</formula>
    </cfRule>
  </conditionalFormatting>
  <hyperlinks>
    <hyperlink ref="A1" location="Champions!A1" display="Home" xr:uid="{00000000-0004-0000-2600-000000000000}"/>
    <hyperlink ref="AH1" location="Champions!A1" display="Home" xr:uid="{00000000-0004-0000-2600-000001000000}"/>
    <hyperlink ref="A19" location="Champions!A1" display="Home" xr:uid="{00000000-0004-0000-2600-000002000000}"/>
    <hyperlink ref="K19" location="Champions!A1" display="Home" xr:uid="{00000000-0004-0000-2600-000003000000}"/>
  </hyperlinks>
  <pageMargins left="0.7" right="0.7" top="0.75" bottom="0.75" header="0" footer="0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30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0.1796875" customWidth="1"/>
    <col min="13" max="13" width="24.453125" customWidth="1"/>
    <col min="14" max="21" width="6.26953125" customWidth="1"/>
    <col min="22" max="24" width="7.7265625" customWidth="1"/>
    <col min="25" max="25" width="6.81640625" customWidth="1"/>
    <col min="26" max="26" width="30.453125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41</v>
      </c>
      <c r="C2" s="496">
        <v>11</v>
      </c>
      <c r="D2" s="497">
        <v>11</v>
      </c>
      <c r="E2" s="498">
        <v>11</v>
      </c>
      <c r="F2" s="213">
        <f t="shared" ref="F2:F17" si="0">SUM(C2:E2)</f>
        <v>33</v>
      </c>
      <c r="G2" s="353">
        <f>C5+D4+E3</f>
        <v>23</v>
      </c>
      <c r="H2" s="353">
        <f t="shared" ref="H2:H17" si="1">SUM(F2:G2)</f>
        <v>56</v>
      </c>
      <c r="I2" s="354">
        <f t="shared" ref="I2:I17" si="2">IFERROR(F2/H2,"")</f>
        <v>0.5892857142857143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01" t="s">
        <v>207</v>
      </c>
      <c r="M2" s="357" t="str">
        <f t="array" aca="1" ref="M2" ca="1">IFERROR(INDEX($A$2:$K$17,MATCH(L2,$K$2:$K$17,0),2),)</f>
        <v>Monty Miller &amp; Irwin Don</v>
      </c>
      <c r="N2" s="482"/>
      <c r="O2" s="482"/>
      <c r="P2" s="482"/>
      <c r="Q2" s="493"/>
      <c r="R2" s="464">
        <v>13</v>
      </c>
      <c r="S2" s="464">
        <v>9</v>
      </c>
      <c r="T2" s="463">
        <v>12</v>
      </c>
      <c r="U2" s="463">
        <v>13</v>
      </c>
      <c r="V2" s="465">
        <f t="shared" ref="V2:W2" si="5">(N2+P2+R2+T2)</f>
        <v>25</v>
      </c>
      <c r="W2" s="465">
        <f t="shared" si="5"/>
        <v>22</v>
      </c>
      <c r="X2" s="465">
        <f t="shared" ref="X2:X17" si="6">V2+W2</f>
        <v>47</v>
      </c>
      <c r="Y2" s="359"/>
      <c r="Z2" s="359" t="s">
        <v>297</v>
      </c>
      <c r="AA2" s="329" t="str">
        <f t="shared" ref="AA2:AA15" ca="1" si="7">IFERROR(INDEX($A$2:$K$17,MATCH(Z2,$B$2:$B$17,0),11),)</f>
        <v>D3-1</v>
      </c>
      <c r="AB2" s="329">
        <f t="shared" ref="AB2:AB17" ca="1" si="8">IFERROR((INDEX($A$2:$H$17,MATCH($Z2,$B$2:$B$17,0),6))+INDEX($M$2:$X$17,MATCH($Z2,$M$2:$M$17,0),10),INDEX($B$2:$G$17,MATCH($Z2,$B$2:$B$17,0),5))</f>
        <v>64</v>
      </c>
      <c r="AC2" s="329">
        <f t="shared" ref="AC2:AC17" ca="1" si="9">IFERROR((INDEX($A$2:$H$17,MATCH($Z2,$B$2:$B$17,0),7))+INDEX($M$2:$X$17,MATCH($Z2,$M$2:$M$17,0),11),INDEX($B$2:$G$17,MATCH($Z2,$B$2:$B$17,0),6))</f>
        <v>40</v>
      </c>
      <c r="AD2" s="329">
        <f t="shared" ref="AD2:AD17" ca="1" si="10">SUM(AB2:AC2)</f>
        <v>104</v>
      </c>
      <c r="AE2" s="236">
        <f t="shared" ref="AE2:AE17" ca="1" si="11">AB2/AD2</f>
        <v>0.61538461538461542</v>
      </c>
      <c r="AF2" s="400">
        <f t="shared" ref="AF2:AF17" ca="1" si="12">AE2-(100-AB2)</f>
        <v>-35.384615384615387</v>
      </c>
      <c r="AG2" s="432">
        <f t="shared" ref="AG2:AG17" ca="1" si="13">RANK($AF2,OFFSET($AF$2,0,0,COUNTA($AF$2:$AF$17),1))</f>
        <v>1</v>
      </c>
    </row>
    <row r="3" spans="1:34" ht="15" customHeight="1">
      <c r="A3" s="466" t="s">
        <v>1367</v>
      </c>
      <c r="B3" s="318" t="s">
        <v>283</v>
      </c>
      <c r="C3" s="316">
        <v>9</v>
      </c>
      <c r="D3" s="317">
        <v>11</v>
      </c>
      <c r="E3" s="317">
        <v>7</v>
      </c>
      <c r="F3" s="235">
        <f t="shared" si="0"/>
        <v>27</v>
      </c>
      <c r="G3" s="363">
        <f>C4+D5+E2</f>
        <v>29</v>
      </c>
      <c r="H3" s="363">
        <f t="shared" si="1"/>
        <v>56</v>
      </c>
      <c r="I3" s="360">
        <f t="shared" si="2"/>
        <v>0.48214285714285715</v>
      </c>
      <c r="J3" s="467">
        <f t="shared" ca="1" si="3"/>
        <v>3</v>
      </c>
      <c r="K3" s="425" t="str">
        <f t="shared" ca="1" si="4"/>
        <v>D1-3</v>
      </c>
      <c r="L3" s="502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41</v>
      </c>
      <c r="AA3" s="329" t="str">
        <f t="shared" ca="1" si="7"/>
        <v>D1-1</v>
      </c>
      <c r="AB3" s="329">
        <f t="shared" ca="1" si="8"/>
        <v>58</v>
      </c>
      <c r="AC3" s="329">
        <f t="shared" ca="1" si="9"/>
        <v>45</v>
      </c>
      <c r="AD3" s="329">
        <f t="shared" ca="1" si="10"/>
        <v>103</v>
      </c>
      <c r="AE3" s="236">
        <f t="shared" ca="1" si="11"/>
        <v>0.56310679611650483</v>
      </c>
      <c r="AF3" s="333">
        <f t="shared" ca="1" si="12"/>
        <v>-41.436893203883493</v>
      </c>
      <c r="AG3" s="432">
        <f t="shared" ca="1" si="13"/>
        <v>2</v>
      </c>
    </row>
    <row r="4" spans="1:34" ht="15" customHeight="1">
      <c r="A4" s="466" t="s">
        <v>1367</v>
      </c>
      <c r="B4" s="318" t="s">
        <v>284</v>
      </c>
      <c r="C4" s="316">
        <v>11</v>
      </c>
      <c r="D4" s="319">
        <v>7</v>
      </c>
      <c r="E4" s="319">
        <v>10</v>
      </c>
      <c r="F4" s="235">
        <f t="shared" si="0"/>
        <v>28</v>
      </c>
      <c r="G4" s="363">
        <f>C3+D2+E5</f>
        <v>31</v>
      </c>
      <c r="H4" s="363">
        <f t="shared" si="1"/>
        <v>59</v>
      </c>
      <c r="I4" s="360">
        <f t="shared" si="2"/>
        <v>0.47457627118644069</v>
      </c>
      <c r="J4" s="467">
        <f t="shared" ca="1" si="3"/>
        <v>2</v>
      </c>
      <c r="K4" s="425" t="str">
        <f t="shared" ca="1" si="4"/>
        <v>D1-2</v>
      </c>
      <c r="L4" s="502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5">(N4+P4+R4+T4)</f>
        <v>0</v>
      </c>
      <c r="W4" s="465">
        <f t="shared" si="15"/>
        <v>0</v>
      </c>
      <c r="X4" s="465">
        <f t="shared" si="6"/>
        <v>0</v>
      </c>
      <c r="Y4" s="359"/>
      <c r="Z4" s="359" t="s">
        <v>288</v>
      </c>
      <c r="AA4" s="329" t="str">
        <f t="shared" ca="1" si="7"/>
        <v>D2-1</v>
      </c>
      <c r="AB4" s="329">
        <f t="shared" ca="1" si="8"/>
        <v>46</v>
      </c>
      <c r="AC4" s="329">
        <f t="shared" ca="1" si="9"/>
        <v>33</v>
      </c>
      <c r="AD4" s="329">
        <f t="shared" ca="1" si="10"/>
        <v>79</v>
      </c>
      <c r="AE4" s="236">
        <f t="shared" ca="1" si="11"/>
        <v>0.58227848101265822</v>
      </c>
      <c r="AF4" s="333">
        <f t="shared" ca="1" si="12"/>
        <v>-53.417721518987342</v>
      </c>
      <c r="AG4" s="432">
        <f t="shared" ca="1" si="13"/>
        <v>3</v>
      </c>
    </row>
    <row r="5" spans="1:34" ht="15" customHeight="1">
      <c r="A5" s="366" t="s">
        <v>1367</v>
      </c>
      <c r="B5" s="320" t="s">
        <v>286</v>
      </c>
      <c r="C5" s="320">
        <v>9</v>
      </c>
      <c r="D5" s="321">
        <v>7</v>
      </c>
      <c r="E5" s="322">
        <v>11</v>
      </c>
      <c r="F5" s="252">
        <f t="shared" si="0"/>
        <v>27</v>
      </c>
      <c r="G5" s="368">
        <f>C2+D3+E4</f>
        <v>32</v>
      </c>
      <c r="H5" s="368">
        <f t="shared" si="1"/>
        <v>59</v>
      </c>
      <c r="I5" s="369">
        <f t="shared" si="2"/>
        <v>0.4576271186440678</v>
      </c>
      <c r="J5" s="471">
        <f t="shared" ca="1" si="3"/>
        <v>3</v>
      </c>
      <c r="K5" s="430" t="str">
        <f t="shared" ca="1" si="4"/>
        <v>D1-3</v>
      </c>
      <c r="L5" s="500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306</v>
      </c>
      <c r="AA5" s="337" t="str">
        <f t="shared" ca="1" si="7"/>
        <v>D4-1</v>
      </c>
      <c r="AB5" s="337">
        <f t="shared" ca="1" si="8"/>
        <v>42</v>
      </c>
      <c r="AC5" s="337">
        <f t="shared" ca="1" si="9"/>
        <v>36</v>
      </c>
      <c r="AD5" s="337">
        <f t="shared" ca="1" si="10"/>
        <v>78</v>
      </c>
      <c r="AE5" s="253">
        <f t="shared" ca="1" si="11"/>
        <v>0.53846153846153844</v>
      </c>
      <c r="AF5" s="338">
        <f t="shared" ca="1" si="12"/>
        <v>-57.46153846153846</v>
      </c>
      <c r="AG5" s="434">
        <f t="shared" ca="1" si="13"/>
        <v>4</v>
      </c>
    </row>
    <row r="6" spans="1:34" ht="15" customHeight="1">
      <c r="A6" s="357" t="s">
        <v>1368</v>
      </c>
      <c r="B6" s="318" t="s">
        <v>288</v>
      </c>
      <c r="C6" s="496">
        <v>11</v>
      </c>
      <c r="D6" s="497">
        <v>11</v>
      </c>
      <c r="E6" s="498">
        <v>11</v>
      </c>
      <c r="F6" s="213">
        <f t="shared" si="0"/>
        <v>33</v>
      </c>
      <c r="G6" s="353">
        <f>C7+D9+E8</f>
        <v>15</v>
      </c>
      <c r="H6" s="353">
        <f t="shared" si="1"/>
        <v>48</v>
      </c>
      <c r="I6" s="354">
        <f t="shared" si="2"/>
        <v>0.6875</v>
      </c>
      <c r="J6" s="467">
        <f t="shared" ref="J6:J9" ca="1" si="17">IFERROR(RANK(F6,OFFSET($F$6,0,0,COUNTA($F$6:$F$9),1)),)</f>
        <v>1</v>
      </c>
      <c r="K6" s="419" t="str">
        <f t="shared" ca="1" si="4"/>
        <v>D2-1</v>
      </c>
      <c r="L6" s="501" t="s">
        <v>225</v>
      </c>
      <c r="M6" s="466" t="str">
        <f t="array" aca="1" ref="M6" ca="1">IFERROR(INDEX($A$2:$K$17,MATCH(L6,$K$2:$K$17,0),2),)</f>
        <v>Bob Kreifels &amp; Rod Muff</v>
      </c>
      <c r="N6" s="483"/>
      <c r="O6" s="483"/>
      <c r="P6" s="483"/>
      <c r="Q6" s="494"/>
      <c r="R6" s="470">
        <v>13</v>
      </c>
      <c r="S6" s="470">
        <v>18</v>
      </c>
      <c r="T6" s="469"/>
      <c r="U6" s="469"/>
      <c r="V6" s="476">
        <f t="shared" ref="V6:W6" si="18">(N6+P6+R6+T6)</f>
        <v>13</v>
      </c>
      <c r="W6" s="476">
        <f t="shared" si="18"/>
        <v>18</v>
      </c>
      <c r="X6" s="476">
        <f t="shared" si="6"/>
        <v>31</v>
      </c>
      <c r="Y6" s="374"/>
      <c r="Z6" s="374" t="s">
        <v>305</v>
      </c>
      <c r="AA6" s="340" t="str">
        <f t="shared" ca="1" si="7"/>
        <v>D4-2</v>
      </c>
      <c r="AB6" s="340">
        <f t="shared" ca="1" si="8"/>
        <v>31</v>
      </c>
      <c r="AC6" s="340">
        <f t="shared" ca="1" si="9"/>
        <v>21</v>
      </c>
      <c r="AD6" s="340">
        <f t="shared" ca="1" si="10"/>
        <v>52</v>
      </c>
      <c r="AE6" s="214">
        <f t="shared" ca="1" si="11"/>
        <v>0.59615384615384615</v>
      </c>
      <c r="AF6" s="341">
        <f t="shared" ca="1" si="12"/>
        <v>-68.40384615384616</v>
      </c>
      <c r="AG6" s="432">
        <f t="shared" ca="1" si="13"/>
        <v>5</v>
      </c>
    </row>
    <row r="7" spans="1:34" ht="15" customHeight="1">
      <c r="A7" s="466" t="s">
        <v>1368</v>
      </c>
      <c r="B7" s="318" t="s">
        <v>290</v>
      </c>
      <c r="C7" s="316">
        <v>0</v>
      </c>
      <c r="D7" s="317">
        <v>0</v>
      </c>
      <c r="E7" s="317">
        <v>0</v>
      </c>
      <c r="F7" s="235">
        <f t="shared" si="0"/>
        <v>0</v>
      </c>
      <c r="G7" s="363">
        <f>C6+D8+E9</f>
        <v>33</v>
      </c>
      <c r="H7" s="363">
        <f t="shared" si="1"/>
        <v>33</v>
      </c>
      <c r="I7" s="360">
        <f t="shared" si="2"/>
        <v>0</v>
      </c>
      <c r="J7" s="467">
        <f t="shared" ca="1" si="17"/>
        <v>4</v>
      </c>
      <c r="K7" s="425" t="str">
        <f t="shared" ca="1" si="4"/>
        <v>D2-4</v>
      </c>
      <c r="L7" s="502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301</v>
      </c>
      <c r="AA7" s="329" t="str">
        <f t="shared" ca="1" si="7"/>
        <v>D3-2</v>
      </c>
      <c r="AB7" s="329">
        <f t="shared" ca="1" si="8"/>
        <v>30</v>
      </c>
      <c r="AC7" s="329">
        <f t="shared" ca="1" si="9"/>
        <v>15</v>
      </c>
      <c r="AD7" s="329">
        <f t="shared" ca="1" si="10"/>
        <v>45</v>
      </c>
      <c r="AE7" s="236">
        <f t="shared" ca="1" si="11"/>
        <v>0.66666666666666663</v>
      </c>
      <c r="AF7" s="341">
        <f t="shared" ca="1" si="12"/>
        <v>-69.333333333333329</v>
      </c>
      <c r="AG7" s="432">
        <f t="shared" ca="1" si="13"/>
        <v>6</v>
      </c>
    </row>
    <row r="8" spans="1:34" ht="15" customHeight="1">
      <c r="A8" s="466" t="s">
        <v>1368</v>
      </c>
      <c r="B8" s="318" t="s">
        <v>292</v>
      </c>
      <c r="C8" s="316">
        <v>11</v>
      </c>
      <c r="D8" s="319">
        <v>11</v>
      </c>
      <c r="E8" s="319">
        <v>6</v>
      </c>
      <c r="F8" s="235">
        <f t="shared" si="0"/>
        <v>28</v>
      </c>
      <c r="G8" s="363">
        <f>C9+D7+E6</f>
        <v>18</v>
      </c>
      <c r="H8" s="363">
        <f t="shared" si="1"/>
        <v>46</v>
      </c>
      <c r="I8" s="360">
        <f t="shared" si="2"/>
        <v>0.60869565217391308</v>
      </c>
      <c r="J8" s="467">
        <f t="shared" ca="1" si="17"/>
        <v>2</v>
      </c>
      <c r="K8" s="425" t="str">
        <f t="shared" ca="1" si="4"/>
        <v>D2-2</v>
      </c>
      <c r="L8" s="502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292</v>
      </c>
      <c r="AA8" s="329" t="str">
        <f t="shared" ca="1" si="7"/>
        <v>D2-2</v>
      </c>
      <c r="AB8" s="329">
        <f t="shared" ca="1" si="8"/>
        <v>28</v>
      </c>
      <c r="AC8" s="329">
        <f t="shared" ca="1" si="9"/>
        <v>18</v>
      </c>
      <c r="AD8" s="329">
        <f t="shared" ca="1" si="10"/>
        <v>46</v>
      </c>
      <c r="AE8" s="236">
        <f t="shared" ca="1" si="11"/>
        <v>0.60869565217391308</v>
      </c>
      <c r="AF8" s="341">
        <f t="shared" ca="1" si="12"/>
        <v>-71.391304347826093</v>
      </c>
      <c r="AG8" s="432">
        <f t="shared" ca="1" si="13"/>
        <v>7</v>
      </c>
    </row>
    <row r="9" spans="1:34" ht="15" customHeight="1">
      <c r="A9" s="366" t="s">
        <v>1368</v>
      </c>
      <c r="B9" s="320" t="s">
        <v>294</v>
      </c>
      <c r="C9" s="320">
        <v>7</v>
      </c>
      <c r="D9" s="321">
        <v>9</v>
      </c>
      <c r="E9" s="322">
        <v>11</v>
      </c>
      <c r="F9" s="252">
        <f t="shared" si="0"/>
        <v>27</v>
      </c>
      <c r="G9" s="368">
        <f>C8+D6+E7</f>
        <v>22</v>
      </c>
      <c r="H9" s="368">
        <f t="shared" si="1"/>
        <v>49</v>
      </c>
      <c r="I9" s="369">
        <f t="shared" si="2"/>
        <v>0.55102040816326525</v>
      </c>
      <c r="J9" s="471">
        <f t="shared" ca="1" si="17"/>
        <v>3</v>
      </c>
      <c r="K9" s="430" t="str">
        <f t="shared" ca="1" si="4"/>
        <v>D2-3</v>
      </c>
      <c r="L9" s="500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284</v>
      </c>
      <c r="AA9" s="337" t="str">
        <f t="shared" ca="1" si="7"/>
        <v>D1-2</v>
      </c>
      <c r="AB9" s="337">
        <f t="shared" ca="1" si="8"/>
        <v>28</v>
      </c>
      <c r="AC9" s="337">
        <f t="shared" ca="1" si="9"/>
        <v>31</v>
      </c>
      <c r="AD9" s="337">
        <f t="shared" ca="1" si="10"/>
        <v>59</v>
      </c>
      <c r="AE9" s="369">
        <f t="shared" ca="1" si="11"/>
        <v>0.47457627118644069</v>
      </c>
      <c r="AF9" s="338">
        <f t="shared" ca="1" si="12"/>
        <v>-71.525423728813564</v>
      </c>
      <c r="AG9" s="431">
        <f t="shared" ca="1" si="13"/>
        <v>8</v>
      </c>
    </row>
    <row r="10" spans="1:34" ht="15" customHeight="1">
      <c r="A10" s="357" t="s">
        <v>1369</v>
      </c>
      <c r="B10" s="318" t="s">
        <v>296</v>
      </c>
      <c r="C10" s="496">
        <v>4</v>
      </c>
      <c r="D10" s="497">
        <v>11</v>
      </c>
      <c r="E10" s="498">
        <v>6</v>
      </c>
      <c r="F10" s="213">
        <f t="shared" si="0"/>
        <v>21</v>
      </c>
      <c r="G10" s="353">
        <f>C12+D11+E13</f>
        <v>22</v>
      </c>
      <c r="H10" s="353">
        <f t="shared" si="1"/>
        <v>43</v>
      </c>
      <c r="I10" s="354">
        <f t="shared" si="2"/>
        <v>0.48837209302325579</v>
      </c>
      <c r="J10" s="467">
        <f t="shared" ref="J10:J13" ca="1" si="22">IFERROR(RANK(F10,OFFSET($F$10,0,0,COUNTA($F$10:$F$13),1)),)</f>
        <v>3</v>
      </c>
      <c r="K10" s="419" t="str">
        <f t="shared" ca="1" si="4"/>
        <v>D3-3</v>
      </c>
      <c r="L10" s="501" t="s">
        <v>243</v>
      </c>
      <c r="M10" s="466" t="str">
        <f t="array" aca="1" ref="M10" ca="1">IFERROR(INDEX($A$2:$K$17,MATCH(L10,$K$2:$K$17,0),2),)</f>
        <v>Brian Sullivan &amp; Steven Sturis</v>
      </c>
      <c r="N10" s="483"/>
      <c r="O10" s="483"/>
      <c r="P10" s="483"/>
      <c r="Q10" s="494"/>
      <c r="R10" s="470">
        <v>18</v>
      </c>
      <c r="S10" s="470">
        <v>13</v>
      </c>
      <c r="T10" s="469">
        <v>13</v>
      </c>
      <c r="U10" s="469">
        <v>12</v>
      </c>
      <c r="V10" s="465">
        <f t="shared" ref="V10:W10" si="23">(N10+P10+R10+T10)</f>
        <v>31</v>
      </c>
      <c r="W10" s="465">
        <f t="shared" si="23"/>
        <v>25</v>
      </c>
      <c r="X10" s="465">
        <f t="shared" si="6"/>
        <v>56</v>
      </c>
      <c r="Y10" s="359"/>
      <c r="Z10" s="359" t="s">
        <v>294</v>
      </c>
      <c r="AA10" s="329" t="str">
        <f t="shared" ca="1" si="7"/>
        <v>D2-3</v>
      </c>
      <c r="AB10" s="329">
        <f t="shared" ca="1" si="8"/>
        <v>27</v>
      </c>
      <c r="AC10" s="329">
        <f t="shared" ca="1" si="9"/>
        <v>22</v>
      </c>
      <c r="AD10" s="329">
        <f t="shared" ca="1" si="10"/>
        <v>49</v>
      </c>
      <c r="AE10" s="236">
        <f t="shared" ca="1" si="11"/>
        <v>0.55102040816326525</v>
      </c>
      <c r="AF10" s="341">
        <f t="shared" ca="1" si="12"/>
        <v>-72.448979591836732</v>
      </c>
      <c r="AG10" s="432">
        <f t="shared" ca="1" si="13"/>
        <v>9</v>
      </c>
    </row>
    <row r="11" spans="1:34" ht="15" customHeight="1">
      <c r="A11" s="466" t="s">
        <v>1369</v>
      </c>
      <c r="B11" s="318" t="s">
        <v>300</v>
      </c>
      <c r="C11" s="316">
        <v>1</v>
      </c>
      <c r="D11" s="317">
        <v>0</v>
      </c>
      <c r="E11" s="317">
        <v>0</v>
      </c>
      <c r="F11" s="235">
        <f t="shared" si="0"/>
        <v>1</v>
      </c>
      <c r="G11" s="363">
        <f>C13+D10+E12</f>
        <v>33</v>
      </c>
      <c r="H11" s="363">
        <f t="shared" si="1"/>
        <v>34</v>
      </c>
      <c r="I11" s="360">
        <f t="shared" si="2"/>
        <v>2.9411764705882353E-2</v>
      </c>
      <c r="J11" s="467">
        <f t="shared" ca="1" si="22"/>
        <v>4</v>
      </c>
      <c r="K11" s="425" t="str">
        <f t="shared" ca="1" si="4"/>
        <v>D3-4</v>
      </c>
      <c r="L11" s="502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283</v>
      </c>
      <c r="AA11" s="329" t="str">
        <f t="shared" ca="1" si="7"/>
        <v>D1-3</v>
      </c>
      <c r="AB11" s="329">
        <f t="shared" ca="1" si="8"/>
        <v>27</v>
      </c>
      <c r="AC11" s="329">
        <f t="shared" ca="1" si="9"/>
        <v>29</v>
      </c>
      <c r="AD11" s="329">
        <f t="shared" ca="1" si="10"/>
        <v>56</v>
      </c>
      <c r="AE11" s="236">
        <f t="shared" ca="1" si="11"/>
        <v>0.48214285714285715</v>
      </c>
      <c r="AF11" s="341">
        <f t="shared" ca="1" si="12"/>
        <v>-72.517857142857139</v>
      </c>
      <c r="AG11" s="432">
        <f t="shared" ca="1" si="13"/>
        <v>10</v>
      </c>
    </row>
    <row r="12" spans="1:34" ht="15" customHeight="1">
      <c r="A12" s="466" t="s">
        <v>1369</v>
      </c>
      <c r="B12" s="318" t="s">
        <v>301</v>
      </c>
      <c r="C12" s="316">
        <v>11</v>
      </c>
      <c r="D12" s="319">
        <v>8</v>
      </c>
      <c r="E12" s="319">
        <v>11</v>
      </c>
      <c r="F12" s="235">
        <f t="shared" si="0"/>
        <v>30</v>
      </c>
      <c r="G12" s="363">
        <f>C10+D13+E11</f>
        <v>15</v>
      </c>
      <c r="H12" s="363">
        <f t="shared" si="1"/>
        <v>45</v>
      </c>
      <c r="I12" s="360">
        <f t="shared" si="2"/>
        <v>0.66666666666666663</v>
      </c>
      <c r="J12" s="467">
        <f t="shared" ca="1" si="22"/>
        <v>2</v>
      </c>
      <c r="K12" s="425" t="str">
        <f t="shared" ca="1" si="4"/>
        <v>D3-2</v>
      </c>
      <c r="L12" s="502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286</v>
      </c>
      <c r="AA12" s="329" t="str">
        <f t="shared" ca="1" si="7"/>
        <v>D1-3</v>
      </c>
      <c r="AB12" s="329">
        <f t="shared" ca="1" si="8"/>
        <v>27</v>
      </c>
      <c r="AC12" s="329">
        <f t="shared" ca="1" si="9"/>
        <v>32</v>
      </c>
      <c r="AD12" s="329">
        <f t="shared" ca="1" si="10"/>
        <v>59</v>
      </c>
      <c r="AE12" s="236">
        <f t="shared" ca="1" si="11"/>
        <v>0.4576271186440678</v>
      </c>
      <c r="AF12" s="343">
        <f t="shared" ca="1" si="12"/>
        <v>-72.542372881355931</v>
      </c>
      <c r="AG12" s="432">
        <f t="shared" ca="1" si="13"/>
        <v>11</v>
      </c>
    </row>
    <row r="13" spans="1:34" ht="15" customHeight="1">
      <c r="A13" s="366" t="s">
        <v>1369</v>
      </c>
      <c r="B13" s="320" t="s">
        <v>297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368">
        <f>C11+D12+E10</f>
        <v>15</v>
      </c>
      <c r="H13" s="368">
        <f t="shared" si="1"/>
        <v>48</v>
      </c>
      <c r="I13" s="369">
        <f t="shared" si="2"/>
        <v>0.6875</v>
      </c>
      <c r="J13" s="471">
        <f t="shared" ca="1" si="22"/>
        <v>1</v>
      </c>
      <c r="K13" s="430" t="str">
        <f t="shared" ca="1" si="4"/>
        <v>D3-1</v>
      </c>
      <c r="L13" s="500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308</v>
      </c>
      <c r="AA13" s="337" t="str">
        <f t="shared" ca="1" si="7"/>
        <v>D4-3</v>
      </c>
      <c r="AB13" s="337">
        <f t="shared" ca="1" si="8"/>
        <v>25</v>
      </c>
      <c r="AC13" s="337">
        <f t="shared" ca="1" si="9"/>
        <v>23</v>
      </c>
      <c r="AD13" s="337">
        <f t="shared" ca="1" si="10"/>
        <v>48</v>
      </c>
      <c r="AE13" s="253">
        <f t="shared" ca="1" si="11"/>
        <v>0.52083333333333337</v>
      </c>
      <c r="AF13" s="345">
        <f t="shared" ca="1" si="12"/>
        <v>-74.479166666666671</v>
      </c>
      <c r="AG13" s="434">
        <f t="shared" ca="1" si="13"/>
        <v>12</v>
      </c>
    </row>
    <row r="14" spans="1:34" ht="15" customHeight="1">
      <c r="A14" s="357" t="s">
        <v>1371</v>
      </c>
      <c r="B14" s="318" t="s">
        <v>305</v>
      </c>
      <c r="C14" s="496">
        <v>9</v>
      </c>
      <c r="D14" s="497">
        <v>11</v>
      </c>
      <c r="E14" s="498">
        <v>11</v>
      </c>
      <c r="F14" s="213">
        <f t="shared" si="0"/>
        <v>31</v>
      </c>
      <c r="G14" s="353">
        <f>C17+D16+E15</f>
        <v>21</v>
      </c>
      <c r="H14" s="353">
        <f t="shared" si="1"/>
        <v>52</v>
      </c>
      <c r="I14" s="354">
        <f t="shared" si="2"/>
        <v>0.59615384615384615</v>
      </c>
      <c r="J14" s="467">
        <f t="shared" ref="J14:J17" ca="1" si="27">IFERROR(RANK(F14,OFFSET($F$14,0,0,COUNTA($F$14:$F$17),1)),)</f>
        <v>2</v>
      </c>
      <c r="K14" s="419" t="str">
        <f t="shared" ca="1" si="4"/>
        <v>D4-2</v>
      </c>
      <c r="L14" s="501" t="s">
        <v>263</v>
      </c>
      <c r="M14" s="466" t="str">
        <f t="array" aca="1" ref="M14" ca="1">IFERROR(INDEX($A$2:$K$17,MATCH(L14,$K$2:$K$17,0),2),)</f>
        <v>Joey Rathbone &amp; Tim Askew</v>
      </c>
      <c r="N14" s="483"/>
      <c r="O14" s="483"/>
      <c r="P14" s="483"/>
      <c r="Q14" s="494"/>
      <c r="R14" s="470">
        <v>9</v>
      </c>
      <c r="S14" s="470">
        <v>13</v>
      </c>
      <c r="T14" s="469"/>
      <c r="U14" s="469"/>
      <c r="V14" s="465">
        <f t="shared" ref="V14:W14" si="28">(N14+P14+R14+T14)</f>
        <v>9</v>
      </c>
      <c r="W14" s="465">
        <f t="shared" si="28"/>
        <v>13</v>
      </c>
      <c r="X14" s="465">
        <f t="shared" si="6"/>
        <v>22</v>
      </c>
      <c r="Y14" s="359"/>
      <c r="Z14" s="359" t="s">
        <v>296</v>
      </c>
      <c r="AA14" s="329" t="str">
        <f t="shared" ca="1" si="7"/>
        <v>D3-3</v>
      </c>
      <c r="AB14" s="329">
        <f t="shared" ca="1" si="8"/>
        <v>21</v>
      </c>
      <c r="AC14" s="329">
        <f t="shared" ca="1" si="9"/>
        <v>22</v>
      </c>
      <c r="AD14" s="329">
        <f t="shared" ca="1" si="10"/>
        <v>43</v>
      </c>
      <c r="AE14" s="236">
        <f t="shared" ca="1" si="11"/>
        <v>0.48837209302325579</v>
      </c>
      <c r="AF14" s="343">
        <f t="shared" ca="1" si="12"/>
        <v>-78.511627906976742</v>
      </c>
      <c r="AG14" s="432">
        <f t="shared" ca="1" si="13"/>
        <v>13</v>
      </c>
    </row>
    <row r="15" spans="1:34" ht="15" customHeight="1">
      <c r="A15" s="466" t="s">
        <v>1371</v>
      </c>
      <c r="B15" s="318" t="s">
        <v>308</v>
      </c>
      <c r="C15" s="316">
        <v>11</v>
      </c>
      <c r="D15" s="317">
        <v>8</v>
      </c>
      <c r="E15" s="317">
        <v>6</v>
      </c>
      <c r="F15" s="235">
        <f t="shared" si="0"/>
        <v>25</v>
      </c>
      <c r="G15" s="363">
        <f>C16+D17+E14</f>
        <v>23</v>
      </c>
      <c r="H15" s="363">
        <f t="shared" si="1"/>
        <v>48</v>
      </c>
      <c r="I15" s="360">
        <f t="shared" si="2"/>
        <v>0.52083333333333337</v>
      </c>
      <c r="J15" s="467">
        <f t="shared" ca="1" si="27"/>
        <v>3</v>
      </c>
      <c r="K15" s="425" t="str">
        <f t="shared" ca="1" si="4"/>
        <v>D4-3</v>
      </c>
      <c r="L15" s="502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309</v>
      </c>
      <c r="AA15" s="329" t="str">
        <f t="shared" ca="1" si="7"/>
        <v>D4-4</v>
      </c>
      <c r="AB15" s="329">
        <f t="shared" ca="1" si="8"/>
        <v>11</v>
      </c>
      <c r="AC15" s="329">
        <f t="shared" ca="1" si="9"/>
        <v>33</v>
      </c>
      <c r="AD15" s="329">
        <f t="shared" ca="1" si="10"/>
        <v>44</v>
      </c>
      <c r="AE15" s="236">
        <f t="shared" ca="1" si="11"/>
        <v>0.25</v>
      </c>
      <c r="AF15" s="333">
        <f t="shared" ca="1" si="12"/>
        <v>-88.75</v>
      </c>
      <c r="AG15" s="432">
        <f t="shared" ca="1" si="13"/>
        <v>14</v>
      </c>
    </row>
    <row r="16" spans="1:34" ht="15" customHeight="1">
      <c r="A16" s="466" t="s">
        <v>1371</v>
      </c>
      <c r="B16" s="318" t="s">
        <v>309</v>
      </c>
      <c r="C16" s="316">
        <v>1</v>
      </c>
      <c r="D16" s="319">
        <v>4</v>
      </c>
      <c r="E16" s="319">
        <v>6</v>
      </c>
      <c r="F16" s="235">
        <f t="shared" si="0"/>
        <v>11</v>
      </c>
      <c r="G16" s="363">
        <f>C15+D14+E17</f>
        <v>33</v>
      </c>
      <c r="H16" s="363">
        <f t="shared" si="1"/>
        <v>44</v>
      </c>
      <c r="I16" s="360">
        <f t="shared" si="2"/>
        <v>0.25</v>
      </c>
      <c r="J16" s="467">
        <f t="shared" ca="1" si="27"/>
        <v>4</v>
      </c>
      <c r="K16" s="425" t="str">
        <f t="shared" ca="1" si="4"/>
        <v>D4-4</v>
      </c>
      <c r="L16" s="502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0">(N16+P16+R16+T16)</f>
        <v>0</v>
      </c>
      <c r="W16" s="465">
        <f t="shared" si="30"/>
        <v>0</v>
      </c>
      <c r="X16" s="465">
        <f t="shared" si="6"/>
        <v>0</v>
      </c>
      <c r="Y16" s="359"/>
      <c r="Z16" s="359" t="s">
        <v>300</v>
      </c>
      <c r="AA16" s="329" t="str">
        <f t="array" aca="1" ref="AA16" ca="1">INDEX($A$2:$K$17,MATCH(Z16,$B$2:$B$17,0),11)</f>
        <v>D3-4</v>
      </c>
      <c r="AB16" s="329">
        <f t="shared" ca="1" si="8"/>
        <v>1</v>
      </c>
      <c r="AC16" s="329">
        <f t="shared" ca="1" si="9"/>
        <v>33</v>
      </c>
      <c r="AD16" s="329">
        <f t="shared" ca="1" si="10"/>
        <v>34</v>
      </c>
      <c r="AE16" s="236">
        <f t="shared" ca="1" si="11"/>
        <v>2.9411764705882353E-2</v>
      </c>
      <c r="AF16" s="341">
        <f t="shared" ca="1" si="12"/>
        <v>-98.970588235294116</v>
      </c>
      <c r="AG16" s="432">
        <f t="shared" ca="1" si="13"/>
        <v>15</v>
      </c>
    </row>
    <row r="17" spans="1:33" ht="15" customHeight="1">
      <c r="A17" s="366" t="s">
        <v>1371</v>
      </c>
      <c r="B17" s="320" t="s">
        <v>306</v>
      </c>
      <c r="C17" s="320">
        <v>11</v>
      </c>
      <c r="D17" s="321">
        <v>11</v>
      </c>
      <c r="E17" s="322">
        <v>11</v>
      </c>
      <c r="F17" s="252">
        <f t="shared" si="0"/>
        <v>33</v>
      </c>
      <c r="G17" s="368">
        <f>C14+D15+E16</f>
        <v>23</v>
      </c>
      <c r="H17" s="368">
        <f t="shared" si="1"/>
        <v>56</v>
      </c>
      <c r="I17" s="369">
        <f t="shared" si="2"/>
        <v>0.5892857142857143</v>
      </c>
      <c r="J17" s="471">
        <f t="shared" ca="1" si="27"/>
        <v>1</v>
      </c>
      <c r="K17" s="430" t="str">
        <f t="shared" ca="1" si="4"/>
        <v>D4-1</v>
      </c>
      <c r="L17" s="500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1">(N17+P17+R17+T17)</f>
        <v>0</v>
      </c>
      <c r="W17" s="475">
        <f t="shared" si="31"/>
        <v>0</v>
      </c>
      <c r="X17" s="475">
        <f t="shared" si="6"/>
        <v>0</v>
      </c>
      <c r="Y17" s="372"/>
      <c r="Z17" s="372" t="s">
        <v>290</v>
      </c>
      <c r="AA17" s="337" t="str">
        <f t="array" aca="1" ref="AA17" ca="1">IFERROR(INDEX($A$2:$K$17,MATCH(Z17,$B$2:$B$17,0),11),)</f>
        <v>D2-4</v>
      </c>
      <c r="AB17" s="337">
        <f t="shared" ca="1" si="8"/>
        <v>0</v>
      </c>
      <c r="AC17" s="337">
        <f t="shared" ca="1" si="9"/>
        <v>33</v>
      </c>
      <c r="AD17" s="337">
        <f t="shared" ca="1" si="10"/>
        <v>33</v>
      </c>
      <c r="AE17" s="253">
        <f t="shared" ca="1" si="11"/>
        <v>0</v>
      </c>
      <c r="AF17" s="338">
        <f t="shared" ca="1" si="12"/>
        <v>-100</v>
      </c>
      <c r="AG17" s="434">
        <f t="shared" ca="1" si="13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2">SUM(C2:C17)</f>
        <v>128</v>
      </c>
      <c r="D19" s="388">
        <f t="shared" si="32"/>
        <v>131</v>
      </c>
      <c r="E19" s="388">
        <f>SUM(E2:E18)</f>
        <v>129</v>
      </c>
      <c r="F19" s="389">
        <f t="shared" ref="F19:G19" si="33">SUM(F2:F17)</f>
        <v>388</v>
      </c>
      <c r="G19" s="389">
        <f t="shared" si="33"/>
        <v>388</v>
      </c>
      <c r="H19" s="390">
        <f>SUM(H2:H17)/2</f>
        <v>388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4">SUM(N2:N17)</f>
        <v>0</v>
      </c>
      <c r="O19" s="385">
        <f t="shared" si="34"/>
        <v>0</v>
      </c>
      <c r="P19" s="385">
        <f t="shared" si="34"/>
        <v>0</v>
      </c>
      <c r="Q19" s="385">
        <f t="shared" si="34"/>
        <v>0</v>
      </c>
      <c r="R19" s="385">
        <f t="shared" si="34"/>
        <v>53</v>
      </c>
      <c r="S19" s="385">
        <f t="shared" si="34"/>
        <v>53</v>
      </c>
      <c r="T19" s="385">
        <f t="shared" si="34"/>
        <v>25</v>
      </c>
      <c r="U19" s="385">
        <f t="shared" si="34"/>
        <v>25</v>
      </c>
      <c r="V19" s="385">
        <f t="shared" si="34"/>
        <v>78</v>
      </c>
      <c r="W19" s="385">
        <f t="shared" si="34"/>
        <v>78</v>
      </c>
      <c r="X19" s="385">
        <f>SUM(X2:X17)/2</f>
        <v>78</v>
      </c>
      <c r="Y19" s="385"/>
      <c r="Z19" s="385"/>
      <c r="AA19" s="385"/>
      <c r="AB19" s="385">
        <f t="shared" ref="AB19:AD19" ca="1" si="35">SUM(AB2:AB17)/2</f>
        <v>233</v>
      </c>
      <c r="AC19" s="385">
        <f t="shared" ca="1" si="35"/>
        <v>233</v>
      </c>
      <c r="AD19" s="385">
        <f t="shared" ca="1" si="35"/>
        <v>466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6">COUNTIF(C2:C17, 10)</f>
        <v>0</v>
      </c>
      <c r="D20" s="393">
        <f t="shared" si="36"/>
        <v>0</v>
      </c>
      <c r="E20" s="393">
        <f t="shared" si="36"/>
        <v>1</v>
      </c>
      <c r="F20" s="386"/>
      <c r="G20" s="386"/>
      <c r="H20" s="394">
        <f>AVERAGE(H2:H17)</f>
        <v>48.5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96">
        <f ca="1">AVERAGE(AD2:AD17)</f>
        <v>58.25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1" priority="1" operator="equal">
      <formula>33</formula>
    </cfRule>
  </conditionalFormatting>
  <hyperlinks>
    <hyperlink ref="A1" location="Champions!A1" display="Home" xr:uid="{00000000-0004-0000-2700-000000000000}"/>
    <hyperlink ref="AH1" location="Champions!A1" display="Home" xr:uid="{00000000-0004-0000-2700-000001000000}"/>
    <hyperlink ref="A19" location="Champions!A1" display="Home" xr:uid="{00000000-0004-0000-2700-000002000000}"/>
    <hyperlink ref="K19" location="Champions!A1" display="Home" xr:uid="{00000000-0004-0000-2700-000003000000}"/>
  </hyperlinks>
  <pageMargins left="0.7" right="0.7" top="0.75" bottom="0.75" header="0" footer="0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/>
  <cols>
    <col min="1" max="1" width="8.26953125" customWidth="1"/>
    <col min="2" max="2" width="28.26953125" customWidth="1"/>
    <col min="3" max="5" width="8.1796875" customWidth="1"/>
    <col min="6" max="7" width="7.1796875" customWidth="1"/>
    <col min="8" max="8" width="8" customWidth="1"/>
    <col min="9" max="9" width="9.1796875" customWidth="1"/>
    <col min="10" max="10" width="6.26953125" customWidth="1"/>
    <col min="11" max="11" width="9.7265625" customWidth="1"/>
    <col min="12" max="12" width="10.1796875" customWidth="1"/>
    <col min="13" max="13" width="25.81640625" customWidth="1"/>
    <col min="14" max="21" width="6.26953125" customWidth="1"/>
    <col min="22" max="24" width="7.7265625" customWidth="1"/>
    <col min="25" max="25" width="6.81640625" customWidth="1"/>
    <col min="26" max="26" width="28" customWidth="1"/>
    <col min="27" max="30" width="7.7265625" customWidth="1"/>
    <col min="31" max="31" width="7.81640625" customWidth="1"/>
    <col min="32" max="33" width="8.453125" customWidth="1"/>
    <col min="34" max="34" width="12.726562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206</v>
      </c>
      <c r="C2" s="496">
        <v>2</v>
      </c>
      <c r="D2" s="497">
        <v>10</v>
      </c>
      <c r="E2" s="498">
        <v>11</v>
      </c>
      <c r="F2" s="213">
        <f t="shared" ref="F2:F17" si="0">SUM(C2:E2)</f>
        <v>23</v>
      </c>
      <c r="G2" s="353">
        <f>C5+D4+E3</f>
        <v>24</v>
      </c>
      <c r="H2" s="353">
        <f t="shared" ref="H2:H17" si="1">SUM(F2:G2)</f>
        <v>47</v>
      </c>
      <c r="I2" s="354">
        <f t="shared" ref="I2:I17" si="2">IFERROR(F2/H2,"")</f>
        <v>0.48936170212765956</v>
      </c>
      <c r="J2" s="467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501" t="s">
        <v>207</v>
      </c>
      <c r="M2" s="357" t="str">
        <f t="array" aca="1" ref="M2" ca="1">IFERROR(INDEX($A$2:$K$17,MATCH(L2,$K$2:$K$17,0),2),)</f>
        <v>Troy Caskey &amp; William Edwards</v>
      </c>
      <c r="N2" s="482"/>
      <c r="O2" s="482"/>
      <c r="P2" s="482"/>
      <c r="Q2" s="493"/>
      <c r="R2" s="464">
        <v>12</v>
      </c>
      <c r="S2" s="464">
        <v>6</v>
      </c>
      <c r="T2" s="463">
        <v>5</v>
      </c>
      <c r="U2" s="463">
        <v>12</v>
      </c>
      <c r="V2" s="465">
        <f t="shared" ref="V2:W2" si="5">(N2+P2+R2+T2)</f>
        <v>17</v>
      </c>
      <c r="W2" s="465">
        <f t="shared" si="5"/>
        <v>18</v>
      </c>
      <c r="X2" s="465">
        <f t="shared" ref="X2:X17" si="6">V2+W2</f>
        <v>35</v>
      </c>
      <c r="Y2" s="359"/>
      <c r="Z2" s="359" t="s">
        <v>35</v>
      </c>
      <c r="AA2" s="329" t="str">
        <f t="shared" ref="AA2:AA14" ca="1" si="7">IFERROR(INDEX($A$2:$K$17,MATCH(Z2,$B$2:$B$17,0),11),)</f>
        <v>D2-1</v>
      </c>
      <c r="AB2" s="329">
        <f t="shared" ref="AB2:AB17" ca="1" si="8">IFERROR((INDEX($A$2:$H$17,MATCH($Z2,$B$2:$B$17,0),6))+INDEX($M$2:$X$17,MATCH($Z2,$M$2:$M$17,0),10),INDEX($B$2:$G$17,MATCH($Z2,$B$2:$B$17,0),5))</f>
        <v>58</v>
      </c>
      <c r="AC2" s="329">
        <f t="shared" ref="AC2:AC17" ca="1" si="9">IFERROR((INDEX($A$2:$H$17,MATCH($Z2,$B$2:$B$17,0),7))+INDEX($M$2:$X$17,MATCH($Z2,$M$2:$M$17,0),11),INDEX($B$2:$G$17,MATCH($Z2,$B$2:$B$17,0),6))</f>
        <v>31</v>
      </c>
      <c r="AD2" s="329">
        <f t="shared" ref="AD2:AD17" ca="1" si="10">SUM(AB2:AC2)</f>
        <v>89</v>
      </c>
      <c r="AE2" s="236">
        <f t="shared" ref="AE2:AE17" ca="1" si="11">AB2/AD2</f>
        <v>0.651685393258427</v>
      </c>
      <c r="AF2" s="330">
        <f t="shared" ref="AF2:AF17" ca="1" si="12">AE2-(100-AB2)</f>
        <v>-41.348314606741575</v>
      </c>
      <c r="AG2" s="432">
        <f t="shared" ref="AG2:AG17" ca="1" si="13">RANK($AF2,OFFSET($AF$2,0,0,COUNTA($AF$2:$AF$17),1))</f>
        <v>1</v>
      </c>
    </row>
    <row r="3" spans="1:34" ht="15" customHeight="1">
      <c r="A3" s="466" t="s">
        <v>1367</v>
      </c>
      <c r="B3" s="318" t="s">
        <v>212</v>
      </c>
      <c r="C3" s="316">
        <v>3</v>
      </c>
      <c r="D3" s="317">
        <v>2</v>
      </c>
      <c r="E3" s="317">
        <v>2</v>
      </c>
      <c r="F3" s="235">
        <f t="shared" si="0"/>
        <v>7</v>
      </c>
      <c r="G3" s="363">
        <f>C4+D5+E2</f>
        <v>33</v>
      </c>
      <c r="H3" s="363">
        <f t="shared" si="1"/>
        <v>40</v>
      </c>
      <c r="I3" s="360">
        <f t="shared" si="2"/>
        <v>0.17499999999999999</v>
      </c>
      <c r="J3" s="467">
        <f t="shared" ca="1" si="3"/>
        <v>4</v>
      </c>
      <c r="K3" s="425" t="str">
        <f t="shared" ca="1" si="4"/>
        <v>D1-4</v>
      </c>
      <c r="L3" s="502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36</v>
      </c>
      <c r="AA3" s="329" t="str">
        <f t="shared" ca="1" si="7"/>
        <v>D1-1</v>
      </c>
      <c r="AB3" s="329">
        <f t="shared" ca="1" si="8"/>
        <v>50</v>
      </c>
      <c r="AC3" s="329">
        <f t="shared" ca="1" si="9"/>
        <v>30</v>
      </c>
      <c r="AD3" s="329">
        <f t="shared" ca="1" si="10"/>
        <v>80</v>
      </c>
      <c r="AE3" s="236">
        <f t="shared" ca="1" si="11"/>
        <v>0.625</v>
      </c>
      <c r="AF3" s="341">
        <f t="shared" ca="1" si="12"/>
        <v>-49.375</v>
      </c>
      <c r="AG3" s="432">
        <f t="shared" ca="1" si="13"/>
        <v>2</v>
      </c>
    </row>
    <row r="4" spans="1:34" ht="15" customHeight="1">
      <c r="A4" s="466" t="s">
        <v>1367</v>
      </c>
      <c r="B4" s="318" t="s">
        <v>217</v>
      </c>
      <c r="C4" s="316">
        <v>11</v>
      </c>
      <c r="D4" s="319">
        <v>11</v>
      </c>
      <c r="E4" s="319">
        <v>8</v>
      </c>
      <c r="F4" s="235">
        <f t="shared" si="0"/>
        <v>30</v>
      </c>
      <c r="G4" s="363">
        <f>C3+D2+E5</f>
        <v>24</v>
      </c>
      <c r="H4" s="363">
        <f t="shared" si="1"/>
        <v>54</v>
      </c>
      <c r="I4" s="360">
        <f t="shared" si="2"/>
        <v>0.55555555555555558</v>
      </c>
      <c r="J4" s="467">
        <f t="shared" ca="1" si="3"/>
        <v>2</v>
      </c>
      <c r="K4" s="425" t="str">
        <f t="shared" ca="1" si="4"/>
        <v>D1-2</v>
      </c>
      <c r="L4" s="502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5">(N4+P4+R4+T4)</f>
        <v>0</v>
      </c>
      <c r="W4" s="465">
        <f t="shared" si="15"/>
        <v>0</v>
      </c>
      <c r="X4" s="465">
        <f t="shared" si="6"/>
        <v>0</v>
      </c>
      <c r="Y4" s="359"/>
      <c r="Z4" s="359" t="s">
        <v>242</v>
      </c>
      <c r="AA4" s="329" t="str">
        <f t="shared" ca="1" si="7"/>
        <v>D3-1</v>
      </c>
      <c r="AB4" s="329">
        <f t="shared" ca="1" si="8"/>
        <v>44</v>
      </c>
      <c r="AC4" s="329">
        <f t="shared" ca="1" si="9"/>
        <v>32</v>
      </c>
      <c r="AD4" s="329">
        <f t="shared" ca="1" si="10"/>
        <v>76</v>
      </c>
      <c r="AE4" s="236">
        <f t="shared" ca="1" si="11"/>
        <v>0.57894736842105265</v>
      </c>
      <c r="AF4" s="341">
        <f t="shared" ca="1" si="12"/>
        <v>-55.421052631578945</v>
      </c>
      <c r="AG4" s="432">
        <f t="shared" ca="1" si="13"/>
        <v>3</v>
      </c>
    </row>
    <row r="5" spans="1:34" ht="15" customHeight="1">
      <c r="A5" s="366" t="s">
        <v>1367</v>
      </c>
      <c r="B5" s="320" t="s">
        <v>36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368">
        <f>C2+D3+E4</f>
        <v>12</v>
      </c>
      <c r="H5" s="368">
        <f t="shared" si="1"/>
        <v>45</v>
      </c>
      <c r="I5" s="369">
        <f t="shared" si="2"/>
        <v>0.73333333333333328</v>
      </c>
      <c r="J5" s="471">
        <f t="shared" ca="1" si="3"/>
        <v>1</v>
      </c>
      <c r="K5" s="430" t="str">
        <f t="shared" ca="1" si="4"/>
        <v>D1-1</v>
      </c>
      <c r="L5" s="500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264</v>
      </c>
      <c r="AA5" s="337" t="str">
        <f t="shared" ca="1" si="7"/>
        <v>D4-1</v>
      </c>
      <c r="AB5" s="337">
        <f t="shared" ca="1" si="8"/>
        <v>39</v>
      </c>
      <c r="AC5" s="337">
        <f t="shared" ca="1" si="9"/>
        <v>28</v>
      </c>
      <c r="AD5" s="337">
        <f t="shared" ca="1" si="10"/>
        <v>67</v>
      </c>
      <c r="AE5" s="253">
        <f t="shared" ca="1" si="11"/>
        <v>0.58208955223880599</v>
      </c>
      <c r="AF5" s="399">
        <f t="shared" ca="1" si="12"/>
        <v>-60.417910447761194</v>
      </c>
      <c r="AG5" s="434">
        <f t="shared" ca="1" si="13"/>
        <v>4</v>
      </c>
    </row>
    <row r="6" spans="1:34" ht="15" customHeight="1">
      <c r="A6" s="357" t="s">
        <v>1368</v>
      </c>
      <c r="B6" s="318" t="s">
        <v>35</v>
      </c>
      <c r="C6" s="496">
        <v>11</v>
      </c>
      <c r="D6" s="497">
        <v>11</v>
      </c>
      <c r="E6" s="498">
        <v>11</v>
      </c>
      <c r="F6" s="213">
        <f t="shared" si="0"/>
        <v>33</v>
      </c>
      <c r="G6" s="353">
        <f>C7+D9+E8</f>
        <v>15</v>
      </c>
      <c r="H6" s="353">
        <f t="shared" si="1"/>
        <v>48</v>
      </c>
      <c r="I6" s="354">
        <f t="shared" si="2"/>
        <v>0.6875</v>
      </c>
      <c r="J6" s="467">
        <f t="shared" ref="J6:J9" ca="1" si="17">IFERROR(RANK(F6,OFFSET($F$6,0,0,COUNTA($F$6:$F$9),1)),)</f>
        <v>1</v>
      </c>
      <c r="K6" s="419" t="str">
        <f t="shared" ca="1" si="4"/>
        <v>D2-1</v>
      </c>
      <c r="L6" s="501" t="s">
        <v>225</v>
      </c>
      <c r="M6" s="466" t="str">
        <f t="array" aca="1" ref="M6" ca="1">IFERROR(INDEX($A$2:$K$17,MATCH(L6,$K$2:$K$17,0),2),)</f>
        <v>Bob Kreifels &amp; Bond Marrs</v>
      </c>
      <c r="N6" s="483"/>
      <c r="O6" s="483"/>
      <c r="P6" s="483"/>
      <c r="Q6" s="494"/>
      <c r="R6" s="470">
        <v>13</v>
      </c>
      <c r="S6" s="470">
        <v>11</v>
      </c>
      <c r="T6" s="469">
        <v>12</v>
      </c>
      <c r="U6" s="469">
        <v>5</v>
      </c>
      <c r="V6" s="476">
        <f t="shared" ref="V6:W6" si="18">(N6+P6+R6+T6)</f>
        <v>25</v>
      </c>
      <c r="W6" s="476">
        <f t="shared" si="18"/>
        <v>16</v>
      </c>
      <c r="X6" s="476">
        <f t="shared" si="6"/>
        <v>41</v>
      </c>
      <c r="Y6" s="374"/>
      <c r="Z6" s="374" t="s">
        <v>217</v>
      </c>
      <c r="AA6" s="340" t="str">
        <f t="shared" ca="1" si="7"/>
        <v>D1-2</v>
      </c>
      <c r="AB6" s="340">
        <f t="shared" ca="1" si="8"/>
        <v>30</v>
      </c>
      <c r="AC6" s="340">
        <f t="shared" ca="1" si="9"/>
        <v>24</v>
      </c>
      <c r="AD6" s="340">
        <f t="shared" ca="1" si="10"/>
        <v>54</v>
      </c>
      <c r="AE6" s="214">
        <f t="shared" ca="1" si="11"/>
        <v>0.55555555555555558</v>
      </c>
      <c r="AF6" s="333">
        <f t="shared" ca="1" si="12"/>
        <v>-69.444444444444443</v>
      </c>
      <c r="AG6" s="432">
        <f t="shared" ca="1" si="13"/>
        <v>5</v>
      </c>
    </row>
    <row r="7" spans="1:34" ht="15" customHeight="1">
      <c r="A7" s="466" t="s">
        <v>1368</v>
      </c>
      <c r="B7" s="318" t="s">
        <v>229</v>
      </c>
      <c r="C7" s="316">
        <v>8</v>
      </c>
      <c r="D7" s="317">
        <v>11</v>
      </c>
      <c r="E7" s="317">
        <v>11</v>
      </c>
      <c r="F7" s="235">
        <f t="shared" si="0"/>
        <v>30</v>
      </c>
      <c r="G7" s="363">
        <f>C6+D8+E9</f>
        <v>27</v>
      </c>
      <c r="H7" s="363">
        <f t="shared" si="1"/>
        <v>57</v>
      </c>
      <c r="I7" s="360">
        <f t="shared" si="2"/>
        <v>0.52631578947368418</v>
      </c>
      <c r="J7" s="467">
        <f t="shared" ca="1" si="17"/>
        <v>2</v>
      </c>
      <c r="K7" s="425" t="str">
        <f t="shared" ca="1" si="4"/>
        <v>D2-2</v>
      </c>
      <c r="L7" s="502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229</v>
      </c>
      <c r="AA7" s="329" t="str">
        <f t="shared" ca="1" si="7"/>
        <v>D2-2</v>
      </c>
      <c r="AB7" s="329">
        <f t="shared" ca="1" si="8"/>
        <v>30</v>
      </c>
      <c r="AC7" s="329">
        <f t="shared" ca="1" si="9"/>
        <v>27</v>
      </c>
      <c r="AD7" s="329">
        <f t="shared" ca="1" si="10"/>
        <v>57</v>
      </c>
      <c r="AE7" s="236">
        <f t="shared" ca="1" si="11"/>
        <v>0.52631578947368418</v>
      </c>
      <c r="AF7" s="341">
        <f t="shared" ca="1" si="12"/>
        <v>-69.473684210526315</v>
      </c>
      <c r="AG7" s="432">
        <f t="shared" ca="1" si="13"/>
        <v>6</v>
      </c>
    </row>
    <row r="8" spans="1:34" ht="15" customHeight="1">
      <c r="A8" s="466" t="s">
        <v>1368</v>
      </c>
      <c r="B8" s="318" t="s">
        <v>233</v>
      </c>
      <c r="C8" s="316">
        <v>11</v>
      </c>
      <c r="D8" s="319">
        <v>7</v>
      </c>
      <c r="E8" s="319">
        <v>1</v>
      </c>
      <c r="F8" s="235">
        <f t="shared" si="0"/>
        <v>19</v>
      </c>
      <c r="G8" s="363">
        <f>C9+D7+E6</f>
        <v>31</v>
      </c>
      <c r="H8" s="363">
        <f t="shared" si="1"/>
        <v>50</v>
      </c>
      <c r="I8" s="360">
        <f t="shared" si="2"/>
        <v>0.38</v>
      </c>
      <c r="J8" s="467">
        <f t="shared" ca="1" si="17"/>
        <v>4</v>
      </c>
      <c r="K8" s="425" t="str">
        <f t="shared" ca="1" si="4"/>
        <v>D2-4</v>
      </c>
      <c r="L8" s="502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252</v>
      </c>
      <c r="AA8" s="329" t="str">
        <f t="shared" ca="1" si="7"/>
        <v>D3-2</v>
      </c>
      <c r="AB8" s="329">
        <f t="shared" ca="1" si="8"/>
        <v>28</v>
      </c>
      <c r="AC8" s="329">
        <f t="shared" ca="1" si="9"/>
        <v>29</v>
      </c>
      <c r="AD8" s="329">
        <f t="shared" ca="1" si="10"/>
        <v>57</v>
      </c>
      <c r="AE8" s="236">
        <f t="shared" ca="1" si="11"/>
        <v>0.49122807017543857</v>
      </c>
      <c r="AF8" s="341">
        <f t="shared" ca="1" si="12"/>
        <v>-71.508771929824562</v>
      </c>
      <c r="AG8" s="432">
        <f t="shared" ca="1" si="13"/>
        <v>7</v>
      </c>
    </row>
    <row r="9" spans="1:34" ht="15" customHeight="1">
      <c r="A9" s="366" t="s">
        <v>1368</v>
      </c>
      <c r="B9" s="320" t="s">
        <v>238</v>
      </c>
      <c r="C9" s="320">
        <v>9</v>
      </c>
      <c r="D9" s="321">
        <v>6</v>
      </c>
      <c r="E9" s="322">
        <v>9</v>
      </c>
      <c r="F9" s="252">
        <f t="shared" si="0"/>
        <v>24</v>
      </c>
      <c r="G9" s="368">
        <f>C8+D6+E7</f>
        <v>33</v>
      </c>
      <c r="H9" s="368">
        <f t="shared" si="1"/>
        <v>57</v>
      </c>
      <c r="I9" s="369">
        <f t="shared" si="2"/>
        <v>0.42105263157894735</v>
      </c>
      <c r="J9" s="471">
        <f t="shared" ca="1" si="17"/>
        <v>3</v>
      </c>
      <c r="K9" s="430" t="str">
        <f t="shared" ca="1" si="4"/>
        <v>D2-3</v>
      </c>
      <c r="L9" s="500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247</v>
      </c>
      <c r="AA9" s="337" t="str">
        <f t="shared" ca="1" si="7"/>
        <v>D3-3</v>
      </c>
      <c r="AB9" s="337">
        <f t="shared" ca="1" si="8"/>
        <v>27</v>
      </c>
      <c r="AC9" s="337">
        <f t="shared" ca="1" si="9"/>
        <v>33</v>
      </c>
      <c r="AD9" s="337">
        <f t="shared" ca="1" si="10"/>
        <v>60</v>
      </c>
      <c r="AE9" s="253">
        <f t="shared" ca="1" si="11"/>
        <v>0.45</v>
      </c>
      <c r="AF9" s="338">
        <f t="shared" ca="1" si="12"/>
        <v>-72.55</v>
      </c>
      <c r="AG9" s="434">
        <f t="shared" ca="1" si="13"/>
        <v>8</v>
      </c>
    </row>
    <row r="10" spans="1:34" ht="15" customHeight="1">
      <c r="A10" s="357" t="s">
        <v>1369</v>
      </c>
      <c r="B10" s="318" t="s">
        <v>242</v>
      </c>
      <c r="C10" s="496">
        <v>11</v>
      </c>
      <c r="D10" s="497">
        <v>11</v>
      </c>
      <c r="E10" s="498">
        <v>11</v>
      </c>
      <c r="F10" s="213">
        <f t="shared" si="0"/>
        <v>33</v>
      </c>
      <c r="G10" s="353">
        <f>C12+D11+E13</f>
        <v>19</v>
      </c>
      <c r="H10" s="353">
        <f t="shared" si="1"/>
        <v>52</v>
      </c>
      <c r="I10" s="354">
        <f t="shared" si="2"/>
        <v>0.63461538461538458</v>
      </c>
      <c r="J10" s="467">
        <f t="shared" ref="J10:J13" ca="1" si="22">IFERROR(RANK(F10,OFFSET($F$10,0,0,COUNTA($F$10:$F$13),1)),)</f>
        <v>1</v>
      </c>
      <c r="K10" s="419" t="str">
        <f t="shared" ca="1" si="4"/>
        <v>D3-1</v>
      </c>
      <c r="L10" s="501" t="s">
        <v>243</v>
      </c>
      <c r="M10" s="466" t="str">
        <f t="array" aca="1" ref="M10" ca="1">IFERROR(INDEX($A$2:$K$17,MATCH(L10,$K$2:$K$17,0),2),)</f>
        <v>Andy Brez &amp; Brian Jenkins</v>
      </c>
      <c r="N10" s="483"/>
      <c r="O10" s="483"/>
      <c r="P10" s="483"/>
      <c r="Q10" s="494"/>
      <c r="R10" s="470">
        <v>11</v>
      </c>
      <c r="S10" s="470">
        <v>13</v>
      </c>
      <c r="T10" s="469"/>
      <c r="U10" s="469"/>
      <c r="V10" s="465">
        <f t="shared" ref="V10:W10" si="23">(N10+P10+R10+T10)</f>
        <v>11</v>
      </c>
      <c r="W10" s="465">
        <f t="shared" si="23"/>
        <v>13</v>
      </c>
      <c r="X10" s="465">
        <f t="shared" si="6"/>
        <v>24</v>
      </c>
      <c r="Y10" s="359"/>
      <c r="Z10" s="359" t="s">
        <v>262</v>
      </c>
      <c r="AA10" s="329" t="str">
        <f t="shared" ca="1" si="7"/>
        <v>D4-2</v>
      </c>
      <c r="AB10" s="329">
        <f t="shared" ca="1" si="8"/>
        <v>26</v>
      </c>
      <c r="AC10" s="329">
        <f t="shared" ca="1" si="9"/>
        <v>20</v>
      </c>
      <c r="AD10" s="329">
        <f t="shared" ca="1" si="10"/>
        <v>46</v>
      </c>
      <c r="AE10" s="236">
        <f t="shared" ca="1" si="11"/>
        <v>0.56521739130434778</v>
      </c>
      <c r="AF10" s="341">
        <f t="shared" ca="1" si="12"/>
        <v>-73.434782608695656</v>
      </c>
      <c r="AG10" s="432">
        <f t="shared" ca="1" si="13"/>
        <v>9</v>
      </c>
    </row>
    <row r="11" spans="1:34" ht="15" customHeight="1">
      <c r="A11" s="466" t="s">
        <v>1369</v>
      </c>
      <c r="B11" s="318" t="s">
        <v>247</v>
      </c>
      <c r="C11" s="316">
        <v>10</v>
      </c>
      <c r="D11" s="317">
        <v>8</v>
      </c>
      <c r="E11" s="317">
        <v>9</v>
      </c>
      <c r="F11" s="235">
        <f t="shared" si="0"/>
        <v>27</v>
      </c>
      <c r="G11" s="363">
        <f>C13+D10+E12</f>
        <v>33</v>
      </c>
      <c r="H11" s="363">
        <f t="shared" si="1"/>
        <v>60</v>
      </c>
      <c r="I11" s="360">
        <f t="shared" si="2"/>
        <v>0.45</v>
      </c>
      <c r="J11" s="467">
        <f t="shared" ca="1" si="22"/>
        <v>3</v>
      </c>
      <c r="K11" s="425" t="str">
        <f t="shared" ca="1" si="4"/>
        <v>D3-3</v>
      </c>
      <c r="L11" s="502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257</v>
      </c>
      <c r="AA11" s="329" t="str">
        <f t="shared" ca="1" si="7"/>
        <v>D3-4</v>
      </c>
      <c r="AB11" s="329">
        <f t="shared" ca="1" si="8"/>
        <v>25</v>
      </c>
      <c r="AC11" s="329">
        <f t="shared" ca="1" si="9"/>
        <v>32</v>
      </c>
      <c r="AD11" s="329">
        <f t="shared" ca="1" si="10"/>
        <v>57</v>
      </c>
      <c r="AE11" s="236">
        <f t="shared" ca="1" si="11"/>
        <v>0.43859649122807015</v>
      </c>
      <c r="AF11" s="341">
        <f t="shared" ca="1" si="12"/>
        <v>-74.561403508771932</v>
      </c>
      <c r="AG11" s="432">
        <f t="shared" ca="1" si="13"/>
        <v>10</v>
      </c>
    </row>
    <row r="12" spans="1:34" ht="15" customHeight="1">
      <c r="A12" s="466" t="s">
        <v>1369</v>
      </c>
      <c r="B12" s="318" t="s">
        <v>252</v>
      </c>
      <c r="C12" s="316">
        <v>6</v>
      </c>
      <c r="D12" s="319">
        <v>11</v>
      </c>
      <c r="E12" s="319">
        <v>11</v>
      </c>
      <c r="F12" s="235">
        <f t="shared" si="0"/>
        <v>28</v>
      </c>
      <c r="G12" s="363">
        <f>C10+D13+E11</f>
        <v>29</v>
      </c>
      <c r="H12" s="363">
        <f t="shared" si="1"/>
        <v>57</v>
      </c>
      <c r="I12" s="360">
        <f t="shared" si="2"/>
        <v>0.49122807017543857</v>
      </c>
      <c r="J12" s="467">
        <f t="shared" ca="1" si="22"/>
        <v>2</v>
      </c>
      <c r="K12" s="425" t="str">
        <f t="shared" ca="1" si="4"/>
        <v>D3-2</v>
      </c>
      <c r="L12" s="502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238</v>
      </c>
      <c r="AA12" s="329" t="str">
        <f t="shared" ca="1" si="7"/>
        <v>D2-3</v>
      </c>
      <c r="AB12" s="329">
        <f t="shared" ca="1" si="8"/>
        <v>24</v>
      </c>
      <c r="AC12" s="329">
        <f t="shared" ca="1" si="9"/>
        <v>33</v>
      </c>
      <c r="AD12" s="329">
        <f t="shared" ca="1" si="10"/>
        <v>57</v>
      </c>
      <c r="AE12" s="360">
        <f t="shared" ca="1" si="11"/>
        <v>0.42105263157894735</v>
      </c>
      <c r="AF12" s="343">
        <f t="shared" ca="1" si="12"/>
        <v>-75.578947368421055</v>
      </c>
      <c r="AG12" s="428">
        <f t="shared" ca="1" si="13"/>
        <v>11</v>
      </c>
    </row>
    <row r="13" spans="1:34" ht="15" customHeight="1">
      <c r="A13" s="366" t="s">
        <v>1369</v>
      </c>
      <c r="B13" s="320" t="s">
        <v>257</v>
      </c>
      <c r="C13" s="320">
        <v>11</v>
      </c>
      <c r="D13" s="321">
        <v>9</v>
      </c>
      <c r="E13" s="322">
        <v>5</v>
      </c>
      <c r="F13" s="252">
        <f t="shared" si="0"/>
        <v>25</v>
      </c>
      <c r="G13" s="368">
        <f>C11+D12+E10</f>
        <v>32</v>
      </c>
      <c r="H13" s="368">
        <f t="shared" si="1"/>
        <v>57</v>
      </c>
      <c r="I13" s="369">
        <f t="shared" si="2"/>
        <v>0.43859649122807015</v>
      </c>
      <c r="J13" s="471">
        <f t="shared" ca="1" si="22"/>
        <v>4</v>
      </c>
      <c r="K13" s="430" t="str">
        <f t="shared" ca="1" si="4"/>
        <v>D3-4</v>
      </c>
      <c r="L13" s="500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206</v>
      </c>
      <c r="AA13" s="337" t="str">
        <f t="shared" ca="1" si="7"/>
        <v>D1-3</v>
      </c>
      <c r="AB13" s="337">
        <f t="shared" ca="1" si="8"/>
        <v>23</v>
      </c>
      <c r="AC13" s="337">
        <f t="shared" ca="1" si="9"/>
        <v>24</v>
      </c>
      <c r="AD13" s="337">
        <f t="shared" ca="1" si="10"/>
        <v>47</v>
      </c>
      <c r="AE13" s="253">
        <f t="shared" ca="1" si="11"/>
        <v>0.48936170212765956</v>
      </c>
      <c r="AF13" s="401">
        <f t="shared" ca="1" si="12"/>
        <v>-76.510638297872347</v>
      </c>
      <c r="AG13" s="434">
        <f t="shared" ca="1" si="13"/>
        <v>12</v>
      </c>
    </row>
    <row r="14" spans="1:34" ht="15" customHeight="1">
      <c r="A14" s="357" t="s">
        <v>1371</v>
      </c>
      <c r="B14" s="318" t="s">
        <v>262</v>
      </c>
      <c r="C14" s="496">
        <v>11</v>
      </c>
      <c r="D14" s="497">
        <v>11</v>
      </c>
      <c r="E14" s="498">
        <v>4</v>
      </c>
      <c r="F14" s="213">
        <f t="shared" si="0"/>
        <v>26</v>
      </c>
      <c r="G14" s="353">
        <f>C17+D16+E15</f>
        <v>20</v>
      </c>
      <c r="H14" s="353">
        <f t="shared" si="1"/>
        <v>46</v>
      </c>
      <c r="I14" s="354">
        <f t="shared" si="2"/>
        <v>0.56521739130434778</v>
      </c>
      <c r="J14" s="467">
        <f t="shared" ref="J14:J17" ca="1" si="27">IFERROR(RANK(F14,OFFSET($F$14,0,0,COUNTA($F$14:$F$17),1)),)</f>
        <v>2</v>
      </c>
      <c r="K14" s="419" t="str">
        <f t="shared" ca="1" si="4"/>
        <v>D4-2</v>
      </c>
      <c r="L14" s="501" t="s">
        <v>263</v>
      </c>
      <c r="M14" s="466" t="str">
        <f t="array" aca="1" ref="M14" ca="1">IFERROR(INDEX($A$2:$K$17,MATCH(L14,$K$2:$K$17,0),2),)</f>
        <v>Tim Askew &amp; Brian Shehan</v>
      </c>
      <c r="N14" s="483"/>
      <c r="O14" s="483"/>
      <c r="P14" s="483"/>
      <c r="Q14" s="494"/>
      <c r="R14" s="470">
        <v>6</v>
      </c>
      <c r="S14" s="470">
        <v>12</v>
      </c>
      <c r="T14" s="469"/>
      <c r="U14" s="469"/>
      <c r="V14" s="465">
        <f t="shared" ref="V14:W14" si="28">(N14+P14+R14+T14)</f>
        <v>6</v>
      </c>
      <c r="W14" s="465">
        <f t="shared" si="28"/>
        <v>12</v>
      </c>
      <c r="X14" s="465">
        <f t="shared" si="6"/>
        <v>18</v>
      </c>
      <c r="Y14" s="359"/>
      <c r="Z14" s="359" t="s">
        <v>277</v>
      </c>
      <c r="AA14" s="329" t="str">
        <f t="shared" ca="1" si="7"/>
        <v>D4-3</v>
      </c>
      <c r="AB14" s="329">
        <f t="shared" ca="1" si="8"/>
        <v>21</v>
      </c>
      <c r="AC14" s="329">
        <f t="shared" ca="1" si="9"/>
        <v>33</v>
      </c>
      <c r="AD14" s="329">
        <f t="shared" ca="1" si="10"/>
        <v>54</v>
      </c>
      <c r="AE14" s="236">
        <f t="shared" ca="1" si="11"/>
        <v>0.3888888888888889</v>
      </c>
      <c r="AF14" s="343">
        <f t="shared" ca="1" si="12"/>
        <v>-78.611111111111114</v>
      </c>
      <c r="AG14" s="432">
        <f t="shared" ca="1" si="13"/>
        <v>13</v>
      </c>
    </row>
    <row r="15" spans="1:34" ht="15" customHeight="1">
      <c r="A15" s="466" t="s">
        <v>1371</v>
      </c>
      <c r="B15" s="318" t="s">
        <v>264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363">
        <f>C16+D17+E14</f>
        <v>16</v>
      </c>
      <c r="H15" s="363">
        <f t="shared" si="1"/>
        <v>49</v>
      </c>
      <c r="I15" s="360">
        <f t="shared" si="2"/>
        <v>0.67346938775510201</v>
      </c>
      <c r="J15" s="467">
        <f t="shared" ca="1" si="27"/>
        <v>1</v>
      </c>
      <c r="K15" s="425" t="str">
        <f t="shared" ca="1" si="4"/>
        <v>D4-1</v>
      </c>
      <c r="L15" s="502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272</v>
      </c>
      <c r="AA15" s="329" t="str">
        <f t="array" aca="1" ref="AA15" ca="1">INDEX($A$2:$K$17,MATCH(Z15,$B$2:$B$17,0),11)</f>
        <v>D4-4</v>
      </c>
      <c r="AB15" s="329">
        <f t="shared" ca="1" si="8"/>
        <v>20</v>
      </c>
      <c r="AC15" s="329">
        <f t="shared" ca="1" si="9"/>
        <v>31</v>
      </c>
      <c r="AD15" s="329">
        <f t="shared" ca="1" si="10"/>
        <v>51</v>
      </c>
      <c r="AE15" s="236">
        <f t="shared" ca="1" si="11"/>
        <v>0.39215686274509803</v>
      </c>
      <c r="AF15" s="341">
        <f t="shared" ca="1" si="12"/>
        <v>-79.607843137254903</v>
      </c>
      <c r="AG15" s="432">
        <f t="shared" ca="1" si="13"/>
        <v>14</v>
      </c>
    </row>
    <row r="16" spans="1:34" ht="15" customHeight="1">
      <c r="A16" s="466" t="s">
        <v>1371</v>
      </c>
      <c r="B16" s="318" t="s">
        <v>272</v>
      </c>
      <c r="C16" s="316">
        <v>4</v>
      </c>
      <c r="D16" s="319">
        <v>5</v>
      </c>
      <c r="E16" s="319">
        <v>11</v>
      </c>
      <c r="F16" s="235">
        <f t="shared" si="0"/>
        <v>20</v>
      </c>
      <c r="G16" s="363">
        <f>C15+D14+E17</f>
        <v>31</v>
      </c>
      <c r="H16" s="363">
        <f t="shared" si="1"/>
        <v>51</v>
      </c>
      <c r="I16" s="360">
        <f t="shared" si="2"/>
        <v>0.39215686274509803</v>
      </c>
      <c r="J16" s="467">
        <f t="shared" ca="1" si="27"/>
        <v>4</v>
      </c>
      <c r="K16" s="425" t="str">
        <f t="shared" ca="1" si="4"/>
        <v>D4-4</v>
      </c>
      <c r="L16" s="502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0">(N16+P16+R16+T16)</f>
        <v>0</v>
      </c>
      <c r="W16" s="465">
        <f t="shared" si="30"/>
        <v>0</v>
      </c>
      <c r="X16" s="465">
        <f t="shared" si="6"/>
        <v>0</v>
      </c>
      <c r="Y16" s="359"/>
      <c r="Z16" s="359" t="s">
        <v>233</v>
      </c>
      <c r="AA16" s="329" t="str">
        <f t="shared" ref="AA16:AA17" ca="1" si="31">IFERROR(INDEX($A$2:$K$17,MATCH(Z16,$B$2:$B$17,0),11),)</f>
        <v>D2-4</v>
      </c>
      <c r="AB16" s="329">
        <f t="shared" ca="1" si="8"/>
        <v>19</v>
      </c>
      <c r="AC16" s="329">
        <f t="shared" ca="1" si="9"/>
        <v>31</v>
      </c>
      <c r="AD16" s="329">
        <f t="shared" ca="1" si="10"/>
        <v>50</v>
      </c>
      <c r="AE16" s="236">
        <f t="shared" ca="1" si="11"/>
        <v>0.38</v>
      </c>
      <c r="AF16" s="341">
        <f t="shared" ca="1" si="12"/>
        <v>-80.62</v>
      </c>
      <c r="AG16" s="432">
        <f t="shared" ca="1" si="13"/>
        <v>15</v>
      </c>
    </row>
    <row r="17" spans="1:33" ht="15" customHeight="1">
      <c r="A17" s="366" t="s">
        <v>1371</v>
      </c>
      <c r="B17" s="320" t="s">
        <v>277</v>
      </c>
      <c r="C17" s="320">
        <v>4</v>
      </c>
      <c r="D17" s="321">
        <v>8</v>
      </c>
      <c r="E17" s="322">
        <v>9</v>
      </c>
      <c r="F17" s="252">
        <f t="shared" si="0"/>
        <v>21</v>
      </c>
      <c r="G17" s="368">
        <f>C14+D15+E16</f>
        <v>33</v>
      </c>
      <c r="H17" s="368">
        <f t="shared" si="1"/>
        <v>54</v>
      </c>
      <c r="I17" s="369">
        <f t="shared" si="2"/>
        <v>0.3888888888888889</v>
      </c>
      <c r="J17" s="471">
        <f t="shared" ca="1" si="27"/>
        <v>3</v>
      </c>
      <c r="K17" s="430" t="str">
        <f t="shared" ca="1" si="4"/>
        <v>D4-3</v>
      </c>
      <c r="L17" s="500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212</v>
      </c>
      <c r="AA17" s="337" t="str">
        <f t="shared" ca="1" si="31"/>
        <v>D1-4</v>
      </c>
      <c r="AB17" s="337">
        <f t="shared" ca="1" si="8"/>
        <v>7</v>
      </c>
      <c r="AC17" s="337">
        <f t="shared" ca="1" si="9"/>
        <v>33</v>
      </c>
      <c r="AD17" s="337">
        <f t="shared" ca="1" si="10"/>
        <v>40</v>
      </c>
      <c r="AE17" s="253">
        <f t="shared" ca="1" si="11"/>
        <v>0.17499999999999999</v>
      </c>
      <c r="AF17" s="399">
        <f t="shared" ca="1" si="12"/>
        <v>-92.825000000000003</v>
      </c>
      <c r="AG17" s="434">
        <f t="shared" ca="1" si="13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3">SUM(C2:C17)</f>
        <v>134</v>
      </c>
      <c r="D19" s="388">
        <f t="shared" si="33"/>
        <v>143</v>
      </c>
      <c r="E19" s="388">
        <f>SUM(E2:E18)</f>
        <v>135</v>
      </c>
      <c r="F19" s="389">
        <f t="shared" ref="F19:G19" si="34">SUM(F2:F17)</f>
        <v>412</v>
      </c>
      <c r="G19" s="389">
        <f t="shared" si="34"/>
        <v>412</v>
      </c>
      <c r="H19" s="390">
        <f>SUM(H2:H17)/2</f>
        <v>412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42</v>
      </c>
      <c r="S19" s="385">
        <f t="shared" si="35"/>
        <v>42</v>
      </c>
      <c r="T19" s="385">
        <f t="shared" si="35"/>
        <v>17</v>
      </c>
      <c r="U19" s="385">
        <f t="shared" si="35"/>
        <v>17</v>
      </c>
      <c r="V19" s="385">
        <f t="shared" si="35"/>
        <v>59</v>
      </c>
      <c r="W19" s="385">
        <f t="shared" si="35"/>
        <v>59</v>
      </c>
      <c r="X19" s="385">
        <f>SUM(X2:X17)/2</f>
        <v>59</v>
      </c>
      <c r="Y19" s="385"/>
      <c r="Z19" s="385"/>
      <c r="AA19" s="385"/>
      <c r="AB19" s="385">
        <f t="shared" ref="AB19:AD19" ca="1" si="36">SUM(AB2:AB17)/2</f>
        <v>235.5</v>
      </c>
      <c r="AC19" s="385">
        <f t="shared" ca="1" si="36"/>
        <v>235.5</v>
      </c>
      <c r="AD19" s="385">
        <f t="shared" ca="1" si="36"/>
        <v>471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7">COUNTIF(C2:C17, 10)</f>
        <v>1</v>
      </c>
      <c r="D20" s="393">
        <f t="shared" si="37"/>
        <v>1</v>
      </c>
      <c r="E20" s="393">
        <f t="shared" si="37"/>
        <v>0</v>
      </c>
      <c r="F20" s="386"/>
      <c r="G20" s="386"/>
      <c r="H20" s="394">
        <f>AVERAGE(H2:H17)</f>
        <v>51.5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58.875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0" priority="1" operator="equal">
      <formula>33</formula>
    </cfRule>
  </conditionalFormatting>
  <hyperlinks>
    <hyperlink ref="A1" location="Champions!A1" display="Home" xr:uid="{00000000-0004-0000-2800-000000000000}"/>
    <hyperlink ref="AH1" location="Champions!A1" display="Home" xr:uid="{00000000-0004-0000-2800-000001000000}"/>
    <hyperlink ref="A19" location="Champions!A1" display="Home" xr:uid="{00000000-0004-0000-2800-000002000000}"/>
    <hyperlink ref="K19" location="Champions!A1" display="Home" xr:uid="{00000000-0004-0000-2800-00000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Champions</vt:lpstr>
      <vt:lpstr>All Scores</vt:lpstr>
      <vt:lpstr>All Players</vt:lpstr>
      <vt:lpstr>2024-08-31 Mixed</vt:lpstr>
      <vt:lpstr>2024-08-10 W</vt:lpstr>
      <vt:lpstr>2024-07-20 M</vt:lpstr>
      <vt:lpstr>2023-10-07 Mixed</vt:lpstr>
      <vt:lpstr>2023-09-16 W</vt:lpstr>
      <vt:lpstr>2023-08-12 M</vt:lpstr>
      <vt:lpstr>2022-10-15 Mixed</vt:lpstr>
      <vt:lpstr>2022-09-17 Women</vt:lpstr>
      <vt:lpstr>2022-08-27 Men</vt:lpstr>
      <vt:lpstr>2021-10-16 Mixed</vt:lpstr>
      <vt:lpstr>2021-08-28 Men</vt:lpstr>
      <vt:lpstr>2020-10-17 Mixed</vt:lpstr>
      <vt:lpstr>2020-09-26 Women</vt:lpstr>
      <vt:lpstr>2021-06-05 Women</vt:lpstr>
      <vt:lpstr>2020-08-22 Men</vt:lpstr>
      <vt:lpstr>2019-09-07 Mixed</vt:lpstr>
      <vt:lpstr>2019-08-24 Women</vt:lpstr>
      <vt:lpstr>2019-07-06 Men</vt:lpstr>
      <vt:lpstr>2018-09-22 Mixed</vt:lpstr>
      <vt:lpstr>2018-08-25 Men</vt:lpstr>
      <vt:lpstr>2017-10-15 Mixed</vt:lpstr>
      <vt:lpstr>2017-09-24 Men</vt:lpstr>
      <vt:lpstr>2017-09-23 Women</vt:lpstr>
      <vt:lpstr>2016-10-16 Mixed</vt:lpstr>
      <vt:lpstr>2016-07-02 Men</vt:lpstr>
      <vt:lpstr>2015-10-10 Mixed</vt:lpstr>
      <vt:lpstr>2015-05-31 Men</vt:lpstr>
      <vt:lpstr>2014-10-11 Women</vt:lpstr>
      <vt:lpstr>2014-09-28 Mixed</vt:lpstr>
      <vt:lpstr>2014-05-31 Men</vt:lpstr>
      <vt:lpstr>2013-10-13 Mixed</vt:lpstr>
      <vt:lpstr>2013-06-15 Men</vt:lpstr>
      <vt:lpstr>2012-10-14 Men</vt:lpstr>
      <vt:lpstr>2012-06-16 Men</vt:lpstr>
      <vt:lpstr>2011-06-04 Men</vt:lpstr>
      <vt:lpstr>2010-10-03 Men</vt:lpstr>
      <vt:lpstr>2010-05-15 Men</vt:lpstr>
      <vt:lpstr>2009-10-18 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Madison</cp:lastModifiedBy>
  <dcterms:modified xsi:type="dcterms:W3CDTF">2025-07-05T23:12:14Z</dcterms:modified>
</cp:coreProperties>
</file>