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130" yWindow="-90" windowWidth="7260" windowHeight="7365" activeTab="2"/>
  </bookViews>
  <sheets>
    <sheet name="CR ANNEE 1" sheetId="12" r:id="rId1"/>
    <sheet name="CR ANNEE 2" sheetId="19" r:id="rId2"/>
    <sheet name="CR ANNEE 3" sheetId="20" r:id="rId3"/>
    <sheet name="CR SYNTHESE SUR 3 ANS" sheetId="4" r:id="rId4"/>
    <sheet name="besoin tréso exploit°" sheetId="13" r:id="rId5"/>
    <sheet name="Investissements" sheetId="16" r:id="rId6"/>
    <sheet name="Emprunts" sheetId="3" r:id="rId7"/>
    <sheet name="PLAN FIN 1ERE ANNEE" sheetId="15" r:id="rId8"/>
  </sheets>
  <externalReferences>
    <externalReference r:id="rId9"/>
    <externalReference r:id="rId10"/>
  </externalReferences>
  <definedNames>
    <definedName name="_xlnm.Print_Area" localSheetId="3">'CR SYNTHESE SUR 3 ANS'!$A$1:$D$24</definedName>
    <definedName name="_xlnm.Print_Area" localSheetId="5">Investissements!$A$1:$H$49</definedName>
    <definedName name="_xlnm.Print_Area" localSheetId="7">'PLAN FIN 1ERE ANNEE'!$A$1:$E$36</definedName>
  </definedNames>
  <calcPr calcId="145621" calcOnSave="0"/>
</workbook>
</file>

<file path=xl/calcChain.xml><?xml version="1.0" encoding="utf-8"?>
<calcChain xmlns="http://schemas.openxmlformats.org/spreadsheetml/2006/main">
  <c r="D4" i="20" l="1"/>
  <c r="E4" i="20"/>
  <c r="F4" i="20"/>
  <c r="G4" i="20"/>
  <c r="H4" i="20"/>
  <c r="I4" i="20"/>
  <c r="J4" i="20"/>
  <c r="K4" i="20"/>
  <c r="L4" i="20"/>
  <c r="M4" i="20"/>
  <c r="C4" i="20"/>
  <c r="N39" i="20" l="1"/>
  <c r="N43" i="20"/>
  <c r="N42" i="20"/>
  <c r="B29" i="20"/>
  <c r="C29" i="20" s="1"/>
  <c r="D29" i="20" s="1"/>
  <c r="E29" i="20" s="1"/>
  <c r="F29" i="20" s="1"/>
  <c r="G29" i="20" s="1"/>
  <c r="H29" i="20" s="1"/>
  <c r="I29" i="20" s="1"/>
  <c r="J29" i="20" s="1"/>
  <c r="K29" i="20" s="1"/>
  <c r="L29" i="20" s="1"/>
  <c r="M29" i="20" s="1"/>
  <c r="M28" i="20"/>
  <c r="L28" i="20"/>
  <c r="K28" i="20"/>
  <c r="J28" i="20"/>
  <c r="I28" i="20"/>
  <c r="H28" i="20"/>
  <c r="G28" i="20"/>
  <c r="F28" i="20"/>
  <c r="E28" i="20"/>
  <c r="D28" i="20"/>
  <c r="C28" i="20"/>
  <c r="B28" i="20"/>
  <c r="M22" i="20"/>
  <c r="L22" i="20"/>
  <c r="K22" i="20"/>
  <c r="J22" i="20"/>
  <c r="I22" i="20"/>
  <c r="H22" i="20"/>
  <c r="G22" i="20"/>
  <c r="F22" i="20"/>
  <c r="F23" i="20" s="1"/>
  <c r="E22" i="20"/>
  <c r="D22" i="20"/>
  <c r="D23" i="20" s="1"/>
  <c r="C22" i="20"/>
  <c r="B22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D24" i="20" l="1"/>
  <c r="B23" i="20"/>
  <c r="B24" i="20" s="1"/>
  <c r="J23" i="20"/>
  <c r="J24" i="20" s="1"/>
  <c r="F24" i="20"/>
  <c r="H23" i="20"/>
  <c r="H24" i="20" s="1"/>
  <c r="C23" i="20"/>
  <c r="C24" i="20" s="1"/>
  <c r="G23" i="20"/>
  <c r="G24" i="20" s="1"/>
  <c r="K23" i="20"/>
  <c r="K24" i="20" s="1"/>
  <c r="L23" i="20"/>
  <c r="L24" i="20" s="1"/>
  <c r="E23" i="20"/>
  <c r="E24" i="20" s="1"/>
  <c r="I23" i="20"/>
  <c r="I24" i="20" s="1"/>
  <c r="M23" i="20"/>
  <c r="M24" i="20" s="1"/>
  <c r="C39" i="19" l="1"/>
  <c r="D39" i="19"/>
  <c r="E39" i="19"/>
  <c r="F39" i="19"/>
  <c r="G39" i="19"/>
  <c r="H39" i="19"/>
  <c r="I39" i="19"/>
  <c r="J39" i="19"/>
  <c r="K39" i="19"/>
  <c r="L39" i="19"/>
  <c r="M39" i="19"/>
  <c r="B39" i="19"/>
  <c r="D22" i="19" l="1"/>
  <c r="E22" i="19"/>
  <c r="F22" i="19"/>
  <c r="G22" i="19"/>
  <c r="H22" i="19"/>
  <c r="I22" i="19"/>
  <c r="J22" i="19"/>
  <c r="K22" i="19"/>
  <c r="L22" i="19"/>
  <c r="M22" i="19"/>
  <c r="C22" i="19"/>
  <c r="B22" i="19"/>
  <c r="N43" i="19"/>
  <c r="N42" i="19"/>
  <c r="N39" i="19"/>
  <c r="M16" i="19"/>
  <c r="L16" i="19"/>
  <c r="K16" i="19"/>
  <c r="J16" i="19"/>
  <c r="I16" i="19"/>
  <c r="H16" i="19"/>
  <c r="G16" i="19"/>
  <c r="F16" i="19"/>
  <c r="E16" i="19"/>
  <c r="D16" i="19"/>
  <c r="C16" i="19"/>
  <c r="D16" i="12"/>
  <c r="E16" i="12"/>
  <c r="F16" i="12"/>
  <c r="G16" i="12"/>
  <c r="G20" i="12" s="1"/>
  <c r="H16" i="12"/>
  <c r="I16" i="12"/>
  <c r="J16" i="12"/>
  <c r="K16" i="12"/>
  <c r="L16" i="12"/>
  <c r="M16" i="12"/>
  <c r="C16" i="12"/>
  <c r="B17" i="12"/>
  <c r="C17" i="12"/>
  <c r="D17" i="12"/>
  <c r="E17" i="12"/>
  <c r="F17" i="12"/>
  <c r="G17" i="12"/>
  <c r="H17" i="12"/>
  <c r="I17" i="12"/>
  <c r="J17" i="12"/>
  <c r="K17" i="12"/>
  <c r="L17" i="12"/>
  <c r="L20" i="12" s="1"/>
  <c r="M17" i="12"/>
  <c r="C10" i="19"/>
  <c r="D10" i="19"/>
  <c r="E10" i="19"/>
  <c r="F10" i="19"/>
  <c r="G10" i="19"/>
  <c r="H10" i="19"/>
  <c r="I10" i="19"/>
  <c r="J10" i="19"/>
  <c r="K10" i="19"/>
  <c r="L10" i="19"/>
  <c r="M10" i="19"/>
  <c r="B10" i="19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J23" i="12" s="1"/>
  <c r="I22" i="12"/>
  <c r="H22" i="12"/>
  <c r="G22" i="12"/>
  <c r="F22" i="12"/>
  <c r="F23" i="12" s="1"/>
  <c r="E22" i="12"/>
  <c r="D22" i="12"/>
  <c r="C22" i="12"/>
  <c r="B22" i="12"/>
  <c r="B23" i="12" s="1"/>
  <c r="N21" i="12"/>
  <c r="E20" i="12"/>
  <c r="C20" i="12"/>
  <c r="N19" i="12"/>
  <c r="N18" i="12"/>
  <c r="M20" i="12"/>
  <c r="I20" i="12"/>
  <c r="D20" i="12"/>
  <c r="N15" i="12"/>
  <c r="N14" i="12"/>
  <c r="N13" i="12"/>
  <c r="B12" i="12"/>
  <c r="B20" i="12" s="1"/>
  <c r="N11" i="12"/>
  <c r="N10" i="12"/>
  <c r="M8" i="12"/>
  <c r="M9" i="12" s="1"/>
  <c r="L8" i="12"/>
  <c r="K8" i="12"/>
  <c r="K9" i="12" s="1"/>
  <c r="I8" i="12"/>
  <c r="I9" i="12" s="1"/>
  <c r="H8" i="12"/>
  <c r="G8" i="12"/>
  <c r="G9" i="12" s="1"/>
  <c r="F8" i="12"/>
  <c r="E8" i="12"/>
  <c r="E9" i="12" s="1"/>
  <c r="D8" i="12"/>
  <c r="C8" i="12"/>
  <c r="C9" i="12" s="1"/>
  <c r="B8" i="12"/>
  <c r="N7" i="12"/>
  <c r="N6" i="12"/>
  <c r="N5" i="12"/>
  <c r="J8" i="12"/>
  <c r="N28" i="12" l="1"/>
  <c r="N4" i="12"/>
  <c r="F20" i="12"/>
  <c r="K20" i="12"/>
  <c r="N20" i="12" s="1"/>
  <c r="J20" i="12"/>
  <c r="H20" i="12"/>
  <c r="N8" i="12"/>
  <c r="N17" i="12"/>
  <c r="N16" i="12"/>
  <c r="F24" i="12"/>
  <c r="J24" i="12"/>
  <c r="D23" i="12"/>
  <c r="D24" i="12" s="1"/>
  <c r="H23" i="12"/>
  <c r="H24" i="12" s="1"/>
  <c r="L23" i="12"/>
  <c r="L24" i="12" s="1"/>
  <c r="B24" i="12"/>
  <c r="B9" i="12"/>
  <c r="D9" i="12"/>
  <c r="F9" i="12"/>
  <c r="H9" i="12"/>
  <c r="J9" i="12"/>
  <c r="L9" i="12"/>
  <c r="N12" i="12"/>
  <c r="N22" i="12"/>
  <c r="C23" i="12"/>
  <c r="C24" i="12" s="1"/>
  <c r="E23" i="12"/>
  <c r="E24" i="12" s="1"/>
  <c r="G23" i="12"/>
  <c r="G24" i="12" s="1"/>
  <c r="I23" i="12"/>
  <c r="I24" i="12" s="1"/>
  <c r="K23" i="12"/>
  <c r="K24" i="12" s="1"/>
  <c r="M23" i="12"/>
  <c r="M24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9" i="12" l="1"/>
  <c r="N29" i="12"/>
  <c r="N23" i="12"/>
  <c r="N24" i="12" s="1"/>
  <c r="H11" i="16" l="1"/>
  <c r="N11" i="16"/>
  <c r="N21" i="20" l="1"/>
  <c r="N21" i="19"/>
  <c r="B11" i="4" l="1"/>
  <c r="N11" i="20"/>
  <c r="D11" i="4" s="1"/>
  <c r="N13" i="19"/>
  <c r="N11" i="19"/>
  <c r="C11" i="4" s="1"/>
  <c r="L103" i="16" l="1"/>
  <c r="L102" i="16"/>
  <c r="L101" i="16"/>
  <c r="L100" i="16"/>
  <c r="L91" i="16"/>
  <c r="L90" i="16"/>
  <c r="K111" i="16"/>
  <c r="L86" i="16"/>
  <c r="L68" i="16"/>
  <c r="L69" i="16"/>
  <c r="L70" i="16"/>
  <c r="L71" i="16"/>
  <c r="L58" i="16"/>
  <c r="L59" i="16"/>
  <c r="L54" i="16"/>
  <c r="K58" i="16"/>
  <c r="K59" i="16"/>
  <c r="K54" i="16"/>
  <c r="K68" i="16"/>
  <c r="K69" i="16"/>
  <c r="K70" i="16"/>
  <c r="K71" i="16"/>
  <c r="J111" i="16"/>
  <c r="N13" i="16" l="1"/>
  <c r="D110" i="16"/>
  <c r="D105" i="16"/>
  <c r="H103" i="16"/>
  <c r="H102" i="16"/>
  <c r="H101" i="16"/>
  <c r="H100" i="16"/>
  <c r="H99" i="16"/>
  <c r="L99" i="16" s="1"/>
  <c r="H98" i="16"/>
  <c r="L98" i="16" s="1"/>
  <c r="H97" i="16"/>
  <c r="L97" i="16" s="1"/>
  <c r="H96" i="16"/>
  <c r="L96" i="16" s="1"/>
  <c r="H95" i="16"/>
  <c r="L95" i="16" s="1"/>
  <c r="H94" i="16"/>
  <c r="L94" i="16" s="1"/>
  <c r="D91" i="16"/>
  <c r="H89" i="16"/>
  <c r="L89" i="16" s="1"/>
  <c r="H88" i="16"/>
  <c r="L88" i="16" s="1"/>
  <c r="H87" i="16"/>
  <c r="L87" i="16" s="1"/>
  <c r="D78" i="16"/>
  <c r="D73" i="16"/>
  <c r="H71" i="16"/>
  <c r="H70" i="16"/>
  <c r="H69" i="16"/>
  <c r="H68" i="16"/>
  <c r="H67" i="16"/>
  <c r="H66" i="16"/>
  <c r="H65" i="16"/>
  <c r="H64" i="16"/>
  <c r="H63" i="16"/>
  <c r="H62" i="16"/>
  <c r="D59" i="16"/>
  <c r="H57" i="16"/>
  <c r="H56" i="16"/>
  <c r="H55" i="16"/>
  <c r="L56" i="16" l="1"/>
  <c r="K56" i="16"/>
  <c r="L62" i="16"/>
  <c r="K62" i="16"/>
  <c r="L63" i="16"/>
  <c r="K63" i="16"/>
  <c r="K65" i="16"/>
  <c r="L65" i="16"/>
  <c r="L57" i="16"/>
  <c r="K57" i="16"/>
  <c r="L66" i="16"/>
  <c r="K66" i="16"/>
  <c r="K55" i="16"/>
  <c r="L55" i="16"/>
  <c r="K67" i="16"/>
  <c r="L67" i="16"/>
  <c r="K64" i="16"/>
  <c r="L64" i="16"/>
  <c r="L111" i="16"/>
  <c r="D79" i="16"/>
  <c r="J79" i="16"/>
  <c r="E13" i="13"/>
  <c r="B6" i="13"/>
  <c r="L79" i="16" l="1"/>
  <c r="K79" i="16"/>
  <c r="N13" i="20"/>
  <c r="A14" i="19"/>
  <c r="A14" i="20" s="1"/>
  <c r="A15" i="19"/>
  <c r="A15" i="20" s="1"/>
  <c r="A13" i="19"/>
  <c r="A13" i="20" s="1"/>
  <c r="C13" i="13"/>
  <c r="G13" i="13"/>
  <c r="K13" i="13"/>
  <c r="J5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A10" i="13"/>
  <c r="A13" i="13"/>
  <c r="A14" i="13"/>
  <c r="A12" i="13"/>
  <c r="K11" i="13"/>
  <c r="H11" i="13"/>
  <c r="E11" i="13"/>
  <c r="B11" i="13"/>
  <c r="G6" i="13"/>
  <c r="M6" i="13"/>
  <c r="H10" i="16"/>
  <c r="N10" i="16"/>
  <c r="J7" i="16"/>
  <c r="L11" i="16"/>
  <c r="L12" i="16"/>
  <c r="K11" i="16"/>
  <c r="K12" i="16"/>
  <c r="J11" i="16"/>
  <c r="J12" i="16"/>
  <c r="J21" i="16"/>
  <c r="J22" i="16"/>
  <c r="J23" i="16"/>
  <c r="J24" i="16"/>
  <c r="N25" i="16"/>
  <c r="N24" i="16"/>
  <c r="K24" i="16" s="1"/>
  <c r="L24" i="16"/>
  <c r="N23" i="16"/>
  <c r="N22" i="16"/>
  <c r="K22" i="16" s="1"/>
  <c r="N21" i="16"/>
  <c r="L21" i="16" s="1"/>
  <c r="N20" i="16"/>
  <c r="N19" i="16"/>
  <c r="N18" i="16"/>
  <c r="N17" i="16"/>
  <c r="N16" i="16"/>
  <c r="N15" i="16"/>
  <c r="N14" i="16"/>
  <c r="N7" i="16"/>
  <c r="K7" i="16" s="1"/>
  <c r="N6" i="16"/>
  <c r="N9" i="16"/>
  <c r="N8" i="16"/>
  <c r="C8" i="19"/>
  <c r="C9" i="19" s="1"/>
  <c r="D8" i="19"/>
  <c r="D9" i="19" s="1"/>
  <c r="E8" i="19"/>
  <c r="E9" i="19" s="1"/>
  <c r="F8" i="19"/>
  <c r="F9" i="19" s="1"/>
  <c r="G8" i="19"/>
  <c r="G9" i="19" s="1"/>
  <c r="H8" i="19"/>
  <c r="H9" i="19" s="1"/>
  <c r="I8" i="19"/>
  <c r="I9" i="19" s="1"/>
  <c r="J8" i="19"/>
  <c r="J9" i="19" s="1"/>
  <c r="K8" i="19"/>
  <c r="K9" i="19" s="1"/>
  <c r="L8" i="19"/>
  <c r="L9" i="19" s="1"/>
  <c r="M8" i="19"/>
  <c r="M9" i="19" s="1"/>
  <c r="B8" i="19"/>
  <c r="B9" i="19" s="1"/>
  <c r="C8" i="20"/>
  <c r="C9" i="20" s="1"/>
  <c r="D8" i="20"/>
  <c r="D9" i="20" s="1"/>
  <c r="E8" i="20"/>
  <c r="E9" i="20" s="1"/>
  <c r="F8" i="20"/>
  <c r="F9" i="20" s="1"/>
  <c r="G8" i="20"/>
  <c r="G9" i="20" s="1"/>
  <c r="H8" i="20"/>
  <c r="H9" i="20" s="1"/>
  <c r="I8" i="20"/>
  <c r="I9" i="20" s="1"/>
  <c r="J8" i="20"/>
  <c r="J9" i="20" s="1"/>
  <c r="K8" i="20"/>
  <c r="K9" i="20" s="1"/>
  <c r="L8" i="20"/>
  <c r="L9" i="20" s="1"/>
  <c r="M8" i="20"/>
  <c r="M9" i="20" s="1"/>
  <c r="B8" i="20"/>
  <c r="B9" i="20" s="1"/>
  <c r="H21" i="16"/>
  <c r="H22" i="16"/>
  <c r="H23" i="16"/>
  <c r="H24" i="16"/>
  <c r="N44" i="12"/>
  <c r="N45" i="12"/>
  <c r="N46" i="12"/>
  <c r="N47" i="12"/>
  <c r="N48" i="12"/>
  <c r="N42" i="12"/>
  <c r="M20" i="13"/>
  <c r="C18" i="13"/>
  <c r="D18" i="13"/>
  <c r="E18" i="13"/>
  <c r="F18" i="13"/>
  <c r="G18" i="13"/>
  <c r="H18" i="13"/>
  <c r="I18" i="13"/>
  <c r="J18" i="13"/>
  <c r="K18" i="13"/>
  <c r="L18" i="13"/>
  <c r="M18" i="13"/>
  <c r="G19" i="13"/>
  <c r="D17" i="13"/>
  <c r="E17" i="13"/>
  <c r="F17" i="13"/>
  <c r="G17" i="13"/>
  <c r="H17" i="13"/>
  <c r="I17" i="13"/>
  <c r="J17" i="13"/>
  <c r="K17" i="13"/>
  <c r="L17" i="13"/>
  <c r="M17" i="13"/>
  <c r="C16" i="13"/>
  <c r="D16" i="13"/>
  <c r="E16" i="13"/>
  <c r="F16" i="13"/>
  <c r="G16" i="13"/>
  <c r="H16" i="13"/>
  <c r="I16" i="13"/>
  <c r="J16" i="13"/>
  <c r="K16" i="13"/>
  <c r="L16" i="13"/>
  <c r="M16" i="13"/>
  <c r="D15" i="13"/>
  <c r="E15" i="13"/>
  <c r="F15" i="13"/>
  <c r="G15" i="13"/>
  <c r="H15" i="13"/>
  <c r="I15" i="13"/>
  <c r="J15" i="13"/>
  <c r="K15" i="13"/>
  <c r="C14" i="13"/>
  <c r="D14" i="13"/>
  <c r="E14" i="13"/>
  <c r="F14" i="13"/>
  <c r="G14" i="13"/>
  <c r="H14" i="13"/>
  <c r="I14" i="13"/>
  <c r="J14" i="13"/>
  <c r="K14" i="13"/>
  <c r="L14" i="13"/>
  <c r="M14" i="13"/>
  <c r="C12" i="13"/>
  <c r="D12" i="13"/>
  <c r="E12" i="13"/>
  <c r="F12" i="13"/>
  <c r="G12" i="13"/>
  <c r="H12" i="13"/>
  <c r="I12" i="13"/>
  <c r="J12" i="13"/>
  <c r="K12" i="13"/>
  <c r="L12" i="13"/>
  <c r="M12" i="13"/>
  <c r="E9" i="13"/>
  <c r="H9" i="13"/>
  <c r="K9" i="13"/>
  <c r="C8" i="13"/>
  <c r="D8" i="13"/>
  <c r="E8" i="13"/>
  <c r="F8" i="13"/>
  <c r="G8" i="13"/>
  <c r="H8" i="13"/>
  <c r="I8" i="13"/>
  <c r="J8" i="13"/>
  <c r="K8" i="13"/>
  <c r="L8" i="13"/>
  <c r="M8" i="13"/>
  <c r="D7" i="13"/>
  <c r="E7" i="13"/>
  <c r="F7" i="13"/>
  <c r="G7" i="13"/>
  <c r="H7" i="13"/>
  <c r="I7" i="13"/>
  <c r="J7" i="13"/>
  <c r="K7" i="13"/>
  <c r="L7" i="13"/>
  <c r="M7" i="13"/>
  <c r="I5" i="13"/>
  <c r="M5" i="13"/>
  <c r="C17" i="13"/>
  <c r="B16" i="13"/>
  <c r="N16" i="13" s="1"/>
  <c r="C15" i="13"/>
  <c r="B14" i="13"/>
  <c r="N14" i="13" s="1"/>
  <c r="B12" i="13"/>
  <c r="D5" i="13"/>
  <c r="B18" i="13"/>
  <c r="C7" i="13"/>
  <c r="D13" i="4"/>
  <c r="C13" i="4"/>
  <c r="B13" i="4"/>
  <c r="N50" i="20"/>
  <c r="M50" i="20"/>
  <c r="M25" i="20" s="1"/>
  <c r="L50" i="20"/>
  <c r="L25" i="20" s="1"/>
  <c r="L26" i="20" s="1"/>
  <c r="L27" i="20" s="1"/>
  <c r="K50" i="20"/>
  <c r="K25" i="20" s="1"/>
  <c r="K26" i="20" s="1"/>
  <c r="K27" i="20" s="1"/>
  <c r="J50" i="20"/>
  <c r="J25" i="20" s="1"/>
  <c r="J26" i="20" s="1"/>
  <c r="J27" i="20" s="1"/>
  <c r="I50" i="20"/>
  <c r="I25" i="20" s="1"/>
  <c r="I26" i="20" s="1"/>
  <c r="I27" i="20" s="1"/>
  <c r="H50" i="20"/>
  <c r="H25" i="20" s="1"/>
  <c r="H26" i="20" s="1"/>
  <c r="H27" i="20" s="1"/>
  <c r="G50" i="20"/>
  <c r="G25" i="20" s="1"/>
  <c r="G26" i="20" s="1"/>
  <c r="G27" i="20" s="1"/>
  <c r="F50" i="20"/>
  <c r="F25" i="20" s="1"/>
  <c r="F26" i="20" s="1"/>
  <c r="F27" i="20" s="1"/>
  <c r="E50" i="20"/>
  <c r="E25" i="20" s="1"/>
  <c r="E26" i="20" s="1"/>
  <c r="E27" i="20" s="1"/>
  <c r="D50" i="20"/>
  <c r="D25" i="20" s="1"/>
  <c r="D26" i="20" s="1"/>
  <c r="D27" i="20" s="1"/>
  <c r="C50" i="20"/>
  <c r="C25" i="20" s="1"/>
  <c r="B50" i="20"/>
  <c r="B25" i="20" s="1"/>
  <c r="D21" i="4"/>
  <c r="N19" i="20"/>
  <c r="D19" i="4" s="1"/>
  <c r="N18" i="20"/>
  <c r="D18" i="4" s="1"/>
  <c r="N17" i="20"/>
  <c r="D17" i="4" s="1"/>
  <c r="N16" i="20"/>
  <c r="D16" i="4" s="1"/>
  <c r="N15" i="20"/>
  <c r="D15" i="4"/>
  <c r="N14" i="20"/>
  <c r="D14" i="4" s="1"/>
  <c r="N12" i="20"/>
  <c r="D12" i="4" s="1"/>
  <c r="N10" i="20"/>
  <c r="D10" i="4" s="1"/>
  <c r="N7" i="20"/>
  <c r="D7" i="4" s="1"/>
  <c r="N6" i="20"/>
  <c r="D6" i="4" s="1"/>
  <c r="N5" i="20"/>
  <c r="D5" i="4" s="1"/>
  <c r="N4" i="20"/>
  <c r="D4" i="4" s="1"/>
  <c r="N50" i="19"/>
  <c r="M50" i="19"/>
  <c r="M25" i="19" s="1"/>
  <c r="L50" i="19"/>
  <c r="L25" i="19" s="1"/>
  <c r="L26" i="19" s="1"/>
  <c r="K50" i="19"/>
  <c r="K25" i="19" s="1"/>
  <c r="J50" i="19"/>
  <c r="J25" i="19" s="1"/>
  <c r="I50" i="19"/>
  <c r="I25" i="19" s="1"/>
  <c r="H50" i="19"/>
  <c r="H25" i="19" s="1"/>
  <c r="G50" i="19"/>
  <c r="G25" i="19" s="1"/>
  <c r="G26" i="19" s="1"/>
  <c r="G27" i="19" s="1"/>
  <c r="F50" i="19"/>
  <c r="F25" i="19" s="1"/>
  <c r="E50" i="19"/>
  <c r="E25" i="19" s="1"/>
  <c r="E26" i="19" s="1"/>
  <c r="E27" i="19" s="1"/>
  <c r="D50" i="19"/>
  <c r="D25" i="19" s="1"/>
  <c r="C50" i="19"/>
  <c r="C25" i="19" s="1"/>
  <c r="B50" i="19"/>
  <c r="B25" i="19" s="1"/>
  <c r="B26" i="19" s="1"/>
  <c r="M23" i="19"/>
  <c r="M24" i="19" s="1"/>
  <c r="L23" i="19"/>
  <c r="L24" i="19" s="1"/>
  <c r="K23" i="19"/>
  <c r="K24" i="19" s="1"/>
  <c r="J23" i="19"/>
  <c r="J24" i="19" s="1"/>
  <c r="H23" i="19"/>
  <c r="H24" i="19" s="1"/>
  <c r="G23" i="19"/>
  <c r="G24" i="19" s="1"/>
  <c r="F23" i="19"/>
  <c r="F24" i="19" s="1"/>
  <c r="E23" i="19"/>
  <c r="E24" i="19" s="1"/>
  <c r="D23" i="19"/>
  <c r="D24" i="19" s="1"/>
  <c r="C21" i="4"/>
  <c r="M20" i="19"/>
  <c r="L20" i="19"/>
  <c r="K20" i="19"/>
  <c r="J20" i="19"/>
  <c r="I20" i="19"/>
  <c r="H20" i="19"/>
  <c r="G20" i="19"/>
  <c r="F20" i="19"/>
  <c r="E20" i="19"/>
  <c r="D20" i="19"/>
  <c r="C20" i="19"/>
  <c r="B20" i="19"/>
  <c r="N19" i="19"/>
  <c r="C19" i="4" s="1"/>
  <c r="N18" i="19"/>
  <c r="C18" i="4" s="1"/>
  <c r="N17" i="19"/>
  <c r="C17" i="4" s="1"/>
  <c r="N16" i="19"/>
  <c r="C16" i="4" s="1"/>
  <c r="N15" i="19"/>
  <c r="C15" i="4" s="1"/>
  <c r="N14" i="19"/>
  <c r="C14" i="4" s="1"/>
  <c r="N12" i="19"/>
  <c r="C12" i="4" s="1"/>
  <c r="N10" i="19"/>
  <c r="C10" i="4" s="1"/>
  <c r="N7" i="19"/>
  <c r="C7" i="4" s="1"/>
  <c r="N6" i="19"/>
  <c r="C6" i="4" s="1"/>
  <c r="N5" i="19"/>
  <c r="C5" i="4" s="1"/>
  <c r="N4" i="19"/>
  <c r="C4" i="4" s="1"/>
  <c r="C50" i="12"/>
  <c r="C25" i="12" s="1"/>
  <c r="D50" i="12"/>
  <c r="E50" i="12"/>
  <c r="E25" i="12" s="1"/>
  <c r="F50" i="12"/>
  <c r="F25" i="12" s="1"/>
  <c r="G50" i="12"/>
  <c r="I50" i="12"/>
  <c r="I25" i="12" s="1"/>
  <c r="J50" i="12"/>
  <c r="J25" i="12" s="1"/>
  <c r="K50" i="12"/>
  <c r="L50" i="12"/>
  <c r="L25" i="12" s="1"/>
  <c r="L26" i="12" s="1"/>
  <c r="L27" i="12" s="1"/>
  <c r="L30" i="12" s="1"/>
  <c r="L31" i="12" s="1"/>
  <c r="L32" i="12" s="1"/>
  <c r="M50" i="12"/>
  <c r="M25" i="12" s="1"/>
  <c r="D19" i="13"/>
  <c r="I19" i="13"/>
  <c r="J19" i="13"/>
  <c r="L19" i="13"/>
  <c r="B50" i="12"/>
  <c r="B25" i="12" s="1"/>
  <c r="B21" i="13" s="1"/>
  <c r="D31" i="16"/>
  <c r="B10" i="15"/>
  <c r="D26" i="16"/>
  <c r="B9" i="15" s="1"/>
  <c r="D12" i="16"/>
  <c r="B8" i="15" s="1"/>
  <c r="H17" i="16"/>
  <c r="J17" i="16" s="1"/>
  <c r="H15" i="16"/>
  <c r="J15" i="16" s="1"/>
  <c r="B15" i="4"/>
  <c r="B12" i="4"/>
  <c r="B18" i="4"/>
  <c r="B19" i="4"/>
  <c r="B21" i="4"/>
  <c r="C22" i="3"/>
  <c r="D22" i="3" s="1"/>
  <c r="D30" i="3"/>
  <c r="B30" i="3"/>
  <c r="C30" i="3"/>
  <c r="C14" i="15"/>
  <c r="F9" i="3"/>
  <c r="H8" i="16"/>
  <c r="H9" i="16"/>
  <c r="L9" i="16" s="1"/>
  <c r="H16" i="16"/>
  <c r="L16" i="16" s="1"/>
  <c r="H18" i="16"/>
  <c r="L18" i="16" s="1"/>
  <c r="H19" i="16"/>
  <c r="K19" i="16" s="1"/>
  <c r="H20" i="16"/>
  <c r="J20" i="16" s="1"/>
  <c r="C32" i="16"/>
  <c r="E10" i="3"/>
  <c r="F10" i="3" s="1"/>
  <c r="F11" i="3" s="1"/>
  <c r="B8" i="13"/>
  <c r="B9" i="13"/>
  <c r="N9" i="13" s="1"/>
  <c r="N4" i="13"/>
  <c r="E13" i="3"/>
  <c r="F13" i="3" s="1"/>
  <c r="C9" i="3"/>
  <c r="C10" i="3" s="1"/>
  <c r="Y15" i="4"/>
  <c r="Y17" i="4"/>
  <c r="J19" i="16"/>
  <c r="B23" i="19"/>
  <c r="B24" i="19" s="1"/>
  <c r="B19" i="13"/>
  <c r="F19" i="13"/>
  <c r="B6" i="4"/>
  <c r="B7" i="4"/>
  <c r="D14" i="15"/>
  <c r="D16" i="15" s="1"/>
  <c r="B32" i="15"/>
  <c r="O27" i="13"/>
  <c r="E14" i="15"/>
  <c r="C16" i="15"/>
  <c r="B17" i="4"/>
  <c r="B10" i="4"/>
  <c r="E16" i="15"/>
  <c r="E35" i="15" s="1"/>
  <c r="C32" i="15"/>
  <c r="D32" i="15"/>
  <c r="E32" i="15"/>
  <c r="C21" i="13"/>
  <c r="L21" i="13"/>
  <c r="M22" i="13"/>
  <c r="M21" i="13"/>
  <c r="K20" i="13"/>
  <c r="J20" i="13"/>
  <c r="C19" i="13"/>
  <c r="E20" i="13"/>
  <c r="G5" i="13"/>
  <c r="L5" i="13"/>
  <c r="E6" i="13"/>
  <c r="J6" i="13"/>
  <c r="H6" i="13"/>
  <c r="H13" i="13"/>
  <c r="K6" i="13"/>
  <c r="J13" i="13"/>
  <c r="M19" i="13"/>
  <c r="F20" i="13"/>
  <c r="E19" i="13"/>
  <c r="I23" i="19"/>
  <c r="I24" i="19" s="1"/>
  <c r="L10" i="16"/>
  <c r="J10" i="16"/>
  <c r="C6" i="13"/>
  <c r="N39" i="12"/>
  <c r="H50" i="12"/>
  <c r="H25" i="12" s="1"/>
  <c r="H26" i="12" s="1"/>
  <c r="H27" i="12" s="1"/>
  <c r="H30" i="12" s="1"/>
  <c r="H31" i="12" s="1"/>
  <c r="H32" i="12" s="1"/>
  <c r="N43" i="12"/>
  <c r="N50" i="12" s="1"/>
  <c r="D13" i="13"/>
  <c r="D6" i="13"/>
  <c r="H20" i="13"/>
  <c r="I21" i="13"/>
  <c r="L19" i="16"/>
  <c r="K23" i="16"/>
  <c r="L23" i="16"/>
  <c r="Y18" i="4"/>
  <c r="D20" i="13"/>
  <c r="E21" i="13"/>
  <c r="C20" i="13"/>
  <c r="K19" i="13"/>
  <c r="L20" i="13"/>
  <c r="K8" i="16"/>
  <c r="L8" i="16"/>
  <c r="L6" i="13"/>
  <c r="L13" i="13"/>
  <c r="B4" i="4"/>
  <c r="F5" i="13"/>
  <c r="M13" i="13"/>
  <c r="G20" i="13"/>
  <c r="N22" i="19"/>
  <c r="N23" i="19" s="1"/>
  <c r="C23" i="4" s="1"/>
  <c r="C23" i="19"/>
  <c r="C24" i="19" s="1"/>
  <c r="N22" i="20"/>
  <c r="N23" i="20" s="1"/>
  <c r="D23" i="4" s="1"/>
  <c r="K21" i="16"/>
  <c r="K5" i="13"/>
  <c r="H5" i="13"/>
  <c r="E5" i="13"/>
  <c r="N20" i="20"/>
  <c r="D20" i="4" s="1"/>
  <c r="K10" i="16"/>
  <c r="I6" i="13"/>
  <c r="F6" i="13"/>
  <c r="I22" i="13"/>
  <c r="H21" i="13"/>
  <c r="H19" i="13"/>
  <c r="I20" i="13"/>
  <c r="I13" i="13"/>
  <c r="B13" i="13"/>
  <c r="B5" i="4"/>
  <c r="F13" i="13"/>
  <c r="B23" i="4"/>
  <c r="M15" i="13"/>
  <c r="L15" i="13"/>
  <c r="B16" i="4"/>
  <c r="N10" i="13"/>
  <c r="N12" i="13"/>
  <c r="O12" i="13" s="1"/>
  <c r="B14" i="4"/>
  <c r="N8" i="20" l="1"/>
  <c r="N9" i="20" s="1"/>
  <c r="D9" i="4" s="1"/>
  <c r="D22" i="4"/>
  <c r="N24" i="20"/>
  <c r="D24" i="4" s="1"/>
  <c r="M26" i="20"/>
  <c r="M27" i="20" s="1"/>
  <c r="B26" i="20"/>
  <c r="B27" i="20" s="1"/>
  <c r="C26" i="20"/>
  <c r="C27" i="20" s="1"/>
  <c r="N8" i="19"/>
  <c r="C8" i="4" s="1"/>
  <c r="N6" i="13"/>
  <c r="D35" i="15"/>
  <c r="N25" i="20"/>
  <c r="C35" i="15"/>
  <c r="L22" i="16"/>
  <c r="L7" i="16"/>
  <c r="J16" i="16"/>
  <c r="C26" i="19"/>
  <c r="C27" i="19" s="1"/>
  <c r="L27" i="19"/>
  <c r="N20" i="13"/>
  <c r="M26" i="12"/>
  <c r="M27" i="12" s="1"/>
  <c r="M30" i="12" s="1"/>
  <c r="M31" i="12" s="1"/>
  <c r="M32" i="12" s="1"/>
  <c r="K25" i="12"/>
  <c r="J26" i="12"/>
  <c r="K22" i="13" s="1"/>
  <c r="G25" i="12"/>
  <c r="F26" i="12"/>
  <c r="G22" i="13" s="1"/>
  <c r="D25" i="12"/>
  <c r="D26" i="12" s="1"/>
  <c r="B26" i="12"/>
  <c r="I26" i="12"/>
  <c r="J22" i="13" s="1"/>
  <c r="E27" i="12"/>
  <c r="E30" i="12" s="1"/>
  <c r="E31" i="12" s="1"/>
  <c r="E32" i="12" s="1"/>
  <c r="E26" i="12"/>
  <c r="F22" i="13" s="1"/>
  <c r="J21" i="13"/>
  <c r="F21" i="13"/>
  <c r="C26" i="12"/>
  <c r="D22" i="13" s="1"/>
  <c r="N8" i="13"/>
  <c r="O8" i="13" s="1"/>
  <c r="I26" i="19"/>
  <c r="I27" i="19" s="1"/>
  <c r="K26" i="19"/>
  <c r="K27" i="19" s="1"/>
  <c r="M26" i="19"/>
  <c r="M27" i="19" s="1"/>
  <c r="D26" i="19"/>
  <c r="D27" i="19" s="1"/>
  <c r="N25" i="19"/>
  <c r="C25" i="4" s="1"/>
  <c r="J26" i="19"/>
  <c r="J27" i="19" s="1"/>
  <c r="F26" i="19"/>
  <c r="F27" i="19" s="1"/>
  <c r="H26" i="19"/>
  <c r="H27" i="19" s="1"/>
  <c r="B27" i="19"/>
  <c r="N24" i="19"/>
  <c r="C24" i="4" s="1"/>
  <c r="C22" i="4"/>
  <c r="N18" i="13"/>
  <c r="N17" i="13"/>
  <c r="O17" i="13" s="1"/>
  <c r="N20" i="19"/>
  <c r="C20" i="4" s="1"/>
  <c r="J18" i="16"/>
  <c r="N13" i="13"/>
  <c r="O13" i="13" s="1"/>
  <c r="N5" i="13"/>
  <c r="O5" i="13" s="1"/>
  <c r="N15" i="13"/>
  <c r="O15" i="13" s="1"/>
  <c r="K18" i="16"/>
  <c r="L15" i="16"/>
  <c r="K9" i="16"/>
  <c r="L20" i="16"/>
  <c r="K20" i="16"/>
  <c r="K16" i="16"/>
  <c r="K15" i="16"/>
  <c r="J9" i="16"/>
  <c r="O9" i="13"/>
  <c r="N7" i="13"/>
  <c r="O7" i="13" s="1"/>
  <c r="B8" i="4"/>
  <c r="N19" i="13"/>
  <c r="B22" i="4"/>
  <c r="O6" i="13"/>
  <c r="B24" i="4"/>
  <c r="O24" i="13"/>
  <c r="O16" i="13"/>
  <c r="O14" i="13"/>
  <c r="B9" i="4"/>
  <c r="K17" i="16"/>
  <c r="H32" i="16"/>
  <c r="D32" i="16"/>
  <c r="B16" i="15"/>
  <c r="B35" i="15" s="1"/>
  <c r="L17" i="16"/>
  <c r="J8" i="16"/>
  <c r="E11" i="3"/>
  <c r="E12" i="3" s="1"/>
  <c r="F12" i="3" s="1"/>
  <c r="C11" i="3"/>
  <c r="E14" i="3"/>
  <c r="E30" i="3"/>
  <c r="F30" i="3" s="1"/>
  <c r="F22" i="3" s="1"/>
  <c r="F23" i="3" s="1"/>
  <c r="B23" i="13"/>
  <c r="B24" i="13" s="1"/>
  <c r="B25" i="13" s="1"/>
  <c r="B20" i="4"/>
  <c r="N11" i="13"/>
  <c r="O11" i="13" s="1"/>
  <c r="D8" i="4" l="1"/>
  <c r="N26" i="19"/>
  <c r="C26" i="4" s="1"/>
  <c r="N9" i="19"/>
  <c r="C9" i="4" s="1"/>
  <c r="N26" i="20"/>
  <c r="D26" i="4" s="1"/>
  <c r="D25" i="4"/>
  <c r="I27" i="12"/>
  <c r="I30" i="12" s="1"/>
  <c r="I31" i="12" s="1"/>
  <c r="I32" i="12" s="1"/>
  <c r="C27" i="12"/>
  <c r="C30" i="12" s="1"/>
  <c r="C31" i="12" s="1"/>
  <c r="C32" i="12" s="1"/>
  <c r="F27" i="12"/>
  <c r="F30" i="12" s="1"/>
  <c r="F31" i="12" s="1"/>
  <c r="F32" i="12" s="1"/>
  <c r="C22" i="13"/>
  <c r="D27" i="12"/>
  <c r="D30" i="12" s="1"/>
  <c r="D31" i="12" s="1"/>
  <c r="D32" i="12" s="1"/>
  <c r="E22" i="13"/>
  <c r="G26" i="12"/>
  <c r="H22" i="13" s="1"/>
  <c r="K26" i="12"/>
  <c r="L22" i="13" s="1"/>
  <c r="D21" i="13"/>
  <c r="N25" i="12"/>
  <c r="B25" i="4" s="1"/>
  <c r="B27" i="12"/>
  <c r="B30" i="12" s="1"/>
  <c r="G21" i="13"/>
  <c r="J27" i="12"/>
  <c r="J30" i="12" s="1"/>
  <c r="J31" i="12" s="1"/>
  <c r="J32" i="12" s="1"/>
  <c r="K21" i="13"/>
  <c r="J32" i="16"/>
  <c r="L32" i="16"/>
  <c r="K32" i="16"/>
  <c r="E28" i="19" s="1"/>
  <c r="C12" i="3"/>
  <c r="C13" i="3" s="1"/>
  <c r="E22" i="3"/>
  <c r="C23" i="3" s="1"/>
  <c r="D23" i="3" s="1"/>
  <c r="B29" i="19" s="1"/>
  <c r="C23" i="13"/>
  <c r="F24" i="3"/>
  <c r="N27" i="20" l="1"/>
  <c r="D27" i="4" s="1"/>
  <c r="N27" i="19"/>
  <c r="C27" i="4" s="1"/>
  <c r="B31" i="12"/>
  <c r="B32" i="12" s="1"/>
  <c r="N22" i="13"/>
  <c r="C24" i="13"/>
  <c r="C25" i="13" s="1"/>
  <c r="N21" i="13"/>
  <c r="K27" i="12"/>
  <c r="K30" i="12" s="1"/>
  <c r="K31" i="12" s="1"/>
  <c r="K32" i="12" s="1"/>
  <c r="G27" i="12"/>
  <c r="G30" i="12" s="1"/>
  <c r="G31" i="12" s="1"/>
  <c r="G32" i="12" s="1"/>
  <c r="N26" i="12"/>
  <c r="K28" i="19"/>
  <c r="B28" i="19"/>
  <c r="B30" i="19" s="1"/>
  <c r="B32" i="19" s="1"/>
  <c r="J28" i="19"/>
  <c r="G28" i="19"/>
  <c r="M28" i="19"/>
  <c r="L28" i="19"/>
  <c r="F28" i="19"/>
  <c r="D28" i="19"/>
  <c r="C28" i="19"/>
  <c r="H28" i="19"/>
  <c r="I28" i="19"/>
  <c r="D23" i="13"/>
  <c r="D24" i="13" s="1"/>
  <c r="C29" i="19"/>
  <c r="E23" i="3"/>
  <c r="C24" i="3" s="1"/>
  <c r="F25" i="3"/>
  <c r="N27" i="12" l="1"/>
  <c r="B27" i="4" s="1"/>
  <c r="B26" i="4"/>
  <c r="D25" i="13"/>
  <c r="N30" i="12"/>
  <c r="N31" i="12" s="1"/>
  <c r="N32" i="12" s="1"/>
  <c r="B28" i="4"/>
  <c r="N28" i="19"/>
  <c r="C28" i="4" s="1"/>
  <c r="N28" i="20"/>
  <c r="D28" i="4" s="1"/>
  <c r="E23" i="13"/>
  <c r="D24" i="3"/>
  <c r="C30" i="19"/>
  <c r="C32" i="19" s="1"/>
  <c r="D29" i="19"/>
  <c r="E24" i="13" l="1"/>
  <c r="E25" i="13" s="1"/>
  <c r="F23" i="13"/>
  <c r="F24" i="13" s="1"/>
  <c r="D30" i="19"/>
  <c r="D32" i="19" s="1"/>
  <c r="E29" i="19"/>
  <c r="E24" i="3"/>
  <c r="C25" i="3" s="1"/>
  <c r="D25" i="3" s="1"/>
  <c r="E25" i="3" s="1"/>
  <c r="G23" i="13" l="1"/>
  <c r="F25" i="13"/>
  <c r="B30" i="20"/>
  <c r="B32" i="20" s="1"/>
  <c r="F29" i="19"/>
  <c r="E30" i="19"/>
  <c r="E32" i="19" s="1"/>
  <c r="H23" i="13" l="1"/>
  <c r="H24" i="13" s="1"/>
  <c r="G24" i="13"/>
  <c r="G25" i="13" s="1"/>
  <c r="F30" i="19"/>
  <c r="F32" i="19" s="1"/>
  <c r="G29" i="19"/>
  <c r="C30" i="20"/>
  <c r="C32" i="20" s="1"/>
  <c r="H25" i="13" l="1"/>
  <c r="I23" i="13"/>
  <c r="I24" i="13" s="1"/>
  <c r="H29" i="19"/>
  <c r="G30" i="19"/>
  <c r="G32" i="19" s="1"/>
  <c r="D30" i="20"/>
  <c r="D32" i="20" s="1"/>
  <c r="I25" i="13" l="1"/>
  <c r="J23" i="13"/>
  <c r="J24" i="13" s="1"/>
  <c r="I29" i="19"/>
  <c r="H30" i="19"/>
  <c r="H32" i="19" s="1"/>
  <c r="E30" i="20"/>
  <c r="E32" i="20" s="1"/>
  <c r="J25" i="13" l="1"/>
  <c r="K23" i="13"/>
  <c r="K24" i="13" s="1"/>
  <c r="F30" i="20"/>
  <c r="F32" i="20" s="1"/>
  <c r="I30" i="19"/>
  <c r="I32" i="19" s="1"/>
  <c r="J29" i="19"/>
  <c r="K25" i="13" l="1"/>
  <c r="L23" i="13"/>
  <c r="L24" i="13" s="1"/>
  <c r="G30" i="20"/>
  <c r="G32" i="20" s="1"/>
  <c r="K29" i="19"/>
  <c r="J30" i="19"/>
  <c r="J32" i="19" s="1"/>
  <c r="L25" i="13" l="1"/>
  <c r="M23" i="13"/>
  <c r="B29" i="4"/>
  <c r="H30" i="20"/>
  <c r="H32" i="20" s="1"/>
  <c r="L29" i="19"/>
  <c r="K30" i="19"/>
  <c r="K32" i="19" s="1"/>
  <c r="M24" i="13" l="1"/>
  <c r="M25" i="13" s="1"/>
  <c r="N23" i="13"/>
  <c r="L30" i="19"/>
  <c r="L32" i="19" s="1"/>
  <c r="M29" i="19"/>
  <c r="I30" i="20"/>
  <c r="I32" i="20" s="1"/>
  <c r="M30" i="19" l="1"/>
  <c r="M32" i="19" s="1"/>
  <c r="N29" i="19"/>
  <c r="B31" i="4"/>
  <c r="B30" i="4"/>
  <c r="J30" i="20"/>
  <c r="J32" i="20" s="1"/>
  <c r="N30" i="19" l="1"/>
  <c r="C29" i="4"/>
  <c r="B32" i="4"/>
  <c r="K30" i="20"/>
  <c r="K32" i="20" s="1"/>
  <c r="N31" i="19" l="1"/>
  <c r="C31" i="4" s="1"/>
  <c r="C30" i="4"/>
  <c r="L30" i="20"/>
  <c r="L32" i="20" s="1"/>
  <c r="N32" i="19" l="1"/>
  <c r="C32" i="4" s="1"/>
  <c r="M30" i="20"/>
  <c r="M32" i="20" s="1"/>
  <c r="N29" i="20"/>
  <c r="D29" i="4" l="1"/>
  <c r="N30" i="20"/>
  <c r="D30" i="4" l="1"/>
  <c r="N31" i="20"/>
  <c r="D31" i="4" s="1"/>
  <c r="N32" i="20" l="1"/>
  <c r="D32" i="4" s="1"/>
</calcChain>
</file>

<file path=xl/comments1.xml><?xml version="1.0" encoding="utf-8"?>
<comments xmlns="http://schemas.openxmlformats.org/spreadsheetml/2006/main">
  <authors>
    <author>Briséis</author>
    <author>OlivierFortin</author>
    <author>Olivier</author>
  </authors>
  <commentList>
    <comment ref="E4" authorId="0">
      <text>
        <r>
          <rPr>
            <sz val="9"/>
            <color indexed="81"/>
            <rFont val="Tahoma"/>
            <family val="2"/>
          </rPr>
          <t>Co-développement de Pierre Bon (à l'origine du projet)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2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</t>
        </r>
      </text>
    </comment>
    <comment ref="A25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
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2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3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4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5.xml><?xml version="1.0" encoding="utf-8"?>
<comments xmlns="http://schemas.openxmlformats.org/spreadsheetml/2006/main">
  <authors>
    <author>Olivier</author>
    <author>OlivierFortin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Les clients nous paient à 60 jours
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B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des fournisseurs à 30 jours</t>
        </r>
      </text>
    </comment>
    <comment ref="A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B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en début de trimestre
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en début de trimestre
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
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3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</commentList>
</comments>
</file>

<file path=xl/sharedStrings.xml><?xml version="1.0" encoding="utf-8"?>
<sst xmlns="http://schemas.openxmlformats.org/spreadsheetml/2006/main" count="474" uniqueCount="180">
  <si>
    <t>Janvier</t>
  </si>
  <si>
    <t>Février</t>
  </si>
  <si>
    <t>Mars</t>
  </si>
  <si>
    <t>Avril</t>
  </si>
  <si>
    <t>Juin</t>
  </si>
  <si>
    <t>TOTAL</t>
  </si>
  <si>
    <t>Montant du capital dû</t>
  </si>
  <si>
    <t>Intérêts de l'année</t>
  </si>
  <si>
    <t xml:space="preserve">RESULTAT </t>
  </si>
  <si>
    <t>N</t>
  </si>
  <si>
    <t>N+1</t>
  </si>
  <si>
    <t>N+2</t>
  </si>
  <si>
    <t>N+3</t>
  </si>
  <si>
    <t>N+4</t>
  </si>
  <si>
    <t>Annuités</t>
  </si>
  <si>
    <t>Date d'achat</t>
  </si>
  <si>
    <t>Valeur H.T.</t>
  </si>
  <si>
    <t xml:space="preserve">Type </t>
  </si>
  <si>
    <t>Durée*</t>
  </si>
  <si>
    <t>Linéaire</t>
  </si>
  <si>
    <t xml:space="preserve">  Travaux / aménagements</t>
  </si>
  <si>
    <t xml:space="preserve">  Véhicule</t>
  </si>
  <si>
    <t xml:space="preserve">  Mobilier</t>
  </si>
  <si>
    <t>Charges externes</t>
  </si>
  <si>
    <t>Rémunération des salariés</t>
  </si>
  <si>
    <t>Résultat avant impôt</t>
  </si>
  <si>
    <t>Impôt sur les sociétés</t>
  </si>
  <si>
    <t xml:space="preserve">COMPTE DE RESULTAT </t>
  </si>
  <si>
    <t xml:space="preserve">Mai </t>
  </si>
  <si>
    <t>1ère année</t>
  </si>
  <si>
    <t>2ème année</t>
  </si>
  <si>
    <t>3ème année</t>
  </si>
  <si>
    <t xml:space="preserve">RESSOURCES </t>
  </si>
  <si>
    <t xml:space="preserve">  Prêt bancaire</t>
  </si>
  <si>
    <t>TOTAL DES BESOINS</t>
  </si>
  <si>
    <t xml:space="preserve"> Capitaux propres</t>
  </si>
  <si>
    <t>TOTAL DES RESSOURCES</t>
  </si>
  <si>
    <t>ECART = Total Ressources - Total Besoins</t>
  </si>
  <si>
    <t>INVESTISSEMENTS ET CALCUL DES AMORTISSEMENTS</t>
  </si>
  <si>
    <t>Par mesure de simplification, aucune TVA n'a été appliquée sur les encaissements des ventes et sur les décaissements des achats</t>
  </si>
  <si>
    <t>Éléments amortissables</t>
  </si>
  <si>
    <t>Éléments non amortissables</t>
  </si>
  <si>
    <t>- Frais d'établissement (sur 5 ans)</t>
  </si>
  <si>
    <t>- Frais de recherche (sur 5 ans)</t>
  </si>
  <si>
    <t>- Droit au bail</t>
  </si>
  <si>
    <t>- Brevets, licences (sur 5 ans)</t>
  </si>
  <si>
    <t>- Marques</t>
  </si>
  <si>
    <t>Immobilisations corporelles</t>
  </si>
  <si>
    <t>- Constructions (20 à 50 ans)</t>
  </si>
  <si>
    <t>- Terrains</t>
  </si>
  <si>
    <t>- Installations techniques (5 à 10 ans)</t>
  </si>
  <si>
    <t>- Agencements, aménagements (10 à 20 ans)</t>
  </si>
  <si>
    <t>- Matériel de transport (4 à 5 ans)</t>
  </si>
  <si>
    <t>- Matériel de bureau, mobilier (5 à 10 ans)</t>
  </si>
  <si>
    <t>- Micro-ordinateurs (3 ans)</t>
  </si>
  <si>
    <t>Par mesure de simplification, les charges sociales sont décaissées chaque mois</t>
  </si>
  <si>
    <t xml:space="preserve">BESOINS </t>
  </si>
  <si>
    <t>Fonds commercial</t>
  </si>
  <si>
    <t xml:space="preserve">Caution loyer </t>
  </si>
  <si>
    <t>corporelles</t>
  </si>
  <si>
    <t>financières</t>
  </si>
  <si>
    <t>Prêt d'honneur</t>
  </si>
  <si>
    <t>Prêt bancaire</t>
  </si>
  <si>
    <t>Apport en capital</t>
  </si>
  <si>
    <t>Apport en comptes courants d'associés</t>
  </si>
  <si>
    <t>Capitaux empruntés (emprunts à moyen et long terme)</t>
  </si>
  <si>
    <t>remboursable sur un durée de</t>
  </si>
  <si>
    <t>ans</t>
  </si>
  <si>
    <t xml:space="preserve">Prêt contracté  pour un montant </t>
  </si>
  <si>
    <t>par amortissement constant, sans taux d'intérêt</t>
  </si>
  <si>
    <t>avec un différé de remboursement de 6 mois</t>
  </si>
  <si>
    <t>Contrôle</t>
  </si>
  <si>
    <t>VENTES</t>
  </si>
  <si>
    <t>MARGE</t>
  </si>
  <si>
    <t>% marge/ventes</t>
  </si>
  <si>
    <t>Plan de trésorerie d'exploitation</t>
  </si>
  <si>
    <t>TRESORERIE MENSUELLE</t>
  </si>
  <si>
    <t>TRESORERIE CUMULEE</t>
  </si>
  <si>
    <t>Prorata</t>
  </si>
  <si>
    <t>d'amort.</t>
  </si>
  <si>
    <t>de l'amort.</t>
  </si>
  <si>
    <t>Montant an.</t>
  </si>
  <si>
    <t>Désignation des</t>
  </si>
  <si>
    <t>immobilisations</t>
  </si>
  <si>
    <t>Non réglé à fin N</t>
  </si>
  <si>
    <t xml:space="preserve">  Prêt d'honneur </t>
  </si>
  <si>
    <t>Immobilisations HT</t>
  </si>
  <si>
    <t xml:space="preserve">N+1 </t>
  </si>
  <si>
    <t xml:space="preserve">N+2 </t>
  </si>
  <si>
    <t>COMPTE DE RESULTAT MENSUALISE de la première année</t>
  </si>
  <si>
    <r>
      <t xml:space="preserve">PLAN DE TRESORERIE </t>
    </r>
    <r>
      <rPr>
        <b/>
        <u/>
        <sz val="12"/>
        <rFont val="Arial"/>
        <family val="2"/>
      </rPr>
      <t>D'EXPLOITATION</t>
    </r>
    <r>
      <rPr>
        <b/>
        <sz val="12"/>
        <rFont val="Arial"/>
        <family val="2"/>
      </rPr>
      <t xml:space="preserve"> MENSUEL DE LA PREMIERE ANNEE</t>
    </r>
  </si>
  <si>
    <t>Calcul de l'annuité constante</t>
  </si>
  <si>
    <t>Taux</t>
  </si>
  <si>
    <t>Durée</t>
  </si>
  <si>
    <t>Emprunt</t>
  </si>
  <si>
    <t>(1+i)-n</t>
  </si>
  <si>
    <r>
      <t>Annuité = Emprunt  x  taux d’intérêt  /  1 – (1 + taux)</t>
    </r>
    <r>
      <rPr>
        <b/>
        <vertAlign val="superscript"/>
        <sz val="10"/>
        <rFont val="Times New Roman"/>
        <family val="1"/>
      </rPr>
      <t>-N</t>
    </r>
  </si>
  <si>
    <t>par annuité constante</t>
  </si>
  <si>
    <t>Prêt contracté  pour un montant de :</t>
  </si>
  <si>
    <t>remboursable sur un durée de :</t>
  </si>
  <si>
    <t>avec un taux d'intérêt :</t>
  </si>
  <si>
    <t>Annuités de remboursement versée à la banque</t>
  </si>
  <si>
    <t>Remboursement de capital / an</t>
  </si>
  <si>
    <t>Capital restant dû en début d'année</t>
  </si>
  <si>
    <t>Remboursement de capital / année</t>
  </si>
  <si>
    <t>Rémunération du dirigeant</t>
  </si>
  <si>
    <t>Impôt et taxes</t>
  </si>
  <si>
    <t>Site internet</t>
  </si>
  <si>
    <t>Juillet</t>
  </si>
  <si>
    <t>Août</t>
  </si>
  <si>
    <t>Septembre</t>
  </si>
  <si>
    <t>Octobre</t>
  </si>
  <si>
    <t>Novembre</t>
  </si>
  <si>
    <t>Décembre</t>
  </si>
  <si>
    <t>Sous traitance (-)</t>
  </si>
  <si>
    <t>Commissions (externes ou salariés) (-)</t>
  </si>
  <si>
    <t>Loyer (-)</t>
  </si>
  <si>
    <t>Assurances (-)</t>
  </si>
  <si>
    <t>Honoraires avocat, comptable (-)</t>
  </si>
  <si>
    <t>Téléphone et internet (-)</t>
  </si>
  <si>
    <t>marketing, publicité (-)</t>
  </si>
  <si>
    <t>Missions et déplacements (-)</t>
  </si>
  <si>
    <t>Rémunération dirigeant (-)</t>
  </si>
  <si>
    <t>Rémunération des salariés (-)</t>
  </si>
  <si>
    <t>Dotations aux amortissements (-)</t>
  </si>
  <si>
    <t>Charges financières (-)</t>
  </si>
  <si>
    <t>Achats de matières premières ou produits revendus (-)</t>
  </si>
  <si>
    <t>IMMOBILISATIONS CORPORELLES</t>
  </si>
  <si>
    <t>IMMOBILISATIONS FINANCIERES</t>
  </si>
  <si>
    <t>Création identité graphique</t>
  </si>
  <si>
    <t>Brevets</t>
  </si>
  <si>
    <t xml:space="preserve">  Locaux</t>
  </si>
  <si>
    <t xml:space="preserve">  Terrains</t>
  </si>
  <si>
    <t xml:space="preserve">  Informatique</t>
  </si>
  <si>
    <t>Non amortissable</t>
  </si>
  <si>
    <t>Total Incorporelles</t>
  </si>
  <si>
    <t>Total Corporelles</t>
  </si>
  <si>
    <t>Total financières</t>
  </si>
  <si>
    <t>PLAN DE FINANCEMENT INITIAL</t>
  </si>
  <si>
    <t>Besoin en trésorerie d'exploitation de la premiere année</t>
  </si>
  <si>
    <t xml:space="preserve">DETAIL REMUNERATION </t>
  </si>
  <si>
    <t>Total salariés</t>
  </si>
  <si>
    <t>Charges sociales (35%) (-)</t>
  </si>
  <si>
    <t>Charges sociales (45%) (-)</t>
  </si>
  <si>
    <t>COMPTE DE RESULTAT MENSUALISE de la deuxième année</t>
  </si>
  <si>
    <t>COMPTE DE RESULTAT MENSUALISE de la troisième année</t>
  </si>
  <si>
    <t xml:space="preserve">N </t>
  </si>
  <si>
    <t>Disponible si des rubriques manquent</t>
  </si>
  <si>
    <t>disponible si des rubriques manquent</t>
  </si>
  <si>
    <t>REPRENDRE LE PLUS FORT DECOUVERT EN TEMPS QUE BESOIN DE TRESORERIE D'EXPLOITATION DANS LE TABLEAU DE FINANCEMENT</t>
  </si>
  <si>
    <t>pourcents</t>
  </si>
  <si>
    <t>Commercial (-)</t>
  </si>
  <si>
    <t>Logistique (-)</t>
  </si>
  <si>
    <t>Administratif (-)</t>
  </si>
  <si>
    <t>Dirigeant (-)</t>
  </si>
  <si>
    <t>Production (-)</t>
  </si>
  <si>
    <t xml:space="preserve"> année 1</t>
  </si>
  <si>
    <t xml:space="preserve"> année 2</t>
  </si>
  <si>
    <t xml:space="preserve"> année 3</t>
  </si>
  <si>
    <t>Mensuel</t>
  </si>
  <si>
    <t xml:space="preserve">   Matériel de production</t>
  </si>
  <si>
    <t>IMMOBILISATIONS INCORPORELLES</t>
  </si>
  <si>
    <t>Loyer des machines (-)</t>
  </si>
  <si>
    <t>incorporelles</t>
  </si>
  <si>
    <t>Sept.</t>
  </si>
  <si>
    <t>€uros</t>
  </si>
  <si>
    <t>ANNEE 1</t>
  </si>
  <si>
    <t>ANNEE 2</t>
  </si>
  <si>
    <t>ANNEE 3</t>
  </si>
  <si>
    <t>Total</t>
  </si>
  <si>
    <t>TOTAL Mensuel</t>
  </si>
  <si>
    <t>TOTAL  mensuel</t>
  </si>
  <si>
    <t>Fournitures et consommables (-)</t>
  </si>
  <si>
    <t>Intérim (-)</t>
  </si>
  <si>
    <t>Logiciels</t>
  </si>
  <si>
    <t>Loyer des machines / License logicielle(-)</t>
  </si>
  <si>
    <r>
      <t xml:space="preserve">Electricité (-) </t>
    </r>
    <r>
      <rPr>
        <b/>
        <i/>
        <sz val="10"/>
        <rFont val="Arial"/>
        <family val="2"/>
      </rPr>
      <t>**</t>
    </r>
  </si>
  <si>
    <t>Août *</t>
  </si>
  <si>
    <t xml:space="preserve"> * lancement commercial du produit</t>
  </si>
  <si>
    <t xml:space="preserve">** Pas d'électricité la première année car on travaille chez nous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</si>
</sst>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2" xfId="0" applyNumberFormat="1" applyFont="1" applyBorder="1"/>
    <xf numFmtId="3" fontId="2" fillId="0" borderId="0" xfId="0" applyNumberFormat="1" applyFont="1"/>
    <xf numFmtId="3" fontId="0" fillId="0" borderId="0" xfId="0" applyNumberFormat="1" applyAlignment="1"/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3" fontId="3" fillId="0" borderId="3" xfId="0" applyNumberFormat="1" applyFont="1" applyBorder="1"/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/>
    <xf numFmtId="3" fontId="2" fillId="0" borderId="7" xfId="0" applyNumberFormat="1" applyFont="1" applyBorder="1"/>
    <xf numFmtId="3" fontId="3" fillId="0" borderId="8" xfId="0" applyNumberFormat="1" applyFont="1" applyBorder="1" applyAlignment="1">
      <alignment vertical="center" wrapText="1"/>
    </xf>
    <xf numFmtId="3" fontId="3" fillId="0" borderId="7" xfId="0" applyNumberFormat="1" applyFont="1" applyBorder="1"/>
    <xf numFmtId="3" fontId="3" fillId="0" borderId="8" xfId="0" applyNumberFormat="1" applyFont="1" applyBorder="1"/>
    <xf numFmtId="0" fontId="0" fillId="3" borderId="0" xfId="0" applyFill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3" borderId="15" xfId="0" applyFont="1" applyFill="1" applyBorder="1"/>
    <xf numFmtId="0" fontId="7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7" fillId="3" borderId="17" xfId="0" applyFont="1" applyFill="1" applyBorder="1"/>
    <xf numFmtId="0" fontId="7" fillId="3" borderId="15" xfId="0" applyFont="1" applyFill="1" applyBorder="1"/>
    <xf numFmtId="0" fontId="0" fillId="3" borderId="18" xfId="0" applyFill="1" applyBorder="1"/>
    <xf numFmtId="0" fontId="8" fillId="0" borderId="19" xfId="0" applyFont="1" applyBorder="1"/>
    <xf numFmtId="0" fontId="7" fillId="4" borderId="20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16" fontId="7" fillId="3" borderId="16" xfId="0" applyNumberFormat="1" applyFont="1" applyFill="1" applyBorder="1"/>
    <xf numFmtId="3" fontId="7" fillId="3" borderId="17" xfId="0" applyNumberFormat="1" applyFont="1" applyFill="1" applyBorder="1"/>
    <xf numFmtId="3" fontId="8" fillId="0" borderId="23" xfId="0" applyNumberFormat="1" applyFont="1" applyBorder="1"/>
    <xf numFmtId="3" fontId="2" fillId="2" borderId="24" xfId="0" applyNumberFormat="1" applyFont="1" applyFill="1" applyBorder="1" applyAlignment="1">
      <alignment horizontal="center"/>
    </xf>
    <xf numFmtId="0" fontId="9" fillId="3" borderId="0" xfId="0" applyFont="1" applyFill="1" applyBorder="1"/>
    <xf numFmtId="3" fontId="0" fillId="3" borderId="0" xfId="0" applyNumberFormat="1" applyFill="1"/>
    <xf numFmtId="3" fontId="7" fillId="3" borderId="25" xfId="0" applyNumberFormat="1" applyFont="1" applyFill="1" applyBorder="1" applyAlignment="1">
      <alignment horizontal="center"/>
    </xf>
    <xf numFmtId="3" fontId="7" fillId="5" borderId="26" xfId="0" applyNumberFormat="1" applyFont="1" applyFill="1" applyBorder="1" applyAlignment="1">
      <alignment horizontal="center"/>
    </xf>
    <xf numFmtId="3" fontId="7" fillId="5" borderId="2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3" fillId="0" borderId="30" xfId="0" applyFont="1" applyBorder="1" applyAlignment="1"/>
    <xf numFmtId="0" fontId="0" fillId="0" borderId="31" xfId="0" applyBorder="1" applyAlignment="1"/>
    <xf numFmtId="0" fontId="3" fillId="0" borderId="32" xfId="0" applyFont="1" applyBorder="1" applyAlignment="1"/>
    <xf numFmtId="0" fontId="0" fillId="0" borderId="33" xfId="0" applyBorder="1" applyAlignment="1"/>
    <xf numFmtId="0" fontId="3" fillId="0" borderId="34" xfId="0" applyFont="1" applyBorder="1" applyAlignment="1"/>
    <xf numFmtId="0" fontId="0" fillId="0" borderId="35" xfId="0" applyBorder="1" applyAlignment="1"/>
    <xf numFmtId="0" fontId="3" fillId="0" borderId="36" xfId="0" applyFont="1" applyBorder="1" applyAlignment="1"/>
    <xf numFmtId="0" fontId="3" fillId="0" borderId="37" xfId="0" applyFont="1" applyBorder="1" applyAlignment="1">
      <alignment wrapText="1"/>
    </xf>
    <xf numFmtId="0" fontId="0" fillId="3" borderId="31" xfId="0" applyFill="1" applyBorder="1" applyAlignment="1"/>
    <xf numFmtId="0" fontId="3" fillId="0" borderId="38" xfId="0" applyFont="1" applyBorder="1" applyAlignment="1"/>
    <xf numFmtId="0" fontId="3" fillId="0" borderId="0" xfId="0" applyFont="1" applyBorder="1" applyAlignment="1">
      <alignment wrapText="1"/>
    </xf>
    <xf numFmtId="0" fontId="0" fillId="3" borderId="33" xfId="0" applyFill="1" applyBorder="1" applyAlignment="1"/>
    <xf numFmtId="0" fontId="3" fillId="0" borderId="39" xfId="0" applyFont="1" applyBorder="1" applyAlignment="1"/>
    <xf numFmtId="0" fontId="3" fillId="0" borderId="40" xfId="0" applyFont="1" applyBorder="1" applyAlignment="1">
      <alignment wrapText="1"/>
    </xf>
    <xf numFmtId="0" fontId="0" fillId="3" borderId="35" xfId="0" applyFill="1" applyBorder="1" applyAlignment="1"/>
    <xf numFmtId="0" fontId="0" fillId="0" borderId="0" xfId="0" applyAlignment="1">
      <alignment wrapText="1"/>
    </xf>
    <xf numFmtId="0" fontId="2" fillId="3" borderId="41" xfId="0" applyFont="1" applyFill="1" applyBorder="1"/>
    <xf numFmtId="0" fontId="2" fillId="3" borderId="25" xfId="0" applyFont="1" applyFill="1" applyBorder="1"/>
    <xf numFmtId="0" fontId="3" fillId="3" borderId="25" xfId="0" applyFont="1" applyFill="1" applyBorder="1"/>
    <xf numFmtId="3" fontId="2" fillId="3" borderId="25" xfId="0" applyNumberFormat="1" applyFont="1" applyFill="1" applyBorder="1"/>
    <xf numFmtId="3" fontId="7" fillId="3" borderId="16" xfId="0" applyNumberFormat="1" applyFont="1" applyFill="1" applyBorder="1"/>
    <xf numFmtId="0" fontId="0" fillId="3" borderId="0" xfId="0" applyFill="1" applyAlignment="1">
      <alignment horizontal="right"/>
    </xf>
    <xf numFmtId="3" fontId="3" fillId="3" borderId="25" xfId="0" applyNumberFormat="1" applyFont="1" applyFill="1" applyBorder="1"/>
    <xf numFmtId="0" fontId="0" fillId="3" borderId="0" xfId="0" applyFill="1" applyBorder="1" applyAlignment="1">
      <alignment wrapText="1"/>
    </xf>
    <xf numFmtId="0" fontId="6" fillId="4" borderId="43" xfId="0" applyFont="1" applyFill="1" applyBorder="1" applyAlignment="1">
      <alignment horizontal="center" vertical="center"/>
    </xf>
    <xf numFmtId="3" fontId="2" fillId="4" borderId="41" xfId="0" applyNumberFormat="1" applyFont="1" applyFill="1" applyBorder="1" applyAlignment="1">
      <alignment horizontal="center" vertical="center" wrapText="1"/>
    </xf>
    <xf numFmtId="3" fontId="0" fillId="4" borderId="42" xfId="0" applyNumberFormat="1" applyFill="1" applyBorder="1"/>
    <xf numFmtId="3" fontId="0" fillId="4" borderId="42" xfId="0" applyNumberForma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3" fontId="3" fillId="0" borderId="6" xfId="0" applyNumberFormat="1" applyFont="1" applyBorder="1"/>
    <xf numFmtId="3" fontId="4" fillId="0" borderId="0" xfId="0" applyNumberFormat="1" applyFont="1" applyAlignment="1"/>
    <xf numFmtId="3" fontId="0" fillId="0" borderId="1" xfId="0" applyNumberFormat="1" applyBorder="1"/>
    <xf numFmtId="0" fontId="0" fillId="0" borderId="26" xfId="0" applyBorder="1"/>
    <xf numFmtId="0" fontId="0" fillId="0" borderId="7" xfId="0" applyBorder="1"/>
    <xf numFmtId="3" fontId="0" fillId="0" borderId="8" xfId="0" applyNumberFormat="1" applyBorder="1"/>
    <xf numFmtId="0" fontId="0" fillId="0" borderId="44" xfId="0" applyBorder="1"/>
    <xf numFmtId="3" fontId="0" fillId="0" borderId="45" xfId="0" applyNumberFormat="1" applyBorder="1"/>
    <xf numFmtId="3" fontId="0" fillId="0" borderId="46" xfId="0" applyNumberFormat="1" applyBorder="1"/>
    <xf numFmtId="2" fontId="0" fillId="0" borderId="0" xfId="0" applyNumberFormat="1" applyAlignment="1">
      <alignment horizontal="centerContinuous" vertical="center"/>
    </xf>
    <xf numFmtId="2" fontId="6" fillId="0" borderId="0" xfId="0" applyNumberFormat="1" applyFont="1" applyAlignment="1">
      <alignment horizontal="centerContinuous" vertical="center"/>
    </xf>
    <xf numFmtId="0" fontId="0" fillId="0" borderId="0" xfId="0" applyBorder="1"/>
    <xf numFmtId="0" fontId="0" fillId="0" borderId="47" xfId="0" applyBorder="1"/>
    <xf numFmtId="0" fontId="0" fillId="0" borderId="48" xfId="0" applyBorder="1" applyAlignment="1">
      <alignment horizontal="centerContinuous" vertical="center"/>
    </xf>
    <xf numFmtId="0" fontId="2" fillId="3" borderId="26" xfId="0" applyFont="1" applyFill="1" applyBorder="1"/>
    <xf numFmtId="3" fontId="7" fillId="3" borderId="41" xfId="0" applyNumberFormat="1" applyFont="1" applyFill="1" applyBorder="1" applyAlignment="1">
      <alignment horizontal="center"/>
    </xf>
    <xf numFmtId="3" fontId="7" fillId="3" borderId="49" xfId="0" applyNumberFormat="1" applyFont="1" applyFill="1" applyBorder="1" applyAlignment="1">
      <alignment horizontal="center"/>
    </xf>
    <xf numFmtId="0" fontId="2" fillId="3" borderId="50" xfId="0" applyFont="1" applyFill="1" applyBorder="1"/>
    <xf numFmtId="3" fontId="7" fillId="3" borderId="47" xfId="0" applyNumberFormat="1" applyFont="1" applyFill="1" applyBorder="1" applyAlignment="1">
      <alignment horizontal="center"/>
    </xf>
    <xf numFmtId="0" fontId="3" fillId="3" borderId="50" xfId="0" applyFont="1" applyFill="1" applyBorder="1"/>
    <xf numFmtId="0" fontId="2" fillId="3" borderId="50" xfId="0" applyFont="1" applyFill="1" applyBorder="1" applyAlignment="1">
      <alignment horizontal="left"/>
    </xf>
    <xf numFmtId="0" fontId="9" fillId="3" borderId="50" xfId="0" applyFont="1" applyFill="1" applyBorder="1" applyAlignment="1">
      <alignment wrapText="1"/>
    </xf>
    <xf numFmtId="0" fontId="9" fillId="3" borderId="50" xfId="0" applyFont="1" applyFill="1" applyBorder="1"/>
    <xf numFmtId="0" fontId="0" fillId="3" borderId="50" xfId="0" applyFill="1" applyBorder="1"/>
    <xf numFmtId="3" fontId="7" fillId="5" borderId="47" xfId="0" applyNumberFormat="1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3" fontId="8" fillId="3" borderId="51" xfId="0" applyNumberFormat="1" applyFont="1" applyFill="1" applyBorder="1" applyAlignment="1">
      <alignment horizontal="center"/>
    </xf>
    <xf numFmtId="3" fontId="3" fillId="8" borderId="7" xfId="0" applyNumberFormat="1" applyFont="1" applyFill="1" applyBorder="1"/>
    <xf numFmtId="3" fontId="3" fillId="8" borderId="8" xfId="0" applyNumberFormat="1" applyFont="1" applyFill="1" applyBorder="1"/>
    <xf numFmtId="3" fontId="3" fillId="0" borderId="0" xfId="0" applyNumberFormat="1" applyFont="1" applyBorder="1"/>
    <xf numFmtId="3" fontId="3" fillId="8" borderId="8" xfId="0" applyNumberFormat="1" applyFont="1" applyFill="1" applyBorder="1" applyAlignment="1">
      <alignment vertical="center" wrapText="1"/>
    </xf>
    <xf numFmtId="3" fontId="3" fillId="0" borderId="52" xfId="0" applyNumberFormat="1" applyFont="1" applyFill="1" applyBorder="1" applyAlignment="1">
      <alignment vertical="center" wrapText="1"/>
    </xf>
    <xf numFmtId="3" fontId="3" fillId="0" borderId="7" xfId="0" applyNumberFormat="1" applyFont="1" applyBorder="1" applyAlignment="1">
      <alignment wrapText="1"/>
    </xf>
    <xf numFmtId="0" fontId="4" fillId="9" borderId="53" xfId="0" applyFont="1" applyFill="1" applyBorder="1"/>
    <xf numFmtId="0" fontId="7" fillId="9" borderId="54" xfId="0" applyFont="1" applyFill="1" applyBorder="1"/>
    <xf numFmtId="3" fontId="7" fillId="9" borderId="54" xfId="0" applyNumberFormat="1" applyFont="1" applyFill="1" applyBorder="1"/>
    <xf numFmtId="0" fontId="4" fillId="9" borderId="54" xfId="0" applyFont="1" applyFill="1" applyBorder="1" applyAlignment="1">
      <alignment horizontal="center"/>
    </xf>
    <xf numFmtId="0" fontId="7" fillId="9" borderId="55" xfId="0" applyFont="1" applyFill="1" applyBorder="1"/>
    <xf numFmtId="16" fontId="7" fillId="9" borderId="54" xfId="0" applyNumberFormat="1" applyFont="1" applyFill="1" applyBorder="1"/>
    <xf numFmtId="3" fontId="7" fillId="9" borderId="55" xfId="0" applyNumberFormat="1" applyFont="1" applyFill="1" applyBorder="1"/>
    <xf numFmtId="0" fontId="7" fillId="9" borderId="56" xfId="0" applyFont="1" applyFill="1" applyBorder="1"/>
    <xf numFmtId="0" fontId="0" fillId="0" borderId="4" xfId="0" applyBorder="1"/>
    <xf numFmtId="3" fontId="0" fillId="0" borderId="57" xfId="0" applyNumberFormat="1" applyBorder="1"/>
    <xf numFmtId="3" fontId="0" fillId="0" borderId="5" xfId="0" applyNumberFormat="1" applyBorder="1"/>
    <xf numFmtId="0" fontId="0" fillId="0" borderId="58" xfId="0" applyBorder="1"/>
    <xf numFmtId="3" fontId="0" fillId="0" borderId="58" xfId="0" applyNumberFormat="1" applyBorder="1"/>
    <xf numFmtId="0" fontId="0" fillId="0" borderId="29" xfId="0" applyBorder="1"/>
    <xf numFmtId="3" fontId="0" fillId="0" borderId="29" xfId="0" applyNumberFormat="1" applyBorder="1"/>
    <xf numFmtId="0" fontId="3" fillId="0" borderId="7" xfId="0" applyFont="1" applyBorder="1"/>
    <xf numFmtId="0" fontId="3" fillId="0" borderId="59" xfId="0" applyFont="1" applyBorder="1"/>
    <xf numFmtId="3" fontId="0" fillId="0" borderId="60" xfId="0" applyNumberFormat="1" applyBorder="1"/>
    <xf numFmtId="3" fontId="0" fillId="0" borderId="61" xfId="0" applyNumberFormat="1" applyBorder="1"/>
    <xf numFmtId="0" fontId="3" fillId="0" borderId="2" xfId="0" applyFont="1" applyBorder="1"/>
    <xf numFmtId="3" fontId="0" fillId="0" borderId="62" xfId="0" applyNumberFormat="1" applyBorder="1"/>
    <xf numFmtId="3" fontId="2" fillId="0" borderId="0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/>
    <xf numFmtId="9" fontId="3" fillId="10" borderId="8" xfId="0" applyNumberFormat="1" applyFont="1" applyFill="1" applyBorder="1"/>
    <xf numFmtId="3" fontId="9" fillId="0" borderId="7" xfId="0" applyNumberFormat="1" applyFont="1" applyBorder="1"/>
    <xf numFmtId="0" fontId="20" fillId="0" borderId="0" xfId="0" applyFont="1"/>
    <xf numFmtId="3" fontId="0" fillId="3" borderId="0" xfId="0" applyNumberFormat="1" applyFill="1" applyBorder="1"/>
    <xf numFmtId="0" fontId="3" fillId="3" borderId="60" xfId="0" applyFont="1" applyFill="1" applyBorder="1"/>
    <xf numFmtId="0" fontId="3" fillId="3" borderId="16" xfId="0" applyFont="1" applyFill="1" applyBorder="1"/>
    <xf numFmtId="3" fontId="0" fillId="3" borderId="16" xfId="0" applyNumberFormat="1" applyFill="1" applyBorder="1"/>
    <xf numFmtId="3" fontId="0" fillId="3" borderId="13" xfId="0" applyNumberFormat="1" applyFill="1" applyBorder="1"/>
    <xf numFmtId="3" fontId="1" fillId="0" borderId="8" xfId="0" applyNumberFormat="1" applyFont="1" applyBorder="1"/>
    <xf numFmtId="3" fontId="1" fillId="0" borderId="7" xfId="0" applyNumberFormat="1" applyFont="1" applyBorder="1"/>
    <xf numFmtId="0" fontId="1" fillId="3" borderId="50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3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Continuous" vertical="center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3" fontId="2" fillId="0" borderId="4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Border="1" applyProtection="1"/>
    <xf numFmtId="3" fontId="3" fillId="0" borderId="8" xfId="0" applyNumberFormat="1" applyFont="1" applyBorder="1" applyAlignment="1" applyProtection="1">
      <alignment vertical="center" wrapText="1"/>
    </xf>
    <xf numFmtId="3" fontId="3" fillId="0" borderId="7" xfId="0" applyNumberFormat="1" applyFont="1" applyBorder="1" applyAlignment="1" applyProtection="1">
      <alignment wrapText="1"/>
    </xf>
    <xf numFmtId="3" fontId="3" fillId="0" borderId="7" xfId="0" applyNumberFormat="1" applyFont="1" applyBorder="1" applyProtection="1"/>
    <xf numFmtId="3" fontId="3" fillId="0" borderId="6" xfId="0" applyNumberFormat="1" applyFont="1" applyBorder="1" applyProtection="1"/>
    <xf numFmtId="3" fontId="3" fillId="0" borderId="8" xfId="0" applyNumberFormat="1" applyFont="1" applyBorder="1" applyProtection="1"/>
    <xf numFmtId="3" fontId="9" fillId="0" borderId="7" xfId="0" applyNumberFormat="1" applyFont="1" applyBorder="1" applyProtection="1"/>
    <xf numFmtId="3" fontId="2" fillId="2" borderId="6" xfId="0" applyNumberFormat="1" applyFont="1" applyFill="1" applyBorder="1" applyAlignment="1" applyProtection="1"/>
    <xf numFmtId="3" fontId="2" fillId="2" borderId="24" xfId="0" applyNumberFormat="1" applyFont="1" applyFill="1" applyBorder="1" applyAlignment="1" applyProtection="1">
      <alignment horizontal="center"/>
    </xf>
    <xf numFmtId="0" fontId="19" fillId="0" borderId="63" xfId="0" applyFont="1" applyBorder="1" applyProtection="1"/>
    <xf numFmtId="0" fontId="19" fillId="0" borderId="64" xfId="0" applyFont="1" applyBorder="1" applyProtection="1"/>
    <xf numFmtId="3" fontId="19" fillId="0" borderId="65" xfId="0" applyNumberFormat="1" applyFont="1" applyBorder="1" applyProtection="1"/>
    <xf numFmtId="0" fontId="19" fillId="0" borderId="66" xfId="0" applyFont="1" applyBorder="1" applyProtection="1"/>
    <xf numFmtId="3" fontId="0" fillId="0" borderId="0" xfId="0" applyNumberFormat="1" applyProtection="1"/>
    <xf numFmtId="0" fontId="0" fillId="0" borderId="0" xfId="0" applyAlignment="1" applyProtection="1">
      <alignment wrapText="1"/>
    </xf>
    <xf numFmtId="0" fontId="7" fillId="11" borderId="16" xfId="0" applyFont="1" applyFill="1" applyBorder="1"/>
    <xf numFmtId="3" fontId="7" fillId="11" borderId="16" xfId="0" applyNumberFormat="1" applyFont="1" applyFill="1" applyBorder="1"/>
    <xf numFmtId="3" fontId="3" fillId="0" borderId="0" xfId="0" applyNumberFormat="1" applyFont="1" applyAlignment="1" applyProtection="1">
      <alignment horizontal="right"/>
      <protection locked="0"/>
    </xf>
    <xf numFmtId="0" fontId="14" fillId="6" borderId="0" xfId="0" applyFont="1" applyFill="1" applyBorder="1" applyProtection="1">
      <protection locked="0"/>
    </xf>
    <xf numFmtId="3" fontId="3" fillId="6" borderId="0" xfId="0" applyNumberFormat="1" applyFont="1" applyFill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9" fontId="0" fillId="0" borderId="0" xfId="1" applyFont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vertical="center" wrapText="1"/>
      <protection locked="0"/>
    </xf>
    <xf numFmtId="3" fontId="3" fillId="0" borderId="1" xfId="0" applyNumberFormat="1" applyFont="1" applyBorder="1" applyProtection="1">
      <protection locked="0"/>
    </xf>
    <xf numFmtId="3" fontId="0" fillId="0" borderId="1" xfId="0" applyNumberFormat="1" applyBorder="1" applyAlignment="1" applyProtection="1">
      <alignment vertical="center" wrapText="1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left"/>
      <protection locked="0"/>
    </xf>
    <xf numFmtId="0" fontId="0" fillId="12" borderId="1" xfId="0" applyFill="1" applyBorder="1" applyAlignment="1" applyProtection="1">
      <alignment vertical="center" wrapText="1"/>
      <protection locked="0"/>
    </xf>
    <xf numFmtId="9" fontId="0" fillId="12" borderId="1" xfId="0" applyNumberForma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3" fillId="0" borderId="1" xfId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3" borderId="0" xfId="0" applyFont="1" applyFill="1" applyBorder="1" applyProtection="1">
      <protection locked="0"/>
    </xf>
    <xf numFmtId="3" fontId="0" fillId="12" borderId="70" xfId="0" applyNumberFormat="1" applyFill="1" applyBorder="1" applyAlignment="1" applyProtection="1">
      <alignment vertical="center" wrapText="1"/>
      <protection locked="0"/>
    </xf>
    <xf numFmtId="0" fontId="1" fillId="12" borderId="70" xfId="0" applyFont="1" applyFill="1" applyBorder="1" applyAlignment="1" applyProtection="1">
      <alignment vertical="center" wrapText="1"/>
      <protection locked="0"/>
    </xf>
    <xf numFmtId="3" fontId="0" fillId="12" borderId="70" xfId="0" applyNumberFormat="1" applyFill="1" applyBorder="1" applyAlignment="1" applyProtection="1">
      <alignment horizontal="center" vertical="center" wrapText="1"/>
      <protection locked="0"/>
    </xf>
    <xf numFmtId="3" fontId="3" fillId="3" borderId="47" xfId="0" applyNumberFormat="1" applyFont="1" applyFill="1" applyBorder="1"/>
    <xf numFmtId="3" fontId="3" fillId="12" borderId="70" xfId="0" applyNumberFormat="1" applyFont="1" applyFill="1" applyBorder="1"/>
    <xf numFmtId="0" fontId="3" fillId="0" borderId="50" xfId="0" applyFont="1" applyFill="1" applyBorder="1"/>
    <xf numFmtId="0" fontId="3" fillId="0" borderId="25" xfId="0" applyFont="1" applyFill="1" applyBorder="1"/>
    <xf numFmtId="0" fontId="2" fillId="3" borderId="0" xfId="0" applyFont="1" applyFill="1"/>
    <xf numFmtId="0" fontId="1" fillId="3" borderId="0" xfId="0" applyFont="1" applyFill="1"/>
    <xf numFmtId="3" fontId="2" fillId="2" borderId="71" xfId="0" applyNumberFormat="1" applyFont="1" applyFill="1" applyBorder="1" applyAlignment="1">
      <alignment horizontal="center"/>
    </xf>
    <xf numFmtId="3" fontId="2" fillId="2" borderId="72" xfId="0" applyNumberFormat="1" applyFont="1" applyFill="1" applyBorder="1" applyAlignment="1">
      <alignment horizontal="center"/>
    </xf>
    <xf numFmtId="3" fontId="1" fillId="0" borderId="8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wrapText="1"/>
    </xf>
    <xf numFmtId="3" fontId="1" fillId="0" borderId="6" xfId="0" applyNumberFormat="1" applyFont="1" applyBorder="1"/>
    <xf numFmtId="3" fontId="1" fillId="0" borderId="24" xfId="0" applyNumberFormat="1" applyFont="1" applyBorder="1" applyAlignment="1">
      <alignment vertical="center" wrapText="1"/>
    </xf>
    <xf numFmtId="3" fontId="1" fillId="0" borderId="52" xfId="0" applyNumberFormat="1" applyFont="1" applyFill="1" applyBorder="1"/>
    <xf numFmtId="3" fontId="1" fillId="8" borderId="7" xfId="0" applyNumberFormat="1" applyFont="1" applyFill="1" applyBorder="1"/>
    <xf numFmtId="3" fontId="1" fillId="8" borderId="8" xfId="0" applyNumberFormat="1" applyFont="1" applyFill="1" applyBorder="1"/>
    <xf numFmtId="3" fontId="1" fillId="8" borderId="8" xfId="0" applyNumberFormat="1" applyFont="1" applyFill="1" applyBorder="1" applyAlignment="1">
      <alignment vertical="center" wrapText="1"/>
    </xf>
    <xf numFmtId="3" fontId="1" fillId="0" borderId="51" xfId="0" applyNumberFormat="1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3" fontId="1" fillId="3" borderId="25" xfId="0" applyNumberFormat="1" applyFont="1" applyFill="1" applyBorder="1"/>
    <xf numFmtId="3" fontId="1" fillId="0" borderId="45" xfId="0" applyNumberFormat="1" applyFont="1" applyBorder="1"/>
    <xf numFmtId="3" fontId="0" fillId="0" borderId="70" xfId="0" applyNumberFormat="1" applyBorder="1"/>
    <xf numFmtId="0" fontId="0" fillId="0" borderId="0" xfId="0" applyAlignment="1" applyProtection="1">
      <alignment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2" fillId="7" borderId="63" xfId="0" applyFont="1" applyFill="1" applyBorder="1" applyAlignment="1">
      <alignment horizontal="center" vertical="top"/>
    </xf>
    <xf numFmtId="0" fontId="2" fillId="7" borderId="66" xfId="0" applyFont="1" applyFill="1" applyBorder="1" applyAlignment="1">
      <alignment horizontal="center" vertical="top"/>
    </xf>
    <xf numFmtId="0" fontId="2" fillId="7" borderId="63" xfId="0" applyFont="1" applyFill="1" applyBorder="1" applyAlignment="1">
      <alignment horizontal="center" vertical="top" wrapText="1"/>
    </xf>
    <xf numFmtId="0" fontId="2" fillId="7" borderId="66" xfId="0" applyFont="1" applyFill="1" applyBorder="1" applyAlignment="1">
      <alignment horizontal="center" vertical="top" wrapText="1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3" fontId="8" fillId="3" borderId="41" xfId="0" applyNumberFormat="1" applyFont="1" applyFill="1" applyBorder="1" applyAlignment="1">
      <alignment horizontal="center" vertical="center"/>
    </xf>
    <xf numFmtId="3" fontId="2" fillId="0" borderId="42" xfId="0" applyNumberFormat="1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0" fillId="4" borderId="29" xfId="0" applyNumberFormat="1" applyFill="1" applyBorder="1" applyAlignment="1">
      <alignment horizontal="center"/>
    </xf>
    <xf numFmtId="3" fontId="0" fillId="4" borderId="49" xfId="0" applyNumberFormat="1" applyFill="1" applyBorder="1" applyAlignment="1">
      <alignment horizontal="center" vertical="center"/>
    </xf>
    <xf numFmtId="3" fontId="0" fillId="4" borderId="48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114300</xdr:colOff>
      <xdr:row>35</xdr:row>
      <xdr:rowOff>95250</xdr:rowOff>
    </xdr:to>
    <xdr:pic>
      <xdr:nvPicPr>
        <xdr:cNvPr id="8286" name="Picture 2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3150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95250</xdr:rowOff>
    </xdr:to>
    <xdr:pic>
      <xdr:nvPicPr>
        <xdr:cNvPr id="8287" name="Picture 3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114300</xdr:colOff>
      <xdr:row>39</xdr:row>
      <xdr:rowOff>95250</xdr:rowOff>
    </xdr:to>
    <xdr:pic>
      <xdr:nvPicPr>
        <xdr:cNvPr id="8288" name="Picture 4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17</xdr:row>
      <xdr:rowOff>0</xdr:rowOff>
    </xdr:from>
    <xdr:ext cx="2711576" cy="264560"/>
    <xdr:sp macro="" textlink="">
      <xdr:nvSpPr>
        <xdr:cNvPr id="2" name="ZoneTexte 1"/>
        <xdr:cNvSpPr txBox="1"/>
      </xdr:nvSpPr>
      <xdr:spPr>
        <a:xfrm>
          <a:off x="5353050" y="4171950"/>
          <a:ext cx="2711576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la durée du prêt </a:t>
          </a:r>
          <a:r>
            <a:rPr lang="fr-FR" sz="1100" baseline="0"/>
            <a:t> (nombre d'années)</a:t>
          </a:r>
        </a:p>
      </xdr:txBody>
    </xdr:sp>
    <xdr:clientData/>
  </xdr:oneCellAnchor>
  <xdr:oneCellAnchor>
    <xdr:from>
      <xdr:col>7</xdr:col>
      <xdr:colOff>266700</xdr:colOff>
      <xdr:row>18</xdr:row>
      <xdr:rowOff>114300</xdr:rowOff>
    </xdr:from>
    <xdr:ext cx="1703928" cy="264560"/>
    <xdr:sp macro="" textlink="">
      <xdr:nvSpPr>
        <xdr:cNvPr id="3" name="ZoneTexte 2"/>
        <xdr:cNvSpPr txBox="1"/>
      </xdr:nvSpPr>
      <xdr:spPr>
        <a:xfrm>
          <a:off x="5476875" y="4505325"/>
          <a:ext cx="1703928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sous la forme  : x%</a:t>
          </a:r>
          <a:endParaRPr lang="fr-FR" sz="1100" baseline="0"/>
        </a:p>
      </xdr:txBody>
    </xdr:sp>
    <xdr:clientData/>
  </xdr:oneCellAnchor>
  <xdr:twoCellAnchor>
    <xdr:from>
      <xdr:col>5</xdr:col>
      <xdr:colOff>19050</xdr:colOff>
      <xdr:row>17</xdr:row>
      <xdr:rowOff>133350</xdr:rowOff>
    </xdr:from>
    <xdr:to>
      <xdr:col>7</xdr:col>
      <xdr:colOff>142875</xdr:colOff>
      <xdr:row>17</xdr:row>
      <xdr:rowOff>209550</xdr:rowOff>
    </xdr:to>
    <xdr:cxnSp macro="">
      <xdr:nvCxnSpPr>
        <xdr:cNvPr id="9343" name="Connecteur droit avec flèche 4"/>
        <xdr:cNvCxnSpPr>
          <a:cxnSpLocks noChangeShapeType="1"/>
          <a:stCxn id="2" idx="1"/>
        </xdr:cNvCxnSpPr>
      </xdr:nvCxnSpPr>
      <xdr:spPr bwMode="auto">
        <a:xfrm rot="10800000" flipV="1">
          <a:off x="3248025" y="4305300"/>
          <a:ext cx="2105025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19</xdr:row>
      <xdr:rowOff>9525</xdr:rowOff>
    </xdr:from>
    <xdr:to>
      <xdr:col>7</xdr:col>
      <xdr:colOff>266700</xdr:colOff>
      <xdr:row>19</xdr:row>
      <xdr:rowOff>85725</xdr:rowOff>
    </xdr:to>
    <xdr:cxnSp macro="">
      <xdr:nvCxnSpPr>
        <xdr:cNvPr id="9344" name="Connecteur droit avec flèche 5"/>
        <xdr:cNvCxnSpPr>
          <a:cxnSpLocks noChangeShapeType="1"/>
          <a:stCxn id="3" idx="1"/>
        </xdr:cNvCxnSpPr>
      </xdr:nvCxnSpPr>
      <xdr:spPr bwMode="auto">
        <a:xfrm rot="10800000">
          <a:off x="3228975" y="4562475"/>
          <a:ext cx="2247900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838200</xdr:colOff>
      <xdr:row>29</xdr:row>
      <xdr:rowOff>95250</xdr:rowOff>
    </xdr:from>
    <xdr:ext cx="3156890" cy="436786"/>
    <xdr:sp macro="" textlink="">
      <xdr:nvSpPr>
        <xdr:cNvPr id="2" name="ZoneTexte 1"/>
        <xdr:cNvSpPr txBox="1"/>
      </xdr:nvSpPr>
      <xdr:spPr>
        <a:xfrm>
          <a:off x="4976283" y="4519083"/>
          <a:ext cx="31568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avoir un solde légèrement positif pour </a:t>
          </a:r>
        </a:p>
        <a:p>
          <a:r>
            <a:rPr lang="fr-FR" sz="1100" b="1" baseline="0"/>
            <a:t>couvrir des risques imprévus</a:t>
          </a:r>
          <a:endParaRPr lang="fr-FR" sz="1100" b="1"/>
        </a:p>
      </xdr:txBody>
    </xdr:sp>
    <xdr:clientData/>
  </xdr:oneCellAnchor>
  <xdr:twoCellAnchor>
    <xdr:from>
      <xdr:col>5</xdr:col>
      <xdr:colOff>95250</xdr:colOff>
      <xdr:row>32</xdr:row>
      <xdr:rowOff>47625</xdr:rowOff>
    </xdr:from>
    <xdr:to>
      <xdr:col>5</xdr:col>
      <xdr:colOff>828675</xdr:colOff>
      <xdr:row>34</xdr:row>
      <xdr:rowOff>0</xdr:rowOff>
    </xdr:to>
    <xdr:cxnSp macro="">
      <xdr:nvCxnSpPr>
        <xdr:cNvPr id="10459" name="Connecteur droit avec flèche 3"/>
        <xdr:cNvCxnSpPr>
          <a:cxnSpLocks noChangeShapeType="1"/>
        </xdr:cNvCxnSpPr>
      </xdr:nvCxnSpPr>
      <xdr:spPr bwMode="auto">
        <a:xfrm flipH="1">
          <a:off x="4238625" y="4953000"/>
          <a:ext cx="733425" cy="2476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800100</xdr:colOff>
      <xdr:row>24</xdr:row>
      <xdr:rowOff>57150</xdr:rowOff>
    </xdr:from>
    <xdr:ext cx="4887813" cy="609013"/>
    <xdr:sp macro="" textlink="">
      <xdr:nvSpPr>
        <xdr:cNvPr id="5" name="ZoneTexte 4"/>
        <xdr:cNvSpPr txBox="1"/>
      </xdr:nvSpPr>
      <xdr:spPr>
        <a:xfrm>
          <a:off x="4938183" y="3676650"/>
          <a:ext cx="4887813" cy="609013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prévoir vos emprunts en tenant compte du coefficient</a:t>
          </a:r>
        </a:p>
        <a:p>
          <a:r>
            <a:rPr lang="fr-FR" sz="1100" b="1" i="1" baseline="0"/>
            <a:t>'capital apporté par les actionnaires /emprunts bancaires</a:t>
          </a:r>
          <a:r>
            <a:rPr lang="fr-FR" sz="1100" b="1" baseline="0"/>
            <a:t>'. Nous avons expliqué </a:t>
          </a:r>
        </a:p>
        <a:p>
          <a:r>
            <a:rPr lang="fr-FR" sz="1100" b="1" baseline="0"/>
            <a:t>cette limite durant le cours</a:t>
          </a:r>
          <a:endParaRPr lang="fr-FR" sz="1100" b="1"/>
        </a:p>
      </xdr:txBody>
    </xdr:sp>
    <xdr:clientData/>
  </xdr:oneCellAnchor>
  <xdr:twoCellAnchor>
    <xdr:from>
      <xdr:col>5</xdr:col>
      <xdr:colOff>38100</xdr:colOff>
      <xdr:row>25</xdr:row>
      <xdr:rowOff>47625</xdr:rowOff>
    </xdr:from>
    <xdr:to>
      <xdr:col>5</xdr:col>
      <xdr:colOff>790575</xdr:colOff>
      <xdr:row>26</xdr:row>
      <xdr:rowOff>38100</xdr:rowOff>
    </xdr:to>
    <xdr:cxnSp macro="">
      <xdr:nvCxnSpPr>
        <xdr:cNvPr id="10461" name="Connecteur droit avec flèche 5"/>
        <xdr:cNvCxnSpPr>
          <a:cxnSpLocks noChangeShapeType="1"/>
        </xdr:cNvCxnSpPr>
      </xdr:nvCxnSpPr>
      <xdr:spPr bwMode="auto">
        <a:xfrm flipH="1">
          <a:off x="4181475" y="3762375"/>
          <a:ext cx="752475" cy="1809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66675</xdr:colOff>
      <xdr:row>26</xdr:row>
      <xdr:rowOff>66675</xdr:rowOff>
    </xdr:from>
    <xdr:to>
      <xdr:col>5</xdr:col>
      <xdr:colOff>800100</xdr:colOff>
      <xdr:row>27</xdr:row>
      <xdr:rowOff>19050</xdr:rowOff>
    </xdr:to>
    <xdr:cxnSp macro="">
      <xdr:nvCxnSpPr>
        <xdr:cNvPr id="10462" name="Connecteur droit avec flèche 7"/>
        <xdr:cNvCxnSpPr>
          <a:cxnSpLocks noChangeShapeType="1"/>
          <a:stCxn id="5" idx="1"/>
        </xdr:cNvCxnSpPr>
      </xdr:nvCxnSpPr>
      <xdr:spPr bwMode="auto">
        <a:xfrm flipH="1">
          <a:off x="4210050" y="3971925"/>
          <a:ext cx="733425" cy="1428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6</xdr:col>
      <xdr:colOff>0</xdr:colOff>
      <xdr:row>12</xdr:row>
      <xdr:rowOff>0</xdr:rowOff>
    </xdr:from>
    <xdr:ext cx="3737690" cy="436786"/>
    <xdr:sp macro="" textlink="">
      <xdr:nvSpPr>
        <xdr:cNvPr id="10" name="ZoneTexte 9"/>
        <xdr:cNvSpPr txBox="1"/>
      </xdr:nvSpPr>
      <xdr:spPr>
        <a:xfrm>
          <a:off x="5492750" y="2021417"/>
          <a:ext cx="37376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Ce</a:t>
          </a:r>
          <a:r>
            <a:rPr lang="fr-FR" sz="1100" b="1" baseline="0"/>
            <a:t> montant correspond  au  plus fort découvert qui apparait </a:t>
          </a:r>
        </a:p>
        <a:p>
          <a:r>
            <a:rPr lang="fr-FR" sz="1100" b="1" baseline="0"/>
            <a:t>dans votre tableau annuel de trésorerie (A saisir)</a:t>
          </a:r>
          <a:endParaRPr lang="fr-FR" sz="1100" b="1"/>
        </a:p>
      </xdr:txBody>
    </xdr:sp>
    <xdr:clientData/>
  </xdr:oneCellAnchor>
  <xdr:twoCellAnchor>
    <xdr:from>
      <xdr:col>5</xdr:col>
      <xdr:colOff>57150</xdr:colOff>
      <xdr:row>12</xdr:row>
      <xdr:rowOff>104775</xdr:rowOff>
    </xdr:from>
    <xdr:to>
      <xdr:col>6</xdr:col>
      <xdr:colOff>0</xdr:colOff>
      <xdr:row>13</xdr:row>
      <xdr:rowOff>57150</xdr:rowOff>
    </xdr:to>
    <xdr:cxnSp macro="">
      <xdr:nvCxnSpPr>
        <xdr:cNvPr id="10464" name="Connecteur droit avec flèche 10"/>
        <xdr:cNvCxnSpPr>
          <a:cxnSpLocks noChangeShapeType="1"/>
          <a:stCxn id="10" idx="1"/>
        </xdr:cNvCxnSpPr>
      </xdr:nvCxnSpPr>
      <xdr:spPr bwMode="auto">
        <a:xfrm flipH="1" flipV="1">
          <a:off x="4200525" y="2095500"/>
          <a:ext cx="1295400" cy="1143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%20financi&#232;re%20IOGSBV2%20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pp%20affaire\Farview_Matrice_fi_ann&#233;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J32">
            <v>58.333333333333336</v>
          </cell>
        </row>
      </sheetData>
      <sheetData sheetId="6">
        <row r="22">
          <cell r="D22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/>
      <sheetData sheetId="1"/>
      <sheetData sheetId="2"/>
      <sheetData sheetId="3"/>
      <sheetData sheetId="4"/>
      <sheetData sheetId="5">
        <row r="32">
          <cell r="L32">
            <v>58.333333333333336</v>
          </cell>
        </row>
        <row r="79">
          <cell r="L79">
            <v>0</v>
          </cell>
        </row>
        <row r="111">
          <cell r="L111">
            <v>0</v>
          </cell>
        </row>
      </sheetData>
      <sheetData sheetId="6">
        <row r="24">
          <cell r="D24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workbookViewId="0">
      <selection activeCell="B33" sqref="B33"/>
    </sheetView>
  </sheetViews>
  <sheetFormatPr baseColWidth="10" defaultRowHeight="12.75" x14ac:dyDescent="0.2"/>
  <cols>
    <col min="1" max="1" width="33.5703125" bestFit="1" customWidth="1"/>
    <col min="2" max="14" width="11.42578125" customWidth="1"/>
    <col min="18" max="23" width="10" customWidth="1"/>
  </cols>
  <sheetData>
    <row r="1" spans="1:16" ht="15.75" x14ac:dyDescent="0.2">
      <c r="A1" s="45" t="s">
        <v>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3.5" thickBot="1" x14ac:dyDescent="0.25"/>
    <row r="3" spans="1:16" ht="13.5" customHeight="1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177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  <c r="P3" s="214" t="s">
        <v>178</v>
      </c>
    </row>
    <row r="4" spans="1:16" x14ac:dyDescent="0.2">
      <c r="A4" s="15" t="s">
        <v>72</v>
      </c>
      <c r="B4" s="205">
        <v>0</v>
      </c>
      <c r="C4" s="205">
        <v>0</v>
      </c>
      <c r="D4" s="205">
        <v>0</v>
      </c>
      <c r="E4" s="205">
        <v>10</v>
      </c>
      <c r="F4" s="205">
        <v>0</v>
      </c>
      <c r="G4" s="205">
        <v>0</v>
      </c>
      <c r="H4" s="205">
        <v>0</v>
      </c>
      <c r="I4" s="205">
        <v>10000</v>
      </c>
      <c r="J4" s="205">
        <v>0</v>
      </c>
      <c r="K4" s="205">
        <v>10000</v>
      </c>
      <c r="L4" s="205">
        <v>0</v>
      </c>
      <c r="M4" s="205">
        <v>10000</v>
      </c>
      <c r="N4" s="205">
        <f>SUM(B4:M4)</f>
        <v>30010</v>
      </c>
    </row>
    <row r="5" spans="1:16" ht="25.5" x14ac:dyDescent="0.2">
      <c r="A5" s="206" t="s">
        <v>126</v>
      </c>
      <c r="B5" s="205">
        <v>0</v>
      </c>
      <c r="C5" s="205">
        <v>0</v>
      </c>
      <c r="D5" s="205">
        <v>0</v>
      </c>
      <c r="E5" s="205">
        <v>0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0</v>
      </c>
      <c r="N5" s="205">
        <f>SUM(B5:M5)</f>
        <v>0</v>
      </c>
      <c r="P5" s="215"/>
    </row>
    <row r="6" spans="1:16" x14ac:dyDescent="0.2">
      <c r="A6" s="141" t="s">
        <v>114</v>
      </c>
      <c r="B6" s="205">
        <v>0</v>
      </c>
      <c r="C6" s="205">
        <v>0</v>
      </c>
      <c r="D6" s="205">
        <v>0</v>
      </c>
      <c r="E6" s="205">
        <v>0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5">
        <v>0</v>
      </c>
      <c r="N6" s="205">
        <f>SUM(B6:M6)</f>
        <v>0</v>
      </c>
    </row>
    <row r="7" spans="1:16" x14ac:dyDescent="0.2">
      <c r="A7" s="207" t="s">
        <v>115</v>
      </c>
      <c r="B7" s="205">
        <v>0</v>
      </c>
      <c r="C7" s="208">
        <v>0</v>
      </c>
      <c r="D7" s="208">
        <v>0</v>
      </c>
      <c r="E7" s="208">
        <v>0</v>
      </c>
      <c r="F7" s="208">
        <v>0</v>
      </c>
      <c r="G7" s="208">
        <v>0</v>
      </c>
      <c r="H7" s="208">
        <v>0</v>
      </c>
      <c r="I7" s="208">
        <v>0</v>
      </c>
      <c r="J7" s="208">
        <v>0</v>
      </c>
      <c r="K7" s="208">
        <v>0</v>
      </c>
      <c r="L7" s="205">
        <v>0</v>
      </c>
      <c r="M7" s="208">
        <v>0</v>
      </c>
      <c r="N7" s="205">
        <f>SUM(B7:M7)</f>
        <v>0</v>
      </c>
    </row>
    <row r="8" spans="1:16" x14ac:dyDescent="0.2">
      <c r="A8" s="14" t="s">
        <v>73</v>
      </c>
      <c r="B8" s="39">
        <f t="shared" ref="B8:M8" si="0">SUM(B4:B7)</f>
        <v>0</v>
      </c>
      <c r="C8" s="39">
        <f t="shared" si="0"/>
        <v>0</v>
      </c>
      <c r="D8" s="39">
        <f t="shared" si="0"/>
        <v>0</v>
      </c>
      <c r="E8" s="39">
        <f t="shared" si="0"/>
        <v>10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10000</v>
      </c>
      <c r="J8" s="39">
        <f t="shared" si="0"/>
        <v>0</v>
      </c>
      <c r="K8" s="39">
        <f t="shared" si="0"/>
        <v>10000</v>
      </c>
      <c r="L8" s="39">
        <f t="shared" si="0"/>
        <v>0</v>
      </c>
      <c r="M8" s="39">
        <f t="shared" si="0"/>
        <v>10000</v>
      </c>
      <c r="N8" s="39">
        <f>SUM(B8:M8)</f>
        <v>30010</v>
      </c>
    </row>
    <row r="9" spans="1:16" x14ac:dyDescent="0.2">
      <c r="A9" s="14" t="s">
        <v>74</v>
      </c>
      <c r="B9" s="75" t="e">
        <f t="shared" ref="B9:M9" si="1">+B8/B4</f>
        <v>#DIV/0!</v>
      </c>
      <c r="C9" s="75" t="e">
        <f t="shared" si="1"/>
        <v>#DIV/0!</v>
      </c>
      <c r="D9" s="75" t="e">
        <f t="shared" si="1"/>
        <v>#DIV/0!</v>
      </c>
      <c r="E9" s="75">
        <f t="shared" si="1"/>
        <v>1</v>
      </c>
      <c r="F9" s="75" t="e">
        <f t="shared" si="1"/>
        <v>#DIV/0!</v>
      </c>
      <c r="G9" s="75" t="e">
        <f t="shared" si="1"/>
        <v>#DIV/0!</v>
      </c>
      <c r="H9" s="75" t="e">
        <f t="shared" si="1"/>
        <v>#DIV/0!</v>
      </c>
      <c r="I9" s="75">
        <f t="shared" si="1"/>
        <v>1</v>
      </c>
      <c r="J9" s="75" t="e">
        <f t="shared" si="1"/>
        <v>#DIV/0!</v>
      </c>
      <c r="K9" s="75">
        <f t="shared" si="1"/>
        <v>1</v>
      </c>
      <c r="L9" s="75" t="e">
        <f t="shared" si="1"/>
        <v>#DIV/0!</v>
      </c>
      <c r="M9" s="75">
        <f t="shared" si="1"/>
        <v>1</v>
      </c>
      <c r="N9" s="75">
        <f>+N8/N4</f>
        <v>1</v>
      </c>
    </row>
    <row r="10" spans="1:16" x14ac:dyDescent="0.2">
      <c r="A10" s="141" t="s">
        <v>116</v>
      </c>
      <c r="B10" s="140">
        <v>-10</v>
      </c>
      <c r="C10" s="140">
        <v>-10</v>
      </c>
      <c r="D10" s="140">
        <v>-10</v>
      </c>
      <c r="E10" s="140">
        <v>-10</v>
      </c>
      <c r="F10" s="140">
        <v>-10</v>
      </c>
      <c r="G10" s="140">
        <v>-10</v>
      </c>
      <c r="H10" s="140">
        <v>-10</v>
      </c>
      <c r="I10" s="140">
        <v>-10</v>
      </c>
      <c r="J10" s="140">
        <v>-10</v>
      </c>
      <c r="K10" s="140">
        <v>-10</v>
      </c>
      <c r="L10" s="140">
        <v>-10</v>
      </c>
      <c r="M10" s="140">
        <v>-10</v>
      </c>
      <c r="N10" s="205">
        <f>SUM(B10:M10)</f>
        <v>-120</v>
      </c>
    </row>
    <row r="11" spans="1:16" x14ac:dyDescent="0.2">
      <c r="A11" s="141" t="s">
        <v>175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205">
        <f>SUM(B11:M11)</f>
        <v>-6000</v>
      </c>
    </row>
    <row r="12" spans="1:16" x14ac:dyDescent="0.2">
      <c r="A12" s="141" t="s">
        <v>117</v>
      </c>
      <c r="B12" s="140">
        <f>-200/4</f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205">
        <f t="shared" ref="N12:N19" si="2">SUM(B12:M12)</f>
        <v>-200</v>
      </c>
    </row>
    <row r="13" spans="1:16" x14ac:dyDescent="0.2">
      <c r="A13" s="133" t="s">
        <v>172</v>
      </c>
      <c r="B13" s="140">
        <v>-100</v>
      </c>
      <c r="C13" s="140">
        <v>0</v>
      </c>
      <c r="D13" s="140">
        <v>0</v>
      </c>
      <c r="E13" s="140">
        <v>0</v>
      </c>
      <c r="F13" s="140">
        <v>-50</v>
      </c>
      <c r="G13" s="140">
        <v>0</v>
      </c>
      <c r="H13" s="140">
        <v>0</v>
      </c>
      <c r="I13" s="140">
        <v>-50</v>
      </c>
      <c r="J13" s="140">
        <v>0</v>
      </c>
      <c r="K13" s="140">
        <v>0</v>
      </c>
      <c r="L13" s="140">
        <v>-50</v>
      </c>
      <c r="M13" s="140">
        <v>0</v>
      </c>
      <c r="N13" s="205">
        <f t="shared" si="2"/>
        <v>-250</v>
      </c>
    </row>
    <row r="14" spans="1:16" x14ac:dyDescent="0.2">
      <c r="A14" s="133" t="s">
        <v>176</v>
      </c>
      <c r="B14" s="140">
        <v>0</v>
      </c>
      <c r="C14" s="140">
        <v>0</v>
      </c>
      <c r="D14" s="140">
        <v>0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205">
        <f t="shared" si="2"/>
        <v>0</v>
      </c>
      <c r="P14" t="s">
        <v>179</v>
      </c>
    </row>
    <row r="15" spans="1:16" x14ac:dyDescent="0.2">
      <c r="A15" s="133" t="s">
        <v>173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205">
        <f t="shared" si="2"/>
        <v>0</v>
      </c>
    </row>
    <row r="16" spans="1:16" x14ac:dyDescent="0.2">
      <c r="A16" s="141" t="s">
        <v>118</v>
      </c>
      <c r="B16" s="140">
        <v>-708</v>
      </c>
      <c r="C16" s="140">
        <f>-2500/12</f>
        <v>-208.33333333333334</v>
      </c>
      <c r="D16" s="140">
        <f t="shared" ref="D16:M16" si="3">-2500/12</f>
        <v>-208.33333333333334</v>
      </c>
      <c r="E16" s="140">
        <f t="shared" si="3"/>
        <v>-208.33333333333334</v>
      </c>
      <c r="F16" s="140">
        <f t="shared" si="3"/>
        <v>-208.33333333333334</v>
      </c>
      <c r="G16" s="140">
        <f t="shared" si="3"/>
        <v>-208.33333333333334</v>
      </c>
      <c r="H16" s="140">
        <f t="shared" si="3"/>
        <v>-208.33333333333334</v>
      </c>
      <c r="I16" s="140">
        <f t="shared" si="3"/>
        <v>-208.33333333333334</v>
      </c>
      <c r="J16" s="140">
        <f t="shared" si="3"/>
        <v>-208.33333333333334</v>
      </c>
      <c r="K16" s="140">
        <f t="shared" si="3"/>
        <v>-208.33333333333334</v>
      </c>
      <c r="L16" s="140">
        <f t="shared" si="3"/>
        <v>-208.33333333333334</v>
      </c>
      <c r="M16" s="140">
        <f t="shared" si="3"/>
        <v>-208.33333333333334</v>
      </c>
      <c r="N16" s="205">
        <f t="shared" si="2"/>
        <v>-2999.666666666667</v>
      </c>
    </row>
    <row r="17" spans="1:15" x14ac:dyDescent="0.2">
      <c r="A17" s="141" t="s">
        <v>119</v>
      </c>
      <c r="B17" s="140">
        <f>-25-5</f>
        <v>-30</v>
      </c>
      <c r="C17" s="140">
        <f t="shared" ref="C17:H17" si="4">-25-5</f>
        <v>-30</v>
      </c>
      <c r="D17" s="140">
        <f t="shared" si="4"/>
        <v>-30</v>
      </c>
      <c r="E17" s="140">
        <f t="shared" si="4"/>
        <v>-30</v>
      </c>
      <c r="F17" s="140">
        <f t="shared" si="4"/>
        <v>-30</v>
      </c>
      <c r="G17" s="140">
        <f t="shared" si="4"/>
        <v>-30</v>
      </c>
      <c r="H17" s="140">
        <f t="shared" si="4"/>
        <v>-30</v>
      </c>
      <c r="I17" s="140">
        <f>-25-10</f>
        <v>-35</v>
      </c>
      <c r="J17" s="140">
        <f>-25-10</f>
        <v>-35</v>
      </c>
      <c r="K17" s="140">
        <f t="shared" ref="K17:M17" si="5">-25-10</f>
        <v>-35</v>
      </c>
      <c r="L17" s="140">
        <f t="shared" si="5"/>
        <v>-35</v>
      </c>
      <c r="M17" s="140">
        <f t="shared" si="5"/>
        <v>-35</v>
      </c>
      <c r="N17" s="205">
        <f t="shared" si="2"/>
        <v>-385</v>
      </c>
    </row>
    <row r="18" spans="1:15" x14ac:dyDescent="0.2">
      <c r="A18" s="141" t="s">
        <v>120</v>
      </c>
      <c r="B18" s="140">
        <v>0</v>
      </c>
      <c r="C18" s="140">
        <v>-50</v>
      </c>
      <c r="D18" s="140">
        <v>0</v>
      </c>
      <c r="E18" s="140">
        <v>0</v>
      </c>
      <c r="F18" s="140">
        <v>0</v>
      </c>
      <c r="G18" s="140">
        <v>-50</v>
      </c>
      <c r="H18" s="140">
        <v>0</v>
      </c>
      <c r="I18" s="140">
        <v>-200</v>
      </c>
      <c r="J18" s="209">
        <v>-50</v>
      </c>
      <c r="K18" s="140">
        <v>-50</v>
      </c>
      <c r="L18" s="140">
        <v>-50</v>
      </c>
      <c r="M18" s="140">
        <v>-50</v>
      </c>
      <c r="N18" s="205">
        <f t="shared" si="2"/>
        <v>-500</v>
      </c>
    </row>
    <row r="19" spans="1:15" x14ac:dyDescent="0.2">
      <c r="A19" s="141" t="s">
        <v>121</v>
      </c>
      <c r="B19" s="140">
        <v>0</v>
      </c>
      <c r="C19" s="140">
        <v>0</v>
      </c>
      <c r="D19" s="140">
        <v>0</v>
      </c>
      <c r="E19" s="140">
        <v>-500</v>
      </c>
      <c r="F19" s="140">
        <v>0</v>
      </c>
      <c r="G19" s="140">
        <v>-1100</v>
      </c>
      <c r="H19" s="140">
        <v>0</v>
      </c>
      <c r="I19" s="140">
        <v>0</v>
      </c>
      <c r="J19" s="140">
        <v>-1000</v>
      </c>
      <c r="K19" s="140">
        <v>0</v>
      </c>
      <c r="L19" s="140">
        <v>0</v>
      </c>
      <c r="M19" s="140">
        <v>0</v>
      </c>
      <c r="N19" s="205">
        <f t="shared" si="2"/>
        <v>-2600</v>
      </c>
    </row>
    <row r="20" spans="1:15" x14ac:dyDescent="0.2">
      <c r="A20" s="210" t="s">
        <v>23</v>
      </c>
      <c r="B20" s="211">
        <f>SUM(B10:B19)</f>
        <v>-6898</v>
      </c>
      <c r="C20" s="211">
        <f t="shared" ref="C20:M20" si="6">SUM(C10:C19)</f>
        <v>-298.33333333333337</v>
      </c>
      <c r="D20" s="211">
        <f t="shared" si="6"/>
        <v>-248.33333333333334</v>
      </c>
      <c r="E20" s="211">
        <f t="shared" si="6"/>
        <v>-798.33333333333337</v>
      </c>
      <c r="F20" s="211">
        <f t="shared" si="6"/>
        <v>-298.33333333333337</v>
      </c>
      <c r="G20" s="211">
        <f t="shared" si="6"/>
        <v>-1398.3333333333335</v>
      </c>
      <c r="H20" s="211">
        <f t="shared" si="6"/>
        <v>-298.33333333333337</v>
      </c>
      <c r="I20" s="211">
        <f t="shared" si="6"/>
        <v>-503.33333333333337</v>
      </c>
      <c r="J20" s="211">
        <f>SUM(J10:J19)</f>
        <v>-1303.3333333333335</v>
      </c>
      <c r="K20" s="211">
        <f t="shared" si="6"/>
        <v>-353.33333333333337</v>
      </c>
      <c r="L20" s="211">
        <f t="shared" si="6"/>
        <v>-353.33333333333337</v>
      </c>
      <c r="M20" s="211">
        <f t="shared" si="6"/>
        <v>-303.33333333333337</v>
      </c>
      <c r="N20" s="212">
        <f>SUM(B20:M20)</f>
        <v>-13054.666666666672</v>
      </c>
    </row>
    <row r="21" spans="1:15" x14ac:dyDescent="0.2">
      <c r="A21" s="210" t="s">
        <v>106</v>
      </c>
      <c r="B21" s="211">
        <v>0</v>
      </c>
      <c r="C21" s="211">
        <v>0</v>
      </c>
      <c r="D21" s="211">
        <v>0</v>
      </c>
      <c r="E21" s="211">
        <v>0</v>
      </c>
      <c r="F21" s="211">
        <v>0</v>
      </c>
      <c r="G21" s="211">
        <v>0</v>
      </c>
      <c r="H21" s="211">
        <v>0</v>
      </c>
      <c r="I21" s="211">
        <v>0</v>
      </c>
      <c r="J21" s="211">
        <v>0</v>
      </c>
      <c r="K21" s="211">
        <v>0</v>
      </c>
      <c r="L21" s="211">
        <v>0</v>
      </c>
      <c r="M21" s="211">
        <v>-200</v>
      </c>
      <c r="N21" s="211">
        <f>SUM(B21:M21)</f>
        <v>-200</v>
      </c>
    </row>
    <row r="22" spans="1:15" x14ac:dyDescent="0.2">
      <c r="A22" s="141" t="s">
        <v>122</v>
      </c>
      <c r="B22" s="140">
        <f>+B39</f>
        <v>0</v>
      </c>
      <c r="C22" s="140">
        <f t="shared" ref="C22:L22" si="7">+C39</f>
        <v>0</v>
      </c>
      <c r="D22" s="140">
        <f t="shared" si="7"/>
        <v>0</v>
      </c>
      <c r="E22" s="140">
        <f t="shared" si="7"/>
        <v>0</v>
      </c>
      <c r="F22" s="140">
        <f t="shared" si="7"/>
        <v>0</v>
      </c>
      <c r="G22" s="140">
        <f t="shared" si="7"/>
        <v>0</v>
      </c>
      <c r="H22" s="140">
        <f t="shared" si="7"/>
        <v>0</v>
      </c>
      <c r="I22" s="140">
        <f t="shared" si="7"/>
        <v>0</v>
      </c>
      <c r="J22" s="140">
        <f t="shared" si="7"/>
        <v>0</v>
      </c>
      <c r="K22" s="140">
        <f t="shared" si="7"/>
        <v>0</v>
      </c>
      <c r="L22" s="140">
        <f t="shared" si="7"/>
        <v>0</v>
      </c>
      <c r="M22" s="140">
        <f>+M39</f>
        <v>0</v>
      </c>
      <c r="N22" s="205">
        <f>SUM(B22:M22)</f>
        <v>0</v>
      </c>
    </row>
    <row r="23" spans="1:15" x14ac:dyDescent="0.2">
      <c r="A23" s="141" t="s">
        <v>142</v>
      </c>
      <c r="B23" s="140">
        <f>0.35*B22</f>
        <v>0</v>
      </c>
      <c r="C23" s="140">
        <f t="shared" ref="C23:M23" si="8">0.35*C22</f>
        <v>0</v>
      </c>
      <c r="D23" s="140">
        <f t="shared" si="8"/>
        <v>0</v>
      </c>
      <c r="E23" s="140">
        <f t="shared" si="8"/>
        <v>0</v>
      </c>
      <c r="F23" s="140">
        <f t="shared" si="8"/>
        <v>0</v>
      </c>
      <c r="G23" s="140">
        <f t="shared" si="8"/>
        <v>0</v>
      </c>
      <c r="H23" s="140">
        <f t="shared" si="8"/>
        <v>0</v>
      </c>
      <c r="I23" s="140">
        <f t="shared" si="8"/>
        <v>0</v>
      </c>
      <c r="J23" s="140">
        <f t="shared" si="8"/>
        <v>0</v>
      </c>
      <c r="K23" s="140">
        <f t="shared" si="8"/>
        <v>0</v>
      </c>
      <c r="L23" s="140">
        <f t="shared" si="8"/>
        <v>0</v>
      </c>
      <c r="M23" s="140">
        <f t="shared" si="8"/>
        <v>0</v>
      </c>
      <c r="N23" s="205">
        <f>SUM(B23:M23)</f>
        <v>0</v>
      </c>
    </row>
    <row r="24" spans="1:15" x14ac:dyDescent="0.2">
      <c r="A24" s="210" t="s">
        <v>105</v>
      </c>
      <c r="B24" s="211">
        <f>SUM(B22:B23)</f>
        <v>0</v>
      </c>
      <c r="C24" s="211">
        <f t="shared" ref="C24:N24" si="9">SUM(C22:C23)</f>
        <v>0</v>
      </c>
      <c r="D24" s="211">
        <f t="shared" si="9"/>
        <v>0</v>
      </c>
      <c r="E24" s="211">
        <f t="shared" si="9"/>
        <v>0</v>
      </c>
      <c r="F24" s="211">
        <f t="shared" si="9"/>
        <v>0</v>
      </c>
      <c r="G24" s="211">
        <f t="shared" si="9"/>
        <v>0</v>
      </c>
      <c r="H24" s="211">
        <f t="shared" si="9"/>
        <v>0</v>
      </c>
      <c r="I24" s="211">
        <f t="shared" si="9"/>
        <v>0</v>
      </c>
      <c r="J24" s="211">
        <f t="shared" si="9"/>
        <v>0</v>
      </c>
      <c r="K24" s="211">
        <f t="shared" si="9"/>
        <v>0</v>
      </c>
      <c r="L24" s="211">
        <f t="shared" si="9"/>
        <v>0</v>
      </c>
      <c r="M24" s="211">
        <f t="shared" si="9"/>
        <v>0</v>
      </c>
      <c r="N24" s="211">
        <f t="shared" si="9"/>
        <v>0</v>
      </c>
    </row>
    <row r="25" spans="1:15" x14ac:dyDescent="0.2">
      <c r="A25" s="141" t="s">
        <v>123</v>
      </c>
      <c r="B25" s="140">
        <f>+B50</f>
        <v>0</v>
      </c>
      <c r="C25" s="140">
        <f t="shared" ref="C25:M25" si="10">+C50</f>
        <v>0</v>
      </c>
      <c r="D25" s="140">
        <f t="shared" si="10"/>
        <v>0</v>
      </c>
      <c r="E25" s="140">
        <f t="shared" si="10"/>
        <v>0</v>
      </c>
      <c r="F25" s="140">
        <f t="shared" si="10"/>
        <v>0</v>
      </c>
      <c r="G25" s="140">
        <f t="shared" si="10"/>
        <v>0</v>
      </c>
      <c r="H25" s="140">
        <f t="shared" si="10"/>
        <v>0</v>
      </c>
      <c r="I25" s="140">
        <f t="shared" si="10"/>
        <v>0</v>
      </c>
      <c r="J25" s="140">
        <f t="shared" si="10"/>
        <v>0</v>
      </c>
      <c r="K25" s="140">
        <f t="shared" si="10"/>
        <v>0</v>
      </c>
      <c r="L25" s="140">
        <f t="shared" si="10"/>
        <v>0</v>
      </c>
      <c r="M25" s="140">
        <f t="shared" si="10"/>
        <v>0</v>
      </c>
      <c r="N25" s="205">
        <f>SUM(B25:M25)</f>
        <v>0</v>
      </c>
    </row>
    <row r="26" spans="1:15" x14ac:dyDescent="0.2">
      <c r="A26" s="141" t="s">
        <v>143</v>
      </c>
      <c r="B26" s="140">
        <f>0.45*B25</f>
        <v>0</v>
      </c>
      <c r="C26" s="140">
        <f t="shared" ref="C26:M26" si="11">0.45*C25</f>
        <v>0</v>
      </c>
      <c r="D26" s="140">
        <f t="shared" si="11"/>
        <v>0</v>
      </c>
      <c r="E26" s="140">
        <f t="shared" si="11"/>
        <v>0</v>
      </c>
      <c r="F26" s="140">
        <f t="shared" si="11"/>
        <v>0</v>
      </c>
      <c r="G26" s="140">
        <f t="shared" si="11"/>
        <v>0</v>
      </c>
      <c r="H26" s="140">
        <f t="shared" si="11"/>
        <v>0</v>
      </c>
      <c r="I26" s="140">
        <f t="shared" si="11"/>
        <v>0</v>
      </c>
      <c r="J26" s="140">
        <f t="shared" si="11"/>
        <v>0</v>
      </c>
      <c r="K26" s="140">
        <f t="shared" si="11"/>
        <v>0</v>
      </c>
      <c r="L26" s="140">
        <f t="shared" si="11"/>
        <v>0</v>
      </c>
      <c r="M26" s="140">
        <f t="shared" si="11"/>
        <v>0</v>
      </c>
      <c r="N26" s="205">
        <f>SUM(B26:M26)</f>
        <v>0</v>
      </c>
    </row>
    <row r="27" spans="1:15" x14ac:dyDescent="0.2">
      <c r="A27" s="210" t="s">
        <v>24</v>
      </c>
      <c r="B27" s="211">
        <f>SUM(B25:B26)</f>
        <v>0</v>
      </c>
      <c r="C27" s="211">
        <f t="shared" ref="C27:N27" si="12">SUM(C25:C26)</f>
        <v>0</v>
      </c>
      <c r="D27" s="211">
        <f t="shared" si="12"/>
        <v>0</v>
      </c>
      <c r="E27" s="211">
        <f t="shared" si="12"/>
        <v>0</v>
      </c>
      <c r="F27" s="211">
        <f t="shared" si="12"/>
        <v>0</v>
      </c>
      <c r="G27" s="211">
        <f t="shared" si="12"/>
        <v>0</v>
      </c>
      <c r="H27" s="211">
        <f t="shared" si="12"/>
        <v>0</v>
      </c>
      <c r="I27" s="211">
        <f t="shared" si="12"/>
        <v>0</v>
      </c>
      <c r="J27" s="211">
        <f t="shared" si="12"/>
        <v>0</v>
      </c>
      <c r="K27" s="211">
        <f t="shared" si="12"/>
        <v>0</v>
      </c>
      <c r="L27" s="211">
        <f t="shared" si="12"/>
        <v>0</v>
      </c>
      <c r="M27" s="211">
        <f t="shared" si="12"/>
        <v>0</v>
      </c>
      <c r="N27" s="211">
        <f t="shared" si="12"/>
        <v>0</v>
      </c>
    </row>
    <row r="28" spans="1:15" x14ac:dyDescent="0.2">
      <c r="A28" s="141" t="s">
        <v>124</v>
      </c>
      <c r="B28" s="140">
        <f>-[1]Investissements!$J32</f>
        <v>-58.333333333333336</v>
      </c>
      <c r="C28" s="140">
        <f>-[1]Investissements!$J32</f>
        <v>-58.333333333333336</v>
      </c>
      <c r="D28" s="140">
        <f>-[1]Investissements!$J32</f>
        <v>-58.333333333333336</v>
      </c>
      <c r="E28" s="140">
        <f>-[1]Investissements!$J32</f>
        <v>-58.333333333333336</v>
      </c>
      <c r="F28" s="140">
        <f>-[1]Investissements!$J32</f>
        <v>-58.333333333333336</v>
      </c>
      <c r="G28" s="140">
        <f>-[1]Investissements!$J32</f>
        <v>-58.333333333333336</v>
      </c>
      <c r="H28" s="140">
        <f>-[1]Investissements!$J32</f>
        <v>-58.333333333333336</v>
      </c>
      <c r="I28" s="140">
        <f>-[1]Investissements!$J32</f>
        <v>-58.333333333333336</v>
      </c>
      <c r="J28" s="140">
        <f>-[1]Investissements!$J32</f>
        <v>-58.333333333333336</v>
      </c>
      <c r="K28" s="140">
        <f>-[1]Investissements!$J32</f>
        <v>-58.333333333333336</v>
      </c>
      <c r="L28" s="140">
        <f>-[1]Investissements!$J32</f>
        <v>-58.333333333333336</v>
      </c>
      <c r="M28" s="140">
        <f>-[1]Investissements!$J32</f>
        <v>-58.333333333333336</v>
      </c>
      <c r="N28" s="205">
        <f>SUM(B28:M28)</f>
        <v>-700.00000000000011</v>
      </c>
    </row>
    <row r="29" spans="1:15" x14ac:dyDescent="0.2">
      <c r="A29" s="141" t="s">
        <v>125</v>
      </c>
      <c r="B29" s="140">
        <f>-[1]Emprunts!D22/12</f>
        <v>0</v>
      </c>
      <c r="C29" s="140">
        <f t="shared" ref="C29:M29" si="13">+B29</f>
        <v>0</v>
      </c>
      <c r="D29" s="140">
        <f t="shared" si="13"/>
        <v>0</v>
      </c>
      <c r="E29" s="140">
        <f t="shared" si="13"/>
        <v>0</v>
      </c>
      <c r="F29" s="140">
        <f t="shared" si="13"/>
        <v>0</v>
      </c>
      <c r="G29" s="140">
        <f t="shared" si="13"/>
        <v>0</v>
      </c>
      <c r="H29" s="140">
        <f t="shared" si="13"/>
        <v>0</v>
      </c>
      <c r="I29" s="140">
        <f t="shared" si="13"/>
        <v>0</v>
      </c>
      <c r="J29" s="140">
        <f t="shared" si="13"/>
        <v>0</v>
      </c>
      <c r="K29" s="140">
        <f t="shared" si="13"/>
        <v>0</v>
      </c>
      <c r="L29" s="140">
        <f t="shared" si="13"/>
        <v>0</v>
      </c>
      <c r="M29" s="140">
        <f t="shared" si="13"/>
        <v>0</v>
      </c>
      <c r="N29" s="205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-6956.333333333333</v>
      </c>
      <c r="C30" s="39">
        <f t="shared" ref="C30:M30" si="14">C8+C20+C21+C24+C27+C28+C29</f>
        <v>-356.66666666666669</v>
      </c>
      <c r="D30" s="39">
        <f t="shared" si="14"/>
        <v>-306.66666666666669</v>
      </c>
      <c r="E30" s="39">
        <f t="shared" si="14"/>
        <v>-846.66666666666674</v>
      </c>
      <c r="F30" s="39">
        <f t="shared" si="14"/>
        <v>-356.66666666666669</v>
      </c>
      <c r="G30" s="39">
        <f t="shared" si="14"/>
        <v>-1456.6666666666667</v>
      </c>
      <c r="H30" s="203">
        <f t="shared" si="14"/>
        <v>-356.66666666666669</v>
      </c>
      <c r="I30" s="203">
        <f t="shared" si="14"/>
        <v>9438.3333333333321</v>
      </c>
      <c r="J30" s="203">
        <f t="shared" si="14"/>
        <v>-1361.6666666666667</v>
      </c>
      <c r="K30" s="203">
        <f t="shared" si="14"/>
        <v>9588.3333333333321</v>
      </c>
      <c r="L30" s="203">
        <f t="shared" si="14"/>
        <v>-411.66666666666669</v>
      </c>
      <c r="M30" s="203">
        <f t="shared" si="14"/>
        <v>9438.3333333333321</v>
      </c>
      <c r="N30" s="203">
        <f>SUM(B30:M30)</f>
        <v>16055.33333333333</v>
      </c>
      <c r="O30" s="1"/>
    </row>
    <row r="31" spans="1:15" ht="13.5" thickBot="1" x14ac:dyDescent="0.25">
      <c r="A31" s="6" t="s">
        <v>26</v>
      </c>
      <c r="B31" s="213">
        <f t="shared" ref="B31:M31" si="15">IF(B30&lt;0,0,+B30*0.33)</f>
        <v>0</v>
      </c>
      <c r="C31" s="213">
        <f t="shared" si="15"/>
        <v>0</v>
      </c>
      <c r="D31" s="213">
        <f t="shared" si="15"/>
        <v>0</v>
      </c>
      <c r="E31" s="213">
        <f t="shared" si="15"/>
        <v>0</v>
      </c>
      <c r="F31" s="213">
        <f t="shared" si="15"/>
        <v>0</v>
      </c>
      <c r="G31" s="213">
        <f t="shared" si="15"/>
        <v>0</v>
      </c>
      <c r="H31" s="213">
        <f t="shared" si="15"/>
        <v>0</v>
      </c>
      <c r="I31" s="213">
        <f t="shared" si="15"/>
        <v>3114.6499999999996</v>
      </c>
      <c r="J31" s="213">
        <f t="shared" si="15"/>
        <v>0</v>
      </c>
      <c r="K31" s="213">
        <f t="shared" si="15"/>
        <v>3164.1499999999996</v>
      </c>
      <c r="L31" s="213">
        <f t="shared" si="15"/>
        <v>0</v>
      </c>
      <c r="M31" s="213">
        <f t="shared" si="15"/>
        <v>3114.6499999999996</v>
      </c>
      <c r="N31" s="213">
        <f>IF(N30&lt;0,0,+N30*0.33)</f>
        <v>5298.2599999999993</v>
      </c>
    </row>
    <row r="32" spans="1:15" x14ac:dyDescent="0.2">
      <c r="A32" s="14" t="s">
        <v>8</v>
      </c>
      <c r="B32" s="39">
        <f>+B30+B31</f>
        <v>-6956.333333333333</v>
      </c>
      <c r="C32" s="39">
        <f t="shared" ref="C32:M32" si="16">+C30+C31</f>
        <v>-356.66666666666669</v>
      </c>
      <c r="D32" s="39">
        <f t="shared" si="16"/>
        <v>-306.66666666666669</v>
      </c>
      <c r="E32" s="39">
        <f t="shared" si="16"/>
        <v>-846.66666666666674</v>
      </c>
      <c r="F32" s="39">
        <f t="shared" si="16"/>
        <v>-356.66666666666669</v>
      </c>
      <c r="G32" s="39">
        <f t="shared" si="16"/>
        <v>-1456.6666666666667</v>
      </c>
      <c r="H32" s="204">
        <f t="shared" si="16"/>
        <v>-356.66666666666669</v>
      </c>
      <c r="I32" s="204">
        <f t="shared" si="16"/>
        <v>12552.983333333332</v>
      </c>
      <c r="J32" s="204">
        <f t="shared" si="16"/>
        <v>-1361.6666666666667</v>
      </c>
      <c r="K32" s="204">
        <f t="shared" si="16"/>
        <v>12752.483333333332</v>
      </c>
      <c r="L32" s="204">
        <f t="shared" si="16"/>
        <v>-411.66666666666669</v>
      </c>
      <c r="M32" s="204">
        <f t="shared" si="16"/>
        <v>12552.983333333332</v>
      </c>
      <c r="N32" s="204">
        <f>+N30-N31</f>
        <v>10757.07333333333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4">
        <f>SUM(B39:M39)</f>
        <v>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 t="shared" ref="N42:N48" si="17">SUM(B42:M42)</f>
        <v>0</v>
      </c>
    </row>
    <row r="43" spans="1:14" x14ac:dyDescent="0.2">
      <c r="A43" s="124" t="s">
        <v>155</v>
      </c>
      <c r="B43" s="78">
        <v>0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81">
        <f t="shared" si="17"/>
        <v>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81">
        <f t="shared" si="17"/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>
        <f t="shared" si="17"/>
        <v>0</v>
      </c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>
        <f t="shared" si="17"/>
        <v>0</v>
      </c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>
        <f t="shared" si="17"/>
        <v>0</v>
      </c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>
        <f t="shared" si="17"/>
        <v>0</v>
      </c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78"/>
      <c r="N49" s="127"/>
    </row>
    <row r="50" spans="1:14" ht="13.5" thickBot="1" x14ac:dyDescent="0.25">
      <c r="A50" s="128" t="s">
        <v>141</v>
      </c>
      <c r="B50" s="129">
        <f>SUM(B42:B49)</f>
        <v>0</v>
      </c>
      <c r="C50" s="129">
        <f t="shared" ref="C50:M50" si="18">SUM(C42:C49)</f>
        <v>0</v>
      </c>
      <c r="D50" s="129">
        <f t="shared" si="18"/>
        <v>0</v>
      </c>
      <c r="E50" s="129">
        <f t="shared" si="18"/>
        <v>0</v>
      </c>
      <c r="F50" s="129">
        <f t="shared" si="18"/>
        <v>0</v>
      </c>
      <c r="G50" s="129">
        <f t="shared" si="18"/>
        <v>0</v>
      </c>
      <c r="H50" s="129">
        <f t="shared" si="18"/>
        <v>0</v>
      </c>
      <c r="I50" s="129">
        <f t="shared" si="18"/>
        <v>0</v>
      </c>
      <c r="J50" s="129">
        <f t="shared" si="18"/>
        <v>0</v>
      </c>
      <c r="K50" s="129">
        <f t="shared" si="18"/>
        <v>0</v>
      </c>
      <c r="L50" s="129">
        <f t="shared" si="18"/>
        <v>0</v>
      </c>
      <c r="M50" s="129">
        <f t="shared" si="18"/>
        <v>0</v>
      </c>
      <c r="N50" s="129">
        <f>SUM(N42:N49)</f>
        <v>0</v>
      </c>
    </row>
  </sheetData>
  <phoneticPr fontId="0" type="noConversion"/>
  <pageMargins left="0.59055118110236227" right="0.11811023622047245" top="0.39370078740157483" bottom="0.15748031496062992" header="0.23622047244094491" footer="0.11811023622047245"/>
  <pageSetup paperSize="9" orientation="portrait" horizontalDpi="4294967295" r:id="rId1"/>
  <headerFooter alignWithMargins="0">
    <oddFooter>&amp;RNC, le &amp;D, Page 1/9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H4" sqref="H4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40000</v>
      </c>
      <c r="C4" s="16">
        <v>10000</v>
      </c>
      <c r="D4" s="16">
        <v>30000</v>
      </c>
      <c r="E4" s="16">
        <v>10000</v>
      </c>
      <c r="F4" s="16">
        <v>10000</v>
      </c>
      <c r="G4" s="16">
        <v>10000</v>
      </c>
      <c r="H4" s="16">
        <v>10000</v>
      </c>
      <c r="I4" s="16">
        <v>0</v>
      </c>
      <c r="J4" s="16">
        <v>0</v>
      </c>
      <c r="K4" s="16">
        <v>10000</v>
      </c>
      <c r="L4" s="16">
        <v>20000</v>
      </c>
      <c r="M4" s="16">
        <v>10000</v>
      </c>
      <c r="N4" s="16">
        <f>SUM(B4:M4)</f>
        <v>160000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40000</v>
      </c>
      <c r="C8" s="39">
        <f t="shared" ref="C8:N8" si="0">SUM(C4:C7)</f>
        <v>10000</v>
      </c>
      <c r="D8" s="39">
        <f t="shared" si="0"/>
        <v>30000</v>
      </c>
      <c r="E8" s="39">
        <f t="shared" si="0"/>
        <v>10000</v>
      </c>
      <c r="F8" s="39">
        <f t="shared" si="0"/>
        <v>10000</v>
      </c>
      <c r="G8" s="39">
        <f t="shared" si="0"/>
        <v>10000</v>
      </c>
      <c r="H8" s="39">
        <f t="shared" si="0"/>
        <v>10000</v>
      </c>
      <c r="I8" s="39">
        <f t="shared" si="0"/>
        <v>0</v>
      </c>
      <c r="J8" s="39">
        <f t="shared" si="0"/>
        <v>0</v>
      </c>
      <c r="K8" s="39">
        <f t="shared" si="0"/>
        <v>10000</v>
      </c>
      <c r="L8" s="39">
        <f t="shared" si="0"/>
        <v>20000</v>
      </c>
      <c r="M8" s="39">
        <f t="shared" si="0"/>
        <v>10000</v>
      </c>
      <c r="N8" s="39">
        <f t="shared" si="0"/>
        <v>160000</v>
      </c>
    </row>
    <row r="9" spans="1:14" x14ac:dyDescent="0.2">
      <c r="A9" s="14" t="s">
        <v>74</v>
      </c>
      <c r="B9" s="75">
        <f t="shared" ref="B9:G9" si="1">+B8/B4</f>
        <v>1</v>
      </c>
      <c r="C9" s="75">
        <f t="shared" si="1"/>
        <v>1</v>
      </c>
      <c r="D9" s="75">
        <f t="shared" si="1"/>
        <v>1</v>
      </c>
      <c r="E9" s="75">
        <f t="shared" si="1"/>
        <v>1</v>
      </c>
      <c r="F9" s="75">
        <f t="shared" si="1"/>
        <v>1</v>
      </c>
      <c r="G9" s="75">
        <f t="shared" si="1"/>
        <v>1</v>
      </c>
      <c r="H9" s="75">
        <f t="shared" ref="H9:M9" si="2">+H8/H4</f>
        <v>1</v>
      </c>
      <c r="I9" s="75" t="e">
        <f t="shared" si="2"/>
        <v>#DIV/0!</v>
      </c>
      <c r="J9" s="75" t="e">
        <f t="shared" si="2"/>
        <v>#DIV/0!</v>
      </c>
      <c r="K9" s="75">
        <f t="shared" si="2"/>
        <v>1</v>
      </c>
      <c r="L9" s="75">
        <f t="shared" si="2"/>
        <v>1</v>
      </c>
      <c r="M9" s="75">
        <f t="shared" si="2"/>
        <v>1</v>
      </c>
      <c r="N9" s="75">
        <f>+N8/N4</f>
        <v>1</v>
      </c>
    </row>
    <row r="10" spans="1:14" x14ac:dyDescent="0.2">
      <c r="A10" s="17" t="s">
        <v>116</v>
      </c>
      <c r="B10" s="18">
        <f>-6000/12</f>
        <v>-500</v>
      </c>
      <c r="C10" s="18">
        <f t="shared" ref="C10:M10" si="3">-6000/12</f>
        <v>-500</v>
      </c>
      <c r="D10" s="18">
        <f t="shared" si="3"/>
        <v>-500</v>
      </c>
      <c r="E10" s="18">
        <f t="shared" si="3"/>
        <v>-500</v>
      </c>
      <c r="F10" s="18">
        <f t="shared" si="3"/>
        <v>-500</v>
      </c>
      <c r="G10" s="18">
        <f t="shared" si="3"/>
        <v>-500</v>
      </c>
      <c r="H10" s="18">
        <f t="shared" si="3"/>
        <v>-500</v>
      </c>
      <c r="I10" s="18">
        <f t="shared" si="3"/>
        <v>-500</v>
      </c>
      <c r="J10" s="18">
        <f t="shared" si="3"/>
        <v>-500</v>
      </c>
      <c r="K10" s="18">
        <f t="shared" si="3"/>
        <v>-500</v>
      </c>
      <c r="L10" s="18">
        <f t="shared" si="3"/>
        <v>-500</v>
      </c>
      <c r="M10" s="18">
        <f t="shared" si="3"/>
        <v>-500</v>
      </c>
      <c r="N10" s="16">
        <f>SUM(B10:M10)</f>
        <v>-6000</v>
      </c>
    </row>
    <row r="11" spans="1:14" x14ac:dyDescent="0.2">
      <c r="A11" s="141" t="s">
        <v>162</v>
      </c>
      <c r="B11" s="18">
        <v>-6000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6">
        <f>SUM(B11:M11)</f>
        <v>-6000</v>
      </c>
    </row>
    <row r="12" spans="1:14" x14ac:dyDescent="0.2">
      <c r="A12" s="17" t="s">
        <v>117</v>
      </c>
      <c r="B12" s="18">
        <v>-50</v>
      </c>
      <c r="C12" s="18">
        <v>0</v>
      </c>
      <c r="D12" s="18">
        <v>0</v>
      </c>
      <c r="E12" s="18">
        <v>-50</v>
      </c>
      <c r="F12" s="18">
        <v>0</v>
      </c>
      <c r="G12" s="18">
        <v>0</v>
      </c>
      <c r="H12" s="18">
        <v>-50</v>
      </c>
      <c r="I12" s="18">
        <v>0</v>
      </c>
      <c r="J12" s="18">
        <v>0</v>
      </c>
      <c r="K12" s="18">
        <v>-50</v>
      </c>
      <c r="L12" s="18">
        <v>0</v>
      </c>
      <c r="M12" s="18">
        <v>0</v>
      </c>
      <c r="N12" s="16">
        <f t="shared" ref="N12:N19" si="4">SUM(B12:M12)</f>
        <v>-200</v>
      </c>
    </row>
    <row r="13" spans="1:14" x14ac:dyDescent="0.2">
      <c r="A13" s="133" t="str">
        <f>+'CR ANNEE 1'!A13</f>
        <v>Fournitures et consommables (-)</v>
      </c>
      <c r="B13" s="18">
        <v>-150</v>
      </c>
      <c r="C13" s="18">
        <v>0</v>
      </c>
      <c r="D13" s="18">
        <v>0</v>
      </c>
      <c r="E13" s="18">
        <v>0</v>
      </c>
      <c r="F13" s="18">
        <v>-50</v>
      </c>
      <c r="G13" s="18">
        <v>0</v>
      </c>
      <c r="H13" s="18">
        <v>0</v>
      </c>
      <c r="I13" s="18">
        <v>-50</v>
      </c>
      <c r="J13" s="18">
        <v>0</v>
      </c>
      <c r="K13" s="18">
        <v>0</v>
      </c>
      <c r="L13" s="18">
        <v>-50</v>
      </c>
      <c r="M13" s="18">
        <v>0</v>
      </c>
      <c r="N13" s="16">
        <f t="shared" si="4"/>
        <v>-300</v>
      </c>
    </row>
    <row r="14" spans="1:14" x14ac:dyDescent="0.2">
      <c r="A14" s="133" t="str">
        <f>+'CR ANNEE 1'!A14</f>
        <v>Electricité (-) **</v>
      </c>
      <c r="B14" s="18">
        <v>-30</v>
      </c>
      <c r="C14" s="18">
        <v>-30</v>
      </c>
      <c r="D14" s="18">
        <v>-30</v>
      </c>
      <c r="E14" s="18">
        <v>-30</v>
      </c>
      <c r="F14" s="18">
        <v>-30</v>
      </c>
      <c r="G14" s="18">
        <v>-30</v>
      </c>
      <c r="H14" s="18">
        <v>-30</v>
      </c>
      <c r="I14" s="18">
        <v>-30</v>
      </c>
      <c r="J14" s="18">
        <v>-30</v>
      </c>
      <c r="K14" s="18">
        <v>-30</v>
      </c>
      <c r="L14" s="18">
        <v>-30</v>
      </c>
      <c r="M14" s="18">
        <v>-30</v>
      </c>
      <c r="N14" s="16">
        <f t="shared" si="4"/>
        <v>-360</v>
      </c>
    </row>
    <row r="15" spans="1:14" x14ac:dyDescent="0.2">
      <c r="A15" s="133" t="str">
        <f>+'CR ANNEE 1'!A15</f>
        <v>Intérim (-)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6">
        <f t="shared" si="4"/>
        <v>0</v>
      </c>
    </row>
    <row r="16" spans="1:14" x14ac:dyDescent="0.2">
      <c r="A16" s="17" t="s">
        <v>118</v>
      </c>
      <c r="B16" s="140">
        <v>-708</v>
      </c>
      <c r="C16" s="140">
        <f>-2500/12</f>
        <v>-208.33333333333334</v>
      </c>
      <c r="D16" s="140">
        <f t="shared" ref="D16:M16" si="5">-2500/12</f>
        <v>-208.33333333333334</v>
      </c>
      <c r="E16" s="140">
        <f t="shared" si="5"/>
        <v>-208.33333333333334</v>
      </c>
      <c r="F16" s="140">
        <f t="shared" si="5"/>
        <v>-208.33333333333334</v>
      </c>
      <c r="G16" s="140">
        <f t="shared" si="5"/>
        <v>-208.33333333333334</v>
      </c>
      <c r="H16" s="140">
        <f t="shared" si="5"/>
        <v>-208.33333333333334</v>
      </c>
      <c r="I16" s="140">
        <f t="shared" si="5"/>
        <v>-208.33333333333334</v>
      </c>
      <c r="J16" s="140">
        <f t="shared" si="5"/>
        <v>-208.33333333333334</v>
      </c>
      <c r="K16" s="140">
        <f t="shared" si="5"/>
        <v>-208.33333333333334</v>
      </c>
      <c r="L16" s="140">
        <f t="shared" si="5"/>
        <v>-208.33333333333334</v>
      </c>
      <c r="M16" s="140">
        <f t="shared" si="5"/>
        <v>-208.33333333333334</v>
      </c>
      <c r="N16" s="16">
        <f t="shared" si="4"/>
        <v>-2999.666666666667</v>
      </c>
    </row>
    <row r="17" spans="1:15" x14ac:dyDescent="0.2">
      <c r="A17" s="17" t="s">
        <v>119</v>
      </c>
      <c r="B17" s="18">
        <v>-40</v>
      </c>
      <c r="C17" s="18">
        <v>-40</v>
      </c>
      <c r="D17" s="18">
        <v>-40</v>
      </c>
      <c r="E17" s="18">
        <v>-40</v>
      </c>
      <c r="F17" s="18">
        <v>-40</v>
      </c>
      <c r="G17" s="18">
        <v>-40</v>
      </c>
      <c r="H17" s="18">
        <v>-40</v>
      </c>
      <c r="I17" s="18">
        <v>-40</v>
      </c>
      <c r="J17" s="18">
        <v>-40</v>
      </c>
      <c r="K17" s="18">
        <v>-40</v>
      </c>
      <c r="L17" s="18">
        <v>-40</v>
      </c>
      <c r="M17" s="18">
        <v>-40</v>
      </c>
      <c r="N17" s="16">
        <f t="shared" si="4"/>
        <v>-480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4"/>
        <v>-1200</v>
      </c>
    </row>
    <row r="19" spans="1:15" x14ac:dyDescent="0.2">
      <c r="A19" s="17" t="s">
        <v>121</v>
      </c>
      <c r="B19" s="140">
        <v>-4000</v>
      </c>
      <c r="C19" s="140">
        <v>-1200</v>
      </c>
      <c r="D19" s="140">
        <v>0</v>
      </c>
      <c r="E19" s="140">
        <v>-500</v>
      </c>
      <c r="F19" s="140">
        <v>-200</v>
      </c>
      <c r="G19" s="140">
        <v>0</v>
      </c>
      <c r="H19" s="140">
        <v>0</v>
      </c>
      <c r="I19" s="140">
        <v>-700</v>
      </c>
      <c r="J19" s="140">
        <v>0</v>
      </c>
      <c r="K19" s="140">
        <v>-2000</v>
      </c>
      <c r="L19" s="140">
        <v>0</v>
      </c>
      <c r="M19" s="140">
        <v>0</v>
      </c>
      <c r="N19" s="16">
        <f t="shared" si="4"/>
        <v>-8600</v>
      </c>
    </row>
    <row r="20" spans="1:15" x14ac:dyDescent="0.2">
      <c r="A20" s="103" t="s">
        <v>23</v>
      </c>
      <c r="B20" s="104">
        <f>SUM(B10:B19)</f>
        <v>-11578</v>
      </c>
      <c r="C20" s="104">
        <f t="shared" ref="C20:M20" si="6">SUM(C10:C19)</f>
        <v>-2078.3333333333335</v>
      </c>
      <c r="D20" s="104">
        <f t="shared" si="6"/>
        <v>-878.33333333333337</v>
      </c>
      <c r="E20" s="104">
        <f t="shared" si="6"/>
        <v>-1428.3333333333335</v>
      </c>
      <c r="F20" s="104">
        <f t="shared" si="6"/>
        <v>-1128.3333333333335</v>
      </c>
      <c r="G20" s="104">
        <f t="shared" si="6"/>
        <v>-878.33333333333337</v>
      </c>
      <c r="H20" s="104">
        <f t="shared" si="6"/>
        <v>-928.33333333333337</v>
      </c>
      <c r="I20" s="104">
        <f t="shared" si="6"/>
        <v>-1628.3333333333335</v>
      </c>
      <c r="J20" s="104">
        <f t="shared" si="6"/>
        <v>-878.33333333333337</v>
      </c>
      <c r="K20" s="104">
        <f t="shared" si="6"/>
        <v>-2928.3333333333335</v>
      </c>
      <c r="L20" s="104">
        <f t="shared" si="6"/>
        <v>-928.33333333333337</v>
      </c>
      <c r="M20" s="104">
        <f t="shared" si="6"/>
        <v>-878.33333333333337</v>
      </c>
      <c r="N20" s="106">
        <f>SUM(B20:M20)</f>
        <v>-26139.666666666661</v>
      </c>
    </row>
    <row r="21" spans="1:15" x14ac:dyDescent="0.2">
      <c r="A21" s="103" t="s">
        <v>106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>
        <f>SUM(B21:M21)</f>
        <v>0</v>
      </c>
    </row>
    <row r="22" spans="1:15" x14ac:dyDescent="0.2">
      <c r="A22" s="17" t="s">
        <v>122</v>
      </c>
      <c r="B22" s="18">
        <f>-B39</f>
        <v>3333.3333333333335</v>
      </c>
      <c r="C22" s="18">
        <f>-C39</f>
        <v>3333.3333333333335</v>
      </c>
      <c r="D22" s="18">
        <f t="shared" ref="D22:M22" si="7">-D39</f>
        <v>3333.3333333333335</v>
      </c>
      <c r="E22" s="18">
        <f t="shared" si="7"/>
        <v>3333.3333333333335</v>
      </c>
      <c r="F22" s="18">
        <f t="shared" si="7"/>
        <v>3333.3333333333335</v>
      </c>
      <c r="G22" s="18">
        <f t="shared" si="7"/>
        <v>3333.3333333333335</v>
      </c>
      <c r="H22" s="18">
        <f t="shared" si="7"/>
        <v>3333.3333333333335</v>
      </c>
      <c r="I22" s="18">
        <f t="shared" si="7"/>
        <v>3333.3333333333335</v>
      </c>
      <c r="J22" s="18">
        <f t="shared" si="7"/>
        <v>3333.3333333333335</v>
      </c>
      <c r="K22" s="18">
        <f t="shared" si="7"/>
        <v>3333.3333333333335</v>
      </c>
      <c r="L22" s="18">
        <f t="shared" si="7"/>
        <v>3333.3333333333335</v>
      </c>
      <c r="M22" s="18">
        <f t="shared" si="7"/>
        <v>3333.3333333333335</v>
      </c>
      <c r="N22" s="16">
        <f>SUM(B22:M22)</f>
        <v>40000</v>
      </c>
    </row>
    <row r="23" spans="1:15" x14ac:dyDescent="0.2">
      <c r="A23" s="17" t="s">
        <v>142</v>
      </c>
      <c r="B23" s="18">
        <f>+B22*0.35</f>
        <v>1166.6666666666667</v>
      </c>
      <c r="C23" s="18">
        <f t="shared" ref="C23:N23" si="8">+C22*0.35</f>
        <v>1166.6666666666667</v>
      </c>
      <c r="D23" s="18">
        <f t="shared" si="8"/>
        <v>1166.6666666666667</v>
      </c>
      <c r="E23" s="18">
        <f t="shared" si="8"/>
        <v>1166.6666666666667</v>
      </c>
      <c r="F23" s="18">
        <f t="shared" si="8"/>
        <v>1166.6666666666667</v>
      </c>
      <c r="G23" s="18">
        <f t="shared" si="8"/>
        <v>1166.6666666666667</v>
      </c>
      <c r="H23" s="18">
        <f t="shared" si="8"/>
        <v>1166.6666666666667</v>
      </c>
      <c r="I23" s="18">
        <f t="shared" si="8"/>
        <v>1166.6666666666667</v>
      </c>
      <c r="J23" s="18">
        <f t="shared" si="8"/>
        <v>1166.6666666666667</v>
      </c>
      <c r="K23" s="18">
        <f t="shared" si="8"/>
        <v>1166.6666666666667</v>
      </c>
      <c r="L23" s="18">
        <f t="shared" si="8"/>
        <v>1166.6666666666667</v>
      </c>
      <c r="M23" s="18">
        <f t="shared" si="8"/>
        <v>1166.6666666666667</v>
      </c>
      <c r="N23" s="18">
        <f t="shared" si="8"/>
        <v>14000</v>
      </c>
    </row>
    <row r="24" spans="1:15" x14ac:dyDescent="0.2">
      <c r="A24" s="103" t="s">
        <v>105</v>
      </c>
      <c r="B24" s="104">
        <f>SUM(B22:B23)</f>
        <v>4500</v>
      </c>
      <c r="C24" s="104">
        <f t="shared" ref="C24:N24" si="9">SUM(C22:C23)</f>
        <v>4500</v>
      </c>
      <c r="D24" s="104">
        <f t="shared" si="9"/>
        <v>4500</v>
      </c>
      <c r="E24" s="104">
        <f t="shared" si="9"/>
        <v>4500</v>
      </c>
      <c r="F24" s="104">
        <f t="shared" si="9"/>
        <v>4500</v>
      </c>
      <c r="G24" s="104">
        <f t="shared" si="9"/>
        <v>4500</v>
      </c>
      <c r="H24" s="104">
        <f t="shared" si="9"/>
        <v>4500</v>
      </c>
      <c r="I24" s="104">
        <f t="shared" si="9"/>
        <v>4500</v>
      </c>
      <c r="J24" s="104">
        <f t="shared" si="9"/>
        <v>4500</v>
      </c>
      <c r="K24" s="104">
        <f t="shared" si="9"/>
        <v>4500</v>
      </c>
      <c r="L24" s="104">
        <f t="shared" si="9"/>
        <v>4500</v>
      </c>
      <c r="M24" s="104">
        <f t="shared" si="9"/>
        <v>4500</v>
      </c>
      <c r="N24" s="104">
        <f t="shared" si="9"/>
        <v>54000</v>
      </c>
    </row>
    <row r="25" spans="1:15" x14ac:dyDescent="0.2">
      <c r="A25" s="17" t="s">
        <v>123</v>
      </c>
      <c r="B25" s="18">
        <f>B50</f>
        <v>-10000</v>
      </c>
      <c r="C25" s="18">
        <f t="shared" ref="C25:M25" si="10">C50</f>
        <v>-10000</v>
      </c>
      <c r="D25" s="18">
        <f t="shared" si="10"/>
        <v>-10000</v>
      </c>
      <c r="E25" s="18">
        <f t="shared" si="10"/>
        <v>-10000</v>
      </c>
      <c r="F25" s="18">
        <f t="shared" si="10"/>
        <v>-10000</v>
      </c>
      <c r="G25" s="18">
        <f t="shared" si="10"/>
        <v>-10000</v>
      </c>
      <c r="H25" s="18">
        <f t="shared" si="10"/>
        <v>-10000</v>
      </c>
      <c r="I25" s="18">
        <f t="shared" si="10"/>
        <v>-10000</v>
      </c>
      <c r="J25" s="18">
        <f t="shared" si="10"/>
        <v>-10000</v>
      </c>
      <c r="K25" s="18">
        <f t="shared" si="10"/>
        <v>-10000</v>
      </c>
      <c r="L25" s="18">
        <f t="shared" si="10"/>
        <v>-10000</v>
      </c>
      <c r="M25" s="18">
        <f t="shared" si="10"/>
        <v>-10000</v>
      </c>
      <c r="N25" s="16">
        <f>SUM(B25:M25)</f>
        <v>-120000</v>
      </c>
    </row>
    <row r="26" spans="1:15" x14ac:dyDescent="0.2">
      <c r="A26" s="17" t="s">
        <v>143</v>
      </c>
      <c r="B26" s="18">
        <f>+B25*0.45</f>
        <v>-4500</v>
      </c>
      <c r="C26" s="18">
        <f t="shared" ref="C26:N26" si="11">+C25*0.45</f>
        <v>-4500</v>
      </c>
      <c r="D26" s="18">
        <f t="shared" si="11"/>
        <v>-4500</v>
      </c>
      <c r="E26" s="18">
        <f t="shared" si="11"/>
        <v>-4500</v>
      </c>
      <c r="F26" s="18">
        <f t="shared" si="11"/>
        <v>-4500</v>
      </c>
      <c r="G26" s="18">
        <f t="shared" si="11"/>
        <v>-4500</v>
      </c>
      <c r="H26" s="18">
        <f t="shared" si="11"/>
        <v>-4500</v>
      </c>
      <c r="I26" s="18">
        <f t="shared" si="11"/>
        <v>-4500</v>
      </c>
      <c r="J26" s="18">
        <f t="shared" si="11"/>
        <v>-4500</v>
      </c>
      <c r="K26" s="18">
        <f t="shared" si="11"/>
        <v>-4500</v>
      </c>
      <c r="L26" s="18">
        <f t="shared" si="11"/>
        <v>-4500</v>
      </c>
      <c r="M26" s="18">
        <f t="shared" si="11"/>
        <v>-4500</v>
      </c>
      <c r="N26" s="18">
        <f t="shared" si="11"/>
        <v>-54000</v>
      </c>
    </row>
    <row r="27" spans="1:15" x14ac:dyDescent="0.2">
      <c r="A27" s="103" t="s">
        <v>24</v>
      </c>
      <c r="B27" s="104">
        <f>SUM(B25:B26)</f>
        <v>-14500</v>
      </c>
      <c r="C27" s="104">
        <f t="shared" ref="C27:N27" si="12">SUM(C25:C26)</f>
        <v>-14500</v>
      </c>
      <c r="D27" s="104">
        <f t="shared" si="12"/>
        <v>-14500</v>
      </c>
      <c r="E27" s="104">
        <f t="shared" si="12"/>
        <v>-14500</v>
      </c>
      <c r="F27" s="104">
        <f t="shared" si="12"/>
        <v>-14500</v>
      </c>
      <c r="G27" s="104">
        <f t="shared" si="12"/>
        <v>-14500</v>
      </c>
      <c r="H27" s="104">
        <f t="shared" si="12"/>
        <v>-14500</v>
      </c>
      <c r="I27" s="104">
        <f t="shared" si="12"/>
        <v>-14500</v>
      </c>
      <c r="J27" s="104">
        <f t="shared" si="12"/>
        <v>-14500</v>
      </c>
      <c r="K27" s="104">
        <f t="shared" si="12"/>
        <v>-14500</v>
      </c>
      <c r="L27" s="104">
        <f t="shared" si="12"/>
        <v>-14500</v>
      </c>
      <c r="M27" s="104">
        <f t="shared" si="12"/>
        <v>-14500</v>
      </c>
      <c r="N27" s="104">
        <f t="shared" si="12"/>
        <v>-174000</v>
      </c>
    </row>
    <row r="28" spans="1:15" x14ac:dyDescent="0.2">
      <c r="A28" s="17" t="s">
        <v>124</v>
      </c>
      <c r="B28" s="18">
        <f>-Investissements!$K32-Investissements!$K79</f>
        <v>-236.9047619047619</v>
      </c>
      <c r="C28" s="18">
        <f>-Investissements!$K32-Investissements!$K79</f>
        <v>-236.9047619047619</v>
      </c>
      <c r="D28" s="18">
        <f>-Investissements!$K32-Investissements!$K79</f>
        <v>-236.9047619047619</v>
      </c>
      <c r="E28" s="18">
        <f>-Investissements!$K32-Investissements!$K79</f>
        <v>-236.9047619047619</v>
      </c>
      <c r="F28" s="18">
        <f>-Investissements!$K32-Investissements!$K79</f>
        <v>-236.9047619047619</v>
      </c>
      <c r="G28" s="18">
        <f>-Investissements!$K32-Investissements!$K79</f>
        <v>-236.9047619047619</v>
      </c>
      <c r="H28" s="18">
        <f>-Investissements!$K32-Investissements!$K79</f>
        <v>-236.9047619047619</v>
      </c>
      <c r="I28" s="18">
        <f>-Investissements!$K32-Investissements!$K79</f>
        <v>-236.9047619047619</v>
      </c>
      <c r="J28" s="18">
        <f>-Investissements!$K32-Investissements!$K79</f>
        <v>-236.9047619047619</v>
      </c>
      <c r="K28" s="18">
        <f>-Investissements!$K32-Investissements!$K79</f>
        <v>-236.9047619047619</v>
      </c>
      <c r="L28" s="18">
        <f>-Investissements!$K32-Investissements!$K79</f>
        <v>-236.9047619047619</v>
      </c>
      <c r="M28" s="18">
        <f>-Investissements!$K32-Investissements!$K79</f>
        <v>-236.9047619047619</v>
      </c>
      <c r="N28" s="16">
        <f>SUM(B28:M28)</f>
        <v>-2842.8571428571427</v>
      </c>
    </row>
    <row r="29" spans="1:15" x14ac:dyDescent="0.2">
      <c r="A29" s="17" t="s">
        <v>125</v>
      </c>
      <c r="B29" s="18">
        <f>-Emprunts!D23/12</f>
        <v>0</v>
      </c>
      <c r="C29" s="18">
        <f t="shared" ref="C29:M29" si="13">+B29</f>
        <v>0</v>
      </c>
      <c r="D29" s="18">
        <f t="shared" si="13"/>
        <v>0</v>
      </c>
      <c r="E29" s="18">
        <f t="shared" si="13"/>
        <v>0</v>
      </c>
      <c r="F29" s="18">
        <f t="shared" si="13"/>
        <v>0</v>
      </c>
      <c r="G29" s="18">
        <f t="shared" si="13"/>
        <v>0</v>
      </c>
      <c r="H29" s="18">
        <f t="shared" si="13"/>
        <v>0</v>
      </c>
      <c r="I29" s="18">
        <f t="shared" si="13"/>
        <v>0</v>
      </c>
      <c r="J29" s="18">
        <f t="shared" si="13"/>
        <v>0</v>
      </c>
      <c r="K29" s="18">
        <f t="shared" si="13"/>
        <v>0</v>
      </c>
      <c r="L29" s="18">
        <f t="shared" si="13"/>
        <v>0</v>
      </c>
      <c r="M29" s="18">
        <f t="shared" si="13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18185.095238095237</v>
      </c>
      <c r="C30" s="39">
        <f t="shared" ref="C30:N30" si="14">C8+C20+C21+C24+C27+C28+C29</f>
        <v>-2315.2380952380959</v>
      </c>
      <c r="D30" s="39">
        <f t="shared" si="14"/>
        <v>18884.761904761908</v>
      </c>
      <c r="E30" s="39">
        <f t="shared" si="14"/>
        <v>-1665.2380952380959</v>
      </c>
      <c r="F30" s="39">
        <f t="shared" si="14"/>
        <v>-1365.2380952380959</v>
      </c>
      <c r="G30" s="39">
        <f t="shared" si="14"/>
        <v>-1115.2380952380959</v>
      </c>
      <c r="H30" s="39">
        <f t="shared" si="14"/>
        <v>-1165.2380952380959</v>
      </c>
      <c r="I30" s="39">
        <f t="shared" si="14"/>
        <v>-11865.238095238095</v>
      </c>
      <c r="J30" s="39">
        <f t="shared" si="14"/>
        <v>-11115.238095238095</v>
      </c>
      <c r="K30" s="39">
        <f t="shared" si="14"/>
        <v>-3165.2380952380959</v>
      </c>
      <c r="L30" s="39">
        <f t="shared" si="14"/>
        <v>8834.7619047619064</v>
      </c>
      <c r="M30" s="39">
        <f t="shared" si="14"/>
        <v>-1115.2380952380959</v>
      </c>
      <c r="N30" s="39">
        <f t="shared" si="14"/>
        <v>11017.4761904762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3635.7671428571462</v>
      </c>
    </row>
    <row r="32" spans="1:15" x14ac:dyDescent="0.2">
      <c r="A32" s="14" t="s">
        <v>8</v>
      </c>
      <c r="B32" s="39">
        <f>+B30+B31</f>
        <v>18185.095238095237</v>
      </c>
      <c r="C32" s="39">
        <f t="shared" ref="C32:M32" si="15">+C30+C31</f>
        <v>-2315.2380952380959</v>
      </c>
      <c r="D32" s="39">
        <f t="shared" si="15"/>
        <v>18884.761904761908</v>
      </c>
      <c r="E32" s="39">
        <f t="shared" si="15"/>
        <v>-1665.2380952380959</v>
      </c>
      <c r="F32" s="39">
        <f t="shared" si="15"/>
        <v>-1365.2380952380959</v>
      </c>
      <c r="G32" s="39">
        <f t="shared" si="15"/>
        <v>-1115.2380952380959</v>
      </c>
      <c r="H32" s="39">
        <f t="shared" si="15"/>
        <v>-1165.2380952380959</v>
      </c>
      <c r="I32" s="39">
        <f t="shared" si="15"/>
        <v>-11865.238095238095</v>
      </c>
      <c r="J32" s="39">
        <f t="shared" si="15"/>
        <v>-11115.238095238095</v>
      </c>
      <c r="K32" s="39">
        <f t="shared" si="15"/>
        <v>-3165.2380952380959</v>
      </c>
      <c r="L32" s="39">
        <f t="shared" si="15"/>
        <v>8834.7619047619064</v>
      </c>
      <c r="M32" s="39">
        <f t="shared" si="15"/>
        <v>-1115.2380952380959</v>
      </c>
      <c r="N32" s="39">
        <f>+N30-N31</f>
        <v>7381.7090476190533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217">
        <f>-40000/12</f>
        <v>-3333.3333333333335</v>
      </c>
      <c r="C39" s="217">
        <f t="shared" ref="C39:M39" si="16">-40000/12</f>
        <v>-3333.3333333333335</v>
      </c>
      <c r="D39" s="217">
        <f t="shared" si="16"/>
        <v>-3333.3333333333335</v>
      </c>
      <c r="E39" s="217">
        <f t="shared" si="16"/>
        <v>-3333.3333333333335</v>
      </c>
      <c r="F39" s="217">
        <f t="shared" si="16"/>
        <v>-3333.3333333333335</v>
      </c>
      <c r="G39" s="217">
        <f t="shared" si="16"/>
        <v>-3333.3333333333335</v>
      </c>
      <c r="H39" s="217">
        <f t="shared" si="16"/>
        <v>-3333.3333333333335</v>
      </c>
      <c r="I39" s="217">
        <f t="shared" si="16"/>
        <v>-3333.3333333333335</v>
      </c>
      <c r="J39" s="217">
        <f t="shared" si="16"/>
        <v>-3333.3333333333335</v>
      </c>
      <c r="K39" s="217">
        <f t="shared" si="16"/>
        <v>-3333.3333333333335</v>
      </c>
      <c r="L39" s="217">
        <f t="shared" si="16"/>
        <v>-3333.3333333333335</v>
      </c>
      <c r="M39" s="217">
        <f t="shared" si="16"/>
        <v>-3333.3333333333335</v>
      </c>
      <c r="N39" s="84">
        <f>40000</f>
        <v>40000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78">
        <v>-10000</v>
      </c>
      <c r="C43" s="78">
        <v>-10000</v>
      </c>
      <c r="D43" s="78">
        <v>-10000</v>
      </c>
      <c r="E43" s="78">
        <v>-10000</v>
      </c>
      <c r="F43" s="78">
        <v>-10000</v>
      </c>
      <c r="G43" s="78">
        <v>-10000</v>
      </c>
      <c r="H43" s="78">
        <v>-10000</v>
      </c>
      <c r="I43" s="78">
        <v>-10000</v>
      </c>
      <c r="J43" s="78">
        <v>-10000</v>
      </c>
      <c r="K43" s="78">
        <v>-10000</v>
      </c>
      <c r="L43" s="78">
        <v>-10000</v>
      </c>
      <c r="M43" s="78">
        <v>-10000</v>
      </c>
      <c r="N43" s="81">
        <f>SUM(B43:M43)</f>
        <v>-120000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7">SUM(C42:C49)</f>
        <v>-10000</v>
      </c>
      <c r="D50" s="129">
        <f t="shared" si="17"/>
        <v>-10000</v>
      </c>
      <c r="E50" s="129">
        <f t="shared" si="17"/>
        <v>-10000</v>
      </c>
      <c r="F50" s="129">
        <f t="shared" si="17"/>
        <v>-10000</v>
      </c>
      <c r="G50" s="129">
        <f t="shared" si="17"/>
        <v>-10000</v>
      </c>
      <c r="H50" s="129">
        <f t="shared" si="17"/>
        <v>-10000</v>
      </c>
      <c r="I50" s="129">
        <f t="shared" si="17"/>
        <v>-10000</v>
      </c>
      <c r="J50" s="129">
        <f t="shared" si="17"/>
        <v>-10000</v>
      </c>
      <c r="K50" s="129">
        <f t="shared" si="17"/>
        <v>-10000</v>
      </c>
      <c r="L50" s="129">
        <f t="shared" si="17"/>
        <v>-10000</v>
      </c>
      <c r="M50" s="129">
        <f t="shared" si="17"/>
        <v>-10000</v>
      </c>
      <c r="N50" s="129">
        <f t="shared" si="17"/>
        <v>-120000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C4" sqref="C4:M4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140000</v>
      </c>
      <c r="C4" s="16">
        <f>140000/11</f>
        <v>12727.272727272728</v>
      </c>
      <c r="D4" s="16">
        <f t="shared" ref="D4:M4" si="0">140000/11</f>
        <v>12727.272727272728</v>
      </c>
      <c r="E4" s="16">
        <f t="shared" si="0"/>
        <v>12727.272727272728</v>
      </c>
      <c r="F4" s="16">
        <f t="shared" si="0"/>
        <v>12727.272727272728</v>
      </c>
      <c r="G4" s="16">
        <f t="shared" si="0"/>
        <v>12727.272727272728</v>
      </c>
      <c r="H4" s="16">
        <f t="shared" si="0"/>
        <v>12727.272727272728</v>
      </c>
      <c r="I4" s="16">
        <f t="shared" si="0"/>
        <v>12727.272727272728</v>
      </c>
      <c r="J4" s="16">
        <f t="shared" si="0"/>
        <v>12727.272727272728</v>
      </c>
      <c r="K4" s="16">
        <f t="shared" si="0"/>
        <v>12727.272727272728</v>
      </c>
      <c r="L4" s="16">
        <f t="shared" si="0"/>
        <v>12727.272727272728</v>
      </c>
      <c r="M4" s="16">
        <f t="shared" si="0"/>
        <v>12727.272727272728</v>
      </c>
      <c r="N4" s="16">
        <f>SUM(B4:M4)</f>
        <v>280000.00000000006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140000</v>
      </c>
      <c r="C8" s="39">
        <f t="shared" ref="C8:N8" si="1">SUM(C4:C7)</f>
        <v>12727.272727272728</v>
      </c>
      <c r="D8" s="39">
        <f t="shared" si="1"/>
        <v>12727.272727272728</v>
      </c>
      <c r="E8" s="39">
        <f t="shared" si="1"/>
        <v>12727.272727272728</v>
      </c>
      <c r="F8" s="39">
        <f t="shared" si="1"/>
        <v>12727.272727272728</v>
      </c>
      <c r="G8" s="39">
        <f t="shared" si="1"/>
        <v>12727.272727272728</v>
      </c>
      <c r="H8" s="39">
        <f t="shared" si="1"/>
        <v>12727.272727272728</v>
      </c>
      <c r="I8" s="39">
        <f t="shared" si="1"/>
        <v>12727.272727272728</v>
      </c>
      <c r="J8" s="39">
        <f t="shared" si="1"/>
        <v>12727.272727272728</v>
      </c>
      <c r="K8" s="39">
        <f t="shared" si="1"/>
        <v>12727.272727272728</v>
      </c>
      <c r="L8" s="39">
        <f t="shared" si="1"/>
        <v>12727.272727272728</v>
      </c>
      <c r="M8" s="39">
        <f t="shared" si="1"/>
        <v>12727.272727272728</v>
      </c>
      <c r="N8" s="39">
        <f t="shared" si="1"/>
        <v>280000.00000000006</v>
      </c>
    </row>
    <row r="9" spans="1:14" x14ac:dyDescent="0.2">
      <c r="A9" s="14" t="s">
        <v>74</v>
      </c>
      <c r="B9" s="75">
        <f t="shared" ref="B9:G9" si="2">+B8/B4</f>
        <v>1</v>
      </c>
      <c r="C9" s="75">
        <f t="shared" si="2"/>
        <v>1</v>
      </c>
      <c r="D9" s="75">
        <f t="shared" si="2"/>
        <v>1</v>
      </c>
      <c r="E9" s="75">
        <f t="shared" si="2"/>
        <v>1</v>
      </c>
      <c r="F9" s="75">
        <f t="shared" si="2"/>
        <v>1</v>
      </c>
      <c r="G9" s="75">
        <f t="shared" si="2"/>
        <v>1</v>
      </c>
      <c r="H9" s="75">
        <f t="shared" ref="H9:M9" si="3">+H8/H4</f>
        <v>1</v>
      </c>
      <c r="I9" s="75">
        <f t="shared" si="3"/>
        <v>1</v>
      </c>
      <c r="J9" s="75">
        <f t="shared" si="3"/>
        <v>1</v>
      </c>
      <c r="K9" s="75">
        <f t="shared" si="3"/>
        <v>1</v>
      </c>
      <c r="L9" s="75">
        <f t="shared" si="3"/>
        <v>1</v>
      </c>
      <c r="M9" s="75">
        <f t="shared" si="3"/>
        <v>1</v>
      </c>
      <c r="N9" s="75">
        <f>+N8/N4</f>
        <v>1</v>
      </c>
    </row>
    <row r="10" spans="1:14" x14ac:dyDescent="0.2">
      <c r="A10" s="17" t="s">
        <v>116</v>
      </c>
      <c r="B10" s="140">
        <v>-500</v>
      </c>
      <c r="C10" s="140">
        <v>-500</v>
      </c>
      <c r="D10" s="140">
        <v>-500</v>
      </c>
      <c r="E10" s="140">
        <v>-500</v>
      </c>
      <c r="F10" s="140">
        <v>-500</v>
      </c>
      <c r="G10" s="140">
        <v>-500</v>
      </c>
      <c r="H10" s="140">
        <v>-500</v>
      </c>
      <c r="I10" s="140">
        <v>-500</v>
      </c>
      <c r="J10" s="140">
        <v>-500</v>
      </c>
      <c r="K10" s="140">
        <v>-500</v>
      </c>
      <c r="L10" s="140">
        <v>-500</v>
      </c>
      <c r="M10" s="140">
        <v>-500</v>
      </c>
      <c r="N10" s="16">
        <f>SUM(B10:M10)</f>
        <v>-6000</v>
      </c>
    </row>
    <row r="11" spans="1:14" x14ac:dyDescent="0.2">
      <c r="A11" s="141" t="s">
        <v>162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6">
        <f>SUM(B11:M11)</f>
        <v>-6000</v>
      </c>
    </row>
    <row r="12" spans="1:14" x14ac:dyDescent="0.2">
      <c r="A12" s="17" t="s">
        <v>117</v>
      </c>
      <c r="B12" s="140"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16">
        <f t="shared" ref="N12:N19" si="4">SUM(B12:M12)</f>
        <v>-200</v>
      </c>
    </row>
    <row r="13" spans="1:14" x14ac:dyDescent="0.2">
      <c r="A13" s="133" t="str">
        <f>+'CR ANNEE 2'!A13</f>
        <v>Fournitures et consommables (-)</v>
      </c>
      <c r="B13" s="140">
        <v>-200</v>
      </c>
      <c r="C13" s="140">
        <v>0</v>
      </c>
      <c r="D13" s="140">
        <v>0</v>
      </c>
      <c r="E13" s="140">
        <v>-75</v>
      </c>
      <c r="F13" s="140">
        <v>0</v>
      </c>
      <c r="G13" s="140">
        <v>0</v>
      </c>
      <c r="H13" s="140">
        <v>0</v>
      </c>
      <c r="I13" s="140">
        <v>-100</v>
      </c>
      <c r="J13" s="140">
        <v>0</v>
      </c>
      <c r="K13" s="140">
        <v>0</v>
      </c>
      <c r="L13" s="140">
        <v>-50</v>
      </c>
      <c r="M13" s="140">
        <v>0</v>
      </c>
      <c r="N13" s="16">
        <f t="shared" si="4"/>
        <v>-425</v>
      </c>
    </row>
    <row r="14" spans="1:14" x14ac:dyDescent="0.2">
      <c r="A14" s="133" t="str">
        <f>+'CR ANNEE 2'!A14</f>
        <v>Electricité (-) **</v>
      </c>
      <c r="B14" s="140">
        <v>-30</v>
      </c>
      <c r="C14" s="140">
        <v>-30</v>
      </c>
      <c r="D14" s="140">
        <v>-30</v>
      </c>
      <c r="E14" s="140">
        <v>-30</v>
      </c>
      <c r="F14" s="140">
        <v>-30</v>
      </c>
      <c r="G14" s="140">
        <v>-30</v>
      </c>
      <c r="H14" s="140">
        <v>-30</v>
      </c>
      <c r="I14" s="140">
        <v>-30</v>
      </c>
      <c r="J14" s="140">
        <v>-30</v>
      </c>
      <c r="K14" s="140">
        <v>-30</v>
      </c>
      <c r="L14" s="140">
        <v>-30</v>
      </c>
      <c r="M14" s="140">
        <v>-30</v>
      </c>
      <c r="N14" s="16">
        <f t="shared" si="4"/>
        <v>-360</v>
      </c>
    </row>
    <row r="15" spans="1:14" x14ac:dyDescent="0.2">
      <c r="A15" s="133" t="str">
        <f>+'CR ANNEE 2'!A15</f>
        <v>Intérim (-)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6">
        <f t="shared" si="4"/>
        <v>0</v>
      </c>
    </row>
    <row r="16" spans="1:14" x14ac:dyDescent="0.2">
      <c r="A16" s="17" t="s">
        <v>118</v>
      </c>
      <c r="B16" s="140">
        <v>-708</v>
      </c>
      <c r="C16" s="140">
        <v>-208</v>
      </c>
      <c r="D16" s="140">
        <v>-208</v>
      </c>
      <c r="E16" s="140">
        <v>-208</v>
      </c>
      <c r="F16" s="140">
        <v>-208</v>
      </c>
      <c r="G16" s="140">
        <v>-208</v>
      </c>
      <c r="H16" s="140">
        <v>-208</v>
      </c>
      <c r="I16" s="140">
        <v>-208</v>
      </c>
      <c r="J16" s="140">
        <v>-208</v>
      </c>
      <c r="K16" s="140">
        <v>-208</v>
      </c>
      <c r="L16" s="140">
        <v>-208</v>
      </c>
      <c r="M16" s="140">
        <v>-208</v>
      </c>
      <c r="N16" s="16">
        <f t="shared" si="4"/>
        <v>-2996</v>
      </c>
    </row>
    <row r="17" spans="1:15" x14ac:dyDescent="0.2">
      <c r="A17" s="17" t="s">
        <v>119</v>
      </c>
      <c r="B17" s="140">
        <v>-80</v>
      </c>
      <c r="C17" s="140">
        <v>-80</v>
      </c>
      <c r="D17" s="140">
        <v>-80</v>
      </c>
      <c r="E17" s="140">
        <v>-80</v>
      </c>
      <c r="F17" s="140">
        <v>-80</v>
      </c>
      <c r="G17" s="140">
        <v>-80</v>
      </c>
      <c r="H17" s="140">
        <v>-80</v>
      </c>
      <c r="I17" s="140">
        <v>-80</v>
      </c>
      <c r="J17" s="140">
        <v>-80</v>
      </c>
      <c r="K17" s="140">
        <v>-80</v>
      </c>
      <c r="L17" s="140">
        <v>-80</v>
      </c>
      <c r="M17" s="140">
        <v>-80</v>
      </c>
      <c r="N17" s="16">
        <f t="shared" si="4"/>
        <v>-960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4"/>
        <v>-1200</v>
      </c>
    </row>
    <row r="19" spans="1:15" x14ac:dyDescent="0.2">
      <c r="A19" s="17" t="s">
        <v>121</v>
      </c>
      <c r="B19" s="140">
        <v>-833.33333333333303</v>
      </c>
      <c r="C19" s="140">
        <v>-833.33333333333303</v>
      </c>
      <c r="D19" s="140">
        <v>-833.33333333333303</v>
      </c>
      <c r="E19" s="140">
        <v>-833.33333333333303</v>
      </c>
      <c r="F19" s="140">
        <v>-833.33333333333303</v>
      </c>
      <c r="G19" s="140">
        <v>-833.33333333333303</v>
      </c>
      <c r="H19" s="140">
        <v>-833.33333333333303</v>
      </c>
      <c r="I19" s="140">
        <v>-833.33333333333303</v>
      </c>
      <c r="J19" s="140">
        <v>-833.33333333333303</v>
      </c>
      <c r="K19" s="140">
        <v>-833.33333333333303</v>
      </c>
      <c r="L19" s="140">
        <v>-833.33333333333303</v>
      </c>
      <c r="M19" s="140">
        <v>-833.33333333333303</v>
      </c>
      <c r="N19" s="16">
        <f t="shared" si="4"/>
        <v>-9999.9999999999964</v>
      </c>
    </row>
    <row r="20" spans="1:15" x14ac:dyDescent="0.2">
      <c r="A20" s="103" t="s">
        <v>23</v>
      </c>
      <c r="B20" s="211">
        <f>SUM(B10:B19)</f>
        <v>-8501.3333333333321</v>
      </c>
      <c r="C20" s="211">
        <f t="shared" ref="C20:M20" si="5">SUM(C10:C19)</f>
        <v>-1751.333333333333</v>
      </c>
      <c r="D20" s="211">
        <f t="shared" si="5"/>
        <v>-1751.333333333333</v>
      </c>
      <c r="E20" s="211">
        <f t="shared" si="5"/>
        <v>-1876.333333333333</v>
      </c>
      <c r="F20" s="211">
        <f t="shared" si="5"/>
        <v>-1751.333333333333</v>
      </c>
      <c r="G20" s="211">
        <f t="shared" si="5"/>
        <v>-1751.333333333333</v>
      </c>
      <c r="H20" s="211">
        <f t="shared" si="5"/>
        <v>-1801.333333333333</v>
      </c>
      <c r="I20" s="211">
        <f t="shared" si="5"/>
        <v>-1851.333333333333</v>
      </c>
      <c r="J20" s="211">
        <f t="shared" si="5"/>
        <v>-1751.333333333333</v>
      </c>
      <c r="K20" s="211">
        <f t="shared" si="5"/>
        <v>-1801.333333333333</v>
      </c>
      <c r="L20" s="211">
        <f t="shared" si="5"/>
        <v>-1801.333333333333</v>
      </c>
      <c r="M20" s="211">
        <f t="shared" si="5"/>
        <v>-1751.333333333333</v>
      </c>
      <c r="N20" s="106">
        <f>SUM(B20:M20)</f>
        <v>-28140.999999999985</v>
      </c>
    </row>
    <row r="21" spans="1:15" x14ac:dyDescent="0.2">
      <c r="A21" s="103" t="s">
        <v>106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104">
        <f>SUM(B21:M21)</f>
        <v>0</v>
      </c>
    </row>
    <row r="22" spans="1:15" x14ac:dyDescent="0.2">
      <c r="A22" s="17" t="s">
        <v>122</v>
      </c>
      <c r="B22" s="140">
        <f>B39</f>
        <v>-3333.3333333333298</v>
      </c>
      <c r="C22" s="140">
        <f t="shared" ref="C22:M22" si="6">C39</f>
        <v>-3333.3333333333298</v>
      </c>
      <c r="D22" s="140">
        <f t="shared" si="6"/>
        <v>-3333.3333333333298</v>
      </c>
      <c r="E22" s="140">
        <f t="shared" si="6"/>
        <v>-3333.3333333333298</v>
      </c>
      <c r="F22" s="140">
        <f t="shared" si="6"/>
        <v>-3333.3333333333298</v>
      </c>
      <c r="G22" s="140">
        <f t="shared" si="6"/>
        <v>-3333.3333333333298</v>
      </c>
      <c r="H22" s="140">
        <f t="shared" si="6"/>
        <v>-3333.3333333333298</v>
      </c>
      <c r="I22" s="140">
        <f t="shared" si="6"/>
        <v>-3333.3333333333298</v>
      </c>
      <c r="J22" s="140">
        <f t="shared" si="6"/>
        <v>-3333.3333333333298</v>
      </c>
      <c r="K22" s="140">
        <f t="shared" si="6"/>
        <v>-3333.3333333333298</v>
      </c>
      <c r="L22" s="140">
        <f t="shared" si="6"/>
        <v>-3333.3333333333298</v>
      </c>
      <c r="M22" s="140">
        <f t="shared" si="6"/>
        <v>-3333.3333333333298</v>
      </c>
      <c r="N22" s="16">
        <f>SUM(B22:M22)</f>
        <v>-39999.999999999949</v>
      </c>
    </row>
    <row r="23" spans="1:15" x14ac:dyDescent="0.2">
      <c r="A23" s="17" t="s">
        <v>142</v>
      </c>
      <c r="B23" s="140">
        <f>+B22*0.35</f>
        <v>-1166.6666666666654</v>
      </c>
      <c r="C23" s="140">
        <f t="shared" ref="C23:M23" si="7">+C22*0.35</f>
        <v>-1166.6666666666654</v>
      </c>
      <c r="D23" s="140">
        <f t="shared" si="7"/>
        <v>-1166.6666666666654</v>
      </c>
      <c r="E23" s="140">
        <f t="shared" si="7"/>
        <v>-1166.6666666666654</v>
      </c>
      <c r="F23" s="140">
        <f t="shared" si="7"/>
        <v>-1166.6666666666654</v>
      </c>
      <c r="G23" s="140">
        <f t="shared" si="7"/>
        <v>-1166.6666666666654</v>
      </c>
      <c r="H23" s="140">
        <f t="shared" si="7"/>
        <v>-1166.6666666666654</v>
      </c>
      <c r="I23" s="140">
        <f t="shared" si="7"/>
        <v>-1166.6666666666654</v>
      </c>
      <c r="J23" s="140">
        <f t="shared" si="7"/>
        <v>-1166.6666666666654</v>
      </c>
      <c r="K23" s="140">
        <f t="shared" si="7"/>
        <v>-1166.6666666666654</v>
      </c>
      <c r="L23" s="140">
        <f t="shared" si="7"/>
        <v>-1166.6666666666654</v>
      </c>
      <c r="M23" s="140">
        <f t="shared" si="7"/>
        <v>-1166.6666666666654</v>
      </c>
      <c r="N23" s="18">
        <f t="shared" ref="N23" si="8">+N22*0.35</f>
        <v>-13999.999999999982</v>
      </c>
    </row>
    <row r="24" spans="1:15" x14ac:dyDescent="0.2">
      <c r="A24" s="103" t="s">
        <v>105</v>
      </c>
      <c r="B24" s="211">
        <f>SUM(B22:B23)</f>
        <v>-4499.9999999999955</v>
      </c>
      <c r="C24" s="211">
        <f t="shared" ref="C24:M24" si="9">SUM(C22:C23)</f>
        <v>-4499.9999999999955</v>
      </c>
      <c r="D24" s="211">
        <f t="shared" si="9"/>
        <v>-4499.9999999999955</v>
      </c>
      <c r="E24" s="211">
        <f t="shared" si="9"/>
        <v>-4499.9999999999955</v>
      </c>
      <c r="F24" s="211">
        <f t="shared" si="9"/>
        <v>-4499.9999999999955</v>
      </c>
      <c r="G24" s="211">
        <f t="shared" si="9"/>
        <v>-4499.9999999999955</v>
      </c>
      <c r="H24" s="211">
        <f t="shared" si="9"/>
        <v>-4499.9999999999955</v>
      </c>
      <c r="I24" s="211">
        <f t="shared" si="9"/>
        <v>-4499.9999999999955</v>
      </c>
      <c r="J24" s="211">
        <f t="shared" si="9"/>
        <v>-4499.9999999999955</v>
      </c>
      <c r="K24" s="211">
        <f t="shared" si="9"/>
        <v>-4499.9999999999955</v>
      </c>
      <c r="L24" s="211">
        <f t="shared" si="9"/>
        <v>-4499.9999999999955</v>
      </c>
      <c r="M24" s="211">
        <f t="shared" si="9"/>
        <v>-4499.9999999999955</v>
      </c>
      <c r="N24" s="104">
        <f t="shared" ref="N24" si="10">SUM(N22:N23)</f>
        <v>-53999.999999999927</v>
      </c>
    </row>
    <row r="25" spans="1:15" x14ac:dyDescent="0.2">
      <c r="A25" s="17" t="s">
        <v>123</v>
      </c>
      <c r="B25" s="140">
        <f>B50</f>
        <v>-10000</v>
      </c>
      <c r="C25" s="140">
        <f t="shared" ref="C25:M25" si="11">C50</f>
        <v>-10000</v>
      </c>
      <c r="D25" s="140">
        <f t="shared" si="11"/>
        <v>-10000</v>
      </c>
      <c r="E25" s="140">
        <f t="shared" si="11"/>
        <v>-10000</v>
      </c>
      <c r="F25" s="140">
        <f t="shared" si="11"/>
        <v>-10000</v>
      </c>
      <c r="G25" s="140">
        <f t="shared" si="11"/>
        <v>-10000</v>
      </c>
      <c r="H25" s="140">
        <f t="shared" si="11"/>
        <v>-10000</v>
      </c>
      <c r="I25" s="140">
        <f t="shared" si="11"/>
        <v>-10000</v>
      </c>
      <c r="J25" s="140">
        <f t="shared" si="11"/>
        <v>-10000</v>
      </c>
      <c r="K25" s="140">
        <f t="shared" si="11"/>
        <v>-10000</v>
      </c>
      <c r="L25" s="140">
        <f t="shared" si="11"/>
        <v>-10000</v>
      </c>
      <c r="M25" s="140">
        <f t="shared" si="11"/>
        <v>-10000</v>
      </c>
      <c r="N25" s="16">
        <f>SUM(B25:M25)</f>
        <v>-120000</v>
      </c>
    </row>
    <row r="26" spans="1:15" x14ac:dyDescent="0.2">
      <c r="A26" s="17" t="s">
        <v>143</v>
      </c>
      <c r="B26" s="140">
        <f>+B25*0.45</f>
        <v>-4500</v>
      </c>
      <c r="C26" s="140">
        <f t="shared" ref="C26:M26" si="12">+C25*0.45</f>
        <v>-4500</v>
      </c>
      <c r="D26" s="140">
        <f t="shared" si="12"/>
        <v>-4500</v>
      </c>
      <c r="E26" s="140">
        <f t="shared" si="12"/>
        <v>-4500</v>
      </c>
      <c r="F26" s="140">
        <f t="shared" si="12"/>
        <v>-4500</v>
      </c>
      <c r="G26" s="140">
        <f t="shared" si="12"/>
        <v>-4500</v>
      </c>
      <c r="H26" s="140">
        <f t="shared" si="12"/>
        <v>-4500</v>
      </c>
      <c r="I26" s="140">
        <f t="shared" si="12"/>
        <v>-4500</v>
      </c>
      <c r="J26" s="140">
        <f t="shared" si="12"/>
        <v>-4500</v>
      </c>
      <c r="K26" s="140">
        <f t="shared" si="12"/>
        <v>-4500</v>
      </c>
      <c r="L26" s="140">
        <f t="shared" si="12"/>
        <v>-4500</v>
      </c>
      <c r="M26" s="140">
        <f t="shared" si="12"/>
        <v>-4500</v>
      </c>
      <c r="N26" s="18">
        <f t="shared" ref="N26" si="13">+N25*0.45</f>
        <v>-54000</v>
      </c>
    </row>
    <row r="27" spans="1:15" x14ac:dyDescent="0.2">
      <c r="A27" s="103" t="s">
        <v>24</v>
      </c>
      <c r="B27" s="211">
        <f>SUM(B25:B26)</f>
        <v>-14500</v>
      </c>
      <c r="C27" s="211">
        <f t="shared" ref="C27:M27" si="14">SUM(C25:C26)</f>
        <v>-14500</v>
      </c>
      <c r="D27" s="211">
        <f t="shared" si="14"/>
        <v>-14500</v>
      </c>
      <c r="E27" s="211">
        <f t="shared" si="14"/>
        <v>-14500</v>
      </c>
      <c r="F27" s="211">
        <f t="shared" si="14"/>
        <v>-14500</v>
      </c>
      <c r="G27" s="211">
        <f t="shared" si="14"/>
        <v>-14500</v>
      </c>
      <c r="H27" s="211">
        <f t="shared" si="14"/>
        <v>-14500</v>
      </c>
      <c r="I27" s="211">
        <f t="shared" si="14"/>
        <v>-14500</v>
      </c>
      <c r="J27" s="211">
        <f t="shared" si="14"/>
        <v>-14500</v>
      </c>
      <c r="K27" s="211">
        <f t="shared" si="14"/>
        <v>-14500</v>
      </c>
      <c r="L27" s="211">
        <f t="shared" si="14"/>
        <v>-14500</v>
      </c>
      <c r="M27" s="211">
        <f t="shared" si="14"/>
        <v>-14500</v>
      </c>
      <c r="N27" s="104">
        <f t="shared" ref="N27" si="15">SUM(N25:N26)</f>
        <v>-174000</v>
      </c>
    </row>
    <row r="28" spans="1:15" x14ac:dyDescent="0.2">
      <c r="A28" s="17" t="s">
        <v>124</v>
      </c>
      <c r="B28" s="140">
        <f>-[2]Investissements!$L32-[2]Investissements!$L79-[2]Investissements!$L111</f>
        <v>-58.333333333333336</v>
      </c>
      <c r="C28" s="140">
        <f>-[2]Investissements!$L32-[2]Investissements!$L79-[2]Investissements!$L111</f>
        <v>-58.333333333333336</v>
      </c>
      <c r="D28" s="140">
        <f>-[2]Investissements!$L32-[2]Investissements!$L79-[2]Investissements!$L111</f>
        <v>-58.333333333333336</v>
      </c>
      <c r="E28" s="140">
        <f>-[2]Investissements!$L32-[2]Investissements!$L79-[2]Investissements!$L111</f>
        <v>-58.333333333333336</v>
      </c>
      <c r="F28" s="140">
        <f>-[2]Investissements!$L32-[2]Investissements!$L79-[2]Investissements!$L111</f>
        <v>-58.333333333333336</v>
      </c>
      <c r="G28" s="140">
        <f>-[2]Investissements!$L32-[2]Investissements!$L79-[2]Investissements!$L111</f>
        <v>-58.333333333333336</v>
      </c>
      <c r="H28" s="140">
        <f>-[2]Investissements!$L32-[2]Investissements!$L79-[2]Investissements!$L111</f>
        <v>-58.333333333333336</v>
      </c>
      <c r="I28" s="140">
        <f>-[2]Investissements!$L32-[2]Investissements!$L79-[2]Investissements!$L111</f>
        <v>-58.333333333333336</v>
      </c>
      <c r="J28" s="140">
        <f>-[2]Investissements!$L32-[2]Investissements!$L79-[2]Investissements!$L111</f>
        <v>-58.333333333333336</v>
      </c>
      <c r="K28" s="140">
        <f>-[2]Investissements!$L32-[2]Investissements!$L79-[2]Investissements!$L111</f>
        <v>-58.333333333333336</v>
      </c>
      <c r="L28" s="140">
        <f>-[2]Investissements!$L32-[2]Investissements!$L79-[2]Investissements!$L111</f>
        <v>-58.333333333333336</v>
      </c>
      <c r="M28" s="140">
        <f>-[2]Investissements!$L32-[2]Investissements!$L79-[2]Investissements!$L111</f>
        <v>-58.333333333333336</v>
      </c>
      <c r="N28" s="16">
        <f>SUM(B28:M28)</f>
        <v>-700.00000000000011</v>
      </c>
    </row>
    <row r="29" spans="1:15" x14ac:dyDescent="0.2">
      <c r="A29" s="17" t="s">
        <v>125</v>
      </c>
      <c r="B29" s="140">
        <f>-[2]Emprunts!D24/12</f>
        <v>0</v>
      </c>
      <c r="C29" s="140">
        <f t="shared" ref="C29:M29" si="16">+B29</f>
        <v>0</v>
      </c>
      <c r="D29" s="140">
        <f t="shared" si="16"/>
        <v>0</v>
      </c>
      <c r="E29" s="140">
        <f t="shared" si="16"/>
        <v>0</v>
      </c>
      <c r="F29" s="140">
        <f t="shared" si="16"/>
        <v>0</v>
      </c>
      <c r="G29" s="140">
        <f t="shared" si="16"/>
        <v>0</v>
      </c>
      <c r="H29" s="140">
        <f t="shared" si="16"/>
        <v>0</v>
      </c>
      <c r="I29" s="140">
        <f t="shared" si="16"/>
        <v>0</v>
      </c>
      <c r="J29" s="140">
        <f t="shared" si="16"/>
        <v>0</v>
      </c>
      <c r="K29" s="140">
        <f t="shared" si="16"/>
        <v>0</v>
      </c>
      <c r="L29" s="140">
        <f t="shared" si="16"/>
        <v>0</v>
      </c>
      <c r="M29" s="140">
        <f t="shared" si="16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112440.33333333333</v>
      </c>
      <c r="C30" s="39">
        <f t="shared" ref="C30:N30" si="17">C8+C20+C21+C24+C27+C28+C29</f>
        <v>-8082.3939393939327</v>
      </c>
      <c r="D30" s="39">
        <f t="shared" si="17"/>
        <v>-8082.3939393939327</v>
      </c>
      <c r="E30" s="39">
        <f t="shared" si="17"/>
        <v>-8207.3939393939327</v>
      </c>
      <c r="F30" s="39">
        <f t="shared" si="17"/>
        <v>-8082.3939393939327</v>
      </c>
      <c r="G30" s="39">
        <f t="shared" si="17"/>
        <v>-8082.3939393939327</v>
      </c>
      <c r="H30" s="39">
        <f t="shared" si="17"/>
        <v>-8132.3939393939327</v>
      </c>
      <c r="I30" s="39">
        <f t="shared" si="17"/>
        <v>-8182.3939393939327</v>
      </c>
      <c r="J30" s="39">
        <f t="shared" si="17"/>
        <v>-8082.3939393939327</v>
      </c>
      <c r="K30" s="39">
        <f t="shared" si="17"/>
        <v>-8132.3939393939327</v>
      </c>
      <c r="L30" s="39">
        <f t="shared" si="17"/>
        <v>-8132.3939393939327</v>
      </c>
      <c r="M30" s="39">
        <f t="shared" si="17"/>
        <v>-8082.3939393939327</v>
      </c>
      <c r="N30" s="39">
        <f t="shared" si="17"/>
        <v>23159.000000000116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7642.4700000000385</v>
      </c>
    </row>
    <row r="32" spans="1:15" x14ac:dyDescent="0.2">
      <c r="A32" s="14" t="s">
        <v>8</v>
      </c>
      <c r="B32" s="39">
        <f>+B30+B31</f>
        <v>112440.33333333333</v>
      </c>
      <c r="C32" s="39">
        <f t="shared" ref="C32:M32" si="18">+C30+C31</f>
        <v>-8082.3939393939327</v>
      </c>
      <c r="D32" s="39">
        <f t="shared" si="18"/>
        <v>-8082.3939393939327</v>
      </c>
      <c r="E32" s="39">
        <f t="shared" si="18"/>
        <v>-8207.3939393939327</v>
      </c>
      <c r="F32" s="39">
        <f t="shared" si="18"/>
        <v>-8082.3939393939327</v>
      </c>
      <c r="G32" s="39">
        <f t="shared" si="18"/>
        <v>-8082.3939393939327</v>
      </c>
      <c r="H32" s="39">
        <f t="shared" si="18"/>
        <v>-8132.3939393939327</v>
      </c>
      <c r="I32" s="39">
        <f t="shared" si="18"/>
        <v>-8182.3939393939327</v>
      </c>
      <c r="J32" s="39">
        <f t="shared" si="18"/>
        <v>-8082.3939393939327</v>
      </c>
      <c r="K32" s="39">
        <f t="shared" si="18"/>
        <v>-8132.3939393939327</v>
      </c>
      <c r="L32" s="39">
        <f t="shared" si="18"/>
        <v>-8132.3939393939327</v>
      </c>
      <c r="M32" s="39">
        <f t="shared" si="18"/>
        <v>-8082.3939393939327</v>
      </c>
      <c r="N32" s="39">
        <f>+N30-N31</f>
        <v>15516.530000000079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ht="13.5" thickBot="1" x14ac:dyDescent="0.25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-3333.3333333333298</v>
      </c>
      <c r="C39" s="83">
        <v>-3333.3333333333298</v>
      </c>
      <c r="D39" s="83">
        <v>-3333.3333333333298</v>
      </c>
      <c r="E39" s="83">
        <v>-3333.3333333333298</v>
      </c>
      <c r="F39" s="83">
        <v>-3333.3333333333298</v>
      </c>
      <c r="G39" s="83">
        <v>-3333.3333333333298</v>
      </c>
      <c r="H39" s="83">
        <v>-3333.3333333333298</v>
      </c>
      <c r="I39" s="83">
        <v>-3333.3333333333298</v>
      </c>
      <c r="J39" s="83">
        <v>-3333.3333333333298</v>
      </c>
      <c r="K39" s="83">
        <v>-3333.3333333333298</v>
      </c>
      <c r="L39" s="83">
        <v>-3333.3333333333298</v>
      </c>
      <c r="M39" s="83">
        <v>-3333.3333333333298</v>
      </c>
      <c r="N39" s="119">
        <f>SUM(B39:M39)</f>
        <v>-39999.999999999949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ht="13.5" thickBot="1" x14ac:dyDescent="0.25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218">
        <v>-10000</v>
      </c>
      <c r="C43" s="218">
        <v>-10000</v>
      </c>
      <c r="D43" s="218">
        <v>-10000</v>
      </c>
      <c r="E43" s="218">
        <v>-10000</v>
      </c>
      <c r="F43" s="218">
        <v>-10000</v>
      </c>
      <c r="G43" s="218">
        <v>-10000</v>
      </c>
      <c r="H43" s="218">
        <v>-10000</v>
      </c>
      <c r="I43" s="218">
        <v>-10000</v>
      </c>
      <c r="J43" s="218">
        <v>-10000</v>
      </c>
      <c r="K43" s="218">
        <v>-10000</v>
      </c>
      <c r="L43" s="218">
        <v>-10000</v>
      </c>
      <c r="M43" s="218">
        <v>-10000</v>
      </c>
      <c r="N43" s="119">
        <f>SUM(B43:M43)</f>
        <v>-120000</v>
      </c>
    </row>
    <row r="44" spans="1:14" x14ac:dyDescent="0.2">
      <c r="A44" s="124" t="s">
        <v>153</v>
      </c>
      <c r="B44" s="78"/>
      <c r="C44" s="78"/>
      <c r="D44" s="78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9">SUM(C42:C49)</f>
        <v>-10000</v>
      </c>
      <c r="D50" s="129">
        <f t="shared" si="19"/>
        <v>-10000</v>
      </c>
      <c r="E50" s="129">
        <f t="shared" si="19"/>
        <v>-10000</v>
      </c>
      <c r="F50" s="129">
        <f t="shared" si="19"/>
        <v>-10000</v>
      </c>
      <c r="G50" s="129">
        <f t="shared" si="19"/>
        <v>-10000</v>
      </c>
      <c r="H50" s="129">
        <f t="shared" si="19"/>
        <v>-10000</v>
      </c>
      <c r="I50" s="129">
        <f t="shared" si="19"/>
        <v>-10000</v>
      </c>
      <c r="J50" s="129">
        <f t="shared" si="19"/>
        <v>-10000</v>
      </c>
      <c r="K50" s="129">
        <f t="shared" si="19"/>
        <v>-10000</v>
      </c>
      <c r="L50" s="129">
        <f t="shared" si="19"/>
        <v>-10000</v>
      </c>
      <c r="M50" s="129">
        <f t="shared" si="19"/>
        <v>-10000</v>
      </c>
      <c r="N50" s="129">
        <f t="shared" si="19"/>
        <v>-120000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opLeftCell="A9" workbookViewId="0">
      <selection activeCell="B19" sqref="B19:B20"/>
    </sheetView>
  </sheetViews>
  <sheetFormatPr baseColWidth="10" defaultColWidth="11.42578125" defaultRowHeight="12.75" x14ac:dyDescent="0.2"/>
  <cols>
    <col min="1" max="1" width="51.42578125" style="1" bestFit="1" customWidth="1"/>
    <col min="2" max="4" width="13.5703125" style="3" customWidth="1"/>
    <col min="5" max="5" width="5.7109375" style="1" customWidth="1"/>
    <col min="6" max="6" width="33.140625" style="1" customWidth="1"/>
    <col min="7" max="7" width="7.7109375" style="3" bestFit="1" customWidth="1"/>
    <col min="8" max="9" width="8.7109375" style="3" bestFit="1" customWidth="1"/>
    <col min="10" max="12" width="13.5703125" style="3" customWidth="1"/>
    <col min="13" max="14" width="11.42578125" style="1"/>
    <col min="15" max="15" width="33.140625" style="1" customWidth="1"/>
    <col min="16" max="23" width="11.42578125" style="1"/>
    <col min="24" max="24" width="21.140625" style="1" customWidth="1"/>
    <col min="25" max="16384" width="11.42578125" style="1"/>
  </cols>
  <sheetData>
    <row r="1" spans="1:25" ht="18.75" customHeight="1" x14ac:dyDescent="0.2">
      <c r="A1" s="12" t="s">
        <v>27</v>
      </c>
      <c r="B1" s="13" t="s">
        <v>146</v>
      </c>
      <c r="C1" s="13" t="s">
        <v>87</v>
      </c>
      <c r="D1" s="13" t="s">
        <v>88</v>
      </c>
    </row>
    <row r="2" spans="1:25" s="2" customFormat="1" ht="18.75" customHeight="1" x14ac:dyDescent="0.2">
      <c r="A2" s="45"/>
      <c r="B2" s="130"/>
      <c r="C2" s="130"/>
      <c r="D2" s="130"/>
    </row>
    <row r="3" spans="1:25" x14ac:dyDescent="0.2">
      <c r="A3"/>
    </row>
    <row r="4" spans="1:25" s="3" customFormat="1" ht="15.95" customHeight="1" x14ac:dyDescent="0.2">
      <c r="A4" s="15" t="s">
        <v>72</v>
      </c>
      <c r="B4" s="18">
        <f>'CR ANNEE 1'!N4</f>
        <v>30010</v>
      </c>
      <c r="C4" s="18">
        <f>'CR ANNEE 2'!N4</f>
        <v>160000</v>
      </c>
      <c r="D4" s="18">
        <f>'CR ANNEE 3'!N4</f>
        <v>280000.00000000006</v>
      </c>
    </row>
    <row r="5" spans="1:25" s="3" customFormat="1" ht="15.95" customHeight="1" x14ac:dyDescent="0.2">
      <c r="A5" s="108" t="s">
        <v>126</v>
      </c>
      <c r="B5" s="18">
        <f>'CR ANNEE 1'!N5</f>
        <v>0</v>
      </c>
      <c r="C5" s="18">
        <f>'CR ANNEE 2'!N5</f>
        <v>0</v>
      </c>
      <c r="D5" s="18">
        <f>'CR ANNEE 3'!N5</f>
        <v>0</v>
      </c>
    </row>
    <row r="6" spans="1:25" s="2" customFormat="1" ht="15.95" customHeight="1" x14ac:dyDescent="0.2">
      <c r="A6" s="17" t="s">
        <v>114</v>
      </c>
      <c r="B6" s="18">
        <f>'CR ANNEE 1'!N6</f>
        <v>0</v>
      </c>
      <c r="C6" s="18">
        <f>'CR ANNEE 2'!N6</f>
        <v>0</v>
      </c>
      <c r="D6" s="18">
        <f>'CR ANNEE 3'!N6</f>
        <v>0</v>
      </c>
    </row>
    <row r="7" spans="1:25" s="8" customFormat="1" ht="15.95" customHeight="1" x14ac:dyDescent="0.2">
      <c r="A7" s="76" t="s">
        <v>115</v>
      </c>
      <c r="B7" s="18">
        <f>'CR ANNEE 1'!N7</f>
        <v>0</v>
      </c>
      <c r="C7" s="18">
        <f>'CR ANNEE 2'!N7</f>
        <v>0</v>
      </c>
      <c r="D7" s="18">
        <f>'CR ANNEE 3'!N7</f>
        <v>0</v>
      </c>
    </row>
    <row r="8" spans="1:25" s="77" customFormat="1" ht="15.95" customHeight="1" x14ac:dyDescent="0.2">
      <c r="A8" s="14" t="s">
        <v>73</v>
      </c>
      <c r="B8" s="131">
        <f>'CR ANNEE 1'!N8</f>
        <v>30010</v>
      </c>
      <c r="C8" s="131">
        <f>'CR ANNEE 2'!N8</f>
        <v>160000</v>
      </c>
      <c r="D8" s="131">
        <f>'CR ANNEE 3'!N8</f>
        <v>280000.00000000006</v>
      </c>
    </row>
    <row r="9" spans="1:25" s="4" customFormat="1" ht="15.95" customHeight="1" x14ac:dyDescent="0.2">
      <c r="A9" s="14" t="s">
        <v>74</v>
      </c>
      <c r="B9" s="132">
        <f>'CR ANNEE 1'!N9</f>
        <v>1</v>
      </c>
      <c r="C9" s="131">
        <f>'CR ANNEE 2'!N9</f>
        <v>1</v>
      </c>
      <c r="D9" s="131">
        <f>'CR ANNEE 3'!N9</f>
        <v>1</v>
      </c>
    </row>
    <row r="10" spans="1:25" s="4" customFormat="1" ht="15.95" customHeight="1" x14ac:dyDescent="0.2">
      <c r="A10" s="17" t="s">
        <v>116</v>
      </c>
      <c r="B10" s="18">
        <f>'CR ANNEE 1'!N10</f>
        <v>-120</v>
      </c>
      <c r="C10" s="18">
        <f>'CR ANNEE 2'!N10</f>
        <v>-6000</v>
      </c>
      <c r="D10" s="18">
        <f>'CR ANNEE 3'!N10</f>
        <v>-6000</v>
      </c>
    </row>
    <row r="11" spans="1:25" s="4" customFormat="1" ht="15.95" customHeight="1" x14ac:dyDescent="0.2">
      <c r="A11" s="141" t="s">
        <v>162</v>
      </c>
      <c r="B11" s="18">
        <f>'CR ANNEE 1'!N11</f>
        <v>-6000</v>
      </c>
      <c r="C11" s="18">
        <f>'CR ANNEE 2'!N11</f>
        <v>-6000</v>
      </c>
      <c r="D11" s="18">
        <f>'CR ANNEE 3'!N11</f>
        <v>-6000</v>
      </c>
    </row>
    <row r="12" spans="1:25" s="4" customFormat="1" ht="15.95" customHeight="1" x14ac:dyDescent="0.2">
      <c r="A12" s="17" t="s">
        <v>117</v>
      </c>
      <c r="B12" s="18">
        <f>'CR ANNEE 1'!N12</f>
        <v>-200</v>
      </c>
      <c r="C12" s="18">
        <f>'CR ANNEE 2'!N12</f>
        <v>-200</v>
      </c>
      <c r="D12" s="18">
        <f>'CR ANNEE 3'!N12</f>
        <v>-200</v>
      </c>
    </row>
    <row r="13" spans="1:25" s="4" customFormat="1" ht="15.95" customHeight="1" x14ac:dyDescent="0.2">
      <c r="A13" s="133" t="s">
        <v>147</v>
      </c>
      <c r="B13" s="18">
        <f>'CR ANNEE 1'!N13</f>
        <v>-250</v>
      </c>
      <c r="C13" s="18">
        <f>'CR ANNEE 2'!N13</f>
        <v>-300</v>
      </c>
      <c r="D13" s="18">
        <f>'CR ANNEE 3'!N13</f>
        <v>-425</v>
      </c>
    </row>
    <row r="14" spans="1:25" s="4" customFormat="1" ht="15.95" customHeight="1" x14ac:dyDescent="0.2">
      <c r="A14" s="133" t="s">
        <v>147</v>
      </c>
      <c r="B14" s="18">
        <f>'CR ANNEE 1'!N14</f>
        <v>0</v>
      </c>
      <c r="C14" s="18">
        <f>'CR ANNEE 2'!N14</f>
        <v>-360</v>
      </c>
      <c r="D14" s="18">
        <f>'CR ANNEE 3'!N14</f>
        <v>-360</v>
      </c>
    </row>
    <row r="15" spans="1:25" s="4" customFormat="1" ht="15.95" customHeight="1" x14ac:dyDescent="0.2">
      <c r="A15" s="133" t="s">
        <v>147</v>
      </c>
      <c r="B15" s="18">
        <f>'CR ANNEE 1'!N15</f>
        <v>0</v>
      </c>
      <c r="C15" s="18">
        <f>'CR ANNEE 2'!N15</f>
        <v>0</v>
      </c>
      <c r="D15" s="18">
        <f>'CR ANNEE 3'!N15</f>
        <v>0</v>
      </c>
      <c r="Y15" s="4">
        <f>105+167</f>
        <v>272</v>
      </c>
    </row>
    <row r="16" spans="1:25" s="8" customFormat="1" ht="15.95" customHeight="1" x14ac:dyDescent="0.2">
      <c r="A16" s="17" t="s">
        <v>118</v>
      </c>
      <c r="B16" s="18">
        <f>'CR ANNEE 1'!N16</f>
        <v>-2999.666666666667</v>
      </c>
      <c r="C16" s="18">
        <f>'CR ANNEE 2'!N16</f>
        <v>-2999.666666666667</v>
      </c>
      <c r="D16" s="18">
        <f>'CR ANNEE 3'!N16</f>
        <v>-2996</v>
      </c>
    </row>
    <row r="17" spans="1:31" s="4" customFormat="1" ht="15.95" customHeight="1" x14ac:dyDescent="0.2">
      <c r="A17" s="17" t="s">
        <v>119</v>
      </c>
      <c r="B17" s="18">
        <f>'CR ANNEE 1'!N17</f>
        <v>-385</v>
      </c>
      <c r="C17" s="18">
        <f>'CR ANNEE 2'!N17</f>
        <v>-480</v>
      </c>
      <c r="D17" s="18">
        <f>'CR ANNEE 3'!N17</f>
        <v>-960</v>
      </c>
      <c r="X17" s="5"/>
      <c r="Y17" s="5">
        <f>191+50+6</f>
        <v>247</v>
      </c>
      <c r="Z17" s="5"/>
      <c r="AA17" s="5"/>
      <c r="AB17" s="5"/>
      <c r="AC17" s="5"/>
      <c r="AD17" s="5"/>
      <c r="AE17" s="5"/>
    </row>
    <row r="18" spans="1:31" s="4" customFormat="1" ht="15.95" customHeight="1" x14ac:dyDescent="0.2">
      <c r="A18" s="17" t="s">
        <v>120</v>
      </c>
      <c r="B18" s="18">
        <f>'CR ANNEE 1'!N18</f>
        <v>-500</v>
      </c>
      <c r="C18" s="18">
        <f>'CR ANNEE 2'!N18</f>
        <v>-1200</v>
      </c>
      <c r="D18" s="18">
        <f>'CR ANNEE 3'!N18</f>
        <v>-1200</v>
      </c>
      <c r="Y18" s="4">
        <f>+Y15-Y17</f>
        <v>25</v>
      </c>
    </row>
    <row r="19" spans="1:31" s="4" customFormat="1" ht="15.95" customHeight="1" x14ac:dyDescent="0.2">
      <c r="A19" s="17" t="s">
        <v>121</v>
      </c>
      <c r="B19" s="18">
        <f>'CR ANNEE 1'!N19</f>
        <v>-2600</v>
      </c>
      <c r="C19" s="18">
        <f>'CR ANNEE 2'!N19</f>
        <v>-8600</v>
      </c>
      <c r="D19" s="18">
        <f>'CR ANNEE 3'!N19</f>
        <v>-9999.9999999999964</v>
      </c>
    </row>
    <row r="20" spans="1:31" ht="15.95" customHeight="1" x14ac:dyDescent="0.2">
      <c r="A20" s="103" t="s">
        <v>23</v>
      </c>
      <c r="B20" s="103">
        <f>'CR ANNEE 1'!N20</f>
        <v>-13054.666666666672</v>
      </c>
      <c r="C20" s="103">
        <f>'CR ANNEE 2'!N20</f>
        <v>-26139.666666666661</v>
      </c>
      <c r="D20" s="103">
        <f>'CR ANNEE 3'!N20</f>
        <v>-28140.999999999985</v>
      </c>
    </row>
    <row r="21" spans="1:31" ht="15.95" customHeight="1" x14ac:dyDescent="0.2">
      <c r="A21" s="103" t="s">
        <v>106</v>
      </c>
      <c r="B21" s="103">
        <f>'CR ANNEE 1'!N21</f>
        <v>-200</v>
      </c>
      <c r="C21" s="103">
        <f>'CR ANNEE 2'!N21</f>
        <v>0</v>
      </c>
      <c r="D21" s="103">
        <f>'CR ANNEE 3'!N21</f>
        <v>0</v>
      </c>
    </row>
    <row r="22" spans="1:31" s="4" customFormat="1" ht="15.95" customHeight="1" x14ac:dyDescent="0.2">
      <c r="A22" s="17" t="s">
        <v>122</v>
      </c>
      <c r="B22" s="18">
        <f>'CR ANNEE 1'!N22</f>
        <v>0</v>
      </c>
      <c r="C22" s="18">
        <f>'CR ANNEE 2'!N22</f>
        <v>40000</v>
      </c>
      <c r="D22" s="18">
        <f>'CR ANNEE 3'!N22</f>
        <v>-39999.999999999949</v>
      </c>
      <c r="F22" s="1"/>
      <c r="G22" s="3"/>
      <c r="H22" s="3"/>
      <c r="I22" s="3"/>
      <c r="J22" s="3"/>
      <c r="K22" s="3"/>
      <c r="L22" s="3"/>
      <c r="M22" s="3"/>
      <c r="O22" s="1"/>
    </row>
    <row r="23" spans="1:31" s="5" customFormat="1" ht="15.95" customHeight="1" x14ac:dyDescent="0.2">
      <c r="A23" s="17" t="s">
        <v>142</v>
      </c>
      <c r="B23" s="18">
        <f>'CR ANNEE 1'!N23</f>
        <v>0</v>
      </c>
      <c r="C23" s="18">
        <f>'CR ANNEE 2'!N23</f>
        <v>14000</v>
      </c>
      <c r="D23" s="18">
        <f>'CR ANNEE 3'!N23</f>
        <v>-13999.999999999982</v>
      </c>
      <c r="F23" s="1"/>
      <c r="K23" s="3"/>
      <c r="L23" s="3"/>
      <c r="M23" s="4"/>
      <c r="O23" s="1"/>
      <c r="X23" s="4"/>
      <c r="Y23" s="4"/>
      <c r="Z23" s="4"/>
      <c r="AA23" s="4"/>
      <c r="AB23" s="4"/>
      <c r="AC23" s="4"/>
      <c r="AD23" s="4"/>
      <c r="AE23" s="4"/>
    </row>
    <row r="24" spans="1:31" s="4" customFormat="1" ht="15.95" customHeight="1" x14ac:dyDescent="0.2">
      <c r="A24" s="103" t="s">
        <v>105</v>
      </c>
      <c r="B24" s="103">
        <f>'CR ANNEE 1'!N24</f>
        <v>0</v>
      </c>
      <c r="C24" s="103">
        <f>'CR ANNEE 2'!N24</f>
        <v>54000</v>
      </c>
      <c r="D24" s="103">
        <f>'CR ANNEE 3'!N24</f>
        <v>-53999.999999999927</v>
      </c>
      <c r="F24" s="1"/>
      <c r="K24" s="3"/>
      <c r="L24" s="3"/>
      <c r="M24" s="7"/>
      <c r="O24" s="1"/>
      <c r="X24" s="3"/>
      <c r="Y24" s="3"/>
      <c r="Z24" s="3"/>
      <c r="AA24" s="3"/>
      <c r="AB24" s="3"/>
      <c r="AC24" s="3"/>
      <c r="AD24" s="3"/>
      <c r="AE24" s="3"/>
    </row>
    <row r="25" spans="1:31" s="4" customFormat="1" ht="15.95" customHeight="1" x14ac:dyDescent="0.2">
      <c r="A25" s="17" t="s">
        <v>123</v>
      </c>
      <c r="B25" s="18">
        <f>'CR ANNEE 1'!N25</f>
        <v>0</v>
      </c>
      <c r="C25" s="18">
        <f>'CR ANNEE 2'!N25</f>
        <v>-120000</v>
      </c>
      <c r="D25" s="18">
        <f>'CR ANNEE 3'!N25</f>
        <v>-120000</v>
      </c>
      <c r="E25" s="1"/>
    </row>
    <row r="26" spans="1:31" s="4" customFormat="1" ht="15.95" customHeight="1" x14ac:dyDescent="0.2">
      <c r="A26" s="17" t="s">
        <v>143</v>
      </c>
      <c r="B26" s="18">
        <f>'CR ANNEE 1'!N26</f>
        <v>0</v>
      </c>
      <c r="C26" s="18">
        <f>'CR ANNEE 2'!N26</f>
        <v>-54000</v>
      </c>
      <c r="D26" s="18">
        <f>'CR ANNEE 3'!N26</f>
        <v>-54000</v>
      </c>
      <c r="E26" s="1"/>
      <c r="N26" s="7"/>
      <c r="O26" s="7"/>
      <c r="P26" s="7"/>
      <c r="Q26" s="7"/>
      <c r="R26" s="7"/>
      <c r="S26" s="7"/>
      <c r="T26" s="7"/>
      <c r="U26" s="7"/>
    </row>
    <row r="27" spans="1:31" s="4" customFormat="1" ht="15.95" customHeight="1" x14ac:dyDescent="0.2">
      <c r="A27" s="103" t="s">
        <v>24</v>
      </c>
      <c r="B27" s="103">
        <f>'CR ANNEE 1'!N27</f>
        <v>0</v>
      </c>
      <c r="C27" s="103">
        <f>'CR ANNEE 2'!N27</f>
        <v>-174000</v>
      </c>
      <c r="D27" s="103">
        <f>'CR ANNEE 3'!N27</f>
        <v>-174000</v>
      </c>
      <c r="E27" s="1"/>
    </row>
    <row r="28" spans="1:31" s="3" customFormat="1" ht="15.95" customHeight="1" x14ac:dyDescent="0.2">
      <c r="A28" s="17" t="s">
        <v>124</v>
      </c>
      <c r="B28" s="18">
        <f>'CR ANNEE 1'!N28</f>
        <v>-700.00000000000011</v>
      </c>
      <c r="C28" s="18">
        <f>'CR ANNEE 2'!N28</f>
        <v>-2842.8571428571427</v>
      </c>
      <c r="D28" s="18">
        <f>'CR ANNEE 3'!N28</f>
        <v>-700.00000000000011</v>
      </c>
      <c r="E28" s="1"/>
      <c r="N28" s="1"/>
      <c r="O28" s="1"/>
      <c r="P28" s="1"/>
      <c r="Q28" s="1"/>
      <c r="R28" s="1"/>
      <c r="S28" s="1"/>
      <c r="T28" s="1"/>
      <c r="U28" s="1"/>
    </row>
    <row r="29" spans="1:31" s="4" customFormat="1" ht="15.95" customHeight="1" x14ac:dyDescent="0.2">
      <c r="A29" s="17" t="s">
        <v>125</v>
      </c>
      <c r="B29" s="18">
        <f>'CR ANNEE 1'!N29</f>
        <v>0</v>
      </c>
      <c r="C29" s="18">
        <f>'CR ANNEE 2'!N29</f>
        <v>0</v>
      </c>
      <c r="D29" s="18">
        <f>'CR ANNEE 3'!N29</f>
        <v>0</v>
      </c>
      <c r="E29" s="1"/>
      <c r="N29" s="1"/>
      <c r="O29" s="1"/>
      <c r="P29" s="1"/>
      <c r="Q29" s="1"/>
      <c r="R29" s="1"/>
      <c r="S29" s="1"/>
      <c r="T29" s="1"/>
      <c r="U29" s="1"/>
    </row>
    <row r="30" spans="1:31" s="7" customFormat="1" ht="15.95" customHeight="1" thickBot="1" x14ac:dyDescent="0.25">
      <c r="A30" s="14" t="s">
        <v>25</v>
      </c>
      <c r="B30" s="14">
        <f>'CR ANNEE 1'!N30</f>
        <v>16055.33333333333</v>
      </c>
      <c r="C30" s="14">
        <f>'CR ANNEE 2'!N30</f>
        <v>11017.4761904762</v>
      </c>
      <c r="D30" s="14">
        <f>'CR ANNEE 3'!N30</f>
        <v>23159.000000000116</v>
      </c>
      <c r="E30" s="1"/>
      <c r="N30" s="1"/>
      <c r="O30" s="1"/>
      <c r="P30" s="1"/>
      <c r="Q30" s="1"/>
      <c r="R30" s="1"/>
      <c r="S30" s="1"/>
      <c r="T30" s="1"/>
      <c r="U30" s="1"/>
    </row>
    <row r="31" spans="1:31" s="4" customFormat="1" ht="15.95" customHeight="1" thickBot="1" x14ac:dyDescent="0.25">
      <c r="A31" s="6" t="s">
        <v>26</v>
      </c>
      <c r="B31" s="18">
        <f>'CR ANNEE 1'!N31</f>
        <v>5298.2599999999993</v>
      </c>
      <c r="C31" s="18">
        <f>'CR ANNEE 2'!N31</f>
        <v>3635.7671428571462</v>
      </c>
      <c r="D31" s="18">
        <f>'CR ANNEE 3'!N31</f>
        <v>7642.4700000000385</v>
      </c>
      <c r="E31" s="1"/>
      <c r="N31" s="1"/>
      <c r="O31" s="1"/>
      <c r="P31" s="1"/>
      <c r="Q31" s="1"/>
      <c r="R31" s="1"/>
      <c r="S31" s="1"/>
      <c r="T31" s="1"/>
      <c r="U31" s="1"/>
    </row>
    <row r="32" spans="1:31" ht="15.95" customHeight="1" x14ac:dyDescent="0.2">
      <c r="A32" s="14" t="s">
        <v>8</v>
      </c>
      <c r="B32" s="14">
        <f>'CR ANNEE 1'!N32</f>
        <v>10757.07333333333</v>
      </c>
      <c r="C32" s="14">
        <f>'CR ANNEE 2'!N32</f>
        <v>7381.7090476190533</v>
      </c>
      <c r="D32" s="14">
        <f>'CR ANNEE 3'!N32</f>
        <v>15516.530000000079</v>
      </c>
      <c r="G32" s="1"/>
      <c r="H32" s="1"/>
      <c r="I32" s="1"/>
      <c r="J32" s="1"/>
      <c r="K32" s="1"/>
      <c r="L32" s="1"/>
    </row>
    <row r="33" spans="1:12" ht="12.75" customHeight="1" x14ac:dyDescent="0.2">
      <c r="A33" s="3"/>
      <c r="C33" s="1"/>
      <c r="D33" s="1"/>
      <c r="G33" s="1"/>
      <c r="H33" s="1"/>
      <c r="I33" s="1"/>
      <c r="J33" s="1"/>
      <c r="K33" s="1"/>
      <c r="L33" s="1"/>
    </row>
    <row r="34" spans="1:12" ht="12.75" customHeight="1" x14ac:dyDescent="0.2">
      <c r="A34" s="3"/>
      <c r="C34" s="1"/>
      <c r="D34" s="1"/>
      <c r="G34" s="1"/>
      <c r="H34" s="1"/>
      <c r="I34" s="1"/>
      <c r="J34" s="1"/>
      <c r="K34" s="1"/>
      <c r="L34" s="1"/>
    </row>
    <row r="35" spans="1:12" ht="12.75" customHeight="1" x14ac:dyDescent="0.2">
      <c r="A35" s="3"/>
      <c r="C35" s="1"/>
      <c r="D35" s="1"/>
      <c r="G35" s="1"/>
      <c r="H35" s="1"/>
      <c r="I35" s="1"/>
      <c r="J35" s="1"/>
      <c r="K35" s="1"/>
      <c r="L35" s="1"/>
    </row>
    <row r="36" spans="1:12" ht="12.75" customHeight="1" x14ac:dyDescent="0.2">
      <c r="A36" s="3"/>
      <c r="C36" s="1"/>
      <c r="D36" s="1"/>
      <c r="G36" s="1"/>
      <c r="H36" s="1"/>
      <c r="I36" s="1"/>
      <c r="J36" s="1"/>
      <c r="K36" s="1"/>
      <c r="L36" s="1"/>
    </row>
    <row r="37" spans="1:12" ht="12.75" customHeight="1" x14ac:dyDescent="0.2">
      <c r="A37" s="3"/>
      <c r="C37" s="1"/>
      <c r="D37" s="1"/>
      <c r="G37" s="1"/>
      <c r="H37" s="1"/>
      <c r="I37" s="1"/>
      <c r="J37" s="1"/>
      <c r="K37" s="1"/>
      <c r="L37" s="1"/>
    </row>
    <row r="38" spans="1:12" ht="12.75" customHeight="1" x14ac:dyDescent="0.2">
      <c r="A38" s="3"/>
      <c r="C38" s="1"/>
      <c r="D38" s="1"/>
      <c r="G38" s="1"/>
      <c r="H38" s="1"/>
      <c r="I38" s="1"/>
      <c r="J38" s="1"/>
      <c r="K38" s="1"/>
      <c r="L38" s="1"/>
    </row>
    <row r="39" spans="1:12" ht="12.75" customHeight="1" x14ac:dyDescent="0.2">
      <c r="A39" s="3"/>
      <c r="C39" s="1"/>
      <c r="D39" s="1"/>
      <c r="G39" s="1"/>
      <c r="H39" s="1"/>
      <c r="I39" s="1"/>
      <c r="J39" s="1"/>
      <c r="K39" s="1"/>
      <c r="L39" s="1"/>
    </row>
    <row r="40" spans="1:12" x14ac:dyDescent="0.2">
      <c r="A40" s="3"/>
      <c r="C40" s="1"/>
      <c r="D40" s="1"/>
      <c r="G40" s="1"/>
      <c r="H40" s="1"/>
      <c r="I40" s="1"/>
      <c r="J40" s="1"/>
      <c r="K40" s="1"/>
      <c r="L40" s="1"/>
    </row>
    <row r="41" spans="1:12" x14ac:dyDescent="0.2">
      <c r="A41" s="3"/>
      <c r="C41" s="1"/>
      <c r="D41" s="1"/>
      <c r="G41" s="1"/>
      <c r="H41" s="1"/>
      <c r="I41" s="1"/>
      <c r="J41" s="1"/>
      <c r="K41" s="1"/>
      <c r="L41" s="1"/>
    </row>
    <row r="42" spans="1:12" ht="27.75" customHeight="1" x14ac:dyDescent="0.2">
      <c r="A42" s="3"/>
      <c r="C42" s="1"/>
      <c r="D42" s="1"/>
      <c r="G42" s="1"/>
      <c r="H42" s="1"/>
      <c r="I42" s="1"/>
      <c r="J42" s="1"/>
      <c r="K42" s="1"/>
      <c r="L42" s="1"/>
    </row>
    <row r="43" spans="1:12" ht="4.5" customHeight="1" x14ac:dyDescent="0.2">
      <c r="A43" s="3"/>
      <c r="C43" s="1"/>
      <c r="D43" s="1"/>
      <c r="G43" s="1"/>
      <c r="H43" s="1"/>
      <c r="I43" s="1"/>
      <c r="J43" s="1"/>
      <c r="K43" s="1"/>
      <c r="L43" s="1"/>
    </row>
    <row r="44" spans="1:12" ht="15" customHeight="1" x14ac:dyDescent="0.2">
      <c r="A44" s="3"/>
      <c r="C44" s="1"/>
      <c r="D44" s="1"/>
      <c r="G44" s="1"/>
      <c r="H44" s="1"/>
      <c r="I44" s="1"/>
      <c r="J44" s="1"/>
      <c r="K44" s="1"/>
      <c r="L44" s="1"/>
    </row>
    <row r="45" spans="1:12" ht="3.75" customHeight="1" x14ac:dyDescent="0.2">
      <c r="A45" s="3"/>
      <c r="C45" s="1"/>
      <c r="D45" s="1"/>
      <c r="G45" s="1"/>
      <c r="H45" s="1"/>
      <c r="I45" s="1"/>
      <c r="J45" s="1"/>
      <c r="K45" s="1"/>
      <c r="L45" s="1"/>
    </row>
    <row r="46" spans="1:12" x14ac:dyDescent="0.2">
      <c r="A46" s="3"/>
      <c r="C46" s="1"/>
      <c r="D46" s="1"/>
      <c r="G46" s="1"/>
      <c r="H46" s="1"/>
      <c r="I46" s="1"/>
      <c r="J46" s="1"/>
      <c r="K46" s="1"/>
      <c r="L46" s="1"/>
    </row>
    <row r="47" spans="1:12" ht="3.75" customHeight="1" x14ac:dyDescent="0.2">
      <c r="A47" s="3"/>
      <c r="C47" s="1"/>
      <c r="D47" s="1"/>
      <c r="G47" s="1"/>
      <c r="H47" s="1"/>
      <c r="I47" s="1"/>
      <c r="J47" s="1"/>
      <c r="K47" s="1"/>
      <c r="L47" s="1"/>
    </row>
    <row r="48" spans="1:12" ht="12" customHeight="1" x14ac:dyDescent="0.2">
      <c r="A48" s="3"/>
      <c r="C48" s="1"/>
      <c r="D48" s="1"/>
      <c r="G48" s="1"/>
      <c r="H48" s="1"/>
      <c r="I48" s="1"/>
      <c r="J48" s="1"/>
      <c r="K48" s="1"/>
      <c r="L48" s="1"/>
    </row>
    <row r="49" spans="1:12" ht="12" customHeight="1" x14ac:dyDescent="0.2">
      <c r="A49" s="3"/>
      <c r="C49" s="1"/>
      <c r="D49" s="1"/>
      <c r="G49" s="1"/>
      <c r="H49" s="1"/>
      <c r="I49" s="1"/>
      <c r="J49" s="1"/>
      <c r="K49" s="1"/>
      <c r="L49" s="1"/>
    </row>
    <row r="50" spans="1:12" x14ac:dyDescent="0.2">
      <c r="A50" s="3"/>
      <c r="C50" s="1"/>
      <c r="D50" s="1"/>
      <c r="G50" s="1"/>
      <c r="H50" s="1"/>
      <c r="I50" s="1"/>
      <c r="J50" s="1"/>
      <c r="K50" s="1"/>
      <c r="L50" s="1"/>
    </row>
    <row r="51" spans="1:12" x14ac:dyDescent="0.2">
      <c r="A51" s="3"/>
      <c r="C51" s="1"/>
      <c r="D51" s="1"/>
      <c r="G51" s="1"/>
      <c r="H51" s="1"/>
      <c r="I51" s="1"/>
      <c r="J51" s="1"/>
      <c r="K51" s="1"/>
      <c r="L51" s="1"/>
    </row>
    <row r="52" spans="1:12" x14ac:dyDescent="0.2">
      <c r="A52" s="3"/>
      <c r="C52" s="1"/>
      <c r="D52" s="1"/>
      <c r="G52" s="1"/>
      <c r="H52" s="1"/>
      <c r="I52" s="1"/>
      <c r="J52" s="1"/>
      <c r="K52" s="1"/>
      <c r="L52" s="1"/>
    </row>
    <row r="53" spans="1:12" x14ac:dyDescent="0.2">
      <c r="A53" s="3"/>
      <c r="C53" s="1"/>
      <c r="D53" s="1"/>
      <c r="G53" s="1"/>
      <c r="H53" s="1"/>
      <c r="I53" s="1"/>
      <c r="J53" s="1"/>
      <c r="K53" s="1"/>
      <c r="L53" s="1"/>
    </row>
    <row r="54" spans="1:12" x14ac:dyDescent="0.2">
      <c r="A54" s="3"/>
      <c r="C54" s="1"/>
      <c r="D54" s="1"/>
      <c r="G54" s="1"/>
      <c r="H54" s="1"/>
      <c r="I54" s="1"/>
      <c r="J54" s="1"/>
      <c r="K54" s="1"/>
      <c r="L54" s="1"/>
    </row>
    <row r="55" spans="1:12" x14ac:dyDescent="0.2">
      <c r="A55" s="3"/>
      <c r="C55" s="1"/>
      <c r="D55" s="1"/>
      <c r="G55" s="1"/>
      <c r="H55" s="1"/>
      <c r="I55" s="1"/>
      <c r="J55" s="1"/>
      <c r="K55" s="1"/>
      <c r="L55" s="1"/>
    </row>
    <row r="56" spans="1:12" x14ac:dyDescent="0.2">
      <c r="A56" s="3"/>
      <c r="C56" s="1"/>
      <c r="D56" s="1"/>
      <c r="G56" s="1"/>
      <c r="H56" s="1"/>
      <c r="I56" s="1"/>
      <c r="J56" s="1"/>
      <c r="K56" s="1"/>
      <c r="L56" s="1"/>
    </row>
    <row r="57" spans="1:12" ht="5.25" customHeight="1" x14ac:dyDescent="0.2">
      <c r="A57" s="3"/>
      <c r="C57" s="1"/>
      <c r="D57" s="1"/>
      <c r="G57" s="1"/>
      <c r="H57" s="1"/>
      <c r="I57" s="1"/>
      <c r="J57" s="1"/>
      <c r="K57" s="1"/>
      <c r="L57" s="1"/>
    </row>
    <row r="58" spans="1:12" x14ac:dyDescent="0.2">
      <c r="A58" s="3"/>
      <c r="C58" s="1"/>
      <c r="D58" s="1"/>
      <c r="G58" s="1"/>
      <c r="H58" s="1"/>
      <c r="I58" s="1"/>
      <c r="J58" s="1"/>
      <c r="K58" s="1"/>
      <c r="L58" s="1"/>
    </row>
    <row r="59" spans="1:12" ht="6.75" customHeight="1" x14ac:dyDescent="0.2">
      <c r="A59" s="3"/>
      <c r="C59" s="1"/>
      <c r="D59" s="1"/>
      <c r="G59" s="1"/>
      <c r="H59" s="1"/>
      <c r="I59" s="1"/>
      <c r="J59" s="1"/>
      <c r="K59" s="1"/>
      <c r="L59" s="1"/>
    </row>
    <row r="60" spans="1:12" x14ac:dyDescent="0.2">
      <c r="A60" s="3"/>
      <c r="C60" s="1"/>
      <c r="D60" s="1"/>
      <c r="G60" s="1"/>
      <c r="H60" s="1"/>
      <c r="I60" s="1"/>
      <c r="J60" s="1"/>
      <c r="K60" s="1"/>
      <c r="L60" s="1"/>
    </row>
    <row r="61" spans="1:12" x14ac:dyDescent="0.2">
      <c r="A61" s="3"/>
      <c r="C61" s="1"/>
      <c r="D61" s="1"/>
      <c r="G61" s="1"/>
      <c r="H61" s="1"/>
      <c r="I61" s="1"/>
      <c r="J61" s="1"/>
      <c r="K61" s="1"/>
      <c r="L61" s="1"/>
    </row>
    <row r="62" spans="1:12" x14ac:dyDescent="0.2">
      <c r="A62" s="3"/>
      <c r="C62" s="1"/>
      <c r="D62" s="1"/>
      <c r="G62" s="1"/>
      <c r="H62" s="1"/>
      <c r="I62" s="1"/>
      <c r="J62" s="1"/>
      <c r="K62" s="1"/>
      <c r="L62" s="1"/>
    </row>
    <row r="63" spans="1:12" x14ac:dyDescent="0.2">
      <c r="A63" s="3"/>
      <c r="C63" s="1"/>
      <c r="D63" s="1"/>
      <c r="G63" s="1"/>
      <c r="H63" s="1"/>
      <c r="I63" s="1"/>
      <c r="J63" s="1"/>
      <c r="K63" s="1"/>
      <c r="L63" s="1"/>
    </row>
    <row r="64" spans="1:12" x14ac:dyDescent="0.2">
      <c r="A64" s="3"/>
      <c r="C64" s="1"/>
      <c r="D64" s="1"/>
      <c r="G64" s="1"/>
      <c r="H64" s="1"/>
      <c r="I64" s="1"/>
      <c r="J64" s="1"/>
      <c r="K64" s="1"/>
      <c r="L64" s="1"/>
    </row>
    <row r="65" spans="1:12" x14ac:dyDescent="0.2">
      <c r="A65" s="3"/>
      <c r="C65" s="1"/>
      <c r="D65" s="1"/>
      <c r="G65" s="1"/>
      <c r="H65" s="1"/>
      <c r="I65" s="1"/>
      <c r="J65" s="1"/>
      <c r="K65" s="1"/>
      <c r="L65" s="1"/>
    </row>
    <row r="66" spans="1:12" x14ac:dyDescent="0.2">
      <c r="A66" s="3"/>
      <c r="C66" s="1"/>
      <c r="D66" s="1"/>
      <c r="G66" s="1"/>
      <c r="H66" s="1"/>
      <c r="I66" s="1"/>
      <c r="J66" s="1"/>
      <c r="K66" s="1"/>
      <c r="L66" s="1"/>
    </row>
    <row r="67" spans="1:12" x14ac:dyDescent="0.2">
      <c r="A67" s="3"/>
      <c r="C67" s="1"/>
      <c r="D67" s="1"/>
      <c r="G67" s="1"/>
      <c r="H67" s="1"/>
      <c r="I67" s="1"/>
      <c r="J67" s="1"/>
      <c r="K67" s="1"/>
      <c r="L67" s="1"/>
    </row>
    <row r="68" spans="1:12" x14ac:dyDescent="0.2">
      <c r="A68" s="3"/>
      <c r="C68" s="1"/>
      <c r="D68" s="1"/>
      <c r="G68" s="1"/>
      <c r="H68" s="1"/>
      <c r="I68" s="1"/>
      <c r="J68" s="1"/>
      <c r="K68" s="1"/>
      <c r="L68" s="1"/>
    </row>
    <row r="69" spans="1:12" x14ac:dyDescent="0.2">
      <c r="A69" s="3"/>
      <c r="C69" s="1"/>
      <c r="D69" s="1"/>
      <c r="G69" s="1"/>
      <c r="H69" s="1"/>
      <c r="I69" s="1"/>
      <c r="J69" s="1"/>
      <c r="K69" s="1"/>
      <c r="L69" s="1"/>
    </row>
    <row r="70" spans="1:12" x14ac:dyDescent="0.2">
      <c r="A70" s="3"/>
      <c r="C70" s="1"/>
      <c r="D70" s="1"/>
      <c r="G70" s="1"/>
      <c r="H70" s="1"/>
      <c r="I70" s="1"/>
      <c r="J70" s="1"/>
      <c r="K70" s="1"/>
      <c r="L70" s="1"/>
    </row>
    <row r="71" spans="1:12" x14ac:dyDescent="0.2">
      <c r="A71" s="3"/>
      <c r="C71" s="1"/>
      <c r="D71" s="1"/>
      <c r="G71" s="1"/>
      <c r="H71" s="1"/>
      <c r="I71" s="1"/>
      <c r="J71" s="1"/>
      <c r="K71" s="1"/>
      <c r="L71" s="1"/>
    </row>
    <row r="72" spans="1:12" x14ac:dyDescent="0.2">
      <c r="A72" s="3"/>
      <c r="C72" s="1"/>
      <c r="D72" s="1"/>
      <c r="G72" s="1"/>
      <c r="H72" s="1"/>
      <c r="I72" s="1"/>
      <c r="J72" s="1"/>
      <c r="K72" s="1"/>
      <c r="L72" s="1"/>
    </row>
    <row r="73" spans="1:12" x14ac:dyDescent="0.2">
      <c r="A73" s="3"/>
      <c r="C73" s="1"/>
      <c r="D73" s="1"/>
      <c r="G73" s="1"/>
      <c r="H73" s="1"/>
      <c r="I73" s="1"/>
      <c r="J73" s="1"/>
      <c r="K73" s="1"/>
      <c r="L73" s="1"/>
    </row>
    <row r="74" spans="1:12" x14ac:dyDescent="0.2">
      <c r="A74" s="3"/>
      <c r="C74" s="1"/>
      <c r="D74" s="1"/>
      <c r="G74" s="1"/>
      <c r="H74" s="1"/>
      <c r="I74" s="1"/>
      <c r="J74" s="1"/>
      <c r="K74" s="1"/>
      <c r="L74" s="1"/>
    </row>
    <row r="75" spans="1:12" x14ac:dyDescent="0.2">
      <c r="A75" s="3"/>
      <c r="C75" s="1"/>
      <c r="D75" s="1"/>
      <c r="G75" s="1"/>
      <c r="H75" s="1"/>
      <c r="I75" s="1"/>
      <c r="J75" s="1"/>
      <c r="K75" s="1"/>
      <c r="L75" s="1"/>
    </row>
    <row r="76" spans="1:12" x14ac:dyDescent="0.2">
      <c r="A76" s="3"/>
      <c r="C76" s="1"/>
      <c r="D76" s="1"/>
      <c r="G76" s="1"/>
      <c r="H76" s="1"/>
      <c r="I76" s="1"/>
      <c r="J76" s="1"/>
      <c r="K76" s="1"/>
      <c r="L76" s="1"/>
    </row>
    <row r="77" spans="1:12" x14ac:dyDescent="0.2">
      <c r="A77" s="3"/>
      <c r="C77" s="1"/>
      <c r="D77" s="1"/>
      <c r="G77" s="1"/>
      <c r="H77" s="1"/>
      <c r="I77" s="1"/>
      <c r="J77" s="1"/>
      <c r="K77" s="1"/>
      <c r="L77" s="1"/>
    </row>
    <row r="78" spans="1:12" x14ac:dyDescent="0.2">
      <c r="A78" s="3"/>
      <c r="C78" s="1"/>
      <c r="D78" s="1"/>
      <c r="G78" s="1"/>
      <c r="H78" s="1"/>
      <c r="I78" s="1"/>
      <c r="J78" s="1"/>
      <c r="K78" s="1"/>
      <c r="L78" s="1"/>
    </row>
    <row r="79" spans="1:12" x14ac:dyDescent="0.2">
      <c r="A79" s="3"/>
      <c r="C79" s="1"/>
      <c r="D79" s="1"/>
      <c r="G79" s="1"/>
      <c r="H79" s="1"/>
      <c r="I79" s="1"/>
      <c r="J79" s="1"/>
      <c r="K79" s="1"/>
      <c r="L79" s="1"/>
    </row>
    <row r="80" spans="1:12" x14ac:dyDescent="0.2">
      <c r="A80" s="3"/>
      <c r="C80" s="1"/>
      <c r="D80" s="1"/>
      <c r="G80" s="1"/>
      <c r="H80" s="1"/>
      <c r="I80" s="1"/>
      <c r="J80" s="1"/>
      <c r="K80" s="1"/>
      <c r="L80" s="1"/>
    </row>
    <row r="81" spans="1:12" x14ac:dyDescent="0.2">
      <c r="A81" s="3"/>
      <c r="C81" s="1"/>
      <c r="D81" s="1"/>
      <c r="G81" s="1"/>
      <c r="H81" s="1"/>
      <c r="I81" s="1"/>
      <c r="J81" s="1"/>
      <c r="K81" s="1"/>
      <c r="L81" s="1"/>
    </row>
    <row r="82" spans="1:12" x14ac:dyDescent="0.2">
      <c r="C82" s="1"/>
      <c r="D82" s="1"/>
    </row>
  </sheetData>
  <phoneticPr fontId="0" type="noConversion"/>
  <printOptions horizontalCentered="1" verticalCentered="1"/>
  <pageMargins left="0.51181102362204722" right="0.55118110236220474" top="0.81" bottom="0.35433070866141736" header="0.52" footer="0.11811023622047245"/>
  <pageSetup paperSize="9" orientation="portrait" horizontalDpi="4294967295" r:id="rId1"/>
  <headerFooter alignWithMargins="0">
    <oddHeader>&amp;CCOMPTE DE RESULTAT SUR 3 ANS</oddHeader>
    <oddFooter>&amp;LNC, le &amp;D, page 2/9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2" workbookViewId="0">
      <selection activeCell="A6" sqref="A6"/>
    </sheetView>
  </sheetViews>
  <sheetFormatPr baseColWidth="10" defaultRowHeight="12.75" x14ac:dyDescent="0.2"/>
  <cols>
    <col min="1" max="1" width="30.7109375" customWidth="1"/>
    <col min="2" max="2" width="7.7109375" bestFit="1" customWidth="1"/>
    <col min="3" max="3" width="7.42578125" bestFit="1" customWidth="1"/>
    <col min="4" max="4" width="7.140625" bestFit="1" customWidth="1"/>
    <col min="5" max="8" width="8.140625" bestFit="1" customWidth="1"/>
    <col min="9" max="9" width="7.140625" customWidth="1"/>
    <col min="10" max="10" width="9.7109375" customWidth="1"/>
    <col min="11" max="11" width="10.28515625" customWidth="1"/>
    <col min="12" max="12" width="10.42578125" customWidth="1"/>
    <col min="13" max="13" width="10.7109375" customWidth="1"/>
    <col min="15" max="15" width="8.85546875" customWidth="1"/>
  </cols>
  <sheetData>
    <row r="1" spans="1:15" ht="15.75" x14ac:dyDescent="0.2">
      <c r="A1" s="146" t="s">
        <v>90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7"/>
      <c r="O1" s="147"/>
    </row>
    <row r="2" spans="1:15" ht="35.25" customHeight="1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ht="38.25" x14ac:dyDescent="0.2">
      <c r="A3" s="149" t="s">
        <v>75</v>
      </c>
      <c r="B3" s="150" t="s">
        <v>0</v>
      </c>
      <c r="C3" s="150" t="s">
        <v>1</v>
      </c>
      <c r="D3" s="150" t="s">
        <v>2</v>
      </c>
      <c r="E3" s="150" t="s">
        <v>3</v>
      </c>
      <c r="F3" s="150" t="s">
        <v>28</v>
      </c>
      <c r="G3" s="150" t="s">
        <v>4</v>
      </c>
      <c r="H3" s="150" t="s">
        <v>108</v>
      </c>
      <c r="I3" s="150" t="s">
        <v>109</v>
      </c>
      <c r="J3" s="150" t="s">
        <v>164</v>
      </c>
      <c r="K3" s="150" t="s">
        <v>111</v>
      </c>
      <c r="L3" s="150" t="s">
        <v>112</v>
      </c>
      <c r="M3" s="150" t="s">
        <v>113</v>
      </c>
      <c r="N3" s="150" t="s">
        <v>5</v>
      </c>
      <c r="O3" s="150" t="s">
        <v>84</v>
      </c>
    </row>
    <row r="4" spans="1:15" x14ac:dyDescent="0.2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>
        <f>SUM(B4:G4)</f>
        <v>0</v>
      </c>
      <c r="O4" s="152"/>
    </row>
    <row r="5" spans="1:15" x14ac:dyDescent="0.2">
      <c r="A5" s="151" t="s">
        <v>72</v>
      </c>
      <c r="B5" s="152"/>
      <c r="C5" s="152"/>
      <c r="D5" s="152">
        <f>+'CR ANNEE 1'!B4</f>
        <v>0</v>
      </c>
      <c r="E5" s="152">
        <f>+'CR ANNEE 1'!C4</f>
        <v>0</v>
      </c>
      <c r="F5" s="152">
        <f>+'CR ANNEE 1'!D4</f>
        <v>0</v>
      </c>
      <c r="G5" s="152">
        <f>+'CR ANNEE 1'!E4</f>
        <v>10</v>
      </c>
      <c r="H5" s="152">
        <f>+'CR ANNEE 1'!F4</f>
        <v>0</v>
      </c>
      <c r="I5" s="152">
        <f>+'CR ANNEE 1'!G4</f>
        <v>0</v>
      </c>
      <c r="J5" s="152">
        <f>+'CR ANNEE 1'!H4</f>
        <v>0</v>
      </c>
      <c r="K5" s="152">
        <f>+'CR ANNEE 1'!I4</f>
        <v>10000</v>
      </c>
      <c r="L5" s="152">
        <f>+'CR ANNEE 1'!J4</f>
        <v>0</v>
      </c>
      <c r="M5" s="152">
        <f>+'CR ANNEE 1'!K4</f>
        <v>10000</v>
      </c>
      <c r="N5" s="152">
        <f>SUM(B5:M5)</f>
        <v>20010</v>
      </c>
      <c r="O5" s="152">
        <f>+'CR ANNEE 1'!N4-'besoin tréso exploit°'!N5</f>
        <v>10000</v>
      </c>
    </row>
    <row r="6" spans="1:15" ht="25.5" x14ac:dyDescent="0.2">
      <c r="A6" s="153" t="s">
        <v>126</v>
      </c>
      <c r="B6" s="152">
        <f>+'CR ANNEE 1'!B5</f>
        <v>0</v>
      </c>
      <c r="C6" s="152">
        <f>+'CR ANNEE 1'!C5</f>
        <v>0</v>
      </c>
      <c r="D6" s="152">
        <f>+'CR ANNEE 1'!D5</f>
        <v>0</v>
      </c>
      <c r="E6" s="152">
        <f>+'CR ANNEE 1'!E5</f>
        <v>0</v>
      </c>
      <c r="F6" s="152">
        <f>+'CR ANNEE 1'!F5</f>
        <v>0</v>
      </c>
      <c r="G6" s="152">
        <f>+'CR ANNEE 1'!G5</f>
        <v>0</v>
      </c>
      <c r="H6" s="152">
        <f>+'CR ANNEE 1'!H5</f>
        <v>0</v>
      </c>
      <c r="I6" s="152">
        <f>+'CR ANNEE 1'!I5</f>
        <v>0</v>
      </c>
      <c r="J6" s="152">
        <f>+'CR ANNEE 1'!J5</f>
        <v>0</v>
      </c>
      <c r="K6" s="152">
        <f>+'CR ANNEE 1'!K5</f>
        <v>0</v>
      </c>
      <c r="L6" s="152">
        <f>+'CR ANNEE 1'!L5</f>
        <v>0</v>
      </c>
      <c r="M6" s="152">
        <f>+'CR ANNEE 1'!M5</f>
        <v>0</v>
      </c>
      <c r="N6" s="152">
        <f t="shared" ref="N6:N23" si="0">SUM(B6:M6)</f>
        <v>0</v>
      </c>
      <c r="O6" s="152">
        <f>+'CR ANNEE 1'!N5-'besoin tréso exploit°'!N6</f>
        <v>0</v>
      </c>
    </row>
    <row r="7" spans="1:15" x14ac:dyDescent="0.2">
      <c r="A7" s="154" t="s">
        <v>114</v>
      </c>
      <c r="B7" s="152"/>
      <c r="C7" s="152">
        <f>+'CR ANNEE 1'!B6</f>
        <v>0</v>
      </c>
      <c r="D7" s="152">
        <f>+'CR ANNEE 1'!C6</f>
        <v>0</v>
      </c>
      <c r="E7" s="152">
        <f>+'CR ANNEE 1'!D6</f>
        <v>0</v>
      </c>
      <c r="F7" s="152">
        <f>+'CR ANNEE 1'!E6</f>
        <v>0</v>
      </c>
      <c r="G7" s="152">
        <f>+'CR ANNEE 1'!F6</f>
        <v>0</v>
      </c>
      <c r="H7" s="152">
        <f>+'CR ANNEE 1'!G6</f>
        <v>0</v>
      </c>
      <c r="I7" s="152">
        <f>+'CR ANNEE 1'!H6</f>
        <v>0</v>
      </c>
      <c r="J7" s="152">
        <f>+'CR ANNEE 1'!I6</f>
        <v>0</v>
      </c>
      <c r="K7" s="152">
        <f>+'CR ANNEE 1'!J6</f>
        <v>0</v>
      </c>
      <c r="L7" s="152">
        <f>+'CR ANNEE 1'!K6</f>
        <v>0</v>
      </c>
      <c r="M7" s="152">
        <f>+'CR ANNEE 1'!L6</f>
        <v>0</v>
      </c>
      <c r="N7" s="152">
        <f t="shared" si="0"/>
        <v>0</v>
      </c>
      <c r="O7" s="152">
        <f>+'CR ANNEE 1'!N6-'besoin tréso exploit°'!N7</f>
        <v>0</v>
      </c>
    </row>
    <row r="8" spans="1:15" x14ac:dyDescent="0.2">
      <c r="A8" s="155" t="s">
        <v>115</v>
      </c>
      <c r="B8" s="152">
        <f>+'CR ANNEE 1'!B7</f>
        <v>0</v>
      </c>
      <c r="C8" s="152">
        <f>+'CR ANNEE 1'!C7</f>
        <v>0</v>
      </c>
      <c r="D8" s="152">
        <f>+'CR ANNEE 1'!D7</f>
        <v>0</v>
      </c>
      <c r="E8" s="152">
        <f>+'CR ANNEE 1'!E7</f>
        <v>0</v>
      </c>
      <c r="F8" s="152">
        <f>+'CR ANNEE 1'!F7</f>
        <v>0</v>
      </c>
      <c r="G8" s="152">
        <f>+'CR ANNEE 1'!G7</f>
        <v>0</v>
      </c>
      <c r="H8" s="152">
        <f>+'CR ANNEE 1'!H7</f>
        <v>0</v>
      </c>
      <c r="I8" s="152">
        <f>+'CR ANNEE 1'!I7</f>
        <v>0</v>
      </c>
      <c r="J8" s="152">
        <f>+'CR ANNEE 1'!J7</f>
        <v>0</v>
      </c>
      <c r="K8" s="152">
        <f>+'CR ANNEE 1'!K7</f>
        <v>0</v>
      </c>
      <c r="L8" s="152">
        <f>+'CR ANNEE 1'!L7</f>
        <v>0</v>
      </c>
      <c r="M8" s="152">
        <f>+'CR ANNEE 1'!M7</f>
        <v>0</v>
      </c>
      <c r="N8" s="152">
        <f t="shared" si="0"/>
        <v>0</v>
      </c>
      <c r="O8" s="152">
        <f>+'CR ANNEE 1'!N7-'besoin tréso exploit°'!N8</f>
        <v>0</v>
      </c>
    </row>
    <row r="9" spans="1:15" x14ac:dyDescent="0.2">
      <c r="A9" s="154" t="s">
        <v>116</v>
      </c>
      <c r="B9" s="156">
        <f>+'CR ANNEE 1'!B10+'CR ANNEE 1'!C10+'CR ANNEE 1'!D10</f>
        <v>-30</v>
      </c>
      <c r="C9" s="156"/>
      <c r="D9" s="156"/>
      <c r="E9" s="156">
        <f>+'CR ANNEE 1'!E10+'CR ANNEE 1'!F10+'CR ANNEE 1'!G10</f>
        <v>-30</v>
      </c>
      <c r="F9" s="156"/>
      <c r="G9" s="156"/>
      <c r="H9" s="156">
        <f>+'CR ANNEE 1'!H10+'CR ANNEE 1'!I10+'CR ANNEE 1'!J10</f>
        <v>-30</v>
      </c>
      <c r="I9" s="156"/>
      <c r="J9" s="156"/>
      <c r="K9" s="156">
        <f>+'CR ANNEE 1'!K10+'CR ANNEE 1'!L10+'CR ANNEE 1'!M10</f>
        <v>-30</v>
      </c>
      <c r="L9" s="156"/>
      <c r="M9" s="156"/>
      <c r="N9" s="152">
        <f t="shared" si="0"/>
        <v>-120</v>
      </c>
      <c r="O9" s="152">
        <f>+'CR ANNEE 1'!N10-'besoin tréso exploit°'!N9</f>
        <v>0</v>
      </c>
    </row>
    <row r="10" spans="1:15" x14ac:dyDescent="0.2">
      <c r="A10" s="154" t="str">
        <f>+'CR ANNEE 1'!A11</f>
        <v>Loyer des machines / License logicielle(-)</v>
      </c>
      <c r="B10" s="154">
        <f>+'CR ANNEE 1'!B11</f>
        <v>-6000</v>
      </c>
      <c r="C10" s="154">
        <f>+'CR ANNEE 1'!C11</f>
        <v>0</v>
      </c>
      <c r="D10" s="154">
        <f>+'CR ANNEE 1'!D11</f>
        <v>0</v>
      </c>
      <c r="E10" s="154">
        <f>+'CR ANNEE 1'!E11</f>
        <v>0</v>
      </c>
      <c r="F10" s="154">
        <f>+'CR ANNEE 1'!F11</f>
        <v>0</v>
      </c>
      <c r="G10" s="154">
        <f>+'CR ANNEE 1'!G11</f>
        <v>0</v>
      </c>
      <c r="H10" s="154">
        <f>+'CR ANNEE 1'!H11</f>
        <v>0</v>
      </c>
      <c r="I10" s="154">
        <f>+'CR ANNEE 1'!I11</f>
        <v>0</v>
      </c>
      <c r="J10" s="154">
        <f>+'CR ANNEE 1'!J11</f>
        <v>0</v>
      </c>
      <c r="K10" s="154">
        <f>+'CR ANNEE 1'!K11</f>
        <v>0</v>
      </c>
      <c r="L10" s="154">
        <f>+'CR ANNEE 1'!L11</f>
        <v>0</v>
      </c>
      <c r="M10" s="154">
        <f>+'CR ANNEE 1'!M11</f>
        <v>0</v>
      </c>
      <c r="N10" s="152">
        <f t="shared" si="0"/>
        <v>-6000</v>
      </c>
      <c r="O10" s="152"/>
    </row>
    <row r="11" spans="1:15" x14ac:dyDescent="0.2">
      <c r="A11" s="154" t="s">
        <v>117</v>
      </c>
      <c r="B11" s="156">
        <f>+'CR ANNEE 1'!B12+'CR ANNEE 1'!C12+'CR ANNEE 1'!D12</f>
        <v>-50</v>
      </c>
      <c r="C11" s="156"/>
      <c r="D11" s="156"/>
      <c r="E11" s="156">
        <f>+'CR ANNEE 1'!E12+'CR ANNEE 1'!F12+'CR ANNEE 1'!G12</f>
        <v>-50</v>
      </c>
      <c r="F11" s="156"/>
      <c r="G11" s="156"/>
      <c r="H11" s="156">
        <f>+'CR ANNEE 1'!H12+'CR ANNEE 1'!I12+'CR ANNEE 1'!J12</f>
        <v>-50</v>
      </c>
      <c r="I11" s="156"/>
      <c r="J11" s="156"/>
      <c r="K11" s="156">
        <f>+'CR ANNEE 1'!K12+'CR ANNEE 1'!L12+'CR ANNEE 1'!M12</f>
        <v>-50</v>
      </c>
      <c r="L11" s="156"/>
      <c r="M11" s="156"/>
      <c r="N11" s="152">
        <f t="shared" si="0"/>
        <v>-200</v>
      </c>
      <c r="O11" s="152">
        <f>+'CR ANNEE 1'!N12-'besoin tréso exploit°'!N11</f>
        <v>0</v>
      </c>
    </row>
    <row r="12" spans="1:15" x14ac:dyDescent="0.2">
      <c r="A12" s="157" t="str">
        <f>+'CR ANNEE 1'!A13</f>
        <v>Fournitures et consommables (-)</v>
      </c>
      <c r="B12" s="156">
        <f>+'CR ANNEE 1'!B13</f>
        <v>-100</v>
      </c>
      <c r="C12" s="156">
        <f>+'CR ANNEE 1'!C13</f>
        <v>0</v>
      </c>
      <c r="D12" s="156">
        <f>+'CR ANNEE 1'!D13</f>
        <v>0</v>
      </c>
      <c r="E12" s="156">
        <f>+'CR ANNEE 1'!E13</f>
        <v>0</v>
      </c>
      <c r="F12" s="156">
        <f>+'CR ANNEE 1'!F13</f>
        <v>-50</v>
      </c>
      <c r="G12" s="156">
        <f>+'CR ANNEE 1'!G13</f>
        <v>0</v>
      </c>
      <c r="H12" s="156">
        <f>+'CR ANNEE 1'!H13</f>
        <v>0</v>
      </c>
      <c r="I12" s="156">
        <f>+'CR ANNEE 1'!I13</f>
        <v>-50</v>
      </c>
      <c r="J12" s="156">
        <f>+'CR ANNEE 1'!J13</f>
        <v>0</v>
      </c>
      <c r="K12" s="156">
        <f>+'CR ANNEE 1'!K13</f>
        <v>0</v>
      </c>
      <c r="L12" s="156">
        <f>+'CR ANNEE 1'!L13</f>
        <v>-50</v>
      </c>
      <c r="M12" s="156">
        <f>+'CR ANNEE 1'!M13</f>
        <v>0</v>
      </c>
      <c r="N12" s="152">
        <f t="shared" si="0"/>
        <v>-250</v>
      </c>
      <c r="O12" s="152">
        <f>+'CR ANNEE 1'!N16-'besoin tréso exploit°'!N12</f>
        <v>-2749.666666666667</v>
      </c>
    </row>
    <row r="13" spans="1:15" x14ac:dyDescent="0.2">
      <c r="A13" s="157" t="str">
        <f>+'CR ANNEE 1'!A14</f>
        <v>Electricité (-) **</v>
      </c>
      <c r="B13" s="156">
        <f>+'CR ANNEE 1'!B14</f>
        <v>0</v>
      </c>
      <c r="C13" s="156">
        <f>+'CR ANNEE 1'!C14</f>
        <v>0</v>
      </c>
      <c r="D13" s="156">
        <f>+'CR ANNEE 1'!D14</f>
        <v>0</v>
      </c>
      <c r="E13" s="156">
        <f>+'CR ANNEE 1'!E14</f>
        <v>0</v>
      </c>
      <c r="F13" s="156">
        <f>+'CR ANNEE 1'!F14</f>
        <v>0</v>
      </c>
      <c r="G13" s="156">
        <f>+'CR ANNEE 1'!G14</f>
        <v>0</v>
      </c>
      <c r="H13" s="156">
        <f>+'CR ANNEE 1'!H14</f>
        <v>0</v>
      </c>
      <c r="I13" s="156">
        <f>+'CR ANNEE 1'!I14</f>
        <v>0</v>
      </c>
      <c r="J13" s="156">
        <f>+'CR ANNEE 1'!J14</f>
        <v>0</v>
      </c>
      <c r="K13" s="156">
        <f>+'CR ANNEE 1'!K14</f>
        <v>0</v>
      </c>
      <c r="L13" s="156">
        <f>+'CR ANNEE 1'!L14</f>
        <v>0</v>
      </c>
      <c r="M13" s="156">
        <f>+'CR ANNEE 1'!M14</f>
        <v>0</v>
      </c>
      <c r="N13" s="152">
        <f t="shared" si="0"/>
        <v>0</v>
      </c>
      <c r="O13" s="152">
        <f>+'CR ANNEE 1'!N17-'besoin tréso exploit°'!N13</f>
        <v>-385</v>
      </c>
    </row>
    <row r="14" spans="1:15" x14ac:dyDescent="0.2">
      <c r="A14" s="157" t="str">
        <f>+'CR ANNEE 1'!A15</f>
        <v>Intérim (-)</v>
      </c>
      <c r="B14" s="156">
        <f>+'CR ANNEE 1'!B15</f>
        <v>0</v>
      </c>
      <c r="C14" s="156">
        <f>+'CR ANNEE 1'!C15</f>
        <v>0</v>
      </c>
      <c r="D14" s="156">
        <f>+'CR ANNEE 1'!D15</f>
        <v>0</v>
      </c>
      <c r="E14" s="156">
        <f>+'CR ANNEE 1'!E15</f>
        <v>0</v>
      </c>
      <c r="F14" s="156">
        <f>+'CR ANNEE 1'!F15</f>
        <v>0</v>
      </c>
      <c r="G14" s="156">
        <f>+'CR ANNEE 1'!G15</f>
        <v>0</v>
      </c>
      <c r="H14" s="156">
        <f>+'CR ANNEE 1'!H15</f>
        <v>0</v>
      </c>
      <c r="I14" s="156">
        <f>+'CR ANNEE 1'!I15</f>
        <v>0</v>
      </c>
      <c r="J14" s="156">
        <f>+'CR ANNEE 1'!J15</f>
        <v>0</v>
      </c>
      <c r="K14" s="156">
        <f>+'CR ANNEE 1'!K15</f>
        <v>0</v>
      </c>
      <c r="L14" s="156">
        <f>+'CR ANNEE 1'!L15</f>
        <v>0</v>
      </c>
      <c r="M14" s="156">
        <f>+'CR ANNEE 1'!M15</f>
        <v>0</v>
      </c>
      <c r="N14" s="152">
        <f t="shared" si="0"/>
        <v>0</v>
      </c>
      <c r="O14" s="152">
        <f>+'CR ANNEE 1'!N18-'besoin tréso exploit°'!N14</f>
        <v>-500</v>
      </c>
    </row>
    <row r="15" spans="1:15" x14ac:dyDescent="0.2">
      <c r="A15" s="154" t="s">
        <v>118</v>
      </c>
      <c r="B15" s="156"/>
      <c r="C15" s="156">
        <f>+'CR ANNEE 1'!B16</f>
        <v>-708</v>
      </c>
      <c r="D15" s="156">
        <f>+'CR ANNEE 1'!C16</f>
        <v>-208.33333333333334</v>
      </c>
      <c r="E15" s="156">
        <f>+'CR ANNEE 1'!D16</f>
        <v>-208.33333333333334</v>
      </c>
      <c r="F15" s="156">
        <f>+'CR ANNEE 1'!E16</f>
        <v>-208.33333333333334</v>
      </c>
      <c r="G15" s="156">
        <f>+'CR ANNEE 1'!F16</f>
        <v>-208.33333333333334</v>
      </c>
      <c r="H15" s="156">
        <f>+'CR ANNEE 1'!G16</f>
        <v>-208.33333333333334</v>
      </c>
      <c r="I15" s="156">
        <f>+'CR ANNEE 1'!H16</f>
        <v>-208.33333333333334</v>
      </c>
      <c r="J15" s="156">
        <f>+'CR ANNEE 1'!I16</f>
        <v>-208.33333333333334</v>
      </c>
      <c r="K15" s="156">
        <f>+'CR ANNEE 1'!J16</f>
        <v>-208.33333333333334</v>
      </c>
      <c r="L15" s="156">
        <f>+'CR ANNEE 1'!K16</f>
        <v>-208.33333333333334</v>
      </c>
      <c r="M15" s="156">
        <f>+'CR ANNEE 1'!L16</f>
        <v>-208.33333333333334</v>
      </c>
      <c r="N15" s="152">
        <f t="shared" si="0"/>
        <v>-2791.3333333333335</v>
      </c>
      <c r="O15" s="152">
        <f>+'CR ANNEE 1'!N19-'besoin tréso exploit°'!N15</f>
        <v>191.33333333333348</v>
      </c>
    </row>
    <row r="16" spans="1:15" x14ac:dyDescent="0.2">
      <c r="A16" s="154" t="s">
        <v>119</v>
      </c>
      <c r="B16" s="156">
        <f>+'CR ANNEE 1'!B17</f>
        <v>-30</v>
      </c>
      <c r="C16" s="156">
        <f>+'CR ANNEE 1'!C17</f>
        <v>-30</v>
      </c>
      <c r="D16" s="156">
        <f>+'CR ANNEE 1'!D17</f>
        <v>-30</v>
      </c>
      <c r="E16" s="156">
        <f>+'CR ANNEE 1'!E17</f>
        <v>-30</v>
      </c>
      <c r="F16" s="156">
        <f>+'CR ANNEE 1'!F17</f>
        <v>-30</v>
      </c>
      <c r="G16" s="156">
        <f>+'CR ANNEE 1'!G17</f>
        <v>-30</v>
      </c>
      <c r="H16" s="156">
        <f>+'CR ANNEE 1'!H17</f>
        <v>-30</v>
      </c>
      <c r="I16" s="156">
        <f>+'CR ANNEE 1'!I17</f>
        <v>-35</v>
      </c>
      <c r="J16" s="156">
        <f>+'CR ANNEE 1'!J17</f>
        <v>-35</v>
      </c>
      <c r="K16" s="156">
        <f>+'CR ANNEE 1'!K17</f>
        <v>-35</v>
      </c>
      <c r="L16" s="156">
        <f>+'CR ANNEE 1'!L17</f>
        <v>-35</v>
      </c>
      <c r="M16" s="156">
        <f>+'CR ANNEE 1'!M17</f>
        <v>-35</v>
      </c>
      <c r="N16" s="152">
        <f t="shared" si="0"/>
        <v>-385</v>
      </c>
      <c r="O16" s="152">
        <f>+'CR ANNEE 1'!N22-'besoin tréso exploit°'!N16</f>
        <v>385</v>
      </c>
    </row>
    <row r="17" spans="1:15" x14ac:dyDescent="0.2">
      <c r="A17" s="154" t="s">
        <v>120</v>
      </c>
      <c r="B17" s="156"/>
      <c r="C17" s="156">
        <f>+'CR ANNEE 1'!B18</f>
        <v>0</v>
      </c>
      <c r="D17" s="156">
        <f>+'CR ANNEE 1'!C18</f>
        <v>-50</v>
      </c>
      <c r="E17" s="156">
        <f>+'CR ANNEE 1'!D18</f>
        <v>0</v>
      </c>
      <c r="F17" s="156">
        <f>+'CR ANNEE 1'!E18</f>
        <v>0</v>
      </c>
      <c r="G17" s="156">
        <f>+'CR ANNEE 1'!F18</f>
        <v>0</v>
      </c>
      <c r="H17" s="156">
        <f>+'CR ANNEE 1'!G18</f>
        <v>-50</v>
      </c>
      <c r="I17" s="156">
        <f>+'CR ANNEE 1'!H18</f>
        <v>0</v>
      </c>
      <c r="J17" s="156">
        <f>+'CR ANNEE 1'!I18</f>
        <v>-200</v>
      </c>
      <c r="K17" s="156">
        <f>+'CR ANNEE 1'!J18</f>
        <v>-50</v>
      </c>
      <c r="L17" s="156">
        <f>+'CR ANNEE 1'!K18</f>
        <v>-50</v>
      </c>
      <c r="M17" s="156">
        <f>+'CR ANNEE 1'!L18</f>
        <v>-50</v>
      </c>
      <c r="N17" s="152">
        <f t="shared" si="0"/>
        <v>-450</v>
      </c>
      <c r="O17" s="152">
        <f>+'CR ANNEE 1'!N23-'besoin tréso exploit°'!N17</f>
        <v>450</v>
      </c>
    </row>
    <row r="18" spans="1:15" x14ac:dyDescent="0.2">
      <c r="A18" s="154" t="s">
        <v>121</v>
      </c>
      <c r="B18" s="156">
        <f>+'CR ANNEE 1'!B19</f>
        <v>0</v>
      </c>
      <c r="C18" s="156">
        <f>+'CR ANNEE 1'!C19</f>
        <v>0</v>
      </c>
      <c r="D18" s="156">
        <f>+'CR ANNEE 1'!D19</f>
        <v>0</v>
      </c>
      <c r="E18" s="156">
        <f>+'CR ANNEE 1'!E19</f>
        <v>-500</v>
      </c>
      <c r="F18" s="156">
        <f>+'CR ANNEE 1'!F19</f>
        <v>0</v>
      </c>
      <c r="G18" s="156">
        <f>+'CR ANNEE 1'!G19</f>
        <v>-1100</v>
      </c>
      <c r="H18" s="156">
        <f>+'CR ANNEE 1'!H19</f>
        <v>0</v>
      </c>
      <c r="I18" s="156">
        <f>+'CR ANNEE 1'!I19</f>
        <v>0</v>
      </c>
      <c r="J18" s="156">
        <f>+'CR ANNEE 1'!J19</f>
        <v>-1000</v>
      </c>
      <c r="K18" s="156">
        <f>+'CR ANNEE 1'!K19</f>
        <v>0</v>
      </c>
      <c r="L18" s="156">
        <f>+'CR ANNEE 1'!L19</f>
        <v>0</v>
      </c>
      <c r="M18" s="156">
        <f>+'CR ANNEE 1'!M19</f>
        <v>0</v>
      </c>
      <c r="N18" s="152">
        <f t="shared" si="0"/>
        <v>-2600</v>
      </c>
      <c r="O18" s="152"/>
    </row>
    <row r="19" spans="1:15" x14ac:dyDescent="0.2">
      <c r="A19" s="154" t="s">
        <v>122</v>
      </c>
      <c r="B19" s="156">
        <f>'CR ANNEE 1'!B22</f>
        <v>0</v>
      </c>
      <c r="C19" s="156">
        <f>'CR ANNEE 1'!C22</f>
        <v>0</v>
      </c>
      <c r="D19" s="156">
        <f>'CR ANNEE 1'!D22</f>
        <v>0</v>
      </c>
      <c r="E19" s="156">
        <f>'CR ANNEE 1'!E22</f>
        <v>0</v>
      </c>
      <c r="F19" s="156">
        <f>'CR ANNEE 1'!F22</f>
        <v>0</v>
      </c>
      <c r="G19" s="156">
        <f>'CR ANNEE 1'!G22</f>
        <v>0</v>
      </c>
      <c r="H19" s="156">
        <f>'CR ANNEE 1'!H22</f>
        <v>0</v>
      </c>
      <c r="I19" s="156">
        <f>'CR ANNEE 1'!I22</f>
        <v>0</v>
      </c>
      <c r="J19" s="156">
        <f>'CR ANNEE 1'!J22</f>
        <v>0</v>
      </c>
      <c r="K19" s="156">
        <f>'CR ANNEE 1'!K22</f>
        <v>0</v>
      </c>
      <c r="L19" s="156">
        <f>'CR ANNEE 1'!L22</f>
        <v>0</v>
      </c>
      <c r="M19" s="156">
        <f>'CR ANNEE 1'!M22</f>
        <v>0</v>
      </c>
      <c r="N19" s="152">
        <f t="shared" si="0"/>
        <v>0</v>
      </c>
      <c r="O19" s="152"/>
    </row>
    <row r="20" spans="1:15" x14ac:dyDescent="0.2">
      <c r="A20" s="154" t="s">
        <v>142</v>
      </c>
      <c r="B20" s="156"/>
      <c r="C20" s="156">
        <f>+'CR ANNEE 1'!B23</f>
        <v>0</v>
      </c>
      <c r="D20" s="156">
        <f>+'CR ANNEE 1'!C23</f>
        <v>0</v>
      </c>
      <c r="E20" s="156">
        <f>+'CR ANNEE 1'!D23</f>
        <v>0</v>
      </c>
      <c r="F20" s="156">
        <f>+'CR ANNEE 1'!E23</f>
        <v>0</v>
      </c>
      <c r="G20" s="156">
        <f>+'CR ANNEE 1'!F23</f>
        <v>0</v>
      </c>
      <c r="H20" s="156">
        <f>+'CR ANNEE 1'!G23</f>
        <v>0</v>
      </c>
      <c r="I20" s="156">
        <f>+'CR ANNEE 1'!H23</f>
        <v>0</v>
      </c>
      <c r="J20" s="156">
        <f>+'CR ANNEE 1'!I23</f>
        <v>0</v>
      </c>
      <c r="K20" s="156">
        <f>+'CR ANNEE 1'!J23</f>
        <v>0</v>
      </c>
      <c r="L20" s="156">
        <f>+'CR ANNEE 1'!K23</f>
        <v>0</v>
      </c>
      <c r="M20" s="156">
        <f>+'CR ANNEE 1'!L23</f>
        <v>0</v>
      </c>
      <c r="N20" s="152">
        <f t="shared" si="0"/>
        <v>0</v>
      </c>
      <c r="O20" s="152"/>
    </row>
    <row r="21" spans="1:15" x14ac:dyDescent="0.2">
      <c r="A21" s="154" t="s">
        <v>123</v>
      </c>
      <c r="B21" s="156">
        <f>+'CR ANNEE 1'!B25</f>
        <v>0</v>
      </c>
      <c r="C21" s="156">
        <f>+'CR ANNEE 1'!C25</f>
        <v>0</v>
      </c>
      <c r="D21" s="156">
        <f>+'CR ANNEE 1'!D25</f>
        <v>0</v>
      </c>
      <c r="E21" s="156">
        <f>+'CR ANNEE 1'!E25</f>
        <v>0</v>
      </c>
      <c r="F21" s="156">
        <f>+'CR ANNEE 1'!F25</f>
        <v>0</v>
      </c>
      <c r="G21" s="156">
        <f>+'CR ANNEE 1'!G25</f>
        <v>0</v>
      </c>
      <c r="H21" s="156">
        <f>+'CR ANNEE 1'!H25</f>
        <v>0</v>
      </c>
      <c r="I21" s="156">
        <f>+'CR ANNEE 1'!I25</f>
        <v>0</v>
      </c>
      <c r="J21" s="156">
        <f>+'CR ANNEE 1'!J25</f>
        <v>0</v>
      </c>
      <c r="K21" s="156">
        <f>+'CR ANNEE 1'!K25</f>
        <v>0</v>
      </c>
      <c r="L21" s="156">
        <f>+'CR ANNEE 1'!L25</f>
        <v>0</v>
      </c>
      <c r="M21" s="156">
        <f>+'CR ANNEE 1'!M25</f>
        <v>0</v>
      </c>
      <c r="N21" s="152">
        <f t="shared" si="0"/>
        <v>0</v>
      </c>
      <c r="O21" s="152"/>
    </row>
    <row r="22" spans="1:15" x14ac:dyDescent="0.2">
      <c r="A22" s="154" t="s">
        <v>143</v>
      </c>
      <c r="B22" s="156"/>
      <c r="C22" s="156">
        <f>+'CR ANNEE 1'!B26</f>
        <v>0</v>
      </c>
      <c r="D22" s="156">
        <f>+'CR ANNEE 1'!C26</f>
        <v>0</v>
      </c>
      <c r="E22" s="156">
        <f>+'CR ANNEE 1'!D26</f>
        <v>0</v>
      </c>
      <c r="F22" s="156">
        <f>+'CR ANNEE 1'!E26</f>
        <v>0</v>
      </c>
      <c r="G22" s="156">
        <f>+'CR ANNEE 1'!F26</f>
        <v>0</v>
      </c>
      <c r="H22" s="156">
        <f>+'CR ANNEE 1'!G26</f>
        <v>0</v>
      </c>
      <c r="I22" s="156">
        <f>+'CR ANNEE 1'!H26</f>
        <v>0</v>
      </c>
      <c r="J22" s="156">
        <f>+'CR ANNEE 1'!I26</f>
        <v>0</v>
      </c>
      <c r="K22" s="156">
        <f>+'CR ANNEE 1'!J26</f>
        <v>0</v>
      </c>
      <c r="L22" s="156">
        <f>+'CR ANNEE 1'!K26</f>
        <v>0</v>
      </c>
      <c r="M22" s="156">
        <f>+'CR ANNEE 1'!L26</f>
        <v>0</v>
      </c>
      <c r="N22" s="152">
        <f t="shared" si="0"/>
        <v>0</v>
      </c>
      <c r="O22" s="152"/>
    </row>
    <row r="23" spans="1:15" x14ac:dyDescent="0.2">
      <c r="A23" s="154" t="s">
        <v>125</v>
      </c>
      <c r="B23" s="156">
        <f>+'CR ANNEE 1'!B29</f>
        <v>0</v>
      </c>
      <c r="C23" s="156">
        <f>+'CR ANNEE 1'!C29</f>
        <v>0</v>
      </c>
      <c r="D23" s="156">
        <f>+'CR ANNEE 1'!D29</f>
        <v>0</v>
      </c>
      <c r="E23" s="156">
        <f>+'CR ANNEE 1'!E29</f>
        <v>0</v>
      </c>
      <c r="F23" s="156">
        <f>+'CR ANNEE 1'!F29</f>
        <v>0</v>
      </c>
      <c r="G23" s="156">
        <f>+'CR ANNEE 1'!G29</f>
        <v>0</v>
      </c>
      <c r="H23" s="156">
        <f>+'CR ANNEE 1'!H29</f>
        <v>0</v>
      </c>
      <c r="I23" s="156">
        <f>+'CR ANNEE 1'!I29</f>
        <v>0</v>
      </c>
      <c r="J23" s="156">
        <f>+'CR ANNEE 1'!J29</f>
        <v>0</v>
      </c>
      <c r="K23" s="156">
        <f>+'CR ANNEE 1'!K29</f>
        <v>0</v>
      </c>
      <c r="L23" s="156">
        <f>+'CR ANNEE 1'!L29</f>
        <v>0</v>
      </c>
      <c r="M23" s="156">
        <f>+'CR ANNEE 1'!M29</f>
        <v>0</v>
      </c>
      <c r="N23" s="152">
        <f t="shared" si="0"/>
        <v>0</v>
      </c>
      <c r="O23" s="152"/>
    </row>
    <row r="24" spans="1:15" x14ac:dyDescent="0.2">
      <c r="A24" s="158" t="s">
        <v>76</v>
      </c>
      <c r="B24" s="159">
        <f t="shared" ref="B24:M24" si="1">SUM(B5:B23)</f>
        <v>-6210</v>
      </c>
      <c r="C24" s="159">
        <f t="shared" si="1"/>
        <v>-738</v>
      </c>
      <c r="D24" s="159">
        <f t="shared" si="1"/>
        <v>-288.33333333333337</v>
      </c>
      <c r="E24" s="159">
        <f t="shared" si="1"/>
        <v>-818.33333333333337</v>
      </c>
      <c r="F24" s="159">
        <f t="shared" si="1"/>
        <v>-288.33333333333337</v>
      </c>
      <c r="G24" s="159">
        <f t="shared" si="1"/>
        <v>-1328.3333333333333</v>
      </c>
      <c r="H24" s="159">
        <f t="shared" si="1"/>
        <v>-368.33333333333337</v>
      </c>
      <c r="I24" s="159">
        <f t="shared" si="1"/>
        <v>-293.33333333333337</v>
      </c>
      <c r="J24" s="159">
        <f t="shared" si="1"/>
        <v>-1443.3333333333335</v>
      </c>
      <c r="K24" s="159">
        <f t="shared" si="1"/>
        <v>9626.6666666666661</v>
      </c>
      <c r="L24" s="159">
        <f t="shared" si="1"/>
        <v>-343.33333333333337</v>
      </c>
      <c r="M24" s="159">
        <f t="shared" si="1"/>
        <v>9706.6666666666661</v>
      </c>
      <c r="N24" s="159"/>
      <c r="O24" s="152">
        <f>+'CR ANNEE 1'!N24-'besoin tréso exploit°'!N24</f>
        <v>0</v>
      </c>
    </row>
    <row r="25" spans="1:15" x14ac:dyDescent="0.2">
      <c r="A25" s="158" t="s">
        <v>77</v>
      </c>
      <c r="B25" s="159">
        <f>+B24</f>
        <v>-6210</v>
      </c>
      <c r="C25" s="159">
        <f>+C24+B25</f>
        <v>-6948</v>
      </c>
      <c r="D25" s="159">
        <f>+D24+C25</f>
        <v>-7236.333333333333</v>
      </c>
      <c r="E25" s="159">
        <f>+E24+D25</f>
        <v>-8054.6666666666661</v>
      </c>
      <c r="F25" s="159">
        <f>+F24+E25</f>
        <v>-8343</v>
      </c>
      <c r="G25" s="159">
        <f>+G24+F25</f>
        <v>-9671.3333333333339</v>
      </c>
      <c r="H25" s="159">
        <f t="shared" ref="H25:M25" si="2">+H24+G25</f>
        <v>-10039.666666666668</v>
      </c>
      <c r="I25" s="159">
        <f t="shared" si="2"/>
        <v>-10333.000000000002</v>
      </c>
      <c r="J25" s="159">
        <f t="shared" si="2"/>
        <v>-11776.333333333336</v>
      </c>
      <c r="K25" s="159">
        <f t="shared" si="2"/>
        <v>-2149.6666666666697</v>
      </c>
      <c r="L25" s="159">
        <f t="shared" si="2"/>
        <v>-2493.0000000000032</v>
      </c>
      <c r="M25" s="159">
        <f t="shared" si="2"/>
        <v>7213.6666666666624</v>
      </c>
      <c r="N25" s="159"/>
      <c r="O25" s="148"/>
    </row>
    <row r="26" spans="1:15" x14ac:dyDescent="0.2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</row>
    <row r="27" spans="1:15" x14ac:dyDescent="0.2">
      <c r="A27" s="160" t="s">
        <v>149</v>
      </c>
      <c r="B27" s="161"/>
      <c r="C27" s="161"/>
      <c r="D27" s="161"/>
      <c r="E27" s="161"/>
      <c r="F27" s="162"/>
      <c r="G27" s="161"/>
      <c r="H27" s="161"/>
      <c r="I27" s="161"/>
      <c r="J27" s="161"/>
      <c r="K27" s="161"/>
      <c r="L27" s="161"/>
      <c r="M27" s="163"/>
      <c r="N27" s="148"/>
      <c r="O27" s="164">
        <f>+N24</f>
        <v>0</v>
      </c>
    </row>
    <row r="28" spans="1:15" x14ac:dyDescent="0.2">
      <c r="A28" s="148"/>
      <c r="B28" s="148"/>
      <c r="C28" s="148"/>
      <c r="D28" s="148"/>
      <c r="E28" s="148"/>
      <c r="F28" s="164"/>
      <c r="G28" s="148"/>
      <c r="H28" s="148"/>
      <c r="I28" s="148"/>
      <c r="J28" s="148"/>
      <c r="K28" s="148"/>
      <c r="L28" s="148"/>
      <c r="M28" s="148"/>
      <c r="N28" s="148"/>
      <c r="O28" s="148"/>
    </row>
    <row r="29" spans="1:15" x14ac:dyDescent="0.2">
      <c r="A29" s="219" t="s">
        <v>39</v>
      </c>
      <c r="B29" s="219"/>
      <c r="C29" s="219"/>
      <c r="D29" s="219"/>
      <c r="E29" s="219"/>
      <c r="F29" s="219"/>
      <c r="G29" s="219"/>
      <c r="H29" s="165"/>
      <c r="I29" s="165"/>
      <c r="J29" s="165"/>
      <c r="K29" s="165"/>
      <c r="L29" s="165"/>
      <c r="M29" s="165"/>
      <c r="N29" s="148"/>
      <c r="O29" s="148"/>
    </row>
    <row r="30" spans="1:15" x14ac:dyDescent="0.2">
      <c r="A30" s="219"/>
      <c r="B30" s="219"/>
      <c r="C30" s="219"/>
      <c r="D30" s="219"/>
      <c r="E30" s="219"/>
      <c r="F30" s="219"/>
      <c r="G30" s="219"/>
      <c r="H30" s="165"/>
      <c r="I30" s="165"/>
      <c r="J30" s="165"/>
      <c r="K30" s="165"/>
      <c r="L30" s="165"/>
      <c r="M30" s="165"/>
      <c r="N30" s="148"/>
      <c r="O30" s="148"/>
    </row>
    <row r="31" spans="1:15" ht="4.5" customHeight="1" x14ac:dyDescent="0.2">
      <c r="A31" s="219" t="s">
        <v>55</v>
      </c>
      <c r="B31" s="219"/>
      <c r="C31" s="219"/>
      <c r="D31" s="219"/>
      <c r="E31" s="219"/>
      <c r="F31" s="219"/>
      <c r="G31" s="219"/>
      <c r="H31" s="165"/>
      <c r="I31" s="165"/>
      <c r="J31" s="165"/>
      <c r="K31" s="165"/>
      <c r="L31" s="165"/>
      <c r="M31" s="165"/>
      <c r="N31" s="148"/>
      <c r="O31" s="148"/>
    </row>
    <row r="32" spans="1:15" x14ac:dyDescent="0.2">
      <c r="A32" s="219"/>
      <c r="B32" s="219"/>
      <c r="C32" s="219"/>
      <c r="D32" s="219"/>
      <c r="E32" s="219"/>
      <c r="F32" s="219"/>
      <c r="G32" s="219"/>
      <c r="H32" s="165"/>
      <c r="I32" s="165"/>
      <c r="J32" s="165"/>
      <c r="K32" s="165"/>
      <c r="L32" s="165"/>
      <c r="M32" s="165"/>
      <c r="N32" s="148"/>
      <c r="O32" s="148"/>
    </row>
  </sheetData>
  <sheetProtection password="EA33" sheet="1" objects="1" scenarios="1"/>
  <mergeCells count="2">
    <mergeCell ref="A29:G30"/>
    <mergeCell ref="A31:G32"/>
  </mergeCells>
  <phoneticPr fontId="0" type="noConversion"/>
  <pageMargins left="0.56999999999999995" right="0.23622047244094491" top="0.98425196850393704" bottom="0.36" header="0.52" footer="0.11"/>
  <pageSetup paperSize="9" orientation="portrait" horizontalDpi="4294967293" r:id="rId1"/>
  <headerFooter alignWithMargins="0">
    <oddFooter>&amp;LNC, le&amp;D, page 4/9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426"/>
  <sheetViews>
    <sheetView topLeftCell="A58" workbookViewId="0">
      <selection activeCell="D67" sqref="D67"/>
    </sheetView>
  </sheetViews>
  <sheetFormatPr baseColWidth="10" defaultRowHeight="12.75" x14ac:dyDescent="0.2"/>
  <cols>
    <col min="1" max="1" width="39.5703125" bestFit="1" customWidth="1"/>
    <col min="2" max="2" width="24.7109375" bestFit="1" customWidth="1"/>
    <col min="3" max="3" width="11.5703125" customWidth="1"/>
    <col min="4" max="4" width="11.140625" bestFit="1" customWidth="1"/>
    <col min="5" max="5" width="8.7109375" customWidth="1"/>
    <col min="6" max="7" width="7" customWidth="1"/>
    <col min="8" max="8" width="11.7109375" bestFit="1" customWidth="1"/>
    <col min="9" max="9" width="14.7109375" hidden="1" customWidth="1"/>
    <col min="10" max="12" width="11.42578125" hidden="1" customWidth="1"/>
    <col min="13" max="13" width="0" hidden="1" customWidth="1"/>
    <col min="14" max="14" width="11.42578125" hidden="1" customWidth="1"/>
  </cols>
  <sheetData>
    <row r="1" spans="1:48" ht="23.25" customHeight="1" x14ac:dyDescent="0.2">
      <c r="A1" s="46" t="s">
        <v>38</v>
      </c>
      <c r="B1" s="46"/>
      <c r="C1" s="46"/>
      <c r="D1" s="46"/>
      <c r="E1" s="46"/>
      <c r="F1" s="46"/>
      <c r="G1" s="46"/>
      <c r="H1" s="4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27" customHeight="1" thickBot="1" x14ac:dyDescent="0.25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ht="13.5" thickTop="1" x14ac:dyDescent="0.2">
      <c r="A3" s="20" t="s">
        <v>82</v>
      </c>
      <c r="B3" s="220" t="s">
        <v>15</v>
      </c>
      <c r="C3" s="220"/>
      <c r="D3" s="220" t="s">
        <v>16</v>
      </c>
      <c r="E3" s="21" t="s">
        <v>17</v>
      </c>
      <c r="F3" s="222" t="s">
        <v>18</v>
      </c>
      <c r="G3" s="222" t="s">
        <v>78</v>
      </c>
      <c r="H3" s="22" t="s">
        <v>81</v>
      </c>
      <c r="I3" s="19"/>
      <c r="J3" s="136" t="s">
        <v>159</v>
      </c>
      <c r="K3" s="136" t="s">
        <v>159</v>
      </c>
      <c r="L3" s="136" t="s">
        <v>159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x14ac:dyDescent="0.2">
      <c r="A4" s="23" t="s">
        <v>83</v>
      </c>
      <c r="B4" s="221"/>
      <c r="C4" s="221"/>
      <c r="D4" s="221"/>
      <c r="E4" s="24" t="s">
        <v>79</v>
      </c>
      <c r="F4" s="223"/>
      <c r="G4" s="223"/>
      <c r="H4" s="25" t="s">
        <v>80</v>
      </c>
      <c r="I4" s="19"/>
      <c r="J4" s="137" t="s">
        <v>156</v>
      </c>
      <c r="K4" s="137" t="s">
        <v>157</v>
      </c>
      <c r="L4" s="137" t="s">
        <v>158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48" x14ac:dyDescent="0.2">
      <c r="A5" s="26"/>
      <c r="B5" s="27"/>
      <c r="C5" s="27"/>
      <c r="D5" s="166"/>
      <c r="E5" s="28"/>
      <c r="F5" s="27"/>
      <c r="G5" s="27"/>
      <c r="H5" s="29"/>
      <c r="I5" s="19"/>
      <c r="J5" s="138"/>
      <c r="K5" s="138"/>
      <c r="L5" s="138"/>
      <c r="M5" s="4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x14ac:dyDescent="0.2">
      <c r="A6" s="26" t="s">
        <v>161</v>
      </c>
      <c r="B6" s="36"/>
      <c r="C6" s="67"/>
      <c r="D6" s="167"/>
      <c r="E6" s="28"/>
      <c r="F6" s="27">
        <v>0</v>
      </c>
      <c r="G6" s="27"/>
      <c r="H6" s="37"/>
      <c r="I6" s="19"/>
      <c r="J6" s="138"/>
      <c r="K6" s="138"/>
      <c r="L6" s="138"/>
      <c r="M6" s="41"/>
      <c r="N6" s="19">
        <f t="shared" ref="N6:N11" si="0">+F6+0.01</f>
        <v>0.01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x14ac:dyDescent="0.2">
      <c r="A7" s="26" t="s">
        <v>57</v>
      </c>
      <c r="B7" s="36" t="s">
        <v>134</v>
      </c>
      <c r="C7" s="67"/>
      <c r="D7" s="167">
        <v>500</v>
      </c>
      <c r="E7" s="28"/>
      <c r="F7" s="27">
        <v>0</v>
      </c>
      <c r="G7" s="27"/>
      <c r="H7" s="37"/>
      <c r="I7" s="19"/>
      <c r="J7" s="138">
        <f>IF(F7&gt;1,H7/12,0)</f>
        <v>0</v>
      </c>
      <c r="K7" s="138">
        <f>IF(N7&gt;2,H7/12,0)</f>
        <v>0</v>
      </c>
      <c r="L7" s="138">
        <f>IF(N7&gt;3,H7/12,0)</f>
        <v>0</v>
      </c>
      <c r="M7" s="41"/>
      <c r="N7" s="19">
        <f t="shared" si="0"/>
        <v>0.01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x14ac:dyDescent="0.2">
      <c r="A8" s="26" t="s">
        <v>129</v>
      </c>
      <c r="B8" s="36"/>
      <c r="C8" s="67"/>
      <c r="D8" s="167">
        <v>0</v>
      </c>
      <c r="E8" s="28" t="s">
        <v>19</v>
      </c>
      <c r="F8" s="27">
        <v>2</v>
      </c>
      <c r="G8" s="27">
        <v>1</v>
      </c>
      <c r="H8" s="37">
        <f>IF(D8=0,0,D8/F8)*G8</f>
        <v>0</v>
      </c>
      <c r="I8" s="19"/>
      <c r="J8" s="138">
        <f>IF(F8&gt;1,H8/12,0)</f>
        <v>0</v>
      </c>
      <c r="K8" s="138">
        <f>IF(N8&gt;2,H8/12,0)</f>
        <v>0</v>
      </c>
      <c r="L8" s="138">
        <f>IF(N8&gt;3,H8/12,0)</f>
        <v>0</v>
      </c>
      <c r="M8" s="41"/>
      <c r="N8" s="19">
        <f t="shared" si="0"/>
        <v>2.0099999999999998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">
      <c r="A9" s="26" t="s">
        <v>107</v>
      </c>
      <c r="B9" s="36"/>
      <c r="C9" s="67"/>
      <c r="D9" s="167">
        <v>0</v>
      </c>
      <c r="E9" s="28" t="s">
        <v>19</v>
      </c>
      <c r="F9" s="27">
        <v>3</v>
      </c>
      <c r="G9" s="27">
        <v>1</v>
      </c>
      <c r="H9" s="37">
        <f t="shared" ref="H9:H24" si="1">IF(D9=0,0,D9/F9)*G9</f>
        <v>0</v>
      </c>
      <c r="I9" s="19"/>
      <c r="J9" s="138">
        <f>IF(F9&gt;1,H9/12,0)</f>
        <v>0</v>
      </c>
      <c r="K9" s="138">
        <f>IF(N9&gt;2,H9/12,0)</f>
        <v>0</v>
      </c>
      <c r="L9" s="138">
        <f t="shared" ref="L9:L24" si="2">IF(N9&gt;3,H9/12,0)</f>
        <v>0</v>
      </c>
      <c r="M9" s="41"/>
      <c r="N9" s="19">
        <f t="shared" si="0"/>
        <v>3.01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 x14ac:dyDescent="0.2">
      <c r="A10" s="26" t="s">
        <v>130</v>
      </c>
      <c r="B10" s="36"/>
      <c r="C10" s="67"/>
      <c r="D10" s="167">
        <v>3500</v>
      </c>
      <c r="E10" s="28"/>
      <c r="F10" s="27">
        <v>5</v>
      </c>
      <c r="G10" s="27">
        <v>1</v>
      </c>
      <c r="H10" s="37">
        <f t="shared" si="1"/>
        <v>700</v>
      </c>
      <c r="I10" s="19"/>
      <c r="J10" s="138">
        <f t="shared" ref="J10:J24" si="3">IF(F10&gt;1,H10/12,0)</f>
        <v>58.333333333333336</v>
      </c>
      <c r="K10" s="138">
        <f t="shared" ref="K10:K24" si="4">IF(N10&gt;2,H10/12,0)</f>
        <v>58.333333333333336</v>
      </c>
      <c r="L10" s="138">
        <f t="shared" si="2"/>
        <v>58.333333333333336</v>
      </c>
      <c r="M10" s="41"/>
      <c r="N10" s="19">
        <f t="shared" si="0"/>
        <v>5.01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ht="13.5" thickBot="1" x14ac:dyDescent="0.25">
      <c r="A11" s="26" t="s">
        <v>174</v>
      </c>
      <c r="B11" s="36"/>
      <c r="C11" s="67"/>
      <c r="D11" s="167">
        <v>0</v>
      </c>
      <c r="E11" s="28"/>
      <c r="F11" s="27">
        <v>2</v>
      </c>
      <c r="G11" s="27">
        <v>1</v>
      </c>
      <c r="H11" s="37">
        <f t="shared" si="1"/>
        <v>0</v>
      </c>
      <c r="I11" s="19"/>
      <c r="J11" s="138">
        <f t="shared" si="3"/>
        <v>0</v>
      </c>
      <c r="K11" s="138">
        <f t="shared" si="4"/>
        <v>0</v>
      </c>
      <c r="L11" s="138">
        <f t="shared" si="2"/>
        <v>0</v>
      </c>
      <c r="M11" s="41"/>
      <c r="N11" s="19">
        <f t="shared" si="0"/>
        <v>2.0099999999999998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ht="14.25" thickTop="1" thickBot="1" x14ac:dyDescent="0.25">
      <c r="A12" s="109" t="s">
        <v>135</v>
      </c>
      <c r="B12" s="114"/>
      <c r="C12" s="111"/>
      <c r="D12" s="111">
        <f>SUM(D7:D11)</f>
        <v>4000</v>
      </c>
      <c r="E12" s="112"/>
      <c r="F12" s="110"/>
      <c r="G12" s="110"/>
      <c r="H12" s="115"/>
      <c r="I12" s="19"/>
      <c r="J12" s="138">
        <f t="shared" si="3"/>
        <v>0</v>
      </c>
      <c r="K12" s="138">
        <f t="shared" si="4"/>
        <v>0</v>
      </c>
      <c r="L12" s="138">
        <f t="shared" si="2"/>
        <v>0</v>
      </c>
      <c r="M12" s="4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ht="13.5" thickTop="1" x14ac:dyDescent="0.2">
      <c r="A13" s="26" t="s">
        <v>127</v>
      </c>
      <c r="B13" s="36"/>
      <c r="C13" s="67"/>
      <c r="D13" s="167"/>
      <c r="E13" s="28"/>
      <c r="F13" s="27"/>
      <c r="G13" s="27"/>
      <c r="H13" s="37"/>
      <c r="I13" s="19"/>
      <c r="J13" s="138"/>
      <c r="K13" s="138"/>
      <c r="L13" s="138"/>
      <c r="M13" s="41"/>
      <c r="N13" s="19">
        <f t="shared" ref="N13:N25" si="5">+F13+0.01</f>
        <v>0.01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spans="1:48" x14ac:dyDescent="0.2">
      <c r="A14" s="26" t="s">
        <v>132</v>
      </c>
      <c r="B14" s="36" t="s">
        <v>134</v>
      </c>
      <c r="C14" s="67"/>
      <c r="D14" s="167">
        <v>0</v>
      </c>
      <c r="E14" s="28"/>
      <c r="F14" s="27"/>
      <c r="G14" s="27"/>
      <c r="H14" s="37"/>
      <c r="I14" s="19"/>
      <c r="J14" s="138"/>
      <c r="K14" s="138"/>
      <c r="L14" s="138"/>
      <c r="M14" s="41"/>
      <c r="N14" s="19">
        <f t="shared" si="5"/>
        <v>0.01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1:48" x14ac:dyDescent="0.2">
      <c r="A15" s="26" t="s">
        <v>131</v>
      </c>
      <c r="B15" s="36"/>
      <c r="C15" s="67"/>
      <c r="D15" s="167">
        <v>0</v>
      </c>
      <c r="E15" s="28" t="s">
        <v>19</v>
      </c>
      <c r="F15" s="27">
        <v>20</v>
      </c>
      <c r="G15" s="27">
        <v>1</v>
      </c>
      <c r="H15" s="37">
        <f t="shared" si="1"/>
        <v>0</v>
      </c>
      <c r="I15" s="19"/>
      <c r="J15" s="138">
        <f t="shared" si="3"/>
        <v>0</v>
      </c>
      <c r="K15" s="138">
        <f t="shared" si="4"/>
        <v>0</v>
      </c>
      <c r="L15" s="138">
        <f t="shared" si="2"/>
        <v>0</v>
      </c>
      <c r="M15" s="41"/>
      <c r="N15" s="19">
        <f t="shared" si="5"/>
        <v>20.010000000000002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1:48" x14ac:dyDescent="0.2">
      <c r="A16" s="26" t="s">
        <v>20</v>
      </c>
      <c r="B16" s="36"/>
      <c r="C16" s="67"/>
      <c r="D16" s="167">
        <v>0</v>
      </c>
      <c r="E16" s="28" t="s">
        <v>19</v>
      </c>
      <c r="F16" s="27">
        <v>10</v>
      </c>
      <c r="G16" s="27">
        <v>1</v>
      </c>
      <c r="H16" s="37">
        <f t="shared" si="1"/>
        <v>0</v>
      </c>
      <c r="I16" s="19"/>
      <c r="J16" s="138">
        <f t="shared" si="3"/>
        <v>0</v>
      </c>
      <c r="K16" s="138">
        <f t="shared" si="4"/>
        <v>0</v>
      </c>
      <c r="L16" s="138">
        <f t="shared" si="2"/>
        <v>0</v>
      </c>
      <c r="M16" s="41"/>
      <c r="N16" s="19">
        <f t="shared" si="5"/>
        <v>10.01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spans="1:69" x14ac:dyDescent="0.2">
      <c r="A17" s="26" t="s">
        <v>160</v>
      </c>
      <c r="B17" s="36"/>
      <c r="C17" s="67"/>
      <c r="D17" s="167">
        <v>0</v>
      </c>
      <c r="E17" s="28" t="s">
        <v>19</v>
      </c>
      <c r="F17" s="27">
        <v>7</v>
      </c>
      <c r="G17" s="27">
        <v>1</v>
      </c>
      <c r="H17" s="37">
        <f t="shared" si="1"/>
        <v>0</v>
      </c>
      <c r="I17" s="19"/>
      <c r="J17" s="138">
        <f t="shared" si="3"/>
        <v>0</v>
      </c>
      <c r="K17" s="138">
        <f t="shared" si="4"/>
        <v>0</v>
      </c>
      <c r="L17" s="138">
        <f t="shared" si="2"/>
        <v>0</v>
      </c>
      <c r="M17" s="41"/>
      <c r="N17" s="19">
        <f t="shared" si="5"/>
        <v>7.01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69" x14ac:dyDescent="0.2">
      <c r="A18" s="26" t="s">
        <v>21</v>
      </c>
      <c r="B18" s="36"/>
      <c r="C18" s="67"/>
      <c r="D18" s="167">
        <v>0</v>
      </c>
      <c r="E18" s="28" t="s">
        <v>19</v>
      </c>
      <c r="F18" s="27">
        <v>4</v>
      </c>
      <c r="G18" s="27">
        <v>1</v>
      </c>
      <c r="H18" s="37">
        <f t="shared" si="1"/>
        <v>0</v>
      </c>
      <c r="I18" s="19"/>
      <c r="J18" s="138">
        <f t="shared" si="3"/>
        <v>0</v>
      </c>
      <c r="K18" s="138">
        <f t="shared" si="4"/>
        <v>0</v>
      </c>
      <c r="L18" s="138">
        <f t="shared" si="2"/>
        <v>0</v>
      </c>
      <c r="M18" s="41"/>
      <c r="N18" s="19">
        <f t="shared" si="5"/>
        <v>4.01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69" x14ac:dyDescent="0.2">
      <c r="A19" s="26" t="s">
        <v>22</v>
      </c>
      <c r="B19" s="36"/>
      <c r="C19" s="67"/>
      <c r="D19" s="167">
        <v>0</v>
      </c>
      <c r="E19" s="28" t="s">
        <v>19</v>
      </c>
      <c r="F19" s="27">
        <v>7</v>
      </c>
      <c r="G19" s="27">
        <v>1</v>
      </c>
      <c r="H19" s="37">
        <f t="shared" si="1"/>
        <v>0</v>
      </c>
      <c r="I19" s="19"/>
      <c r="J19" s="138">
        <f t="shared" si="3"/>
        <v>0</v>
      </c>
      <c r="K19" s="138">
        <f t="shared" si="4"/>
        <v>0</v>
      </c>
      <c r="L19" s="138">
        <f t="shared" si="2"/>
        <v>0</v>
      </c>
      <c r="M19" s="41"/>
      <c r="N19" s="19">
        <f t="shared" si="5"/>
        <v>7.01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69" x14ac:dyDescent="0.2">
      <c r="A20" s="26" t="s">
        <v>133</v>
      </c>
      <c r="B20" s="36"/>
      <c r="C20" s="67"/>
      <c r="D20" s="167">
        <v>0</v>
      </c>
      <c r="E20" s="28" t="s">
        <v>19</v>
      </c>
      <c r="F20" s="27">
        <v>3</v>
      </c>
      <c r="G20" s="27">
        <v>1</v>
      </c>
      <c r="H20" s="37">
        <f t="shared" si="1"/>
        <v>0</v>
      </c>
      <c r="I20" s="19"/>
      <c r="J20" s="138">
        <f t="shared" si="3"/>
        <v>0</v>
      </c>
      <c r="K20" s="138">
        <f t="shared" si="4"/>
        <v>0</v>
      </c>
      <c r="L20" s="138">
        <f t="shared" si="2"/>
        <v>0</v>
      </c>
      <c r="M20" s="41"/>
      <c r="N20" s="19">
        <f t="shared" si="5"/>
        <v>3.01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69" x14ac:dyDescent="0.2">
      <c r="A21" s="26" t="s">
        <v>148</v>
      </c>
      <c r="B21" s="36"/>
      <c r="C21" s="67"/>
      <c r="D21" s="167"/>
      <c r="E21" s="28"/>
      <c r="F21" s="27"/>
      <c r="G21" s="27">
        <v>1</v>
      </c>
      <c r="H21" s="37">
        <f t="shared" si="1"/>
        <v>0</v>
      </c>
      <c r="I21" s="19"/>
      <c r="J21" s="138">
        <f t="shared" si="3"/>
        <v>0</v>
      </c>
      <c r="K21" s="138">
        <f t="shared" si="4"/>
        <v>0</v>
      </c>
      <c r="L21" s="138">
        <f t="shared" si="2"/>
        <v>0</v>
      </c>
      <c r="M21" s="41"/>
      <c r="N21" s="19">
        <f t="shared" si="5"/>
        <v>0.01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69" x14ac:dyDescent="0.2">
      <c r="A22" s="26" t="s">
        <v>148</v>
      </c>
      <c r="B22" s="36"/>
      <c r="C22" s="67"/>
      <c r="D22" s="167"/>
      <c r="E22" s="28"/>
      <c r="F22" s="27"/>
      <c r="G22" s="27">
        <v>1</v>
      </c>
      <c r="H22" s="37">
        <f t="shared" si="1"/>
        <v>0</v>
      </c>
      <c r="I22" s="19"/>
      <c r="J22" s="138">
        <f t="shared" si="3"/>
        <v>0</v>
      </c>
      <c r="K22" s="138">
        <f t="shared" si="4"/>
        <v>0</v>
      </c>
      <c r="L22" s="138">
        <f t="shared" si="2"/>
        <v>0</v>
      </c>
      <c r="M22" s="41"/>
      <c r="N22" s="19">
        <f t="shared" si="5"/>
        <v>0.01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69" x14ac:dyDescent="0.2">
      <c r="A23" s="26" t="s">
        <v>148</v>
      </c>
      <c r="B23" s="36"/>
      <c r="C23" s="67"/>
      <c r="D23" s="167"/>
      <c r="E23" s="28"/>
      <c r="F23" s="27"/>
      <c r="G23" s="27">
        <v>1</v>
      </c>
      <c r="H23" s="37">
        <f t="shared" si="1"/>
        <v>0</v>
      </c>
      <c r="I23" s="19"/>
      <c r="J23" s="138">
        <f t="shared" si="3"/>
        <v>0</v>
      </c>
      <c r="K23" s="138">
        <f t="shared" si="4"/>
        <v>0</v>
      </c>
      <c r="L23" s="138">
        <f t="shared" si="2"/>
        <v>0</v>
      </c>
      <c r="M23" s="41"/>
      <c r="N23" s="19">
        <f t="shared" si="5"/>
        <v>0.01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69" x14ac:dyDescent="0.2">
      <c r="A24" s="26" t="s">
        <v>148</v>
      </c>
      <c r="B24" s="36"/>
      <c r="C24" s="67"/>
      <c r="D24" s="167"/>
      <c r="E24" s="28"/>
      <c r="F24" s="27"/>
      <c r="G24" s="27">
        <v>1</v>
      </c>
      <c r="H24" s="37">
        <f t="shared" si="1"/>
        <v>0</v>
      </c>
      <c r="I24" s="19"/>
      <c r="J24" s="138">
        <f t="shared" si="3"/>
        <v>0</v>
      </c>
      <c r="K24" s="138">
        <f t="shared" si="4"/>
        <v>0</v>
      </c>
      <c r="L24" s="138">
        <f t="shared" si="2"/>
        <v>0</v>
      </c>
      <c r="M24" s="41"/>
      <c r="N24" s="19">
        <f t="shared" si="5"/>
        <v>0.01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69" ht="13.5" thickBot="1" x14ac:dyDescent="0.25">
      <c r="A25" s="26"/>
      <c r="B25" s="36"/>
      <c r="C25" s="67"/>
      <c r="D25" s="167"/>
      <c r="E25" s="28"/>
      <c r="F25" s="27"/>
      <c r="G25" s="27"/>
      <c r="H25" s="37"/>
      <c r="I25" s="19"/>
      <c r="J25" s="138"/>
      <c r="K25" s="138"/>
      <c r="L25" s="138"/>
      <c r="M25" s="41"/>
      <c r="N25" s="19">
        <f t="shared" si="5"/>
        <v>0.01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69" ht="14.25" thickTop="1" thickBot="1" x14ac:dyDescent="0.25">
      <c r="A26" s="109" t="s">
        <v>136</v>
      </c>
      <c r="B26" s="110"/>
      <c r="C26" s="111"/>
      <c r="D26" s="111">
        <f>SUM(D14:D25)</f>
        <v>0</v>
      </c>
      <c r="E26" s="112"/>
      <c r="F26" s="110"/>
      <c r="G26" s="110"/>
      <c r="H26" s="113"/>
      <c r="I26" s="19"/>
      <c r="J26" s="139"/>
      <c r="K26" s="139"/>
      <c r="L26" s="139"/>
      <c r="M26" s="4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69" ht="13.5" thickTop="1" x14ac:dyDescent="0.2">
      <c r="A27" s="26" t="s">
        <v>128</v>
      </c>
      <c r="B27" s="27"/>
      <c r="C27" s="67"/>
      <c r="D27" s="167"/>
      <c r="E27" s="28"/>
      <c r="F27" s="27"/>
      <c r="G27" s="27"/>
      <c r="H27" s="29"/>
      <c r="I27" s="19"/>
      <c r="J27" s="41"/>
      <c r="K27" s="41"/>
      <c r="L27" s="41"/>
      <c r="M27" s="4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69" x14ac:dyDescent="0.2">
      <c r="A28" s="30" t="s">
        <v>58</v>
      </c>
      <c r="B28" s="27"/>
      <c r="C28" s="67"/>
      <c r="D28" s="167">
        <v>0</v>
      </c>
      <c r="E28" s="28"/>
      <c r="F28" s="27"/>
      <c r="G28" s="27"/>
      <c r="H28" s="29"/>
      <c r="I28" s="19"/>
      <c r="J28" s="41"/>
      <c r="K28" s="41"/>
      <c r="L28" s="41"/>
      <c r="M28" s="4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69" x14ac:dyDescent="0.2">
      <c r="A29" s="26"/>
      <c r="B29" s="27"/>
      <c r="C29" s="67"/>
      <c r="D29" s="167"/>
      <c r="E29" s="28"/>
      <c r="F29" s="27"/>
      <c r="G29" s="27"/>
      <c r="H29" s="29"/>
      <c r="I29" s="19"/>
      <c r="J29" s="41"/>
      <c r="K29" s="41"/>
      <c r="L29" s="41"/>
      <c r="M29" s="4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69" ht="13.5" thickBot="1" x14ac:dyDescent="0.25">
      <c r="A30" s="30"/>
      <c r="B30" s="27"/>
      <c r="C30" s="67"/>
      <c r="D30" s="167"/>
      <c r="E30" s="28"/>
      <c r="F30" s="27">
        <v>0</v>
      </c>
      <c r="G30" s="27"/>
      <c r="H30" s="29"/>
      <c r="I30" s="19"/>
      <c r="J30" s="41"/>
      <c r="K30" s="41"/>
      <c r="L30" s="41"/>
      <c r="M30" s="4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69" ht="14.25" thickTop="1" thickBot="1" x14ac:dyDescent="0.25">
      <c r="A31" s="109" t="s">
        <v>137</v>
      </c>
      <c r="B31" s="110"/>
      <c r="C31" s="110"/>
      <c r="D31" s="111">
        <f>SUM(D28:D30)</f>
        <v>0</v>
      </c>
      <c r="E31" s="112"/>
      <c r="F31" s="110"/>
      <c r="G31" s="110"/>
      <c r="H31" s="116"/>
      <c r="I31" s="31"/>
      <c r="J31" s="135"/>
      <c r="K31" s="41"/>
      <c r="L31" s="41"/>
      <c r="M31" s="4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1:69" ht="14.25" thickTop="1" thickBot="1" x14ac:dyDescent="0.25">
      <c r="A32" s="32" t="s">
        <v>5</v>
      </c>
      <c r="B32" s="33"/>
      <c r="C32" s="38">
        <f>SUM(C5:C31)</f>
        <v>0</v>
      </c>
      <c r="D32" s="38">
        <f>+D12+D26+D31</f>
        <v>4000</v>
      </c>
      <c r="E32" s="34"/>
      <c r="F32" s="35"/>
      <c r="G32" s="35"/>
      <c r="H32" s="38">
        <f>SUM(H5:H31)</f>
        <v>700</v>
      </c>
      <c r="I32" s="19"/>
      <c r="J32" s="41">
        <f>SUM(J8:J31)</f>
        <v>58.333333333333336</v>
      </c>
      <c r="K32" s="41">
        <f>SUM(K8:K31)</f>
        <v>58.333333333333336</v>
      </c>
      <c r="L32" s="41">
        <f>SUM(L8:L31)</f>
        <v>58.333333333333336</v>
      </c>
      <c r="M32" s="41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1:69" ht="13.5" thickTop="1" x14ac:dyDescent="0.2">
      <c r="A33" s="19"/>
      <c r="B33" s="68"/>
      <c r="C33" s="4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1:69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1:69" ht="27.75" customHeight="1" x14ac:dyDescent="0.2">
      <c r="A35" s="232" t="s">
        <v>40</v>
      </c>
      <c r="B35" s="233"/>
      <c r="C35" s="234" t="s">
        <v>41</v>
      </c>
      <c r="D35" s="23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1:69" x14ac:dyDescent="0.2">
      <c r="A36" s="224"/>
      <c r="B36" s="225"/>
      <c r="C36" s="225"/>
      <c r="D36" s="2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1:69" ht="12.75" customHeight="1" x14ac:dyDescent="0.2">
      <c r="A37" s="47" t="s">
        <v>42</v>
      </c>
      <c r="B37" s="48"/>
      <c r="C37" s="226"/>
      <c r="D37" s="22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1:69" ht="12.75" customHeight="1" x14ac:dyDescent="0.2">
      <c r="A38" s="49" t="s">
        <v>43</v>
      </c>
      <c r="B38" s="50"/>
      <c r="C38" s="228" t="s">
        <v>44</v>
      </c>
      <c r="D38" s="22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1:69" x14ac:dyDescent="0.2">
      <c r="A39" s="51" t="s">
        <v>45</v>
      </c>
      <c r="B39" s="52"/>
      <c r="C39" s="230" t="s">
        <v>46</v>
      </c>
      <c r="D39" s="231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1:69" x14ac:dyDescent="0.2">
      <c r="A40" s="224" t="s">
        <v>47</v>
      </c>
      <c r="B40" s="225"/>
      <c r="C40" s="225"/>
      <c r="D40" s="22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1:69" x14ac:dyDescent="0.2">
      <c r="A41" s="53"/>
      <c r="B41" s="48"/>
      <c r="C41" s="54"/>
      <c r="D41" s="5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1:69" x14ac:dyDescent="0.2">
      <c r="A42" s="56" t="s">
        <v>48</v>
      </c>
      <c r="B42" s="50"/>
      <c r="C42" s="228" t="s">
        <v>49</v>
      </c>
      <c r="D42" s="22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1:69" x14ac:dyDescent="0.2">
      <c r="A43" s="56" t="s">
        <v>50</v>
      </c>
      <c r="B43" s="50"/>
      <c r="C43" s="228"/>
      <c r="D43" s="22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1:69" x14ac:dyDescent="0.2">
      <c r="A44" s="56" t="s">
        <v>51</v>
      </c>
      <c r="B44" s="50"/>
      <c r="C44" s="57"/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x14ac:dyDescent="0.2">
      <c r="A45" s="56" t="s">
        <v>52</v>
      </c>
      <c r="B45" s="50"/>
      <c r="C45" s="57"/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x14ac:dyDescent="0.2">
      <c r="A46" s="56" t="s">
        <v>53</v>
      </c>
      <c r="B46" s="50"/>
      <c r="C46" s="57"/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1:69" x14ac:dyDescent="0.2">
      <c r="A47" s="59" t="s">
        <v>54</v>
      </c>
      <c r="B47" s="52"/>
      <c r="C47" s="60"/>
      <c r="D47" s="6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1:69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1:69" ht="13.5" thickBot="1" x14ac:dyDescent="0.25">
      <c r="A49" s="201" t="s">
        <v>167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0" spans="1:69" ht="13.5" thickTop="1" x14ac:dyDescent="0.2">
      <c r="A50" s="20" t="s">
        <v>82</v>
      </c>
      <c r="B50" s="220" t="s">
        <v>15</v>
      </c>
      <c r="C50" s="220"/>
      <c r="D50" s="220" t="s">
        <v>16</v>
      </c>
      <c r="E50" s="143" t="s">
        <v>17</v>
      </c>
      <c r="F50" s="222" t="s">
        <v>18</v>
      </c>
      <c r="G50" s="222" t="s">
        <v>78</v>
      </c>
      <c r="H50" s="22" t="s">
        <v>81</v>
      </c>
      <c r="I50" s="19"/>
      <c r="J50" s="136"/>
      <c r="K50" s="136" t="s">
        <v>159</v>
      </c>
      <c r="L50" s="136" t="s">
        <v>159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</row>
    <row r="51" spans="1:69" x14ac:dyDescent="0.2">
      <c r="A51" s="23" t="s">
        <v>83</v>
      </c>
      <c r="B51" s="221"/>
      <c r="C51" s="221"/>
      <c r="D51" s="221"/>
      <c r="E51" s="144" t="s">
        <v>79</v>
      </c>
      <c r="F51" s="223"/>
      <c r="G51" s="223"/>
      <c r="H51" s="25" t="s">
        <v>80</v>
      </c>
      <c r="I51" s="19"/>
      <c r="J51" s="137"/>
      <c r="K51" s="137" t="s">
        <v>157</v>
      </c>
      <c r="L51" s="137" t="s">
        <v>158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</row>
    <row r="52" spans="1:69" x14ac:dyDescent="0.2">
      <c r="A52" s="26"/>
      <c r="B52" s="27"/>
      <c r="C52" s="27"/>
      <c r="D52" s="166"/>
      <c r="E52" s="28"/>
      <c r="F52" s="27"/>
      <c r="G52" s="27"/>
      <c r="H52" s="29"/>
      <c r="I52" s="19"/>
      <c r="J52" s="138"/>
      <c r="K52" s="138"/>
      <c r="L52" s="138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</row>
    <row r="53" spans="1:69" x14ac:dyDescent="0.2">
      <c r="A53" s="26" t="s">
        <v>161</v>
      </c>
      <c r="B53" s="36"/>
      <c r="C53" s="67"/>
      <c r="D53" s="167"/>
      <c r="E53" s="28"/>
      <c r="F53" s="27"/>
      <c r="G53" s="27"/>
      <c r="H53" s="37"/>
      <c r="I53" s="19"/>
      <c r="J53" s="138"/>
      <c r="K53" s="138"/>
      <c r="L53" s="138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</row>
    <row r="54" spans="1:69" x14ac:dyDescent="0.2">
      <c r="A54" s="26" t="s">
        <v>57</v>
      </c>
      <c r="B54" s="36" t="s">
        <v>134</v>
      </c>
      <c r="C54" s="67"/>
      <c r="D54" s="167">
        <v>0</v>
      </c>
      <c r="E54" s="28"/>
      <c r="F54" s="27">
        <v>0</v>
      </c>
      <c r="G54" s="27"/>
      <c r="H54" s="37"/>
      <c r="I54" s="19"/>
      <c r="J54" s="138"/>
      <c r="K54" s="138">
        <f>IF(F54&gt;1,H54/12,0)</f>
        <v>0</v>
      </c>
      <c r="L54" s="138">
        <f>IF(F54&gt;1,H54/12,0)</f>
        <v>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</row>
    <row r="55" spans="1:69" x14ac:dyDescent="0.2">
      <c r="A55" s="26" t="s">
        <v>129</v>
      </c>
      <c r="B55" s="36"/>
      <c r="C55" s="67"/>
      <c r="D55" s="167">
        <v>0</v>
      </c>
      <c r="E55" s="28" t="s">
        <v>19</v>
      </c>
      <c r="F55" s="27">
        <v>2</v>
      </c>
      <c r="G55" s="27">
        <v>1</v>
      </c>
      <c r="H55" s="37">
        <f>IF(D55=0,0,D55/F55)*G55</f>
        <v>0</v>
      </c>
      <c r="I55" s="19"/>
      <c r="J55" s="138"/>
      <c r="K55" s="138">
        <f t="shared" ref="K55:K59" si="6">IF(F55&gt;1,H55/12,0)</f>
        <v>0</v>
      </c>
      <c r="L55" s="138">
        <f t="shared" ref="L55:L59" si="7">IF(F55&gt;1,H55/12,0)</f>
        <v>0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</row>
    <row r="56" spans="1:69" x14ac:dyDescent="0.2">
      <c r="A56" s="26" t="s">
        <v>107</v>
      </c>
      <c r="B56" s="36"/>
      <c r="C56" s="67"/>
      <c r="D56" s="167">
        <v>0</v>
      </c>
      <c r="E56" s="28" t="s">
        <v>19</v>
      </c>
      <c r="F56" s="27">
        <v>3</v>
      </c>
      <c r="G56" s="27">
        <v>1</v>
      </c>
      <c r="H56" s="37">
        <f t="shared" ref="H56:H57" si="8">IF(D56=0,0,D56/F56)*G56</f>
        <v>0</v>
      </c>
      <c r="I56" s="19"/>
      <c r="J56" s="138"/>
      <c r="K56" s="138">
        <f t="shared" si="6"/>
        <v>0</v>
      </c>
      <c r="L56" s="138">
        <f t="shared" si="7"/>
        <v>0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</row>
    <row r="57" spans="1:69" x14ac:dyDescent="0.2">
      <c r="A57" s="26" t="s">
        <v>130</v>
      </c>
      <c r="B57" s="36"/>
      <c r="C57" s="67"/>
      <c r="D57" s="167">
        <v>0</v>
      </c>
      <c r="E57" s="28"/>
      <c r="F57" s="27">
        <v>5</v>
      </c>
      <c r="G57" s="27">
        <v>1</v>
      </c>
      <c r="H57" s="37">
        <f t="shared" si="8"/>
        <v>0</v>
      </c>
      <c r="I57" s="19"/>
      <c r="J57" s="138"/>
      <c r="K57" s="138">
        <f t="shared" si="6"/>
        <v>0</v>
      </c>
      <c r="L57" s="138">
        <f t="shared" si="7"/>
        <v>0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</row>
    <row r="58" spans="1:69" ht="13.5" thickBot="1" x14ac:dyDescent="0.25">
      <c r="A58" s="26"/>
      <c r="B58" s="36"/>
      <c r="C58" s="67"/>
      <c r="D58" s="167"/>
      <c r="E58" s="28"/>
      <c r="F58" s="27"/>
      <c r="G58" s="27"/>
      <c r="H58" s="37"/>
      <c r="I58" s="19"/>
      <c r="J58" s="138"/>
      <c r="K58" s="138">
        <f t="shared" si="6"/>
        <v>0</v>
      </c>
      <c r="L58" s="138">
        <f t="shared" si="7"/>
        <v>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</row>
    <row r="59" spans="1:69" ht="14.25" thickTop="1" thickBot="1" x14ac:dyDescent="0.25">
      <c r="A59" s="109" t="s">
        <v>135</v>
      </c>
      <c r="B59" s="114"/>
      <c r="C59" s="111"/>
      <c r="D59" s="111">
        <f>SUM(D54:D58)</f>
        <v>0</v>
      </c>
      <c r="E59" s="112"/>
      <c r="F59" s="110"/>
      <c r="G59" s="110"/>
      <c r="H59" s="115"/>
      <c r="I59" s="19"/>
      <c r="J59" s="138"/>
      <c r="K59" s="138">
        <f t="shared" si="6"/>
        <v>0</v>
      </c>
      <c r="L59" s="138">
        <f t="shared" si="7"/>
        <v>0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</row>
    <row r="60" spans="1:69" ht="13.5" thickTop="1" x14ac:dyDescent="0.2">
      <c r="A60" s="26" t="s">
        <v>127</v>
      </c>
      <c r="B60" s="36"/>
      <c r="C60" s="67"/>
      <c r="D60" s="167"/>
      <c r="E60" s="28"/>
      <c r="F60" s="27"/>
      <c r="G60" s="27"/>
      <c r="H60" s="37"/>
      <c r="I60" s="19"/>
      <c r="J60" s="138"/>
      <c r="K60" s="138"/>
      <c r="L60" s="138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</row>
    <row r="61" spans="1:69" x14ac:dyDescent="0.2">
      <c r="A61" s="26" t="s">
        <v>132</v>
      </c>
      <c r="B61" s="36" t="s">
        <v>134</v>
      </c>
      <c r="C61" s="67"/>
      <c r="D61" s="167">
        <v>0</v>
      </c>
      <c r="E61" s="28"/>
      <c r="F61" s="27"/>
      <c r="G61" s="27"/>
      <c r="H61" s="37"/>
      <c r="I61" s="19"/>
      <c r="J61" s="138"/>
      <c r="K61" s="138"/>
      <c r="L61" s="138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</row>
    <row r="62" spans="1:69" x14ac:dyDescent="0.2">
      <c r="A62" s="26" t="s">
        <v>131</v>
      </c>
      <c r="B62" s="36"/>
      <c r="C62" s="67"/>
      <c r="D62" s="167">
        <v>0</v>
      </c>
      <c r="E62" s="28" t="s">
        <v>19</v>
      </c>
      <c r="F62" s="27">
        <v>20</v>
      </c>
      <c r="G62" s="27">
        <v>1</v>
      </c>
      <c r="H62" s="37">
        <f t="shared" ref="H62:H71" si="9">IF(D62=0,0,D62/F62)*G62</f>
        <v>0</v>
      </c>
      <c r="I62" s="19"/>
      <c r="J62" s="138"/>
      <c r="K62" s="138">
        <f>IF(F62&gt;1,H62/12,0)</f>
        <v>0</v>
      </c>
      <c r="L62" s="138">
        <f t="shared" ref="L62:L71" si="10">IF(F62&gt;2,H62/12,0)</f>
        <v>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</row>
    <row r="63" spans="1:69" x14ac:dyDescent="0.2">
      <c r="A63" s="26" t="s">
        <v>20</v>
      </c>
      <c r="B63" s="36"/>
      <c r="C63" s="67"/>
      <c r="D63" s="167">
        <v>0</v>
      </c>
      <c r="E63" s="28" t="s">
        <v>19</v>
      </c>
      <c r="F63" s="27">
        <v>10</v>
      </c>
      <c r="G63" s="27">
        <v>1</v>
      </c>
      <c r="H63" s="37">
        <f t="shared" si="9"/>
        <v>0</v>
      </c>
      <c r="I63" s="19"/>
      <c r="J63" s="138"/>
      <c r="K63" s="138">
        <f t="shared" ref="K63:K67" si="11">IF(F63&gt;1,H63/12,0)</f>
        <v>0</v>
      </c>
      <c r="L63" s="138">
        <f t="shared" si="10"/>
        <v>0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</row>
    <row r="64" spans="1:69" x14ac:dyDescent="0.2">
      <c r="A64" s="26" t="s">
        <v>160</v>
      </c>
      <c r="B64" s="36"/>
      <c r="C64" s="67"/>
      <c r="D64" s="167">
        <v>0</v>
      </c>
      <c r="E64" s="28" t="s">
        <v>19</v>
      </c>
      <c r="F64" s="27">
        <v>7</v>
      </c>
      <c r="G64" s="27">
        <v>1</v>
      </c>
      <c r="H64" s="37">
        <f t="shared" si="9"/>
        <v>0</v>
      </c>
      <c r="I64" s="19"/>
      <c r="J64" s="138"/>
      <c r="K64" s="138">
        <f t="shared" si="11"/>
        <v>0</v>
      </c>
      <c r="L64" s="138">
        <f t="shared" si="10"/>
        <v>0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</row>
    <row r="65" spans="1:69" x14ac:dyDescent="0.2">
      <c r="A65" s="26" t="s">
        <v>21</v>
      </c>
      <c r="B65" s="36"/>
      <c r="C65" s="67"/>
      <c r="D65" s="167">
        <v>0</v>
      </c>
      <c r="E65" s="28" t="s">
        <v>19</v>
      </c>
      <c r="F65" s="27">
        <v>4</v>
      </c>
      <c r="G65" s="27">
        <v>1</v>
      </c>
      <c r="H65" s="37">
        <f t="shared" si="9"/>
        <v>0</v>
      </c>
      <c r="I65" s="19"/>
      <c r="J65" s="138"/>
      <c r="K65" s="138">
        <f t="shared" si="11"/>
        <v>0</v>
      </c>
      <c r="L65" s="138">
        <f t="shared" si="10"/>
        <v>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</row>
    <row r="66" spans="1:69" x14ac:dyDescent="0.2">
      <c r="A66" s="26" t="s">
        <v>22</v>
      </c>
      <c r="B66" s="36"/>
      <c r="C66" s="67"/>
      <c r="D66" s="167">
        <v>1000</v>
      </c>
      <c r="E66" s="28" t="s">
        <v>19</v>
      </c>
      <c r="F66" s="27">
        <v>7</v>
      </c>
      <c r="G66" s="27">
        <v>1</v>
      </c>
      <c r="H66" s="37">
        <f t="shared" si="9"/>
        <v>142.85714285714286</v>
      </c>
      <c r="I66" s="19"/>
      <c r="J66" s="138"/>
      <c r="K66" s="138">
        <f t="shared" si="11"/>
        <v>11.904761904761905</v>
      </c>
      <c r="L66" s="138">
        <f t="shared" si="10"/>
        <v>11.904761904761905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</row>
    <row r="67" spans="1:69" x14ac:dyDescent="0.2">
      <c r="A67" s="26" t="s">
        <v>133</v>
      </c>
      <c r="B67" s="36"/>
      <c r="C67" s="67"/>
      <c r="D67" s="167">
        <v>6000</v>
      </c>
      <c r="E67" s="28" t="s">
        <v>19</v>
      </c>
      <c r="F67" s="27">
        <v>3</v>
      </c>
      <c r="G67" s="27">
        <v>1</v>
      </c>
      <c r="H67" s="37">
        <f t="shared" si="9"/>
        <v>2000</v>
      </c>
      <c r="I67" s="19"/>
      <c r="J67" s="138"/>
      <c r="K67" s="138">
        <f t="shared" si="11"/>
        <v>166.66666666666666</v>
      </c>
      <c r="L67" s="138">
        <f t="shared" si="10"/>
        <v>166.66666666666666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</row>
    <row r="68" spans="1:69" x14ac:dyDescent="0.2">
      <c r="A68" s="26" t="s">
        <v>148</v>
      </c>
      <c r="B68" s="36"/>
      <c r="C68" s="67"/>
      <c r="D68" s="167"/>
      <c r="E68" s="28"/>
      <c r="F68" s="27"/>
      <c r="G68" s="27"/>
      <c r="H68" s="37">
        <f t="shared" si="9"/>
        <v>0</v>
      </c>
      <c r="I68" s="19"/>
      <c r="J68" s="138"/>
      <c r="K68" s="138">
        <f t="shared" ref="K68:K71" si="12">IF(F68&gt;2,H68/12,0)</f>
        <v>0</v>
      </c>
      <c r="L68" s="138">
        <f t="shared" si="10"/>
        <v>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</row>
    <row r="69" spans="1:69" x14ac:dyDescent="0.2">
      <c r="A69" s="26" t="s">
        <v>148</v>
      </c>
      <c r="B69" s="36"/>
      <c r="C69" s="67"/>
      <c r="D69" s="167"/>
      <c r="E69" s="28"/>
      <c r="F69" s="27"/>
      <c r="G69" s="27"/>
      <c r="H69" s="37">
        <f t="shared" si="9"/>
        <v>0</v>
      </c>
      <c r="I69" s="19"/>
      <c r="J69" s="138"/>
      <c r="K69" s="138">
        <f t="shared" si="12"/>
        <v>0</v>
      </c>
      <c r="L69" s="138">
        <f t="shared" si="10"/>
        <v>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  <row r="70" spans="1:69" x14ac:dyDescent="0.2">
      <c r="A70" s="26" t="s">
        <v>148</v>
      </c>
      <c r="B70" s="36"/>
      <c r="C70" s="67"/>
      <c r="D70" s="167"/>
      <c r="E70" s="28"/>
      <c r="F70" s="27"/>
      <c r="G70" s="27"/>
      <c r="H70" s="37">
        <f t="shared" si="9"/>
        <v>0</v>
      </c>
      <c r="I70" s="19"/>
      <c r="J70" s="138"/>
      <c r="K70" s="138">
        <f t="shared" si="12"/>
        <v>0</v>
      </c>
      <c r="L70" s="138">
        <f t="shared" si="10"/>
        <v>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</row>
    <row r="71" spans="1:69" x14ac:dyDescent="0.2">
      <c r="A71" s="26" t="s">
        <v>148</v>
      </c>
      <c r="B71" s="36"/>
      <c r="C71" s="67"/>
      <c r="D71" s="167"/>
      <c r="E71" s="28"/>
      <c r="F71" s="27"/>
      <c r="G71" s="27"/>
      <c r="H71" s="37">
        <f t="shared" si="9"/>
        <v>0</v>
      </c>
      <c r="I71" s="19"/>
      <c r="J71" s="138"/>
      <c r="K71" s="138">
        <f t="shared" si="12"/>
        <v>0</v>
      </c>
      <c r="L71" s="138">
        <f t="shared" si="10"/>
        <v>0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</row>
    <row r="72" spans="1:69" ht="13.5" thickBot="1" x14ac:dyDescent="0.25">
      <c r="A72" s="26"/>
      <c r="B72" s="36"/>
      <c r="C72" s="67"/>
      <c r="D72" s="167"/>
      <c r="E72" s="28"/>
      <c r="F72" s="27"/>
      <c r="G72" s="27"/>
      <c r="H72" s="37"/>
      <c r="I72" s="19"/>
      <c r="J72" s="138"/>
      <c r="K72" s="138"/>
      <c r="L72" s="138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</row>
    <row r="73" spans="1:69" ht="14.25" thickTop="1" thickBot="1" x14ac:dyDescent="0.25">
      <c r="A73" s="109" t="s">
        <v>136</v>
      </c>
      <c r="B73" s="110"/>
      <c r="C73" s="111"/>
      <c r="D73" s="111">
        <f>SUM(D61:D72)</f>
        <v>7000</v>
      </c>
      <c r="E73" s="112"/>
      <c r="F73" s="110"/>
      <c r="G73" s="110"/>
      <c r="H73" s="113"/>
      <c r="I73" s="19"/>
      <c r="J73" s="139"/>
      <c r="K73" s="139"/>
      <c r="L73" s="13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</row>
    <row r="74" spans="1:69" ht="13.5" thickTop="1" x14ac:dyDescent="0.2">
      <c r="A74" s="26" t="s">
        <v>128</v>
      </c>
      <c r="B74" s="27"/>
      <c r="C74" s="67"/>
      <c r="D74" s="167"/>
      <c r="E74" s="28"/>
      <c r="F74" s="27"/>
      <c r="G74" s="27"/>
      <c r="H74" s="29"/>
      <c r="I74" s="19"/>
      <c r="J74" s="41"/>
      <c r="K74" s="41"/>
      <c r="L74" s="4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</row>
    <row r="75" spans="1:69" x14ac:dyDescent="0.2">
      <c r="A75" s="30" t="s">
        <v>58</v>
      </c>
      <c r="B75" s="27"/>
      <c r="C75" s="67"/>
      <c r="D75" s="167"/>
      <c r="E75" s="28"/>
      <c r="F75" s="27"/>
      <c r="G75" s="27"/>
      <c r="H75" s="29"/>
      <c r="I75" s="19"/>
      <c r="J75" s="41"/>
      <c r="K75" s="41"/>
      <c r="L75" s="4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</row>
    <row r="76" spans="1:69" x14ac:dyDescent="0.2">
      <c r="A76" s="26"/>
      <c r="B76" s="27"/>
      <c r="C76" s="67"/>
      <c r="D76" s="167"/>
      <c r="E76" s="28"/>
      <c r="F76" s="27"/>
      <c r="G76" s="27"/>
      <c r="H76" s="29"/>
      <c r="I76" s="19"/>
      <c r="J76" s="41"/>
      <c r="K76" s="41"/>
      <c r="L76" s="4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</row>
    <row r="77" spans="1:69" ht="13.5" thickBot="1" x14ac:dyDescent="0.25">
      <c r="A77" s="30"/>
      <c r="B77" s="27"/>
      <c r="C77" s="67"/>
      <c r="D77" s="167"/>
      <c r="E77" s="28"/>
      <c r="F77" s="27">
        <v>0</v>
      </c>
      <c r="G77" s="27"/>
      <c r="H77" s="29"/>
      <c r="I77" s="19"/>
      <c r="J77" s="41"/>
      <c r="K77" s="41"/>
      <c r="L77" s="4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</row>
    <row r="78" spans="1:69" ht="14.25" thickTop="1" thickBot="1" x14ac:dyDescent="0.25">
      <c r="A78" s="109" t="s">
        <v>137</v>
      </c>
      <c r="B78" s="110"/>
      <c r="C78" s="110"/>
      <c r="D78" s="111">
        <f>SUM(D75:D77)</f>
        <v>0</v>
      </c>
      <c r="E78" s="112"/>
      <c r="F78" s="110"/>
      <c r="G78" s="110"/>
      <c r="H78" s="116"/>
      <c r="I78" s="19"/>
      <c r="J78" s="135"/>
      <c r="K78" s="41"/>
      <c r="L78" s="4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</row>
    <row r="79" spans="1:69" ht="13.5" thickTop="1" x14ac:dyDescent="0.2">
      <c r="A79" s="202" t="s">
        <v>169</v>
      </c>
      <c r="B79" s="19"/>
      <c r="C79" s="19"/>
      <c r="D79" s="41">
        <f>+D59+D73+D78</f>
        <v>7000</v>
      </c>
      <c r="E79" s="19"/>
      <c r="F79" s="19"/>
      <c r="G79" s="19"/>
      <c r="H79" s="19"/>
      <c r="I79" s="202" t="s">
        <v>171</v>
      </c>
      <c r="J79" s="41">
        <f>SUM(J55:J78)</f>
        <v>0</v>
      </c>
      <c r="K79" s="41">
        <f>SUM(K55:K78)</f>
        <v>178.57142857142856</v>
      </c>
      <c r="L79" s="41">
        <f>SUM(L55:L78)</f>
        <v>178.57142857142856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</row>
    <row r="80" spans="1:69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</row>
    <row r="81" spans="1:69" ht="13.5" thickBot="1" x14ac:dyDescent="0.25">
      <c r="A81" s="201" t="s">
        <v>168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</row>
    <row r="82" spans="1:69" ht="13.5" thickTop="1" x14ac:dyDescent="0.2">
      <c r="A82" s="20" t="s">
        <v>82</v>
      </c>
      <c r="B82" s="220" t="s">
        <v>15</v>
      </c>
      <c r="C82" s="220"/>
      <c r="D82" s="220" t="s">
        <v>16</v>
      </c>
      <c r="E82" s="143" t="s">
        <v>17</v>
      </c>
      <c r="F82" s="222" t="s">
        <v>18</v>
      </c>
      <c r="G82" s="222" t="s">
        <v>78</v>
      </c>
      <c r="H82" s="22" t="s">
        <v>81</v>
      </c>
      <c r="I82" s="19"/>
      <c r="J82" s="136"/>
      <c r="K82" s="136"/>
      <c r="L82" s="136" t="s">
        <v>159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</row>
    <row r="83" spans="1:69" x14ac:dyDescent="0.2">
      <c r="A83" s="23" t="s">
        <v>83</v>
      </c>
      <c r="B83" s="221"/>
      <c r="C83" s="221"/>
      <c r="D83" s="221"/>
      <c r="E83" s="144" t="s">
        <v>79</v>
      </c>
      <c r="F83" s="223"/>
      <c r="G83" s="223"/>
      <c r="H83" s="25" t="s">
        <v>80</v>
      </c>
      <c r="I83" s="19"/>
      <c r="J83" s="137"/>
      <c r="K83" s="137"/>
      <c r="L83" s="137" t="s">
        <v>158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</row>
    <row r="84" spans="1:69" x14ac:dyDescent="0.2">
      <c r="A84" s="26"/>
      <c r="B84" s="27"/>
      <c r="C84" s="27"/>
      <c r="D84" s="166"/>
      <c r="E84" s="28"/>
      <c r="F84" s="27"/>
      <c r="G84" s="27"/>
      <c r="H84" s="29"/>
      <c r="I84" s="19"/>
      <c r="J84" s="138"/>
      <c r="K84" s="138"/>
      <c r="L84" s="138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</row>
    <row r="85" spans="1:69" x14ac:dyDescent="0.2">
      <c r="A85" s="26" t="s">
        <v>161</v>
      </c>
      <c r="B85" s="36"/>
      <c r="C85" s="67"/>
      <c r="D85" s="167"/>
      <c r="E85" s="28"/>
      <c r="F85" s="27">
        <v>0</v>
      </c>
      <c r="G85" s="27"/>
      <c r="H85" s="37"/>
      <c r="I85" s="19"/>
      <c r="J85" s="138"/>
      <c r="K85" s="138"/>
      <c r="L85" s="138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</row>
    <row r="86" spans="1:69" x14ac:dyDescent="0.2">
      <c r="A86" s="26" t="s">
        <v>57</v>
      </c>
      <c r="B86" s="36" t="s">
        <v>134</v>
      </c>
      <c r="C86" s="67"/>
      <c r="D86" s="167">
        <v>0</v>
      </c>
      <c r="E86" s="28"/>
      <c r="F86" s="27">
        <v>0</v>
      </c>
      <c r="G86" s="27"/>
      <c r="H86" s="37"/>
      <c r="I86" s="19"/>
      <c r="J86" s="138"/>
      <c r="K86" s="138"/>
      <c r="L86" s="138">
        <f>IF(F86&gt;1,H86/12,0)</f>
        <v>0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</row>
    <row r="87" spans="1:69" x14ac:dyDescent="0.2">
      <c r="A87" s="26" t="s">
        <v>129</v>
      </c>
      <c r="B87" s="36"/>
      <c r="C87" s="67"/>
      <c r="D87" s="167">
        <v>0</v>
      </c>
      <c r="E87" s="28" t="s">
        <v>19</v>
      </c>
      <c r="F87" s="27">
        <v>2</v>
      </c>
      <c r="G87" s="27">
        <v>1</v>
      </c>
      <c r="H87" s="37">
        <f>IF(D87=0,0,D87/F87)*G87</f>
        <v>0</v>
      </c>
      <c r="I87" s="19"/>
      <c r="J87" s="138"/>
      <c r="K87" s="138"/>
      <c r="L87" s="138">
        <f t="shared" ref="L87:L91" si="13">IF(F87&gt;1,H87/12,0)</f>
        <v>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</row>
    <row r="88" spans="1:69" x14ac:dyDescent="0.2">
      <c r="A88" s="26" t="s">
        <v>107</v>
      </c>
      <c r="B88" s="36"/>
      <c r="C88" s="67"/>
      <c r="D88" s="167">
        <v>0</v>
      </c>
      <c r="E88" s="28" t="s">
        <v>19</v>
      </c>
      <c r="F88" s="27">
        <v>3</v>
      </c>
      <c r="G88" s="27">
        <v>1</v>
      </c>
      <c r="H88" s="37">
        <f t="shared" ref="H88:H89" si="14">IF(D88=0,0,D88/F88)*G88</f>
        <v>0</v>
      </c>
      <c r="I88" s="19"/>
      <c r="J88" s="138"/>
      <c r="K88" s="138"/>
      <c r="L88" s="138">
        <f t="shared" si="13"/>
        <v>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</row>
    <row r="89" spans="1:69" x14ac:dyDescent="0.2">
      <c r="A89" s="26" t="s">
        <v>130</v>
      </c>
      <c r="B89" s="36"/>
      <c r="C89" s="67"/>
      <c r="D89" s="167">
        <v>0</v>
      </c>
      <c r="E89" s="28"/>
      <c r="F89" s="27">
        <v>5</v>
      </c>
      <c r="G89" s="27"/>
      <c r="H89" s="37">
        <f t="shared" si="14"/>
        <v>0</v>
      </c>
      <c r="I89" s="19"/>
      <c r="J89" s="138"/>
      <c r="K89" s="138"/>
      <c r="L89" s="138">
        <f t="shared" si="13"/>
        <v>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</row>
    <row r="90" spans="1:69" ht="13.5" thickBot="1" x14ac:dyDescent="0.25">
      <c r="A90" s="26"/>
      <c r="B90" s="36"/>
      <c r="C90" s="67"/>
      <c r="D90" s="167"/>
      <c r="E90" s="28"/>
      <c r="F90" s="27"/>
      <c r="G90" s="27"/>
      <c r="H90" s="37"/>
      <c r="I90" s="19"/>
      <c r="J90" s="138"/>
      <c r="K90" s="138"/>
      <c r="L90" s="138">
        <f t="shared" si="13"/>
        <v>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</row>
    <row r="91" spans="1:69" ht="14.25" thickTop="1" thickBot="1" x14ac:dyDescent="0.25">
      <c r="A91" s="109" t="s">
        <v>135</v>
      </c>
      <c r="B91" s="114"/>
      <c r="C91" s="111"/>
      <c r="D91" s="111">
        <f>SUM(D86:D90)</f>
        <v>0</v>
      </c>
      <c r="E91" s="112"/>
      <c r="F91" s="110"/>
      <c r="G91" s="110"/>
      <c r="H91" s="115"/>
      <c r="I91" s="19"/>
      <c r="J91" s="138"/>
      <c r="K91" s="138"/>
      <c r="L91" s="138">
        <f t="shared" si="13"/>
        <v>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</row>
    <row r="92" spans="1:69" ht="13.5" thickTop="1" x14ac:dyDescent="0.2">
      <c r="A92" s="26" t="s">
        <v>127</v>
      </c>
      <c r="B92" s="36"/>
      <c r="C92" s="67"/>
      <c r="D92" s="167"/>
      <c r="E92" s="28"/>
      <c r="F92" s="27"/>
      <c r="G92" s="27"/>
      <c r="H92" s="37"/>
      <c r="I92" s="19"/>
      <c r="J92" s="138"/>
      <c r="K92" s="138"/>
      <c r="L92" s="138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</row>
    <row r="93" spans="1:69" x14ac:dyDescent="0.2">
      <c r="A93" s="26" t="s">
        <v>132</v>
      </c>
      <c r="B93" s="36" t="s">
        <v>134</v>
      </c>
      <c r="C93" s="67"/>
      <c r="D93" s="167">
        <v>0</v>
      </c>
      <c r="E93" s="28"/>
      <c r="F93" s="27"/>
      <c r="G93" s="27"/>
      <c r="H93" s="37"/>
      <c r="I93" s="19"/>
      <c r="J93" s="138"/>
      <c r="K93" s="138"/>
      <c r="L93" s="13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</row>
    <row r="94" spans="1:69" x14ac:dyDescent="0.2">
      <c r="A94" s="26" t="s">
        <v>131</v>
      </c>
      <c r="B94" s="36"/>
      <c r="C94" s="67"/>
      <c r="D94" s="167">
        <v>0</v>
      </c>
      <c r="E94" s="28" t="s">
        <v>19</v>
      </c>
      <c r="F94" s="27">
        <v>20</v>
      </c>
      <c r="G94" s="27">
        <v>1</v>
      </c>
      <c r="H94" s="37">
        <f t="shared" ref="H94:H103" si="15">IF(D94=0,0,D94/F94)*G94</f>
        <v>0</v>
      </c>
      <c r="I94" s="19"/>
      <c r="J94" s="138"/>
      <c r="K94" s="138"/>
      <c r="L94" s="138">
        <f t="shared" ref="L94:L103" si="16">IF(F94&gt;2,H94/12,0)</f>
        <v>0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</row>
    <row r="95" spans="1:69" x14ac:dyDescent="0.2">
      <c r="A95" s="26" t="s">
        <v>20</v>
      </c>
      <c r="B95" s="36"/>
      <c r="C95" s="67"/>
      <c r="D95" s="167">
        <v>0</v>
      </c>
      <c r="E95" s="28" t="s">
        <v>19</v>
      </c>
      <c r="F95" s="27">
        <v>10</v>
      </c>
      <c r="G95" s="27">
        <v>1</v>
      </c>
      <c r="H95" s="37">
        <f t="shared" si="15"/>
        <v>0</v>
      </c>
      <c r="I95" s="19"/>
      <c r="J95" s="138"/>
      <c r="K95" s="138"/>
      <c r="L95" s="138">
        <f t="shared" si="16"/>
        <v>0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</row>
    <row r="96" spans="1:69" x14ac:dyDescent="0.2">
      <c r="A96" s="26" t="s">
        <v>160</v>
      </c>
      <c r="B96" s="36"/>
      <c r="C96" s="67"/>
      <c r="D96" s="167">
        <v>0</v>
      </c>
      <c r="E96" s="28" t="s">
        <v>19</v>
      </c>
      <c r="F96" s="27">
        <v>7</v>
      </c>
      <c r="G96" s="27">
        <v>1</v>
      </c>
      <c r="H96" s="37">
        <f t="shared" si="15"/>
        <v>0</v>
      </c>
      <c r="I96" s="19"/>
      <c r="J96" s="138"/>
      <c r="K96" s="138"/>
      <c r="L96" s="138">
        <f t="shared" si="16"/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</row>
    <row r="97" spans="1:69" x14ac:dyDescent="0.2">
      <c r="A97" s="26" t="s">
        <v>21</v>
      </c>
      <c r="B97" s="36"/>
      <c r="C97" s="67"/>
      <c r="D97" s="167">
        <v>0</v>
      </c>
      <c r="E97" s="28" t="s">
        <v>19</v>
      </c>
      <c r="F97" s="27">
        <v>4</v>
      </c>
      <c r="G97" s="27">
        <v>1</v>
      </c>
      <c r="H97" s="37">
        <f t="shared" si="15"/>
        <v>0</v>
      </c>
      <c r="I97" s="19"/>
      <c r="J97" s="138"/>
      <c r="K97" s="138"/>
      <c r="L97" s="138">
        <f t="shared" si="16"/>
        <v>0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</row>
    <row r="98" spans="1:69" x14ac:dyDescent="0.2">
      <c r="A98" s="26" t="s">
        <v>22</v>
      </c>
      <c r="B98" s="36"/>
      <c r="C98" s="67"/>
      <c r="D98" s="167">
        <v>500</v>
      </c>
      <c r="E98" s="28" t="s">
        <v>19</v>
      </c>
      <c r="F98" s="27">
        <v>7</v>
      </c>
      <c r="G98" s="27">
        <v>1</v>
      </c>
      <c r="H98" s="37">
        <f t="shared" si="15"/>
        <v>71.428571428571431</v>
      </c>
      <c r="I98" s="19"/>
      <c r="J98" s="138"/>
      <c r="K98" s="138"/>
      <c r="L98" s="138">
        <f t="shared" si="16"/>
        <v>5.9523809523809526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</row>
    <row r="99" spans="1:69" x14ac:dyDescent="0.2">
      <c r="A99" s="26" t="s">
        <v>133</v>
      </c>
      <c r="B99" s="36"/>
      <c r="C99" s="67"/>
      <c r="D99" s="167">
        <v>6000</v>
      </c>
      <c r="E99" s="28" t="s">
        <v>19</v>
      </c>
      <c r="F99" s="27">
        <v>3</v>
      </c>
      <c r="G99" s="27">
        <v>1</v>
      </c>
      <c r="H99" s="37">
        <f t="shared" si="15"/>
        <v>2000</v>
      </c>
      <c r="I99" s="19"/>
      <c r="J99" s="138"/>
      <c r="K99" s="138"/>
      <c r="L99" s="138">
        <f t="shared" si="16"/>
        <v>166.66666666666666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</row>
    <row r="100" spans="1:69" x14ac:dyDescent="0.2">
      <c r="A100" s="26" t="s">
        <v>148</v>
      </c>
      <c r="B100" s="36"/>
      <c r="C100" s="67"/>
      <c r="D100" s="167"/>
      <c r="E100" s="28"/>
      <c r="F100" s="27"/>
      <c r="G100" s="27"/>
      <c r="H100" s="37">
        <f t="shared" si="15"/>
        <v>0</v>
      </c>
      <c r="I100" s="19"/>
      <c r="J100" s="138"/>
      <c r="K100" s="138"/>
      <c r="L100" s="138">
        <f t="shared" si="16"/>
        <v>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</row>
    <row r="101" spans="1:69" x14ac:dyDescent="0.2">
      <c r="A101" s="26" t="s">
        <v>148</v>
      </c>
      <c r="B101" s="36"/>
      <c r="C101" s="67"/>
      <c r="D101" s="167"/>
      <c r="E101" s="28"/>
      <c r="F101" s="27"/>
      <c r="G101" s="27"/>
      <c r="H101" s="37">
        <f t="shared" si="15"/>
        <v>0</v>
      </c>
      <c r="I101" s="19"/>
      <c r="J101" s="138"/>
      <c r="K101" s="138"/>
      <c r="L101" s="138">
        <f t="shared" si="16"/>
        <v>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</row>
    <row r="102" spans="1:69" x14ac:dyDescent="0.2">
      <c r="A102" s="26" t="s">
        <v>148</v>
      </c>
      <c r="B102" s="36"/>
      <c r="C102" s="67"/>
      <c r="D102" s="167"/>
      <c r="E102" s="28"/>
      <c r="F102" s="27"/>
      <c r="G102" s="27"/>
      <c r="H102" s="37">
        <f t="shared" si="15"/>
        <v>0</v>
      </c>
      <c r="I102" s="19"/>
      <c r="J102" s="138"/>
      <c r="K102" s="138"/>
      <c r="L102" s="138">
        <f t="shared" si="16"/>
        <v>0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</row>
    <row r="103" spans="1:69" x14ac:dyDescent="0.2">
      <c r="A103" s="26" t="s">
        <v>148</v>
      </c>
      <c r="B103" s="36"/>
      <c r="C103" s="67"/>
      <c r="D103" s="167"/>
      <c r="E103" s="28"/>
      <c r="F103" s="27"/>
      <c r="G103" s="27"/>
      <c r="H103" s="37">
        <f t="shared" si="15"/>
        <v>0</v>
      </c>
      <c r="I103" s="19"/>
      <c r="J103" s="138"/>
      <c r="K103" s="138"/>
      <c r="L103" s="138">
        <f t="shared" si="16"/>
        <v>0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</row>
    <row r="104" spans="1:69" ht="13.5" thickBot="1" x14ac:dyDescent="0.25">
      <c r="A104" s="26"/>
      <c r="B104" s="36"/>
      <c r="C104" s="67"/>
      <c r="D104" s="167"/>
      <c r="E104" s="28"/>
      <c r="F104" s="27"/>
      <c r="G104" s="27"/>
      <c r="H104" s="37"/>
      <c r="I104" s="19"/>
      <c r="J104" s="138"/>
      <c r="K104" s="138"/>
      <c r="L104" s="138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</row>
    <row r="105" spans="1:69" ht="14.25" thickTop="1" thickBot="1" x14ac:dyDescent="0.25">
      <c r="A105" s="109" t="s">
        <v>136</v>
      </c>
      <c r="B105" s="110"/>
      <c r="C105" s="111"/>
      <c r="D105" s="111">
        <f>SUM(D93:D104)</f>
        <v>6500</v>
      </c>
      <c r="E105" s="112"/>
      <c r="F105" s="110"/>
      <c r="G105" s="110"/>
      <c r="H105" s="113"/>
      <c r="I105" s="19"/>
      <c r="J105" s="139"/>
      <c r="K105" s="139"/>
      <c r="L105" s="13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</row>
    <row r="106" spans="1:69" ht="13.5" thickTop="1" x14ac:dyDescent="0.2">
      <c r="A106" s="26" t="s">
        <v>128</v>
      </c>
      <c r="B106" s="27"/>
      <c r="C106" s="67"/>
      <c r="D106" s="167"/>
      <c r="E106" s="28"/>
      <c r="F106" s="27"/>
      <c r="G106" s="27"/>
      <c r="H106" s="29"/>
      <c r="I106" s="19"/>
      <c r="J106" s="41"/>
      <c r="K106" s="41"/>
      <c r="L106" s="4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</row>
    <row r="107" spans="1:69" x14ac:dyDescent="0.2">
      <c r="A107" s="30" t="s">
        <v>58</v>
      </c>
      <c r="B107" s="27"/>
      <c r="C107" s="67"/>
      <c r="D107" s="167"/>
      <c r="E107" s="28"/>
      <c r="F107" s="27"/>
      <c r="G107" s="27"/>
      <c r="H107" s="29"/>
      <c r="I107" s="19"/>
      <c r="J107" s="41"/>
      <c r="K107" s="41"/>
      <c r="L107" s="4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</row>
    <row r="108" spans="1:69" x14ac:dyDescent="0.2">
      <c r="A108" s="26"/>
      <c r="B108" s="27"/>
      <c r="C108" s="67"/>
      <c r="D108" s="167"/>
      <c r="E108" s="28"/>
      <c r="F108" s="27"/>
      <c r="G108" s="27"/>
      <c r="H108" s="29"/>
      <c r="I108" s="19"/>
      <c r="J108" s="41"/>
      <c r="K108" s="41"/>
      <c r="L108" s="4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</row>
    <row r="109" spans="1:69" ht="13.5" thickBot="1" x14ac:dyDescent="0.25">
      <c r="A109" s="30"/>
      <c r="B109" s="27"/>
      <c r="C109" s="67"/>
      <c r="D109" s="167"/>
      <c r="E109" s="28"/>
      <c r="F109" s="27">
        <v>0</v>
      </c>
      <c r="G109" s="27"/>
      <c r="H109" s="29"/>
      <c r="I109" s="19"/>
      <c r="J109" s="41"/>
      <c r="K109" s="41"/>
      <c r="L109" s="4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</row>
    <row r="110" spans="1:69" ht="14.25" thickTop="1" thickBot="1" x14ac:dyDescent="0.25">
      <c r="A110" s="109" t="s">
        <v>137</v>
      </c>
      <c r="B110" s="110"/>
      <c r="C110" s="110"/>
      <c r="D110" s="111">
        <f>SUM(D107:D109)</f>
        <v>0</v>
      </c>
      <c r="E110" s="112"/>
      <c r="F110" s="110"/>
      <c r="G110" s="110"/>
      <c r="H110" s="116"/>
      <c r="I110" s="19"/>
      <c r="J110" s="135"/>
      <c r="K110" s="41"/>
      <c r="L110" s="4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</row>
    <row r="111" spans="1:69" ht="13.5" thickTop="1" x14ac:dyDescent="0.2">
      <c r="A111" s="19"/>
      <c r="B111" s="19"/>
      <c r="C111" s="19"/>
      <c r="D111" s="19"/>
      <c r="E111" s="19"/>
      <c r="F111" s="19"/>
      <c r="G111" s="19"/>
      <c r="H111" s="19"/>
      <c r="I111" s="202" t="s">
        <v>170</v>
      </c>
      <c r="J111" s="41">
        <f>SUM(J87:J110)</f>
        <v>0</v>
      </c>
      <c r="K111" s="41">
        <f>SUM(K87:K110)</f>
        <v>0</v>
      </c>
      <c r="L111" s="41">
        <f>SUM(L87:L110)</f>
        <v>172.61904761904762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</row>
    <row r="112" spans="1:69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</row>
    <row r="113" spans="1:69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</row>
    <row r="114" spans="1:69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</row>
    <row r="115" spans="1:69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</row>
    <row r="116" spans="1:69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</row>
    <row r="117" spans="1:69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</row>
    <row r="118" spans="1:69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</row>
    <row r="119" spans="1:69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</row>
    <row r="120" spans="1:69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</row>
    <row r="121" spans="1:69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</row>
    <row r="122" spans="1:69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</row>
    <row r="123" spans="1:69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</row>
    <row r="124" spans="1:69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</row>
    <row r="125" spans="1:69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</row>
    <row r="126" spans="1:69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</row>
    <row r="127" spans="1:69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</row>
    <row r="128" spans="1:69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</row>
    <row r="129" spans="1:69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</row>
    <row r="130" spans="1:69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</row>
    <row r="131" spans="1:69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</row>
    <row r="132" spans="1:69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</row>
    <row r="133" spans="1:69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</row>
    <row r="134" spans="1:69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</row>
    <row r="135" spans="1:69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</row>
    <row r="136" spans="1:69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</row>
    <row r="137" spans="1:69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</row>
    <row r="138" spans="1:69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</row>
    <row r="139" spans="1:69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</row>
    <row r="140" spans="1:69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</row>
    <row r="141" spans="1:69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</row>
    <row r="142" spans="1:69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</row>
    <row r="143" spans="1:69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</row>
    <row r="144" spans="1:69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</row>
    <row r="145" spans="1:69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</row>
    <row r="146" spans="1:69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</row>
    <row r="147" spans="1:69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</row>
    <row r="148" spans="1:69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</row>
    <row r="149" spans="1:69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</row>
    <row r="150" spans="1:69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</row>
    <row r="151" spans="1:69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</row>
    <row r="152" spans="1:69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</row>
    <row r="153" spans="1:69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</row>
    <row r="154" spans="1:69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</row>
    <row r="155" spans="1:69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</row>
    <row r="156" spans="1:69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</row>
    <row r="157" spans="1:69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</row>
    <row r="158" spans="1:69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</row>
    <row r="159" spans="1:69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</row>
    <row r="160" spans="1:69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</row>
    <row r="161" spans="1:69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</row>
    <row r="162" spans="1:69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</row>
    <row r="163" spans="1:69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</row>
    <row r="164" spans="1:69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</row>
    <row r="165" spans="1:69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</row>
    <row r="166" spans="1:69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</row>
    <row r="167" spans="1:69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</row>
    <row r="168" spans="1:69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</row>
    <row r="169" spans="1:69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</row>
    <row r="170" spans="1:69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</row>
    <row r="171" spans="1:69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</row>
    <row r="172" spans="1:69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</row>
    <row r="173" spans="1:69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</row>
    <row r="174" spans="1:69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</row>
    <row r="175" spans="1:69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</row>
    <row r="176" spans="1:69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</row>
    <row r="177" spans="1:69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</row>
    <row r="178" spans="1:69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</row>
    <row r="179" spans="1:69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</row>
    <row r="180" spans="1:69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</row>
    <row r="181" spans="1:69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</row>
    <row r="182" spans="1:69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</row>
    <row r="183" spans="1:69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</row>
    <row r="184" spans="1:69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</row>
    <row r="185" spans="1:69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</row>
    <row r="186" spans="1:69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</row>
    <row r="187" spans="1:69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</row>
    <row r="188" spans="1:69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</row>
    <row r="189" spans="1:69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</row>
    <row r="190" spans="1:69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</row>
    <row r="191" spans="1:69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</row>
    <row r="192" spans="1:69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</row>
    <row r="193" spans="1:69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</row>
    <row r="194" spans="1:69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</row>
    <row r="195" spans="1:69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</row>
    <row r="196" spans="1:69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</row>
    <row r="197" spans="1:69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</row>
    <row r="198" spans="1:69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</row>
    <row r="199" spans="1:69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</row>
    <row r="200" spans="1:69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</row>
    <row r="201" spans="1:69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</row>
    <row r="202" spans="1:69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</row>
    <row r="203" spans="1:69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</row>
    <row r="204" spans="1:69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</row>
    <row r="205" spans="1:69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</row>
    <row r="206" spans="1:69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</row>
    <row r="207" spans="1:69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</row>
    <row r="208" spans="1:69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</row>
    <row r="209" spans="1:69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</row>
    <row r="210" spans="1:69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</row>
    <row r="211" spans="1:69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</row>
    <row r="212" spans="1:69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</row>
    <row r="213" spans="1:69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</row>
    <row r="214" spans="1:69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</row>
    <row r="215" spans="1:69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</row>
    <row r="216" spans="1:69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</row>
    <row r="217" spans="1:69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</row>
    <row r="218" spans="1:69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</row>
    <row r="219" spans="1:69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</row>
    <row r="220" spans="1:69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</row>
    <row r="221" spans="1:69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</row>
    <row r="222" spans="1:69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</row>
    <row r="223" spans="1:69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</row>
    <row r="224" spans="1:69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</row>
    <row r="225" spans="1:69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</row>
    <row r="226" spans="1:69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</row>
    <row r="227" spans="1:69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</row>
    <row r="228" spans="1:69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</row>
    <row r="229" spans="1:69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</row>
    <row r="230" spans="1:69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</row>
    <row r="231" spans="1:69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</row>
    <row r="232" spans="1:69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</row>
    <row r="233" spans="1:69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</row>
    <row r="234" spans="1:69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</row>
    <row r="235" spans="1:69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</row>
    <row r="236" spans="1:69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</row>
    <row r="237" spans="1:69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</row>
    <row r="238" spans="1:69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</row>
    <row r="239" spans="1:69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</row>
    <row r="240" spans="1:69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</row>
    <row r="241" spans="1:69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</row>
    <row r="242" spans="1:69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</row>
    <row r="243" spans="1:69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</row>
    <row r="244" spans="1:69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</row>
    <row r="245" spans="1:69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</row>
    <row r="246" spans="1:69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</row>
    <row r="247" spans="1:69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</row>
    <row r="248" spans="1:69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</row>
    <row r="249" spans="1:69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</row>
    <row r="250" spans="1:69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</row>
    <row r="251" spans="1:69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</row>
    <row r="252" spans="1:69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</row>
    <row r="253" spans="1:69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</row>
    <row r="254" spans="1:69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</row>
    <row r="255" spans="1:69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</row>
    <row r="256" spans="1:69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</row>
    <row r="257" spans="1:69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</row>
    <row r="258" spans="1:69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</row>
    <row r="259" spans="1:69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</row>
    <row r="260" spans="1:69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</row>
    <row r="261" spans="1:69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</row>
    <row r="262" spans="1:69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</row>
    <row r="263" spans="1:69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</row>
    <row r="264" spans="1:69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</row>
    <row r="265" spans="1:69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</row>
    <row r="266" spans="1:69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</row>
    <row r="267" spans="1:69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</row>
    <row r="268" spans="1:69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</row>
    <row r="269" spans="1:69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</row>
    <row r="270" spans="1:69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</row>
    <row r="271" spans="1:69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</row>
    <row r="272" spans="1:69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</row>
    <row r="273" spans="1:69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</row>
    <row r="274" spans="1:69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</row>
    <row r="275" spans="1:69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</row>
    <row r="276" spans="1:69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</row>
    <row r="277" spans="1:69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</row>
    <row r="278" spans="1:69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</row>
    <row r="279" spans="1:69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</row>
    <row r="280" spans="1:69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</row>
    <row r="281" spans="1:69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</row>
    <row r="282" spans="1:69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</row>
    <row r="283" spans="1:69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</row>
    <row r="284" spans="1:69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</row>
    <row r="285" spans="1:69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</row>
    <row r="286" spans="1:69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</row>
    <row r="287" spans="1:69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</row>
    <row r="288" spans="1:69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</row>
    <row r="289" spans="1:69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</row>
    <row r="290" spans="1:69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</row>
    <row r="291" spans="1:69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</row>
    <row r="292" spans="1:69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</row>
    <row r="293" spans="1:69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</row>
    <row r="294" spans="1:69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</row>
    <row r="295" spans="1:69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</row>
    <row r="296" spans="1:69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</row>
    <row r="297" spans="1:69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</row>
    <row r="298" spans="1:69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</row>
    <row r="299" spans="1:69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</row>
    <row r="300" spans="1:69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</row>
    <row r="301" spans="1:69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</row>
    <row r="302" spans="1:69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</row>
    <row r="303" spans="1:69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</row>
    <row r="304" spans="1:69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</row>
    <row r="305" spans="1:69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</row>
    <row r="306" spans="1:69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</row>
    <row r="307" spans="1:69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</row>
    <row r="308" spans="1:69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</row>
    <row r="309" spans="1:69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</row>
    <row r="310" spans="1:69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</row>
    <row r="311" spans="1:69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</row>
    <row r="312" spans="1:69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</row>
    <row r="313" spans="1:69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</row>
    <row r="314" spans="1:69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</row>
    <row r="315" spans="1:69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</row>
    <row r="316" spans="1:69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</row>
    <row r="317" spans="1:69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</row>
    <row r="318" spans="1:69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</row>
    <row r="319" spans="1:69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</row>
    <row r="320" spans="1:69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</row>
    <row r="321" spans="1:69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</row>
    <row r="322" spans="1:69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</row>
    <row r="323" spans="1:69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</row>
    <row r="324" spans="1:69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</row>
    <row r="325" spans="1:69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</row>
    <row r="326" spans="1:69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</row>
    <row r="327" spans="1:69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</row>
    <row r="328" spans="1:69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</row>
    <row r="329" spans="1:69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</row>
    <row r="330" spans="1:69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</row>
    <row r="331" spans="1:69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</row>
    <row r="332" spans="1:69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</row>
    <row r="333" spans="1:69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</row>
    <row r="334" spans="1:69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</row>
    <row r="335" spans="1:69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</row>
    <row r="336" spans="1:69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</row>
    <row r="337" spans="1:69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</row>
    <row r="338" spans="1:69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</row>
    <row r="339" spans="1:69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</row>
    <row r="340" spans="1:69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</row>
    <row r="341" spans="1:69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</row>
    <row r="342" spans="1:69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</row>
    <row r="343" spans="1:69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</row>
    <row r="344" spans="1:69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</row>
    <row r="345" spans="1:69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</row>
    <row r="346" spans="1:69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</row>
    <row r="347" spans="1:69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</row>
    <row r="348" spans="1:69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</row>
    <row r="349" spans="1:69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</row>
    <row r="350" spans="1:69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</row>
    <row r="351" spans="1:69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</row>
    <row r="352" spans="1:69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</row>
    <row r="353" spans="1:69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</row>
    <row r="354" spans="1:69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</row>
    <row r="355" spans="1:69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</row>
    <row r="356" spans="1:69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</row>
    <row r="357" spans="1:69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</row>
    <row r="358" spans="1:69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</row>
    <row r="359" spans="1:69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</row>
    <row r="360" spans="1:69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</row>
    <row r="361" spans="1:69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</row>
    <row r="362" spans="1:69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</row>
    <row r="363" spans="1:69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</row>
    <row r="364" spans="1:69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</row>
    <row r="365" spans="1:69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</row>
    <row r="366" spans="1:69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</row>
    <row r="367" spans="1:69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</row>
    <row r="368" spans="1:69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</row>
    <row r="369" spans="1:69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</row>
    <row r="370" spans="1:69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</row>
    <row r="371" spans="1:69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</row>
    <row r="372" spans="1:69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</row>
    <row r="373" spans="1:69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</row>
    <row r="374" spans="1:69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</row>
    <row r="375" spans="1:69" x14ac:dyDescent="0.2"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</row>
    <row r="376" spans="1:69" x14ac:dyDescent="0.2"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</row>
    <row r="377" spans="1:69" x14ac:dyDescent="0.2"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</row>
    <row r="378" spans="1:69" x14ac:dyDescent="0.2"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</row>
    <row r="379" spans="1:69" x14ac:dyDescent="0.2"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</row>
    <row r="380" spans="1:69" x14ac:dyDescent="0.2"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</row>
    <row r="381" spans="1:69" x14ac:dyDescent="0.2"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</row>
    <row r="382" spans="1:69" x14ac:dyDescent="0.2"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</row>
    <row r="383" spans="1:69" x14ac:dyDescent="0.2"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</row>
    <row r="384" spans="1:69" x14ac:dyDescent="0.2"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</row>
    <row r="385" spans="18:69" x14ac:dyDescent="0.2"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</row>
    <row r="386" spans="18:69" x14ac:dyDescent="0.2"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</row>
    <row r="387" spans="18:69" x14ac:dyDescent="0.2"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</row>
    <row r="388" spans="18:69" x14ac:dyDescent="0.2"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</row>
    <row r="389" spans="18:69" x14ac:dyDescent="0.2"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</row>
    <row r="390" spans="18:69" x14ac:dyDescent="0.2"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</row>
    <row r="391" spans="18:69" x14ac:dyDescent="0.2"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</row>
    <row r="392" spans="18:69" x14ac:dyDescent="0.2"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</row>
    <row r="393" spans="18:69" x14ac:dyDescent="0.2"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</row>
    <row r="394" spans="18:69" x14ac:dyDescent="0.2"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</row>
    <row r="395" spans="18:69" x14ac:dyDescent="0.2"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</row>
    <row r="396" spans="18:69" x14ac:dyDescent="0.2"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</row>
    <row r="397" spans="18:69" x14ac:dyDescent="0.2"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</row>
    <row r="398" spans="18:69" x14ac:dyDescent="0.2"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</row>
    <row r="399" spans="18:69" x14ac:dyDescent="0.2"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</row>
    <row r="400" spans="18:69" x14ac:dyDescent="0.2"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</row>
    <row r="401" spans="18:69" x14ac:dyDescent="0.2"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</row>
    <row r="402" spans="18:69" x14ac:dyDescent="0.2"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</row>
    <row r="403" spans="18:69" x14ac:dyDescent="0.2"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</row>
    <row r="404" spans="18:69" x14ac:dyDescent="0.2"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</row>
    <row r="405" spans="18:69" x14ac:dyDescent="0.2"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</row>
    <row r="406" spans="18:69" x14ac:dyDescent="0.2"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</row>
    <row r="407" spans="18:69" x14ac:dyDescent="0.2"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</row>
    <row r="408" spans="18:69" x14ac:dyDescent="0.2"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</row>
    <row r="409" spans="18:69" x14ac:dyDescent="0.2"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</row>
    <row r="410" spans="18:69" x14ac:dyDescent="0.2"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</row>
    <row r="411" spans="18:69" x14ac:dyDescent="0.2"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</row>
    <row r="412" spans="18:69" x14ac:dyDescent="0.2"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</row>
    <row r="413" spans="18:69" x14ac:dyDescent="0.2"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</row>
    <row r="414" spans="18:69" x14ac:dyDescent="0.2"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</row>
    <row r="415" spans="18:69" x14ac:dyDescent="0.2"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</row>
    <row r="416" spans="18:69" x14ac:dyDescent="0.2"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</row>
    <row r="417" spans="18:69" x14ac:dyDescent="0.2"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</row>
    <row r="418" spans="18:69" x14ac:dyDescent="0.2"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</row>
    <row r="419" spans="18:69" x14ac:dyDescent="0.2"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</row>
    <row r="420" spans="18:69" x14ac:dyDescent="0.2"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</row>
    <row r="421" spans="18:69" x14ac:dyDescent="0.2"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</row>
    <row r="422" spans="18:69" x14ac:dyDescent="0.2"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</row>
    <row r="423" spans="18:69" x14ac:dyDescent="0.2"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</row>
    <row r="424" spans="18:69" x14ac:dyDescent="0.2"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</row>
    <row r="425" spans="18:69" x14ac:dyDescent="0.2"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</row>
    <row r="426" spans="18:69" x14ac:dyDescent="0.2"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</row>
    <row r="427" spans="18:69" x14ac:dyDescent="0.2"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</row>
    <row r="428" spans="18:69" x14ac:dyDescent="0.2"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</row>
    <row r="429" spans="18:69" x14ac:dyDescent="0.2"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</row>
    <row r="430" spans="18:69" x14ac:dyDescent="0.2"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</row>
    <row r="431" spans="18:69" x14ac:dyDescent="0.2"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</row>
    <row r="432" spans="18:69" x14ac:dyDescent="0.2"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</row>
    <row r="433" spans="18:69" x14ac:dyDescent="0.2"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</row>
    <row r="434" spans="18:69" x14ac:dyDescent="0.2"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</row>
    <row r="435" spans="18:69" x14ac:dyDescent="0.2"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</row>
    <row r="436" spans="18:69" x14ac:dyDescent="0.2"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</row>
    <row r="437" spans="18:69" x14ac:dyDescent="0.2"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</row>
    <row r="438" spans="18:69" x14ac:dyDescent="0.2"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</row>
    <row r="439" spans="18:69" x14ac:dyDescent="0.2"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</row>
    <row r="440" spans="18:69" x14ac:dyDescent="0.2"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</row>
    <row r="441" spans="18:69" x14ac:dyDescent="0.2"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</row>
    <row r="442" spans="18:69" x14ac:dyDescent="0.2"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</row>
    <row r="443" spans="18:69" x14ac:dyDescent="0.2"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</row>
    <row r="444" spans="18:69" x14ac:dyDescent="0.2"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</row>
    <row r="445" spans="18:69" x14ac:dyDescent="0.2"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</row>
    <row r="446" spans="18:69" x14ac:dyDescent="0.2"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</row>
    <row r="447" spans="18:69" x14ac:dyDescent="0.2"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</row>
    <row r="448" spans="18:69" x14ac:dyDescent="0.2"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</row>
    <row r="449" spans="18:69" x14ac:dyDescent="0.2"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</row>
    <row r="450" spans="18:69" x14ac:dyDescent="0.2"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</row>
    <row r="451" spans="18:69" x14ac:dyDescent="0.2"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</row>
    <row r="452" spans="18:69" x14ac:dyDescent="0.2"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</row>
    <row r="453" spans="18:69" x14ac:dyDescent="0.2"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</row>
    <row r="454" spans="18:69" x14ac:dyDescent="0.2"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</row>
    <row r="455" spans="18:69" x14ac:dyDescent="0.2"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</row>
    <row r="456" spans="18:69" x14ac:dyDescent="0.2"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</row>
    <row r="457" spans="18:69" x14ac:dyDescent="0.2"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</row>
    <row r="458" spans="18:69" x14ac:dyDescent="0.2"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</row>
    <row r="459" spans="18:69" x14ac:dyDescent="0.2"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</row>
    <row r="460" spans="18:69" x14ac:dyDescent="0.2"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</row>
    <row r="461" spans="18:69" x14ac:dyDescent="0.2"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</row>
    <row r="462" spans="18:69" x14ac:dyDescent="0.2"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</row>
    <row r="463" spans="18:69" x14ac:dyDescent="0.2"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</row>
    <row r="464" spans="18:69" x14ac:dyDescent="0.2"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</row>
    <row r="465" spans="18:69" x14ac:dyDescent="0.2"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</row>
    <row r="466" spans="18:69" x14ac:dyDescent="0.2"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</row>
    <row r="467" spans="18:69" x14ac:dyDescent="0.2"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</row>
    <row r="468" spans="18:69" x14ac:dyDescent="0.2"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</row>
    <row r="469" spans="18:69" x14ac:dyDescent="0.2"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</row>
    <row r="470" spans="18:69" x14ac:dyDescent="0.2"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</row>
    <row r="471" spans="18:69" x14ac:dyDescent="0.2"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</row>
    <row r="472" spans="18:69" x14ac:dyDescent="0.2"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</row>
    <row r="473" spans="18:69" x14ac:dyDescent="0.2"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</row>
    <row r="474" spans="18:69" x14ac:dyDescent="0.2"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</row>
    <row r="475" spans="18:69" x14ac:dyDescent="0.2"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</row>
    <row r="476" spans="18:69" x14ac:dyDescent="0.2"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</row>
    <row r="477" spans="18:69" x14ac:dyDescent="0.2"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</row>
    <row r="478" spans="18:69" x14ac:dyDescent="0.2"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</row>
    <row r="479" spans="18:69" x14ac:dyDescent="0.2"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</row>
    <row r="480" spans="18:69" x14ac:dyDescent="0.2"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</row>
    <row r="481" spans="18:69" x14ac:dyDescent="0.2"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</row>
    <row r="482" spans="18:69" x14ac:dyDescent="0.2"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</row>
    <row r="483" spans="18:69" x14ac:dyDescent="0.2"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</row>
    <row r="484" spans="18:69" x14ac:dyDescent="0.2"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</row>
    <row r="485" spans="18:69" x14ac:dyDescent="0.2"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</row>
    <row r="486" spans="18:69" x14ac:dyDescent="0.2"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</row>
    <row r="487" spans="18:69" x14ac:dyDescent="0.2"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</row>
    <row r="488" spans="18:69" x14ac:dyDescent="0.2"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</row>
    <row r="489" spans="18:69" x14ac:dyDescent="0.2"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</row>
    <row r="490" spans="18:69" x14ac:dyDescent="0.2"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</row>
    <row r="491" spans="18:69" x14ac:dyDescent="0.2"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</row>
    <row r="492" spans="18:69" x14ac:dyDescent="0.2"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</row>
    <row r="493" spans="18:69" x14ac:dyDescent="0.2"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</row>
    <row r="494" spans="18:69" x14ac:dyDescent="0.2"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</row>
    <row r="495" spans="18:69" x14ac:dyDescent="0.2"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</row>
    <row r="496" spans="18:69" x14ac:dyDescent="0.2"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</row>
    <row r="497" spans="18:69" x14ac:dyDescent="0.2"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</row>
    <row r="498" spans="18:69" x14ac:dyDescent="0.2"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</row>
    <row r="499" spans="18:69" x14ac:dyDescent="0.2"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</row>
    <row r="500" spans="18:69" x14ac:dyDescent="0.2"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</row>
    <row r="501" spans="18:69" x14ac:dyDescent="0.2"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</row>
    <row r="502" spans="18:69" x14ac:dyDescent="0.2"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</row>
    <row r="503" spans="18:69" x14ac:dyDescent="0.2"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</row>
    <row r="504" spans="18:69" x14ac:dyDescent="0.2"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</row>
    <row r="505" spans="18:69" x14ac:dyDescent="0.2"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</row>
    <row r="506" spans="18:69" x14ac:dyDescent="0.2"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</row>
    <row r="507" spans="18:69" x14ac:dyDescent="0.2"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</row>
    <row r="508" spans="18:69" x14ac:dyDescent="0.2"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</row>
    <row r="509" spans="18:69" x14ac:dyDescent="0.2"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</row>
    <row r="510" spans="18:69" x14ac:dyDescent="0.2"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</row>
    <row r="511" spans="18:69" x14ac:dyDescent="0.2"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</row>
    <row r="512" spans="18:69" x14ac:dyDescent="0.2"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</row>
    <row r="513" spans="18:69" x14ac:dyDescent="0.2"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</row>
    <row r="514" spans="18:69" x14ac:dyDescent="0.2"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</row>
    <row r="515" spans="18:69" x14ac:dyDescent="0.2"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</row>
    <row r="516" spans="18:69" x14ac:dyDescent="0.2"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</row>
    <row r="517" spans="18:69" x14ac:dyDescent="0.2"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</row>
    <row r="518" spans="18:69" x14ac:dyDescent="0.2"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</row>
    <row r="519" spans="18:69" x14ac:dyDescent="0.2"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</row>
    <row r="520" spans="18:69" x14ac:dyDescent="0.2"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</row>
    <row r="521" spans="18:69" x14ac:dyDescent="0.2"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</row>
    <row r="522" spans="18:69" x14ac:dyDescent="0.2"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</row>
    <row r="523" spans="18:69" x14ac:dyDescent="0.2"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</row>
    <row r="524" spans="18:69" x14ac:dyDescent="0.2"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</row>
    <row r="525" spans="18:69" x14ac:dyDescent="0.2"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</row>
    <row r="526" spans="18:69" x14ac:dyDescent="0.2"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</row>
    <row r="527" spans="18:69" x14ac:dyDescent="0.2"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</row>
    <row r="528" spans="18:69" x14ac:dyDescent="0.2"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</row>
    <row r="529" spans="18:69" x14ac:dyDescent="0.2"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</row>
    <row r="530" spans="18:69" x14ac:dyDescent="0.2"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</row>
    <row r="531" spans="18:69" x14ac:dyDescent="0.2"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</row>
    <row r="532" spans="18:69" x14ac:dyDescent="0.2"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</row>
    <row r="533" spans="18:69" x14ac:dyDescent="0.2"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</row>
    <row r="534" spans="18:69" x14ac:dyDescent="0.2"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</row>
    <row r="535" spans="18:69" x14ac:dyDescent="0.2"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</row>
    <row r="536" spans="18:69" x14ac:dyDescent="0.2"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</row>
    <row r="537" spans="18:69" x14ac:dyDescent="0.2"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</row>
    <row r="538" spans="18:69" x14ac:dyDescent="0.2"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</row>
    <row r="539" spans="18:69" x14ac:dyDescent="0.2"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</row>
    <row r="540" spans="18:69" x14ac:dyDescent="0.2"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</row>
    <row r="541" spans="18:69" x14ac:dyDescent="0.2"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</row>
    <row r="542" spans="18:69" x14ac:dyDescent="0.2"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</row>
    <row r="543" spans="18:69" x14ac:dyDescent="0.2"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</row>
    <row r="544" spans="18:69" x14ac:dyDescent="0.2"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</row>
    <row r="545" spans="18:69" x14ac:dyDescent="0.2"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</row>
    <row r="546" spans="18:69" x14ac:dyDescent="0.2"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</row>
    <row r="547" spans="18:69" x14ac:dyDescent="0.2"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</row>
    <row r="548" spans="18:69" x14ac:dyDescent="0.2"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</row>
    <row r="549" spans="18:69" x14ac:dyDescent="0.2"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</row>
    <row r="550" spans="18:69" x14ac:dyDescent="0.2"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</row>
    <row r="551" spans="18:69" x14ac:dyDescent="0.2"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</row>
    <row r="552" spans="18:69" x14ac:dyDescent="0.2"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</row>
    <row r="553" spans="18:69" x14ac:dyDescent="0.2"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</row>
    <row r="554" spans="18:69" x14ac:dyDescent="0.2"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</row>
    <row r="555" spans="18:69" x14ac:dyDescent="0.2"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</row>
    <row r="556" spans="18:69" x14ac:dyDescent="0.2"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</row>
    <row r="557" spans="18:69" x14ac:dyDescent="0.2"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</row>
    <row r="558" spans="18:69" x14ac:dyDescent="0.2"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</row>
    <row r="559" spans="18:69" x14ac:dyDescent="0.2"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</row>
    <row r="560" spans="18:69" x14ac:dyDescent="0.2"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</row>
    <row r="561" spans="18:69" x14ac:dyDescent="0.2"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</row>
    <row r="562" spans="18:69" x14ac:dyDescent="0.2"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</row>
    <row r="563" spans="18:69" x14ac:dyDescent="0.2"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</row>
    <row r="564" spans="18:69" x14ac:dyDescent="0.2"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</row>
    <row r="565" spans="18:69" x14ac:dyDescent="0.2"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</row>
    <row r="566" spans="18:69" x14ac:dyDescent="0.2"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</row>
    <row r="567" spans="18:69" x14ac:dyDescent="0.2"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</row>
    <row r="568" spans="18:69" x14ac:dyDescent="0.2"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</row>
    <row r="569" spans="18:69" x14ac:dyDescent="0.2"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</row>
    <row r="570" spans="18:69" x14ac:dyDescent="0.2"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</row>
    <row r="571" spans="18:69" x14ac:dyDescent="0.2"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</row>
    <row r="572" spans="18:69" x14ac:dyDescent="0.2"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</row>
    <row r="573" spans="18:69" x14ac:dyDescent="0.2"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</row>
    <row r="574" spans="18:69" x14ac:dyDescent="0.2"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</row>
    <row r="575" spans="18:69" x14ac:dyDescent="0.2"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</row>
    <row r="576" spans="18:69" x14ac:dyDescent="0.2"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</row>
    <row r="577" spans="18:69" x14ac:dyDescent="0.2"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</row>
    <row r="578" spans="18:69" x14ac:dyDescent="0.2"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</row>
    <row r="579" spans="18:69" x14ac:dyDescent="0.2"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</row>
    <row r="580" spans="18:69" x14ac:dyDescent="0.2"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</row>
    <row r="581" spans="18:69" x14ac:dyDescent="0.2"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</row>
    <row r="582" spans="18:69" x14ac:dyDescent="0.2"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</row>
    <row r="583" spans="18:69" x14ac:dyDescent="0.2"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</row>
    <row r="584" spans="18:69" x14ac:dyDescent="0.2"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</row>
    <row r="585" spans="18:69" x14ac:dyDescent="0.2"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</row>
    <row r="586" spans="18:69" x14ac:dyDescent="0.2"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</row>
    <row r="587" spans="18:69" x14ac:dyDescent="0.2"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</row>
    <row r="588" spans="18:69" x14ac:dyDescent="0.2"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</row>
    <row r="589" spans="18:69" x14ac:dyDescent="0.2"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</row>
    <row r="590" spans="18:69" x14ac:dyDescent="0.2"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</row>
    <row r="591" spans="18:69" x14ac:dyDescent="0.2"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</row>
    <row r="592" spans="18:69" x14ac:dyDescent="0.2"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</row>
    <row r="593" spans="18:69" x14ac:dyDescent="0.2"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</row>
    <row r="594" spans="18:69" x14ac:dyDescent="0.2"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</row>
    <row r="595" spans="18:69" x14ac:dyDescent="0.2"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</row>
    <row r="596" spans="18:69" x14ac:dyDescent="0.2"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</row>
    <row r="597" spans="18:69" x14ac:dyDescent="0.2"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</row>
    <row r="598" spans="18:69" x14ac:dyDescent="0.2"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</row>
    <row r="599" spans="18:69" x14ac:dyDescent="0.2"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</row>
    <row r="600" spans="18:69" x14ac:dyDescent="0.2"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</row>
    <row r="601" spans="18:69" x14ac:dyDescent="0.2"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</row>
    <row r="602" spans="18:69" x14ac:dyDescent="0.2"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</row>
    <row r="603" spans="18:69" x14ac:dyDescent="0.2"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</row>
    <row r="604" spans="18:69" x14ac:dyDescent="0.2"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</row>
    <row r="605" spans="18:69" x14ac:dyDescent="0.2"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</row>
    <row r="606" spans="18:69" x14ac:dyDescent="0.2"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</row>
    <row r="607" spans="18:69" x14ac:dyDescent="0.2"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</row>
    <row r="608" spans="18:69" x14ac:dyDescent="0.2"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</row>
    <row r="609" spans="18:69" x14ac:dyDescent="0.2"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</row>
    <row r="610" spans="18:69" x14ac:dyDescent="0.2"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</row>
    <row r="611" spans="18:69" x14ac:dyDescent="0.2"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</row>
    <row r="612" spans="18:69" x14ac:dyDescent="0.2"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</row>
    <row r="613" spans="18:69" x14ac:dyDescent="0.2"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</row>
    <row r="614" spans="18:69" x14ac:dyDescent="0.2"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</row>
    <row r="615" spans="18:69" x14ac:dyDescent="0.2"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</row>
    <row r="616" spans="18:69" x14ac:dyDescent="0.2"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</row>
    <row r="617" spans="18:69" x14ac:dyDescent="0.2"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</row>
    <row r="618" spans="18:69" x14ac:dyDescent="0.2"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</row>
    <row r="619" spans="18:69" x14ac:dyDescent="0.2"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</row>
    <row r="620" spans="18:69" x14ac:dyDescent="0.2"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</row>
    <row r="621" spans="18:69" x14ac:dyDescent="0.2"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</row>
    <row r="622" spans="18:69" x14ac:dyDescent="0.2"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</row>
    <row r="623" spans="18:69" x14ac:dyDescent="0.2"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</row>
    <row r="624" spans="18:69" x14ac:dyDescent="0.2"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</row>
    <row r="625" spans="18:69" x14ac:dyDescent="0.2"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</row>
    <row r="626" spans="18:69" x14ac:dyDescent="0.2"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</row>
    <row r="627" spans="18:69" x14ac:dyDescent="0.2"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</row>
    <row r="628" spans="18:69" x14ac:dyDescent="0.2"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</row>
    <row r="629" spans="18:69" x14ac:dyDescent="0.2"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</row>
    <row r="630" spans="18:69" x14ac:dyDescent="0.2"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</row>
    <row r="631" spans="18:69" x14ac:dyDescent="0.2"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</row>
    <row r="632" spans="18:69" x14ac:dyDescent="0.2"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</row>
    <row r="633" spans="18:69" x14ac:dyDescent="0.2"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</row>
    <row r="634" spans="18:69" x14ac:dyDescent="0.2"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</row>
    <row r="635" spans="18:69" x14ac:dyDescent="0.2"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</row>
    <row r="636" spans="18:69" x14ac:dyDescent="0.2"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</row>
    <row r="637" spans="18:69" x14ac:dyDescent="0.2"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</row>
    <row r="638" spans="18:69" x14ac:dyDescent="0.2"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</row>
    <row r="639" spans="18:69" x14ac:dyDescent="0.2"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</row>
    <row r="640" spans="18:69" x14ac:dyDescent="0.2"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</row>
    <row r="641" spans="18:69" x14ac:dyDescent="0.2"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</row>
    <row r="642" spans="18:69" x14ac:dyDescent="0.2"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</row>
    <row r="643" spans="18:69" x14ac:dyDescent="0.2"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</row>
    <row r="644" spans="18:69" x14ac:dyDescent="0.2"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</row>
    <row r="645" spans="18:69" x14ac:dyDescent="0.2"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</row>
    <row r="646" spans="18:69" x14ac:dyDescent="0.2"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</row>
    <row r="647" spans="18:69" x14ac:dyDescent="0.2"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</row>
    <row r="648" spans="18:69" x14ac:dyDescent="0.2"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</row>
    <row r="649" spans="18:69" x14ac:dyDescent="0.2"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</row>
    <row r="650" spans="18:69" x14ac:dyDescent="0.2"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</row>
    <row r="651" spans="18:69" x14ac:dyDescent="0.2"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</row>
    <row r="652" spans="18:69" x14ac:dyDescent="0.2"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</row>
    <row r="653" spans="18:69" x14ac:dyDescent="0.2"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</row>
    <row r="654" spans="18:69" x14ac:dyDescent="0.2"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</row>
    <row r="655" spans="18:69" x14ac:dyDescent="0.2"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</row>
    <row r="656" spans="18:69" x14ac:dyDescent="0.2"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</row>
    <row r="657" spans="18:69" x14ac:dyDescent="0.2"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</row>
    <row r="658" spans="18:69" x14ac:dyDescent="0.2"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</row>
    <row r="659" spans="18:69" x14ac:dyDescent="0.2"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</row>
    <row r="660" spans="18:69" x14ac:dyDescent="0.2"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</row>
    <row r="661" spans="18:69" x14ac:dyDescent="0.2"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</row>
    <row r="662" spans="18:69" x14ac:dyDescent="0.2"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</row>
    <row r="663" spans="18:69" x14ac:dyDescent="0.2"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</row>
    <row r="664" spans="18:69" x14ac:dyDescent="0.2"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</row>
    <row r="665" spans="18:69" x14ac:dyDescent="0.2"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</row>
    <row r="666" spans="18:69" x14ac:dyDescent="0.2"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</row>
    <row r="667" spans="18:69" x14ac:dyDescent="0.2"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</row>
    <row r="668" spans="18:69" x14ac:dyDescent="0.2"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</row>
    <row r="669" spans="18:69" x14ac:dyDescent="0.2"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</row>
    <row r="670" spans="18:69" x14ac:dyDescent="0.2"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</row>
    <row r="671" spans="18:69" x14ac:dyDescent="0.2"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</row>
    <row r="672" spans="18:69" x14ac:dyDescent="0.2"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</row>
    <row r="673" spans="18:69" x14ac:dyDescent="0.2"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</row>
    <row r="674" spans="18:69" x14ac:dyDescent="0.2"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</row>
    <row r="675" spans="18:69" x14ac:dyDescent="0.2"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</row>
    <row r="676" spans="18:69" x14ac:dyDescent="0.2"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</row>
    <row r="677" spans="18:69" x14ac:dyDescent="0.2"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</row>
    <row r="678" spans="18:69" x14ac:dyDescent="0.2"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</row>
    <row r="679" spans="18:69" x14ac:dyDescent="0.2"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</row>
    <row r="680" spans="18:69" x14ac:dyDescent="0.2"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</row>
    <row r="681" spans="18:69" x14ac:dyDescent="0.2"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</row>
    <row r="682" spans="18:69" x14ac:dyDescent="0.2"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</row>
    <row r="683" spans="18:69" x14ac:dyDescent="0.2"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</row>
    <row r="684" spans="18:69" x14ac:dyDescent="0.2"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</row>
    <row r="685" spans="18:69" x14ac:dyDescent="0.2"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</row>
    <row r="686" spans="18:69" x14ac:dyDescent="0.2"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</row>
    <row r="687" spans="18:69" x14ac:dyDescent="0.2"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</row>
    <row r="688" spans="18:69" x14ac:dyDescent="0.2"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</row>
    <row r="689" spans="18:69" x14ac:dyDescent="0.2"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</row>
    <row r="690" spans="18:69" x14ac:dyDescent="0.2"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</row>
    <row r="691" spans="18:69" x14ac:dyDescent="0.2"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</row>
    <row r="692" spans="18:69" x14ac:dyDescent="0.2"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</row>
    <row r="693" spans="18:69" x14ac:dyDescent="0.2"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</row>
    <row r="694" spans="18:69" x14ac:dyDescent="0.2"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</row>
    <row r="695" spans="18:69" x14ac:dyDescent="0.2"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</row>
    <row r="696" spans="18:69" x14ac:dyDescent="0.2"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</row>
    <row r="697" spans="18:69" x14ac:dyDescent="0.2"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</row>
    <row r="698" spans="18:69" x14ac:dyDescent="0.2"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</row>
    <row r="699" spans="18:69" x14ac:dyDescent="0.2"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</row>
    <row r="700" spans="18:69" x14ac:dyDescent="0.2"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</row>
    <row r="701" spans="18:69" x14ac:dyDescent="0.2"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</row>
    <row r="702" spans="18:69" x14ac:dyDescent="0.2"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</row>
    <row r="703" spans="18:69" x14ac:dyDescent="0.2"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</row>
    <row r="704" spans="18:69" x14ac:dyDescent="0.2"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</row>
    <row r="705" spans="18:69" x14ac:dyDescent="0.2"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</row>
    <row r="706" spans="18:69" x14ac:dyDescent="0.2"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</row>
    <row r="707" spans="18:69" x14ac:dyDescent="0.2"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</row>
    <row r="708" spans="18:69" x14ac:dyDescent="0.2"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</row>
    <row r="709" spans="18:69" x14ac:dyDescent="0.2"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</row>
    <row r="710" spans="18:69" x14ac:dyDescent="0.2"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</row>
    <row r="711" spans="18:69" x14ac:dyDescent="0.2"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</row>
    <row r="712" spans="18:69" x14ac:dyDescent="0.2"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</row>
    <row r="713" spans="18:69" x14ac:dyDescent="0.2"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</row>
    <row r="714" spans="18:69" x14ac:dyDescent="0.2"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</row>
    <row r="715" spans="18:69" x14ac:dyDescent="0.2"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</row>
    <row r="716" spans="18:69" x14ac:dyDescent="0.2"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</row>
    <row r="717" spans="18:69" x14ac:dyDescent="0.2"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</row>
    <row r="718" spans="18:69" x14ac:dyDescent="0.2"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</row>
    <row r="719" spans="18:69" x14ac:dyDescent="0.2"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</row>
    <row r="720" spans="18:69" x14ac:dyDescent="0.2"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</row>
    <row r="721" spans="18:69" x14ac:dyDescent="0.2"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</row>
    <row r="722" spans="18:69" x14ac:dyDescent="0.2"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</row>
    <row r="723" spans="18:69" x14ac:dyDescent="0.2"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</row>
    <row r="724" spans="18:69" x14ac:dyDescent="0.2"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</row>
    <row r="725" spans="18:69" x14ac:dyDescent="0.2"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</row>
    <row r="726" spans="18:69" x14ac:dyDescent="0.2"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</row>
    <row r="727" spans="18:69" x14ac:dyDescent="0.2"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</row>
    <row r="728" spans="18:69" x14ac:dyDescent="0.2"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</row>
    <row r="729" spans="18:69" x14ac:dyDescent="0.2"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</row>
    <row r="730" spans="18:69" x14ac:dyDescent="0.2"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</row>
    <row r="731" spans="18:69" x14ac:dyDescent="0.2"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</row>
    <row r="732" spans="18:69" x14ac:dyDescent="0.2"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</row>
    <row r="733" spans="18:69" x14ac:dyDescent="0.2"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</row>
    <row r="734" spans="18:69" x14ac:dyDescent="0.2"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</row>
    <row r="735" spans="18:69" x14ac:dyDescent="0.2"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</row>
    <row r="736" spans="18:69" x14ac:dyDescent="0.2"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</row>
    <row r="737" spans="18:69" x14ac:dyDescent="0.2"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</row>
    <row r="738" spans="18:69" x14ac:dyDescent="0.2"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</row>
    <row r="739" spans="18:69" x14ac:dyDescent="0.2"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</row>
    <row r="740" spans="18:69" x14ac:dyDescent="0.2"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</row>
    <row r="741" spans="18:69" x14ac:dyDescent="0.2"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</row>
    <row r="742" spans="18:69" x14ac:dyDescent="0.2"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</row>
    <row r="743" spans="18:69" x14ac:dyDescent="0.2"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</row>
    <row r="744" spans="18:69" x14ac:dyDescent="0.2"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</row>
    <row r="745" spans="18:69" x14ac:dyDescent="0.2"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</row>
    <row r="746" spans="18:69" x14ac:dyDescent="0.2"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</row>
    <row r="747" spans="18:69" x14ac:dyDescent="0.2"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</row>
    <row r="748" spans="18:69" x14ac:dyDescent="0.2"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</row>
    <row r="749" spans="18:69" x14ac:dyDescent="0.2"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</row>
    <row r="750" spans="18:69" x14ac:dyDescent="0.2"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</row>
    <row r="751" spans="18:69" x14ac:dyDescent="0.2"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</row>
    <row r="752" spans="18:69" x14ac:dyDescent="0.2"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</row>
    <row r="753" spans="18:69" x14ac:dyDescent="0.2"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</row>
    <row r="754" spans="18:69" x14ac:dyDescent="0.2"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</row>
    <row r="755" spans="18:69" x14ac:dyDescent="0.2"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</row>
    <row r="756" spans="18:69" x14ac:dyDescent="0.2"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</row>
    <row r="757" spans="18:69" x14ac:dyDescent="0.2"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</row>
    <row r="758" spans="18:69" x14ac:dyDescent="0.2"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</row>
    <row r="759" spans="18:69" x14ac:dyDescent="0.2"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</row>
    <row r="760" spans="18:69" x14ac:dyDescent="0.2"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</row>
    <row r="761" spans="18:69" x14ac:dyDescent="0.2"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</row>
    <row r="762" spans="18:69" x14ac:dyDescent="0.2"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</row>
    <row r="763" spans="18:69" x14ac:dyDescent="0.2"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</row>
    <row r="764" spans="18:69" x14ac:dyDescent="0.2"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</row>
    <row r="765" spans="18:69" x14ac:dyDescent="0.2"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</row>
    <row r="766" spans="18:69" x14ac:dyDescent="0.2"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</row>
    <row r="767" spans="18:69" x14ac:dyDescent="0.2"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</row>
    <row r="768" spans="18:69" x14ac:dyDescent="0.2"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</row>
    <row r="769" spans="18:69" x14ac:dyDescent="0.2"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</row>
    <row r="770" spans="18:69" x14ac:dyDescent="0.2"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</row>
    <row r="771" spans="18:69" x14ac:dyDescent="0.2"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</row>
    <row r="772" spans="18:69" x14ac:dyDescent="0.2"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</row>
    <row r="773" spans="18:69" x14ac:dyDescent="0.2"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</row>
    <row r="774" spans="18:69" x14ac:dyDescent="0.2"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</row>
    <row r="775" spans="18:69" x14ac:dyDescent="0.2"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</row>
    <row r="776" spans="18:69" x14ac:dyDescent="0.2"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</row>
    <row r="777" spans="18:69" x14ac:dyDescent="0.2"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</row>
    <row r="778" spans="18:69" x14ac:dyDescent="0.2"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</row>
    <row r="779" spans="18:69" x14ac:dyDescent="0.2"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</row>
    <row r="780" spans="18:69" x14ac:dyDescent="0.2"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</row>
    <row r="781" spans="18:69" x14ac:dyDescent="0.2"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</row>
    <row r="782" spans="18:69" x14ac:dyDescent="0.2"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</row>
    <row r="783" spans="18:69" x14ac:dyDescent="0.2"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</row>
    <row r="784" spans="18:69" x14ac:dyDescent="0.2"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</row>
    <row r="785" spans="18:69" x14ac:dyDescent="0.2"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</row>
    <row r="786" spans="18:69" x14ac:dyDescent="0.2"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</row>
    <row r="787" spans="18:69" x14ac:dyDescent="0.2"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</row>
    <row r="788" spans="18:69" x14ac:dyDescent="0.2"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</row>
    <row r="789" spans="18:69" x14ac:dyDescent="0.2"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</row>
    <row r="790" spans="18:69" x14ac:dyDescent="0.2"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</row>
    <row r="791" spans="18:69" x14ac:dyDescent="0.2"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</row>
    <row r="792" spans="18:69" x14ac:dyDescent="0.2"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</row>
    <row r="793" spans="18:69" x14ac:dyDescent="0.2"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</row>
    <row r="794" spans="18:69" x14ac:dyDescent="0.2"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</row>
    <row r="795" spans="18:69" x14ac:dyDescent="0.2"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</row>
    <row r="796" spans="18:69" x14ac:dyDescent="0.2"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</row>
    <row r="797" spans="18:69" x14ac:dyDescent="0.2"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</row>
    <row r="798" spans="18:69" x14ac:dyDescent="0.2"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</row>
    <row r="799" spans="18:69" x14ac:dyDescent="0.2"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</row>
    <row r="800" spans="18:69" x14ac:dyDescent="0.2"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</row>
    <row r="801" spans="18:69" x14ac:dyDescent="0.2"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</row>
    <row r="802" spans="18:69" x14ac:dyDescent="0.2"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</row>
    <row r="803" spans="18:69" x14ac:dyDescent="0.2"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</row>
    <row r="804" spans="18:69" x14ac:dyDescent="0.2"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</row>
    <row r="805" spans="18:69" x14ac:dyDescent="0.2"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</row>
    <row r="806" spans="18:69" x14ac:dyDescent="0.2"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</row>
    <row r="807" spans="18:69" x14ac:dyDescent="0.2"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</row>
    <row r="808" spans="18:69" x14ac:dyDescent="0.2"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</row>
    <row r="809" spans="18:69" x14ac:dyDescent="0.2"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</row>
    <row r="810" spans="18:69" x14ac:dyDescent="0.2"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</row>
    <row r="811" spans="18:69" x14ac:dyDescent="0.2"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</row>
    <row r="812" spans="18:69" x14ac:dyDescent="0.2"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</row>
    <row r="813" spans="18:69" x14ac:dyDescent="0.2"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</row>
    <row r="814" spans="18:69" x14ac:dyDescent="0.2"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</row>
    <row r="815" spans="18:69" x14ac:dyDescent="0.2"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</row>
    <row r="816" spans="18:69" x14ac:dyDescent="0.2"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</row>
    <row r="817" spans="18:69" x14ac:dyDescent="0.2"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</row>
    <row r="818" spans="18:69" x14ac:dyDescent="0.2"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</row>
    <row r="819" spans="18:69" x14ac:dyDescent="0.2"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</row>
    <row r="820" spans="18:69" x14ac:dyDescent="0.2"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</row>
    <row r="821" spans="18:69" x14ac:dyDescent="0.2"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</row>
    <row r="822" spans="18:69" x14ac:dyDescent="0.2"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</row>
    <row r="823" spans="18:69" x14ac:dyDescent="0.2"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</row>
    <row r="824" spans="18:69" x14ac:dyDescent="0.2"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</row>
    <row r="825" spans="18:69" x14ac:dyDescent="0.2"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</row>
    <row r="826" spans="18:69" x14ac:dyDescent="0.2"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</row>
    <row r="827" spans="18:69" x14ac:dyDescent="0.2"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</row>
    <row r="828" spans="18:69" x14ac:dyDescent="0.2"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</row>
    <row r="829" spans="18:69" x14ac:dyDescent="0.2"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</row>
    <row r="830" spans="18:69" x14ac:dyDescent="0.2"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</row>
    <row r="831" spans="18:69" x14ac:dyDescent="0.2"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</row>
    <row r="832" spans="18:69" x14ac:dyDescent="0.2"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</row>
    <row r="833" spans="18:69" x14ac:dyDescent="0.2"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</row>
    <row r="834" spans="18:69" x14ac:dyDescent="0.2"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</row>
    <row r="835" spans="18:69" x14ac:dyDescent="0.2"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</row>
    <row r="836" spans="18:69" x14ac:dyDescent="0.2"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</row>
    <row r="837" spans="18:69" x14ac:dyDescent="0.2"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</row>
    <row r="838" spans="18:69" x14ac:dyDescent="0.2"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</row>
    <row r="839" spans="18:69" x14ac:dyDescent="0.2"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</row>
    <row r="840" spans="18:69" x14ac:dyDescent="0.2"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</row>
    <row r="841" spans="18:69" x14ac:dyDescent="0.2"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</row>
    <row r="842" spans="18:69" x14ac:dyDescent="0.2"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</row>
    <row r="843" spans="18:69" x14ac:dyDescent="0.2"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</row>
    <row r="844" spans="18:69" x14ac:dyDescent="0.2"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</row>
    <row r="845" spans="18:69" x14ac:dyDescent="0.2"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</row>
    <row r="846" spans="18:69" x14ac:dyDescent="0.2"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</row>
    <row r="847" spans="18:69" x14ac:dyDescent="0.2"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</row>
    <row r="848" spans="18:69" x14ac:dyDescent="0.2"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</row>
    <row r="849" spans="18:69" x14ac:dyDescent="0.2"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</row>
    <row r="850" spans="18:69" x14ac:dyDescent="0.2"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</row>
    <row r="851" spans="18:69" x14ac:dyDescent="0.2"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</row>
    <row r="852" spans="18:69" x14ac:dyDescent="0.2"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</row>
    <row r="853" spans="18:69" x14ac:dyDescent="0.2"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</row>
    <row r="854" spans="18:69" x14ac:dyDescent="0.2"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</row>
    <row r="855" spans="18:69" x14ac:dyDescent="0.2"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</row>
    <row r="856" spans="18:69" x14ac:dyDescent="0.2"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</row>
    <row r="857" spans="18:69" x14ac:dyDescent="0.2"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</row>
    <row r="858" spans="18:69" x14ac:dyDescent="0.2"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</row>
    <row r="859" spans="18:69" x14ac:dyDescent="0.2"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</row>
    <row r="860" spans="18:69" x14ac:dyDescent="0.2"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</row>
    <row r="861" spans="18:69" x14ac:dyDescent="0.2"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</row>
    <row r="862" spans="18:69" x14ac:dyDescent="0.2"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</row>
    <row r="863" spans="18:69" x14ac:dyDescent="0.2"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</row>
    <row r="864" spans="18:69" x14ac:dyDescent="0.2"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</row>
    <row r="865" spans="18:69" x14ac:dyDescent="0.2"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</row>
    <row r="866" spans="18:69" x14ac:dyDescent="0.2"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</row>
    <row r="867" spans="18:69" x14ac:dyDescent="0.2"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</row>
    <row r="868" spans="18:69" x14ac:dyDescent="0.2"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</row>
    <row r="869" spans="18:69" x14ac:dyDescent="0.2"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</row>
    <row r="870" spans="18:69" x14ac:dyDescent="0.2"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</row>
    <row r="871" spans="18:69" x14ac:dyDescent="0.2"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</row>
    <row r="872" spans="18:69" x14ac:dyDescent="0.2"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</row>
    <row r="873" spans="18:69" x14ac:dyDescent="0.2"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</row>
    <row r="874" spans="18:69" x14ac:dyDescent="0.2"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</row>
    <row r="875" spans="18:69" x14ac:dyDescent="0.2"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</row>
    <row r="876" spans="18:69" x14ac:dyDescent="0.2"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</row>
    <row r="877" spans="18:69" x14ac:dyDescent="0.2"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</row>
    <row r="878" spans="18:69" x14ac:dyDescent="0.2"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</row>
    <row r="879" spans="18:69" x14ac:dyDescent="0.2"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</row>
    <row r="880" spans="18:69" x14ac:dyDescent="0.2"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</row>
    <row r="881" spans="18:69" x14ac:dyDescent="0.2"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</row>
    <row r="882" spans="18:69" x14ac:dyDescent="0.2"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</row>
    <row r="883" spans="18:69" x14ac:dyDescent="0.2"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</row>
    <row r="884" spans="18:69" x14ac:dyDescent="0.2"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</row>
    <row r="885" spans="18:69" x14ac:dyDescent="0.2"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</row>
    <row r="886" spans="18:69" x14ac:dyDescent="0.2"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</row>
    <row r="887" spans="18:69" x14ac:dyDescent="0.2"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</row>
    <row r="888" spans="18:69" x14ac:dyDescent="0.2"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</row>
    <row r="889" spans="18:69" x14ac:dyDescent="0.2"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</row>
    <row r="890" spans="18:69" x14ac:dyDescent="0.2"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</row>
    <row r="891" spans="18:69" x14ac:dyDescent="0.2"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</row>
    <row r="892" spans="18:69" x14ac:dyDescent="0.2"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</row>
    <row r="893" spans="18:69" x14ac:dyDescent="0.2"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</row>
    <row r="894" spans="18:69" x14ac:dyDescent="0.2"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</row>
    <row r="895" spans="18:69" x14ac:dyDescent="0.2"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</row>
    <row r="896" spans="18:69" x14ac:dyDescent="0.2"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</row>
    <row r="897" spans="18:69" x14ac:dyDescent="0.2"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</row>
    <row r="898" spans="18:69" x14ac:dyDescent="0.2"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</row>
    <row r="899" spans="18:69" x14ac:dyDescent="0.2"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</row>
    <row r="900" spans="18:69" x14ac:dyDescent="0.2"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</row>
    <row r="901" spans="18:69" x14ac:dyDescent="0.2"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</row>
    <row r="902" spans="18:69" x14ac:dyDescent="0.2"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</row>
    <row r="903" spans="18:69" x14ac:dyDescent="0.2"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</row>
    <row r="904" spans="18:69" x14ac:dyDescent="0.2"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</row>
    <row r="905" spans="18:69" x14ac:dyDescent="0.2"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</row>
    <row r="906" spans="18:69" x14ac:dyDescent="0.2"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</row>
    <row r="907" spans="18:69" x14ac:dyDescent="0.2"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</row>
    <row r="908" spans="18:69" x14ac:dyDescent="0.2"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</row>
    <row r="909" spans="18:69" x14ac:dyDescent="0.2"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</row>
    <row r="910" spans="18:69" x14ac:dyDescent="0.2"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</row>
    <row r="911" spans="18:69" x14ac:dyDescent="0.2"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</row>
    <row r="912" spans="18:69" x14ac:dyDescent="0.2"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</row>
    <row r="913" spans="18:69" x14ac:dyDescent="0.2"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</row>
    <row r="914" spans="18:69" x14ac:dyDescent="0.2"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</row>
    <row r="915" spans="18:69" x14ac:dyDescent="0.2"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</row>
    <row r="916" spans="18:69" x14ac:dyDescent="0.2"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</row>
    <row r="917" spans="18:69" x14ac:dyDescent="0.2"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</row>
    <row r="918" spans="18:69" x14ac:dyDescent="0.2"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</row>
    <row r="919" spans="18:69" x14ac:dyDescent="0.2"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</row>
    <row r="920" spans="18:69" x14ac:dyDescent="0.2"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</row>
    <row r="921" spans="18:69" x14ac:dyDescent="0.2"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</row>
    <row r="922" spans="18:69" x14ac:dyDescent="0.2"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</row>
    <row r="923" spans="18:69" x14ac:dyDescent="0.2"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</row>
    <row r="924" spans="18:69" x14ac:dyDescent="0.2"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</row>
    <row r="925" spans="18:69" x14ac:dyDescent="0.2"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</row>
    <row r="926" spans="18:69" x14ac:dyDescent="0.2"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</row>
    <row r="927" spans="18:69" x14ac:dyDescent="0.2"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</row>
    <row r="928" spans="18:69" x14ac:dyDescent="0.2"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</row>
    <row r="929" spans="18:69" x14ac:dyDescent="0.2"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</row>
    <row r="930" spans="18:69" x14ac:dyDescent="0.2"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</row>
    <row r="931" spans="18:69" x14ac:dyDescent="0.2"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</row>
    <row r="932" spans="18:69" x14ac:dyDescent="0.2"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</row>
    <row r="933" spans="18:69" x14ac:dyDescent="0.2"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</row>
    <row r="934" spans="18:69" x14ac:dyDescent="0.2"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</row>
    <row r="935" spans="18:69" x14ac:dyDescent="0.2"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</row>
    <row r="936" spans="18:69" x14ac:dyDescent="0.2"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</row>
    <row r="937" spans="18:69" x14ac:dyDescent="0.2"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</row>
    <row r="938" spans="18:69" x14ac:dyDescent="0.2"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</row>
    <row r="939" spans="18:69" x14ac:dyDescent="0.2"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</row>
    <row r="940" spans="18:69" x14ac:dyDescent="0.2"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</row>
    <row r="941" spans="18:69" x14ac:dyDescent="0.2"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</row>
    <row r="942" spans="18:69" x14ac:dyDescent="0.2"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</row>
    <row r="943" spans="18:69" x14ac:dyDescent="0.2"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</row>
    <row r="944" spans="18:69" x14ac:dyDescent="0.2"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</row>
    <row r="945" spans="18:69" x14ac:dyDescent="0.2"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</row>
    <row r="946" spans="18:69" x14ac:dyDescent="0.2"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</row>
    <row r="947" spans="18:69" x14ac:dyDescent="0.2"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</row>
    <row r="948" spans="18:69" x14ac:dyDescent="0.2"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</row>
    <row r="949" spans="18:69" x14ac:dyDescent="0.2"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</row>
    <row r="950" spans="18:69" x14ac:dyDescent="0.2"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</row>
    <row r="951" spans="18:69" x14ac:dyDescent="0.2"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</row>
    <row r="952" spans="18:69" x14ac:dyDescent="0.2"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</row>
    <row r="953" spans="18:69" x14ac:dyDescent="0.2"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</row>
    <row r="954" spans="18:69" x14ac:dyDescent="0.2"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</row>
    <row r="955" spans="18:69" x14ac:dyDescent="0.2"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</row>
    <row r="956" spans="18:69" x14ac:dyDescent="0.2"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</row>
    <row r="957" spans="18:69" x14ac:dyDescent="0.2"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</row>
    <row r="958" spans="18:69" x14ac:dyDescent="0.2"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</row>
    <row r="959" spans="18:69" x14ac:dyDescent="0.2"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</row>
    <row r="960" spans="18:69" x14ac:dyDescent="0.2"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</row>
    <row r="961" spans="18:69" x14ac:dyDescent="0.2"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</row>
    <row r="962" spans="18:69" x14ac:dyDescent="0.2"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</row>
    <row r="963" spans="18:69" x14ac:dyDescent="0.2"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</row>
    <row r="964" spans="18:69" x14ac:dyDescent="0.2"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</row>
    <row r="965" spans="18:69" x14ac:dyDescent="0.2"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</row>
    <row r="966" spans="18:69" x14ac:dyDescent="0.2"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</row>
    <row r="967" spans="18:69" x14ac:dyDescent="0.2"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</row>
    <row r="968" spans="18:69" x14ac:dyDescent="0.2"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</row>
    <row r="969" spans="18:69" x14ac:dyDescent="0.2"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</row>
    <row r="970" spans="18:69" x14ac:dyDescent="0.2"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</row>
    <row r="971" spans="18:69" x14ac:dyDescent="0.2"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</row>
    <row r="972" spans="18:69" x14ac:dyDescent="0.2"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</row>
    <row r="973" spans="18:69" x14ac:dyDescent="0.2"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</row>
    <row r="974" spans="18:69" x14ac:dyDescent="0.2"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</row>
    <row r="975" spans="18:69" x14ac:dyDescent="0.2"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</row>
    <row r="976" spans="18:69" x14ac:dyDescent="0.2"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</row>
    <row r="977" spans="18:69" x14ac:dyDescent="0.2"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</row>
    <row r="978" spans="18:69" x14ac:dyDescent="0.2"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</row>
    <row r="979" spans="18:69" x14ac:dyDescent="0.2"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</row>
    <row r="980" spans="18:69" x14ac:dyDescent="0.2"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</row>
    <row r="981" spans="18:69" x14ac:dyDescent="0.2"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</row>
    <row r="982" spans="18:69" x14ac:dyDescent="0.2"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</row>
    <row r="983" spans="18:69" x14ac:dyDescent="0.2"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</row>
    <row r="984" spans="18:69" x14ac:dyDescent="0.2"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</row>
    <row r="985" spans="18:69" x14ac:dyDescent="0.2"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</row>
    <row r="986" spans="18:69" x14ac:dyDescent="0.2"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</row>
    <row r="987" spans="18:69" x14ac:dyDescent="0.2"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</row>
    <row r="988" spans="18:69" x14ac:dyDescent="0.2"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</row>
    <row r="989" spans="18:69" x14ac:dyDescent="0.2"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</row>
    <row r="990" spans="18:69" x14ac:dyDescent="0.2"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</row>
    <row r="991" spans="18:69" x14ac:dyDescent="0.2"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</row>
    <row r="992" spans="18:69" x14ac:dyDescent="0.2"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</row>
    <row r="993" spans="18:69" x14ac:dyDescent="0.2"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</row>
    <row r="994" spans="18:69" x14ac:dyDescent="0.2"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</row>
    <row r="995" spans="18:69" x14ac:dyDescent="0.2"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</row>
    <row r="996" spans="18:69" x14ac:dyDescent="0.2"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</row>
    <row r="997" spans="18:69" x14ac:dyDescent="0.2"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</row>
    <row r="998" spans="18:69" x14ac:dyDescent="0.2"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</row>
    <row r="999" spans="18:69" x14ac:dyDescent="0.2"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</row>
    <row r="1000" spans="18:69" x14ac:dyDescent="0.2"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</row>
    <row r="1001" spans="18:69" x14ac:dyDescent="0.2"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</row>
    <row r="1002" spans="18:69" x14ac:dyDescent="0.2"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</row>
    <row r="1003" spans="18:69" x14ac:dyDescent="0.2"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</row>
    <row r="1004" spans="18:69" x14ac:dyDescent="0.2"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</row>
    <row r="1005" spans="18:69" x14ac:dyDescent="0.2"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</row>
    <row r="1006" spans="18:69" x14ac:dyDescent="0.2"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</row>
    <row r="1007" spans="18:69" x14ac:dyDescent="0.2"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</row>
    <row r="1008" spans="18:69" x14ac:dyDescent="0.2"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</row>
    <row r="1009" spans="18:69" x14ac:dyDescent="0.2"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</row>
    <row r="1010" spans="18:69" x14ac:dyDescent="0.2"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</row>
    <row r="1011" spans="18:69" x14ac:dyDescent="0.2"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</row>
    <row r="1012" spans="18:69" x14ac:dyDescent="0.2"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</row>
    <row r="1013" spans="18:69" x14ac:dyDescent="0.2"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</row>
    <row r="1014" spans="18:69" x14ac:dyDescent="0.2"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</row>
    <row r="1015" spans="18:69" x14ac:dyDescent="0.2"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</row>
    <row r="1016" spans="18:69" x14ac:dyDescent="0.2"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</row>
    <row r="1017" spans="18:69" x14ac:dyDescent="0.2"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</row>
    <row r="1018" spans="18:69" x14ac:dyDescent="0.2"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</row>
    <row r="1019" spans="18:69" x14ac:dyDescent="0.2"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</row>
    <row r="1020" spans="18:69" x14ac:dyDescent="0.2"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</row>
    <row r="1021" spans="18:69" x14ac:dyDescent="0.2"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</row>
    <row r="1022" spans="18:69" x14ac:dyDescent="0.2"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</row>
    <row r="1023" spans="18:69" x14ac:dyDescent="0.2"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</row>
    <row r="1024" spans="18:69" x14ac:dyDescent="0.2"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</row>
    <row r="1025" spans="18:69" x14ac:dyDescent="0.2"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</row>
    <row r="1026" spans="18:69" x14ac:dyDescent="0.2"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</row>
    <row r="1027" spans="18:69" x14ac:dyDescent="0.2"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</row>
    <row r="1028" spans="18:69" x14ac:dyDescent="0.2"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</row>
    <row r="1029" spans="18:69" x14ac:dyDescent="0.2"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</row>
    <row r="1030" spans="18:69" x14ac:dyDescent="0.2"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</row>
    <row r="1031" spans="18:69" x14ac:dyDescent="0.2"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</row>
    <row r="1032" spans="18:69" x14ac:dyDescent="0.2"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</row>
    <row r="1033" spans="18:69" x14ac:dyDescent="0.2"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</row>
    <row r="1034" spans="18:69" x14ac:dyDescent="0.2"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</row>
    <row r="1035" spans="18:69" x14ac:dyDescent="0.2"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</row>
    <row r="1036" spans="18:69" x14ac:dyDescent="0.2"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</row>
    <row r="1037" spans="18:69" x14ac:dyDescent="0.2"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</row>
    <row r="1038" spans="18:69" x14ac:dyDescent="0.2"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</row>
    <row r="1039" spans="18:69" x14ac:dyDescent="0.2"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</row>
    <row r="1040" spans="18:69" x14ac:dyDescent="0.2"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</row>
    <row r="1041" spans="18:69" x14ac:dyDescent="0.2"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</row>
    <row r="1042" spans="18:69" x14ac:dyDescent="0.2"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</row>
    <row r="1043" spans="18:69" x14ac:dyDescent="0.2"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</row>
    <row r="1044" spans="18:69" x14ac:dyDescent="0.2"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</row>
    <row r="1045" spans="18:69" x14ac:dyDescent="0.2"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</row>
    <row r="1046" spans="18:69" x14ac:dyDescent="0.2"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</row>
    <row r="1047" spans="18:69" x14ac:dyDescent="0.2"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</row>
    <row r="1048" spans="18:69" x14ac:dyDescent="0.2"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</row>
    <row r="1049" spans="18:69" x14ac:dyDescent="0.2"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</row>
    <row r="1050" spans="18:69" x14ac:dyDescent="0.2"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</row>
    <row r="1051" spans="18:69" x14ac:dyDescent="0.2"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</row>
    <row r="1052" spans="18:69" x14ac:dyDescent="0.2"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</row>
    <row r="1053" spans="18:69" x14ac:dyDescent="0.2"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</row>
    <row r="1054" spans="18:69" x14ac:dyDescent="0.2"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</row>
    <row r="1055" spans="18:69" x14ac:dyDescent="0.2"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</row>
    <row r="1056" spans="18:69" x14ac:dyDescent="0.2"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</row>
    <row r="1057" spans="18:69" x14ac:dyDescent="0.2"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</row>
    <row r="1058" spans="18:69" x14ac:dyDescent="0.2"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</row>
    <row r="1059" spans="18:69" x14ac:dyDescent="0.2"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</row>
    <row r="1060" spans="18:69" x14ac:dyDescent="0.2"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</row>
    <row r="1061" spans="18:69" x14ac:dyDescent="0.2"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</row>
    <row r="1062" spans="18:69" x14ac:dyDescent="0.2"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</row>
    <row r="1063" spans="18:69" x14ac:dyDescent="0.2"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</row>
    <row r="1064" spans="18:69" x14ac:dyDescent="0.2"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</row>
    <row r="1065" spans="18:69" x14ac:dyDescent="0.2"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</row>
    <row r="1066" spans="18:69" x14ac:dyDescent="0.2"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</row>
    <row r="1067" spans="18:69" x14ac:dyDescent="0.2"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</row>
    <row r="1068" spans="18:69" x14ac:dyDescent="0.2"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</row>
    <row r="1069" spans="18:69" x14ac:dyDescent="0.2"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</row>
    <row r="1070" spans="18:69" x14ac:dyDescent="0.2"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</row>
    <row r="1071" spans="18:69" x14ac:dyDescent="0.2"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</row>
    <row r="1072" spans="18:69" x14ac:dyDescent="0.2"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</row>
    <row r="1073" spans="18:69" x14ac:dyDescent="0.2"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</row>
    <row r="1074" spans="18:69" x14ac:dyDescent="0.2"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</row>
    <row r="1075" spans="18:69" x14ac:dyDescent="0.2"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</row>
    <row r="1076" spans="18:69" x14ac:dyDescent="0.2"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</row>
    <row r="1077" spans="18:69" x14ac:dyDescent="0.2"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</row>
    <row r="1078" spans="18:69" x14ac:dyDescent="0.2"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</row>
    <row r="1079" spans="18:69" x14ac:dyDescent="0.2"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</row>
    <row r="1080" spans="18:69" x14ac:dyDescent="0.2"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</row>
    <row r="1081" spans="18:69" x14ac:dyDescent="0.2"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</row>
    <row r="1082" spans="18:69" x14ac:dyDescent="0.2"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</row>
    <row r="1083" spans="18:69" x14ac:dyDescent="0.2"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</row>
    <row r="1084" spans="18:69" x14ac:dyDescent="0.2"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</row>
    <row r="1085" spans="18:69" x14ac:dyDescent="0.2"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</row>
    <row r="1086" spans="18:69" x14ac:dyDescent="0.2"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</row>
    <row r="1087" spans="18:69" x14ac:dyDescent="0.2"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</row>
    <row r="1088" spans="18:69" x14ac:dyDescent="0.2"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</row>
    <row r="1089" spans="18:69" x14ac:dyDescent="0.2"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</row>
    <row r="1090" spans="18:69" x14ac:dyDescent="0.2"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</row>
    <row r="1091" spans="18:69" x14ac:dyDescent="0.2"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</row>
    <row r="1092" spans="18:69" x14ac:dyDescent="0.2"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</row>
    <row r="1093" spans="18:69" x14ac:dyDescent="0.2"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</row>
    <row r="1094" spans="18:69" x14ac:dyDescent="0.2"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</row>
    <row r="1095" spans="18:69" x14ac:dyDescent="0.2"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</row>
    <row r="1096" spans="18:69" x14ac:dyDescent="0.2"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</row>
    <row r="1097" spans="18:69" x14ac:dyDescent="0.2"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</row>
    <row r="1098" spans="18:69" x14ac:dyDescent="0.2"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</row>
    <row r="1099" spans="18:69" x14ac:dyDescent="0.2"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</row>
    <row r="1100" spans="18:69" x14ac:dyDescent="0.2"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</row>
    <row r="1101" spans="18:69" x14ac:dyDescent="0.2"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</row>
    <row r="1102" spans="18:69" x14ac:dyDescent="0.2"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</row>
    <row r="1103" spans="18:69" x14ac:dyDescent="0.2"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</row>
    <row r="1104" spans="18:69" x14ac:dyDescent="0.2"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</row>
    <row r="1105" spans="18:69" x14ac:dyDescent="0.2"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</row>
    <row r="1106" spans="18:69" x14ac:dyDescent="0.2"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</row>
    <row r="1107" spans="18:69" x14ac:dyDescent="0.2"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</row>
    <row r="1108" spans="18:69" x14ac:dyDescent="0.2"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</row>
    <row r="1109" spans="18:69" x14ac:dyDescent="0.2"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</row>
    <row r="1110" spans="18:69" x14ac:dyDescent="0.2"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</row>
    <row r="1111" spans="18:69" x14ac:dyDescent="0.2"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</row>
    <row r="1112" spans="18:69" x14ac:dyDescent="0.2"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</row>
    <row r="1113" spans="18:69" x14ac:dyDescent="0.2"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</row>
    <row r="1114" spans="18:69" x14ac:dyDescent="0.2"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</row>
    <row r="1115" spans="18:69" x14ac:dyDescent="0.2"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</row>
    <row r="1116" spans="18:69" x14ac:dyDescent="0.2"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</row>
    <row r="1117" spans="18:69" x14ac:dyDescent="0.2"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</row>
    <row r="1118" spans="18:69" x14ac:dyDescent="0.2"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</row>
    <row r="1119" spans="18:69" x14ac:dyDescent="0.2"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</row>
    <row r="1120" spans="18:69" x14ac:dyDescent="0.2"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</row>
    <row r="1121" spans="18:69" x14ac:dyDescent="0.2"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</row>
    <row r="1122" spans="18:69" x14ac:dyDescent="0.2"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</row>
    <row r="1123" spans="18:69" x14ac:dyDescent="0.2"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</row>
    <row r="1124" spans="18:69" x14ac:dyDescent="0.2"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</row>
    <row r="1125" spans="18:69" x14ac:dyDescent="0.2"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</row>
    <row r="1126" spans="18:69" x14ac:dyDescent="0.2"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</row>
    <row r="1127" spans="18:69" x14ac:dyDescent="0.2"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</row>
    <row r="1128" spans="18:69" x14ac:dyDescent="0.2"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</row>
    <row r="1129" spans="18:69" x14ac:dyDescent="0.2"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</row>
    <row r="1130" spans="18:69" x14ac:dyDescent="0.2"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</row>
    <row r="1131" spans="18:69" x14ac:dyDescent="0.2"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</row>
    <row r="1132" spans="18:69" x14ac:dyDescent="0.2"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</row>
    <row r="1133" spans="18:69" x14ac:dyDescent="0.2"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</row>
    <row r="1134" spans="18:69" x14ac:dyDescent="0.2"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</row>
    <row r="1135" spans="18:69" x14ac:dyDescent="0.2"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</row>
    <row r="1136" spans="18:69" x14ac:dyDescent="0.2"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</row>
    <row r="1137" spans="18:69" x14ac:dyDescent="0.2"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</row>
    <row r="1138" spans="18:69" x14ac:dyDescent="0.2"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</row>
    <row r="1139" spans="18:69" x14ac:dyDescent="0.2"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</row>
    <row r="1140" spans="18:69" x14ac:dyDescent="0.2"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</row>
    <row r="1141" spans="18:69" x14ac:dyDescent="0.2"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</row>
    <row r="1142" spans="18:69" x14ac:dyDescent="0.2"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</row>
    <row r="1143" spans="18:69" x14ac:dyDescent="0.2"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</row>
    <row r="1144" spans="18:69" x14ac:dyDescent="0.2"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</row>
    <row r="1145" spans="18:69" x14ac:dyDescent="0.2"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</row>
    <row r="1146" spans="18:69" x14ac:dyDescent="0.2"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</row>
    <row r="1147" spans="18:69" x14ac:dyDescent="0.2"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</row>
    <row r="1148" spans="18:69" x14ac:dyDescent="0.2"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</row>
    <row r="1149" spans="18:69" x14ac:dyDescent="0.2"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</row>
    <row r="1150" spans="18:69" x14ac:dyDescent="0.2"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</row>
    <row r="1151" spans="18:69" x14ac:dyDescent="0.2"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</row>
    <row r="1152" spans="18:69" x14ac:dyDescent="0.2"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</row>
    <row r="1153" spans="18:69" x14ac:dyDescent="0.2"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</row>
    <row r="1154" spans="18:69" x14ac:dyDescent="0.2"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</row>
    <row r="1155" spans="18:69" x14ac:dyDescent="0.2"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</row>
    <row r="1156" spans="18:69" x14ac:dyDescent="0.2"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</row>
    <row r="1157" spans="18:69" x14ac:dyDescent="0.2"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</row>
    <row r="1158" spans="18:69" x14ac:dyDescent="0.2"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</row>
    <row r="1159" spans="18:69" x14ac:dyDescent="0.2"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</row>
    <row r="1160" spans="18:69" x14ac:dyDescent="0.2"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</row>
    <row r="1161" spans="18:69" x14ac:dyDescent="0.2"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</row>
    <row r="1162" spans="18:69" x14ac:dyDescent="0.2"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</row>
    <row r="1163" spans="18:69" x14ac:dyDescent="0.2"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</row>
    <row r="1164" spans="18:69" x14ac:dyDescent="0.2"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</row>
    <row r="1165" spans="18:69" x14ac:dyDescent="0.2"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</row>
    <row r="1166" spans="18:69" x14ac:dyDescent="0.2"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</row>
    <row r="1167" spans="18:69" x14ac:dyDescent="0.2"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</row>
    <row r="1168" spans="18:69" x14ac:dyDescent="0.2"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</row>
    <row r="1169" spans="18:69" x14ac:dyDescent="0.2"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</row>
    <row r="1170" spans="18:69" x14ac:dyDescent="0.2"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</row>
    <row r="1171" spans="18:69" x14ac:dyDescent="0.2"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</row>
    <row r="1172" spans="18:69" x14ac:dyDescent="0.2"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</row>
    <row r="1173" spans="18:69" x14ac:dyDescent="0.2"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</row>
    <row r="1174" spans="18:69" x14ac:dyDescent="0.2"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</row>
    <row r="1175" spans="18:69" x14ac:dyDescent="0.2"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</row>
    <row r="1176" spans="18:69" x14ac:dyDescent="0.2"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</row>
    <row r="1177" spans="18:69" x14ac:dyDescent="0.2"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</row>
    <row r="1178" spans="18:69" x14ac:dyDescent="0.2"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</row>
    <row r="1179" spans="18:69" x14ac:dyDescent="0.2"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</row>
    <row r="1180" spans="18:69" x14ac:dyDescent="0.2"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</row>
    <row r="1181" spans="18:69" x14ac:dyDescent="0.2"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</row>
    <row r="1182" spans="18:69" x14ac:dyDescent="0.2"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</row>
    <row r="1183" spans="18:69" x14ac:dyDescent="0.2"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</row>
    <row r="1184" spans="18:69" x14ac:dyDescent="0.2"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</row>
    <row r="1185" spans="18:69" x14ac:dyDescent="0.2"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</row>
    <row r="1186" spans="18:69" x14ac:dyDescent="0.2"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</row>
    <row r="1187" spans="18:69" x14ac:dyDescent="0.2"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</row>
    <row r="1188" spans="18:69" x14ac:dyDescent="0.2"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</row>
    <row r="1189" spans="18:69" x14ac:dyDescent="0.2"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</row>
    <row r="1190" spans="18:69" x14ac:dyDescent="0.2"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</row>
    <row r="1191" spans="18:69" x14ac:dyDescent="0.2"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</row>
    <row r="1192" spans="18:69" x14ac:dyDescent="0.2"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</row>
    <row r="1193" spans="18:69" x14ac:dyDescent="0.2"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</row>
    <row r="1194" spans="18:69" x14ac:dyDescent="0.2"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</row>
    <row r="1195" spans="18:69" x14ac:dyDescent="0.2"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</row>
    <row r="1196" spans="18:69" x14ac:dyDescent="0.2"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</row>
    <row r="1197" spans="18:69" x14ac:dyDescent="0.2"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</row>
    <row r="1198" spans="18:69" x14ac:dyDescent="0.2"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</row>
    <row r="1199" spans="18:69" x14ac:dyDescent="0.2"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</row>
    <row r="1200" spans="18:69" x14ac:dyDescent="0.2"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</row>
    <row r="1201" spans="18:69" x14ac:dyDescent="0.2"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</row>
    <row r="1202" spans="18:69" x14ac:dyDescent="0.2"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</row>
    <row r="1203" spans="18:69" x14ac:dyDescent="0.2"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</row>
    <row r="1204" spans="18:69" x14ac:dyDescent="0.2"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</row>
    <row r="1205" spans="18:69" x14ac:dyDescent="0.2"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</row>
    <row r="1206" spans="18:69" x14ac:dyDescent="0.2"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</row>
    <row r="1207" spans="18:69" x14ac:dyDescent="0.2"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</row>
    <row r="1208" spans="18:69" x14ac:dyDescent="0.2"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</row>
    <row r="1209" spans="18:69" x14ac:dyDescent="0.2"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</row>
    <row r="1210" spans="18:69" x14ac:dyDescent="0.2"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</row>
    <row r="1211" spans="18:69" x14ac:dyDescent="0.2"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</row>
    <row r="1212" spans="18:69" x14ac:dyDescent="0.2"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</row>
    <row r="1213" spans="18:69" x14ac:dyDescent="0.2"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</row>
    <row r="1214" spans="18:69" x14ac:dyDescent="0.2"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</row>
    <row r="1215" spans="18:69" x14ac:dyDescent="0.2"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</row>
    <row r="1216" spans="18:69" x14ac:dyDescent="0.2"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</row>
    <row r="1217" spans="18:69" x14ac:dyDescent="0.2"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</row>
    <row r="1218" spans="18:69" x14ac:dyDescent="0.2"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</row>
    <row r="1219" spans="18:69" x14ac:dyDescent="0.2"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</row>
    <row r="1220" spans="18:69" x14ac:dyDescent="0.2"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</row>
    <row r="1221" spans="18:69" x14ac:dyDescent="0.2"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</row>
    <row r="1222" spans="18:69" x14ac:dyDescent="0.2"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</row>
    <row r="1223" spans="18:69" x14ac:dyDescent="0.2"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</row>
    <row r="1224" spans="18:69" x14ac:dyDescent="0.2"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</row>
    <row r="1225" spans="18:69" x14ac:dyDescent="0.2"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</row>
    <row r="1226" spans="18:69" x14ac:dyDescent="0.2"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</row>
    <row r="1227" spans="18:69" x14ac:dyDescent="0.2"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</row>
    <row r="1228" spans="18:69" x14ac:dyDescent="0.2"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</row>
    <row r="1229" spans="18:69" x14ac:dyDescent="0.2"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</row>
    <row r="1230" spans="18:69" x14ac:dyDescent="0.2"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</row>
    <row r="1231" spans="18:69" x14ac:dyDescent="0.2"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</row>
    <row r="1232" spans="18:69" x14ac:dyDescent="0.2"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</row>
    <row r="1233" spans="18:69" x14ac:dyDescent="0.2"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</row>
    <row r="1234" spans="18:69" x14ac:dyDescent="0.2"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</row>
    <row r="1235" spans="18:69" x14ac:dyDescent="0.2"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</row>
    <row r="1236" spans="18:69" x14ac:dyDescent="0.2"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</row>
    <row r="1237" spans="18:69" x14ac:dyDescent="0.2"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</row>
    <row r="1238" spans="18:69" x14ac:dyDescent="0.2"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</row>
    <row r="1239" spans="18:69" x14ac:dyDescent="0.2"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</row>
    <row r="1240" spans="18:69" x14ac:dyDescent="0.2"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</row>
    <row r="1241" spans="18:69" x14ac:dyDescent="0.2"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</row>
    <row r="1242" spans="18:69" x14ac:dyDescent="0.2"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</row>
    <row r="1243" spans="18:69" x14ac:dyDescent="0.2"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</row>
    <row r="1244" spans="18:69" x14ac:dyDescent="0.2"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</row>
    <row r="1245" spans="18:69" x14ac:dyDescent="0.2"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</row>
    <row r="1246" spans="18:69" x14ac:dyDescent="0.2"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</row>
    <row r="1247" spans="18:69" x14ac:dyDescent="0.2"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</row>
    <row r="1248" spans="18:69" x14ac:dyDescent="0.2"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</row>
    <row r="1249" spans="18:69" x14ac:dyDescent="0.2"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</row>
    <row r="1250" spans="18:69" x14ac:dyDescent="0.2"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</row>
    <row r="1251" spans="18:69" x14ac:dyDescent="0.2"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</row>
    <row r="1252" spans="18:69" x14ac:dyDescent="0.2"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</row>
    <row r="1253" spans="18:69" x14ac:dyDescent="0.2"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</row>
    <row r="1254" spans="18:69" x14ac:dyDescent="0.2"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</row>
    <row r="1255" spans="18:69" x14ac:dyDescent="0.2"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</row>
    <row r="1256" spans="18:69" x14ac:dyDescent="0.2"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</row>
    <row r="1257" spans="18:69" x14ac:dyDescent="0.2"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</row>
    <row r="1258" spans="18:69" x14ac:dyDescent="0.2"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</row>
    <row r="1259" spans="18:69" x14ac:dyDescent="0.2"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</row>
    <row r="1260" spans="18:69" x14ac:dyDescent="0.2"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</row>
    <row r="1261" spans="18:69" x14ac:dyDescent="0.2"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</row>
    <row r="1262" spans="18:69" x14ac:dyDescent="0.2"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</row>
    <row r="1263" spans="18:69" x14ac:dyDescent="0.2"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</row>
    <row r="1264" spans="18:69" x14ac:dyDescent="0.2"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</row>
    <row r="1265" spans="18:69" x14ac:dyDescent="0.2"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</row>
    <row r="1266" spans="18:69" x14ac:dyDescent="0.2"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</row>
    <row r="1267" spans="18:69" x14ac:dyDescent="0.2"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</row>
    <row r="1268" spans="18:69" x14ac:dyDescent="0.2"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</row>
    <row r="1269" spans="18:69" x14ac:dyDescent="0.2"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</row>
    <row r="1270" spans="18:69" x14ac:dyDescent="0.2"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</row>
    <row r="1271" spans="18:69" x14ac:dyDescent="0.2"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</row>
    <row r="1272" spans="18:69" x14ac:dyDescent="0.2"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</row>
    <row r="1273" spans="18:69" x14ac:dyDescent="0.2"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</row>
    <row r="1274" spans="18:69" x14ac:dyDescent="0.2"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</row>
    <row r="1275" spans="18:69" x14ac:dyDescent="0.2"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</row>
    <row r="1276" spans="18:69" x14ac:dyDescent="0.2"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</row>
    <row r="1277" spans="18:69" x14ac:dyDescent="0.2"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</row>
    <row r="1278" spans="18:69" x14ac:dyDescent="0.2"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</row>
    <row r="1279" spans="18:69" x14ac:dyDescent="0.2"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</row>
    <row r="1280" spans="18:69" x14ac:dyDescent="0.2"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</row>
    <row r="1281" spans="18:69" x14ac:dyDescent="0.2"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</row>
    <row r="1282" spans="18:69" x14ac:dyDescent="0.2"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</row>
    <row r="1283" spans="18:69" x14ac:dyDescent="0.2"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</row>
    <row r="1284" spans="18:69" x14ac:dyDescent="0.2"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</row>
    <row r="1285" spans="18:69" x14ac:dyDescent="0.2"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</row>
    <row r="1286" spans="18:69" x14ac:dyDescent="0.2"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</row>
    <row r="1287" spans="18:69" x14ac:dyDescent="0.2"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</row>
    <row r="1288" spans="18:69" x14ac:dyDescent="0.2"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</row>
    <row r="1289" spans="18:69" x14ac:dyDescent="0.2"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</row>
    <row r="1290" spans="18:69" x14ac:dyDescent="0.2"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</row>
    <row r="1291" spans="18:69" x14ac:dyDescent="0.2"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</row>
    <row r="1292" spans="18:69" x14ac:dyDescent="0.2"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</row>
    <row r="1293" spans="18:69" x14ac:dyDescent="0.2"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</row>
    <row r="1294" spans="18:69" x14ac:dyDescent="0.2"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</row>
    <row r="1295" spans="18:69" x14ac:dyDescent="0.2"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</row>
    <row r="1296" spans="18:69" x14ac:dyDescent="0.2"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</row>
    <row r="1297" spans="18:69" x14ac:dyDescent="0.2"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</row>
    <row r="1298" spans="18:69" x14ac:dyDescent="0.2"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</row>
    <row r="1299" spans="18:69" x14ac:dyDescent="0.2"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</row>
    <row r="1300" spans="18:69" x14ac:dyDescent="0.2"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</row>
    <row r="1301" spans="18:69" x14ac:dyDescent="0.2"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</row>
    <row r="1302" spans="18:69" x14ac:dyDescent="0.2"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</row>
    <row r="1303" spans="18:69" x14ac:dyDescent="0.2"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</row>
    <row r="1304" spans="18:69" x14ac:dyDescent="0.2"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</row>
    <row r="1305" spans="18:69" x14ac:dyDescent="0.2"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</row>
    <row r="1306" spans="18:69" x14ac:dyDescent="0.2"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</row>
    <row r="1307" spans="18:69" x14ac:dyDescent="0.2"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</row>
    <row r="1308" spans="18:69" x14ac:dyDescent="0.2"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</row>
    <row r="1309" spans="18:69" x14ac:dyDescent="0.2"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</row>
    <row r="1310" spans="18:69" x14ac:dyDescent="0.2"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</row>
    <row r="1311" spans="18:69" x14ac:dyDescent="0.2"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</row>
    <row r="1312" spans="18:69" x14ac:dyDescent="0.2"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</row>
    <row r="1313" spans="18:69" x14ac:dyDescent="0.2"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</row>
    <row r="1314" spans="18:69" x14ac:dyDescent="0.2"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</row>
    <row r="1315" spans="18:69" x14ac:dyDescent="0.2"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</row>
    <row r="1316" spans="18:69" x14ac:dyDescent="0.2"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</row>
    <row r="1317" spans="18:69" x14ac:dyDescent="0.2"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</row>
    <row r="1318" spans="18:69" x14ac:dyDescent="0.2"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</row>
    <row r="1319" spans="18:69" x14ac:dyDescent="0.2"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</row>
    <row r="1320" spans="18:69" x14ac:dyDescent="0.2"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</row>
    <row r="1321" spans="18:69" x14ac:dyDescent="0.2"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</row>
    <row r="1322" spans="18:69" x14ac:dyDescent="0.2"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</row>
    <row r="1323" spans="18:69" x14ac:dyDescent="0.2"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</row>
    <row r="1324" spans="18:69" x14ac:dyDescent="0.2"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</row>
    <row r="1325" spans="18:69" x14ac:dyDescent="0.2"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</row>
    <row r="1326" spans="18:69" x14ac:dyDescent="0.2"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</row>
    <row r="1327" spans="18:69" x14ac:dyDescent="0.2"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</row>
    <row r="1328" spans="18:69" x14ac:dyDescent="0.2"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</row>
    <row r="1329" spans="18:69" x14ac:dyDescent="0.2"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</row>
    <row r="1330" spans="18:69" x14ac:dyDescent="0.2"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</row>
    <row r="1331" spans="18:69" x14ac:dyDescent="0.2"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</row>
    <row r="1332" spans="18:69" x14ac:dyDescent="0.2"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</row>
    <row r="1333" spans="18:69" x14ac:dyDescent="0.2"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</row>
    <row r="1334" spans="18:69" x14ac:dyDescent="0.2"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</row>
    <row r="1335" spans="18:69" x14ac:dyDescent="0.2"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</row>
    <row r="1336" spans="18:69" x14ac:dyDescent="0.2"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</row>
    <row r="1337" spans="18:69" x14ac:dyDescent="0.2"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</row>
    <row r="1338" spans="18:69" x14ac:dyDescent="0.2"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</row>
    <row r="1339" spans="18:69" x14ac:dyDescent="0.2"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</row>
    <row r="1340" spans="18:69" x14ac:dyDescent="0.2"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</row>
    <row r="1341" spans="18:69" x14ac:dyDescent="0.2"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</row>
    <row r="1342" spans="18:69" x14ac:dyDescent="0.2"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</row>
    <row r="1343" spans="18:69" x14ac:dyDescent="0.2"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</row>
    <row r="1344" spans="18:69" x14ac:dyDescent="0.2"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</row>
    <row r="1345" spans="18:69" x14ac:dyDescent="0.2"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</row>
    <row r="1346" spans="18:69" x14ac:dyDescent="0.2"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</row>
    <row r="1347" spans="18:69" x14ac:dyDescent="0.2"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</row>
    <row r="1348" spans="18:69" x14ac:dyDescent="0.2"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</row>
    <row r="1349" spans="18:69" x14ac:dyDescent="0.2"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</row>
    <row r="1350" spans="18:69" x14ac:dyDescent="0.2"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</row>
    <row r="1351" spans="18:69" x14ac:dyDescent="0.2"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</row>
    <row r="1352" spans="18:69" x14ac:dyDescent="0.2"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</row>
    <row r="1353" spans="18:69" x14ac:dyDescent="0.2"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</row>
    <row r="1354" spans="18:69" x14ac:dyDescent="0.2"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</row>
    <row r="1355" spans="18:69" x14ac:dyDescent="0.2"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</row>
    <row r="1356" spans="18:69" x14ac:dyDescent="0.2"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</row>
    <row r="1357" spans="18:69" x14ac:dyDescent="0.2"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</row>
    <row r="1358" spans="18:69" x14ac:dyDescent="0.2"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</row>
    <row r="1359" spans="18:69" x14ac:dyDescent="0.2"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</row>
    <row r="1360" spans="18:69" x14ac:dyDescent="0.2"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</row>
    <row r="1361" spans="18:69" x14ac:dyDescent="0.2"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</row>
    <row r="1362" spans="18:69" x14ac:dyDescent="0.2"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</row>
    <row r="1363" spans="18:69" x14ac:dyDescent="0.2"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</row>
    <row r="1364" spans="18:69" x14ac:dyDescent="0.2"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</row>
    <row r="1365" spans="18:69" x14ac:dyDescent="0.2"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</row>
    <row r="1366" spans="18:69" x14ac:dyDescent="0.2"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</row>
    <row r="1367" spans="18:69" x14ac:dyDescent="0.2"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</row>
    <row r="1368" spans="18:69" x14ac:dyDescent="0.2"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</row>
    <row r="1369" spans="18:69" x14ac:dyDescent="0.2"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</row>
    <row r="1370" spans="18:69" x14ac:dyDescent="0.2"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19"/>
      <c r="BJ1370" s="19"/>
      <c r="BK1370" s="19"/>
      <c r="BL1370" s="19"/>
      <c r="BM1370" s="19"/>
      <c r="BN1370" s="19"/>
      <c r="BO1370" s="19"/>
      <c r="BP1370" s="19"/>
      <c r="BQ1370" s="19"/>
    </row>
    <row r="1371" spans="18:69" x14ac:dyDescent="0.2"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19"/>
      <c r="BJ1371" s="19"/>
      <c r="BK1371" s="19"/>
      <c r="BL1371" s="19"/>
      <c r="BM1371" s="19"/>
      <c r="BN1371" s="19"/>
      <c r="BO1371" s="19"/>
      <c r="BP1371" s="19"/>
      <c r="BQ1371" s="19"/>
    </row>
    <row r="1372" spans="18:69" x14ac:dyDescent="0.2"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19"/>
      <c r="BJ1372" s="19"/>
      <c r="BK1372" s="19"/>
      <c r="BL1372" s="19"/>
      <c r="BM1372" s="19"/>
      <c r="BN1372" s="19"/>
      <c r="BO1372" s="19"/>
      <c r="BP1372" s="19"/>
      <c r="BQ1372" s="19"/>
    </row>
    <row r="1373" spans="18:69" x14ac:dyDescent="0.2"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19"/>
      <c r="BJ1373" s="19"/>
      <c r="BK1373" s="19"/>
      <c r="BL1373" s="19"/>
      <c r="BM1373" s="19"/>
      <c r="BN1373" s="19"/>
      <c r="BO1373" s="19"/>
      <c r="BP1373" s="19"/>
      <c r="BQ1373" s="19"/>
    </row>
    <row r="1374" spans="18:69" x14ac:dyDescent="0.2"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19"/>
      <c r="BJ1374" s="19"/>
      <c r="BK1374" s="19"/>
      <c r="BL1374" s="19"/>
      <c r="BM1374" s="19"/>
      <c r="BN1374" s="19"/>
      <c r="BO1374" s="19"/>
      <c r="BP1374" s="19"/>
      <c r="BQ1374" s="19"/>
    </row>
    <row r="1375" spans="18:69" x14ac:dyDescent="0.2"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19"/>
      <c r="BJ1375" s="19"/>
      <c r="BK1375" s="19"/>
      <c r="BL1375" s="19"/>
      <c r="BM1375" s="19"/>
      <c r="BN1375" s="19"/>
      <c r="BO1375" s="19"/>
      <c r="BP1375" s="19"/>
      <c r="BQ1375" s="19"/>
    </row>
    <row r="1376" spans="18:69" x14ac:dyDescent="0.2"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19"/>
      <c r="BJ1376" s="19"/>
      <c r="BK1376" s="19"/>
      <c r="BL1376" s="19"/>
      <c r="BM1376" s="19"/>
      <c r="BN1376" s="19"/>
      <c r="BO1376" s="19"/>
      <c r="BP1376" s="19"/>
      <c r="BQ1376" s="19"/>
    </row>
    <row r="1377" spans="18:69" x14ac:dyDescent="0.2"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19"/>
      <c r="BJ1377" s="19"/>
      <c r="BK1377" s="19"/>
      <c r="BL1377" s="19"/>
      <c r="BM1377" s="19"/>
      <c r="BN1377" s="19"/>
      <c r="BO1377" s="19"/>
      <c r="BP1377" s="19"/>
      <c r="BQ1377" s="19"/>
    </row>
    <row r="1378" spans="18:69" x14ac:dyDescent="0.2"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19"/>
      <c r="BJ1378" s="19"/>
      <c r="BK1378" s="19"/>
      <c r="BL1378" s="19"/>
      <c r="BM1378" s="19"/>
      <c r="BN1378" s="19"/>
      <c r="BO1378" s="19"/>
      <c r="BP1378" s="19"/>
      <c r="BQ1378" s="19"/>
    </row>
    <row r="1379" spans="18:69" x14ac:dyDescent="0.2"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19"/>
      <c r="BJ1379" s="19"/>
      <c r="BK1379" s="19"/>
      <c r="BL1379" s="19"/>
      <c r="BM1379" s="19"/>
      <c r="BN1379" s="19"/>
      <c r="BO1379" s="19"/>
      <c r="BP1379" s="19"/>
      <c r="BQ1379" s="19"/>
    </row>
    <row r="1380" spans="18:69" x14ac:dyDescent="0.2"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19"/>
      <c r="BJ1380" s="19"/>
      <c r="BK1380" s="19"/>
      <c r="BL1380" s="19"/>
      <c r="BM1380" s="19"/>
      <c r="BN1380" s="19"/>
      <c r="BO1380" s="19"/>
      <c r="BP1380" s="19"/>
      <c r="BQ1380" s="19"/>
    </row>
    <row r="1381" spans="18:69" x14ac:dyDescent="0.2"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19"/>
      <c r="BJ1381" s="19"/>
      <c r="BK1381" s="19"/>
      <c r="BL1381" s="19"/>
      <c r="BM1381" s="19"/>
      <c r="BN1381" s="19"/>
      <c r="BO1381" s="19"/>
      <c r="BP1381" s="19"/>
      <c r="BQ1381" s="19"/>
    </row>
    <row r="1382" spans="18:69" x14ac:dyDescent="0.2"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19"/>
      <c r="BJ1382" s="19"/>
      <c r="BK1382" s="19"/>
      <c r="BL1382" s="19"/>
      <c r="BM1382" s="19"/>
      <c r="BN1382" s="19"/>
      <c r="BO1382" s="19"/>
      <c r="BP1382" s="19"/>
      <c r="BQ1382" s="19"/>
    </row>
    <row r="1383" spans="18:69" x14ac:dyDescent="0.2"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19"/>
      <c r="BJ1383" s="19"/>
      <c r="BK1383" s="19"/>
      <c r="BL1383" s="19"/>
      <c r="BM1383" s="19"/>
      <c r="BN1383" s="19"/>
      <c r="BO1383" s="19"/>
      <c r="BP1383" s="19"/>
      <c r="BQ1383" s="19"/>
    </row>
    <row r="1384" spans="18:69" x14ac:dyDescent="0.2"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19"/>
      <c r="BJ1384" s="19"/>
      <c r="BK1384" s="19"/>
      <c r="BL1384" s="19"/>
      <c r="BM1384" s="19"/>
      <c r="BN1384" s="19"/>
      <c r="BO1384" s="19"/>
      <c r="BP1384" s="19"/>
      <c r="BQ1384" s="19"/>
    </row>
    <row r="1385" spans="18:69" x14ac:dyDescent="0.2"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19"/>
      <c r="BJ1385" s="19"/>
      <c r="BK1385" s="19"/>
      <c r="BL1385" s="19"/>
      <c r="BM1385" s="19"/>
      <c r="BN1385" s="19"/>
      <c r="BO1385" s="19"/>
      <c r="BP1385" s="19"/>
      <c r="BQ1385" s="19"/>
    </row>
    <row r="1386" spans="18:69" x14ac:dyDescent="0.2"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19"/>
      <c r="BJ1386" s="19"/>
      <c r="BK1386" s="19"/>
      <c r="BL1386" s="19"/>
      <c r="BM1386" s="19"/>
      <c r="BN1386" s="19"/>
      <c r="BO1386" s="19"/>
      <c r="BP1386" s="19"/>
      <c r="BQ1386" s="19"/>
    </row>
    <row r="1387" spans="18:69" x14ac:dyDescent="0.2"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19"/>
      <c r="BJ1387" s="19"/>
      <c r="BK1387" s="19"/>
      <c r="BL1387" s="19"/>
      <c r="BM1387" s="19"/>
      <c r="BN1387" s="19"/>
      <c r="BO1387" s="19"/>
      <c r="BP1387" s="19"/>
      <c r="BQ1387" s="19"/>
    </row>
    <row r="1388" spans="18:69" x14ac:dyDescent="0.2"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19"/>
      <c r="BJ1388" s="19"/>
      <c r="BK1388" s="19"/>
      <c r="BL1388" s="19"/>
      <c r="BM1388" s="19"/>
      <c r="BN1388" s="19"/>
      <c r="BO1388" s="19"/>
      <c r="BP1388" s="19"/>
      <c r="BQ1388" s="19"/>
    </row>
    <row r="1389" spans="18:69" x14ac:dyDescent="0.2"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19"/>
      <c r="BJ1389" s="19"/>
      <c r="BK1389" s="19"/>
      <c r="BL1389" s="19"/>
      <c r="BM1389" s="19"/>
      <c r="BN1389" s="19"/>
      <c r="BO1389" s="19"/>
      <c r="BP1389" s="19"/>
      <c r="BQ1389" s="19"/>
    </row>
    <row r="1390" spans="18:69" x14ac:dyDescent="0.2"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19"/>
      <c r="BJ1390" s="19"/>
      <c r="BK1390" s="19"/>
      <c r="BL1390" s="19"/>
      <c r="BM1390" s="19"/>
      <c r="BN1390" s="19"/>
      <c r="BO1390" s="19"/>
      <c r="BP1390" s="19"/>
      <c r="BQ1390" s="19"/>
    </row>
    <row r="1391" spans="18:69" x14ac:dyDescent="0.2"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19"/>
      <c r="BJ1391" s="19"/>
      <c r="BK1391" s="19"/>
      <c r="BL1391" s="19"/>
      <c r="BM1391" s="19"/>
      <c r="BN1391" s="19"/>
      <c r="BO1391" s="19"/>
      <c r="BP1391" s="19"/>
      <c r="BQ1391" s="19"/>
    </row>
    <row r="1392" spans="18:69" x14ac:dyDescent="0.2"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19"/>
      <c r="BJ1392" s="19"/>
      <c r="BK1392" s="19"/>
      <c r="BL1392" s="19"/>
      <c r="BM1392" s="19"/>
      <c r="BN1392" s="19"/>
      <c r="BO1392" s="19"/>
      <c r="BP1392" s="19"/>
      <c r="BQ1392" s="19"/>
    </row>
    <row r="1393" spans="18:69" x14ac:dyDescent="0.2"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19"/>
      <c r="BJ1393" s="19"/>
      <c r="BK1393" s="19"/>
      <c r="BL1393" s="19"/>
      <c r="BM1393" s="19"/>
      <c r="BN1393" s="19"/>
      <c r="BO1393" s="19"/>
      <c r="BP1393" s="19"/>
      <c r="BQ1393" s="19"/>
    </row>
    <row r="1394" spans="18:69" x14ac:dyDescent="0.2"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19"/>
      <c r="BJ1394" s="19"/>
      <c r="BK1394" s="19"/>
      <c r="BL1394" s="19"/>
      <c r="BM1394" s="19"/>
      <c r="BN1394" s="19"/>
      <c r="BO1394" s="19"/>
      <c r="BP1394" s="19"/>
      <c r="BQ1394" s="19"/>
    </row>
    <row r="1395" spans="18:69" x14ac:dyDescent="0.2"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19"/>
      <c r="BJ1395" s="19"/>
      <c r="BK1395" s="19"/>
      <c r="BL1395" s="19"/>
      <c r="BM1395" s="19"/>
      <c r="BN1395" s="19"/>
      <c r="BO1395" s="19"/>
      <c r="BP1395" s="19"/>
      <c r="BQ1395" s="19"/>
    </row>
    <row r="1396" spans="18:69" x14ac:dyDescent="0.2"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19"/>
      <c r="BJ1396" s="19"/>
      <c r="BK1396" s="19"/>
      <c r="BL1396" s="19"/>
      <c r="BM1396" s="19"/>
      <c r="BN1396" s="19"/>
      <c r="BO1396" s="19"/>
      <c r="BP1396" s="19"/>
      <c r="BQ1396" s="19"/>
    </row>
    <row r="1397" spans="18:69" x14ac:dyDescent="0.2"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19"/>
      <c r="BJ1397" s="19"/>
      <c r="BK1397" s="19"/>
      <c r="BL1397" s="19"/>
      <c r="BM1397" s="19"/>
      <c r="BN1397" s="19"/>
      <c r="BO1397" s="19"/>
      <c r="BP1397" s="19"/>
      <c r="BQ1397" s="19"/>
    </row>
    <row r="1398" spans="18:69" x14ac:dyDescent="0.2"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19"/>
      <c r="BJ1398" s="19"/>
      <c r="BK1398" s="19"/>
      <c r="BL1398" s="19"/>
      <c r="BM1398" s="19"/>
      <c r="BN1398" s="19"/>
      <c r="BO1398" s="19"/>
      <c r="BP1398" s="19"/>
      <c r="BQ1398" s="19"/>
    </row>
    <row r="1399" spans="18:69" x14ac:dyDescent="0.2"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19"/>
      <c r="BJ1399" s="19"/>
      <c r="BK1399" s="19"/>
      <c r="BL1399" s="19"/>
      <c r="BM1399" s="19"/>
      <c r="BN1399" s="19"/>
      <c r="BO1399" s="19"/>
      <c r="BP1399" s="19"/>
      <c r="BQ1399" s="19"/>
    </row>
    <row r="1400" spans="18:69" x14ac:dyDescent="0.2"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19"/>
      <c r="BJ1400" s="19"/>
      <c r="BK1400" s="19"/>
      <c r="BL1400" s="19"/>
      <c r="BM1400" s="19"/>
      <c r="BN1400" s="19"/>
      <c r="BO1400" s="19"/>
      <c r="BP1400" s="19"/>
      <c r="BQ1400" s="19"/>
    </row>
    <row r="1401" spans="18:69" x14ac:dyDescent="0.2"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19"/>
      <c r="BJ1401" s="19"/>
      <c r="BK1401" s="19"/>
      <c r="BL1401" s="19"/>
      <c r="BM1401" s="19"/>
      <c r="BN1401" s="19"/>
      <c r="BO1401" s="19"/>
      <c r="BP1401" s="19"/>
      <c r="BQ1401" s="19"/>
    </row>
    <row r="1402" spans="18:69" x14ac:dyDescent="0.2"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19"/>
      <c r="BJ1402" s="19"/>
      <c r="BK1402" s="19"/>
      <c r="BL1402" s="19"/>
      <c r="BM1402" s="19"/>
      <c r="BN1402" s="19"/>
      <c r="BO1402" s="19"/>
      <c r="BP1402" s="19"/>
      <c r="BQ1402" s="19"/>
    </row>
    <row r="1403" spans="18:69" x14ac:dyDescent="0.2"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19"/>
      <c r="BJ1403" s="19"/>
      <c r="BK1403" s="19"/>
      <c r="BL1403" s="19"/>
      <c r="BM1403" s="19"/>
      <c r="BN1403" s="19"/>
      <c r="BO1403" s="19"/>
      <c r="BP1403" s="19"/>
      <c r="BQ1403" s="19"/>
    </row>
    <row r="1404" spans="18:69" x14ac:dyDescent="0.2"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19"/>
      <c r="BJ1404" s="19"/>
      <c r="BK1404" s="19"/>
      <c r="BL1404" s="19"/>
      <c r="BM1404" s="19"/>
      <c r="BN1404" s="19"/>
      <c r="BO1404" s="19"/>
      <c r="BP1404" s="19"/>
      <c r="BQ1404" s="19"/>
    </row>
    <row r="1405" spans="18:69" x14ac:dyDescent="0.2"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19"/>
      <c r="BJ1405" s="19"/>
      <c r="BK1405" s="19"/>
      <c r="BL1405" s="19"/>
      <c r="BM1405" s="19"/>
      <c r="BN1405" s="19"/>
      <c r="BO1405" s="19"/>
      <c r="BP1405" s="19"/>
      <c r="BQ1405" s="19"/>
    </row>
    <row r="1406" spans="18:69" x14ac:dyDescent="0.2"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19"/>
      <c r="BJ1406" s="19"/>
      <c r="BK1406" s="19"/>
      <c r="BL1406" s="19"/>
      <c r="BM1406" s="19"/>
      <c r="BN1406" s="19"/>
      <c r="BO1406" s="19"/>
      <c r="BP1406" s="19"/>
      <c r="BQ1406" s="19"/>
    </row>
    <row r="1407" spans="18:69" x14ac:dyDescent="0.2"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19"/>
      <c r="BJ1407" s="19"/>
      <c r="BK1407" s="19"/>
      <c r="BL1407" s="19"/>
      <c r="BM1407" s="19"/>
      <c r="BN1407" s="19"/>
      <c r="BO1407" s="19"/>
      <c r="BP1407" s="19"/>
      <c r="BQ1407" s="19"/>
    </row>
    <row r="1408" spans="18:69" x14ac:dyDescent="0.2"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19"/>
      <c r="BJ1408" s="19"/>
      <c r="BK1408" s="19"/>
      <c r="BL1408" s="19"/>
      <c r="BM1408" s="19"/>
      <c r="BN1408" s="19"/>
      <c r="BO1408" s="19"/>
      <c r="BP1408" s="19"/>
      <c r="BQ1408" s="19"/>
    </row>
    <row r="1409" spans="18:69" x14ac:dyDescent="0.2"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19"/>
      <c r="BJ1409" s="19"/>
      <c r="BK1409" s="19"/>
      <c r="BL1409" s="19"/>
      <c r="BM1409" s="19"/>
      <c r="BN1409" s="19"/>
      <c r="BO1409" s="19"/>
      <c r="BP1409" s="19"/>
      <c r="BQ1409" s="19"/>
    </row>
    <row r="1410" spans="18:69" x14ac:dyDescent="0.2"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19"/>
      <c r="BJ1410" s="19"/>
      <c r="BK1410" s="19"/>
      <c r="BL1410" s="19"/>
      <c r="BM1410" s="19"/>
      <c r="BN1410" s="19"/>
      <c r="BO1410" s="19"/>
      <c r="BP1410" s="19"/>
      <c r="BQ1410" s="19"/>
    </row>
    <row r="1411" spans="18:69" x14ac:dyDescent="0.2"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19"/>
      <c r="BJ1411" s="19"/>
      <c r="BK1411" s="19"/>
      <c r="BL1411" s="19"/>
      <c r="BM1411" s="19"/>
      <c r="BN1411" s="19"/>
      <c r="BO1411" s="19"/>
      <c r="BP1411" s="19"/>
      <c r="BQ1411" s="19"/>
    </row>
    <row r="1412" spans="18:69" x14ac:dyDescent="0.2"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19"/>
      <c r="BJ1412" s="19"/>
      <c r="BK1412" s="19"/>
      <c r="BL1412" s="19"/>
      <c r="BM1412" s="19"/>
      <c r="BN1412" s="19"/>
      <c r="BO1412" s="19"/>
      <c r="BP1412" s="19"/>
      <c r="BQ1412" s="19"/>
    </row>
    <row r="1413" spans="18:69" x14ac:dyDescent="0.2"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19"/>
      <c r="BJ1413" s="19"/>
      <c r="BK1413" s="19"/>
      <c r="BL1413" s="19"/>
      <c r="BM1413" s="19"/>
      <c r="BN1413" s="19"/>
      <c r="BO1413" s="19"/>
      <c r="BP1413" s="19"/>
      <c r="BQ1413" s="19"/>
    </row>
    <row r="1414" spans="18:69" x14ac:dyDescent="0.2"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19"/>
      <c r="BJ1414" s="19"/>
      <c r="BK1414" s="19"/>
      <c r="BL1414" s="19"/>
      <c r="BM1414" s="19"/>
      <c r="BN1414" s="19"/>
      <c r="BO1414" s="19"/>
      <c r="BP1414" s="19"/>
      <c r="BQ1414" s="19"/>
    </row>
    <row r="1415" spans="18:69" x14ac:dyDescent="0.2"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19"/>
      <c r="BJ1415" s="19"/>
      <c r="BK1415" s="19"/>
      <c r="BL1415" s="19"/>
      <c r="BM1415" s="19"/>
      <c r="BN1415" s="19"/>
      <c r="BO1415" s="19"/>
      <c r="BP1415" s="19"/>
      <c r="BQ1415" s="19"/>
    </row>
    <row r="1416" spans="18:69" x14ac:dyDescent="0.2"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19"/>
      <c r="BJ1416" s="19"/>
      <c r="BK1416" s="19"/>
      <c r="BL1416" s="19"/>
      <c r="BM1416" s="19"/>
      <c r="BN1416" s="19"/>
      <c r="BO1416" s="19"/>
      <c r="BP1416" s="19"/>
      <c r="BQ1416" s="19"/>
    </row>
    <row r="1417" spans="18:69" x14ac:dyDescent="0.2"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19"/>
      <c r="BJ1417" s="19"/>
      <c r="BK1417" s="19"/>
      <c r="BL1417" s="19"/>
      <c r="BM1417" s="19"/>
      <c r="BN1417" s="19"/>
      <c r="BO1417" s="19"/>
      <c r="BP1417" s="19"/>
      <c r="BQ1417" s="19"/>
    </row>
    <row r="1418" spans="18:69" x14ac:dyDescent="0.2"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19"/>
      <c r="BJ1418" s="19"/>
      <c r="BK1418" s="19"/>
      <c r="BL1418" s="19"/>
      <c r="BM1418" s="19"/>
      <c r="BN1418" s="19"/>
      <c r="BO1418" s="19"/>
      <c r="BP1418" s="19"/>
      <c r="BQ1418" s="19"/>
    </row>
    <row r="1419" spans="18:69" x14ac:dyDescent="0.2"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19"/>
      <c r="BJ1419" s="19"/>
      <c r="BK1419" s="19"/>
      <c r="BL1419" s="19"/>
      <c r="BM1419" s="19"/>
      <c r="BN1419" s="19"/>
      <c r="BO1419" s="19"/>
      <c r="BP1419" s="19"/>
      <c r="BQ1419" s="19"/>
    </row>
    <row r="1420" spans="18:69" x14ac:dyDescent="0.2"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19"/>
      <c r="BJ1420" s="19"/>
      <c r="BK1420" s="19"/>
      <c r="BL1420" s="19"/>
      <c r="BM1420" s="19"/>
      <c r="BN1420" s="19"/>
      <c r="BO1420" s="19"/>
      <c r="BP1420" s="19"/>
      <c r="BQ1420" s="19"/>
    </row>
    <row r="1421" spans="18:69" x14ac:dyDescent="0.2"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19"/>
      <c r="BJ1421" s="19"/>
      <c r="BK1421" s="19"/>
      <c r="BL1421" s="19"/>
      <c r="BM1421" s="19"/>
      <c r="BN1421" s="19"/>
      <c r="BO1421" s="19"/>
      <c r="BP1421" s="19"/>
      <c r="BQ1421" s="19"/>
    </row>
    <row r="1422" spans="18:69" x14ac:dyDescent="0.2"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19"/>
      <c r="BJ1422" s="19"/>
      <c r="BK1422" s="19"/>
      <c r="BL1422" s="19"/>
      <c r="BM1422" s="19"/>
      <c r="BN1422" s="19"/>
      <c r="BO1422" s="19"/>
      <c r="BP1422" s="19"/>
      <c r="BQ1422" s="19"/>
    </row>
    <row r="1423" spans="18:69" x14ac:dyDescent="0.2"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19"/>
      <c r="BJ1423" s="19"/>
      <c r="BK1423" s="19"/>
      <c r="BL1423" s="19"/>
      <c r="BM1423" s="19"/>
      <c r="BN1423" s="19"/>
      <c r="BO1423" s="19"/>
      <c r="BP1423" s="19"/>
      <c r="BQ1423" s="19"/>
    </row>
    <row r="1424" spans="18:69" x14ac:dyDescent="0.2"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19"/>
      <c r="BJ1424" s="19"/>
      <c r="BK1424" s="19"/>
      <c r="BL1424" s="19"/>
      <c r="BM1424" s="19"/>
      <c r="BN1424" s="19"/>
      <c r="BO1424" s="19"/>
      <c r="BP1424" s="19"/>
      <c r="BQ1424" s="19"/>
    </row>
    <row r="1425" spans="18:69" x14ac:dyDescent="0.2"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19"/>
      <c r="BJ1425" s="19"/>
      <c r="BK1425" s="19"/>
      <c r="BL1425" s="19"/>
      <c r="BM1425" s="19"/>
      <c r="BN1425" s="19"/>
      <c r="BO1425" s="19"/>
      <c r="BP1425" s="19"/>
      <c r="BQ1425" s="19"/>
    </row>
    <row r="1426" spans="18:69" x14ac:dyDescent="0.2"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19"/>
      <c r="BJ1426" s="19"/>
      <c r="BK1426" s="19"/>
      <c r="BL1426" s="19"/>
      <c r="BM1426" s="19"/>
      <c r="BN1426" s="19"/>
      <c r="BO1426" s="19"/>
      <c r="BP1426" s="19"/>
      <c r="BQ1426" s="19"/>
    </row>
  </sheetData>
  <mergeCells count="24">
    <mergeCell ref="F3:F4"/>
    <mergeCell ref="G3:G4"/>
    <mergeCell ref="A36:D36"/>
    <mergeCell ref="C37:D37"/>
    <mergeCell ref="C43:D43"/>
    <mergeCell ref="C38:D38"/>
    <mergeCell ref="C39:D39"/>
    <mergeCell ref="A40:D40"/>
    <mergeCell ref="C42:D42"/>
    <mergeCell ref="A35:B35"/>
    <mergeCell ref="C35:D35"/>
    <mergeCell ref="B3:B4"/>
    <mergeCell ref="C3:C4"/>
    <mergeCell ref="D3:D4"/>
    <mergeCell ref="B50:B51"/>
    <mergeCell ref="C50:C51"/>
    <mergeCell ref="D50:D51"/>
    <mergeCell ref="F50:F51"/>
    <mergeCell ref="G50:G51"/>
    <mergeCell ref="B82:B83"/>
    <mergeCell ref="C82:C83"/>
    <mergeCell ref="D82:D83"/>
    <mergeCell ref="F82:F83"/>
    <mergeCell ref="G82:G83"/>
  </mergeCells>
  <phoneticPr fontId="0" type="noConversion"/>
  <printOptions horizontalCentered="1" gridLines="1"/>
  <pageMargins left="0.43307086614173229" right="7.874015748031496E-2" top="0.98425196850393704" bottom="0.39370078740157483" header="0.51181102362204722" footer="0.15748031496062992"/>
  <pageSetup paperSize="9" orientation="portrait" horizontalDpi="4294967295" r:id="rId1"/>
  <headerFooter alignWithMargins="0">
    <oddFooter>&amp;LNC, le &amp;D, page 5/9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workbookViewId="0">
      <selection activeCell="I12" sqref="I12"/>
    </sheetView>
  </sheetViews>
  <sheetFormatPr baseColWidth="10" defaultColWidth="11.42578125" defaultRowHeight="12.75" x14ac:dyDescent="0.2"/>
  <cols>
    <col min="1" max="1" width="11.42578125" style="1"/>
    <col min="2" max="2" width="6.140625" style="1" customWidth="1"/>
    <col min="3" max="3" width="13.5703125" style="9" customWidth="1"/>
    <col min="4" max="4" width="13.7109375" style="10" customWidth="1"/>
    <col min="5" max="5" width="15" style="1" customWidth="1"/>
    <col min="6" max="6" width="14.5703125" style="1" customWidth="1"/>
    <col min="7" max="7" width="15.140625" style="1" customWidth="1"/>
    <col min="8" max="16384" width="11.42578125" style="1"/>
  </cols>
  <sheetData>
    <row r="1" spans="1:12" ht="17.25" customHeight="1" x14ac:dyDescent="0.2">
      <c r="A1" s="145"/>
      <c r="B1" s="145"/>
      <c r="C1" s="168"/>
      <c r="D1" s="145"/>
      <c r="E1" s="145"/>
      <c r="F1" s="145"/>
      <c r="G1" s="145"/>
      <c r="H1" s="145"/>
      <c r="I1" s="145"/>
      <c r="J1" s="145"/>
      <c r="K1" s="145"/>
      <c r="L1" s="145"/>
    </row>
    <row r="2" spans="1:12" ht="17.25" customHeight="1" x14ac:dyDescent="0.3">
      <c r="A2" s="145"/>
      <c r="B2" s="169" t="s">
        <v>85</v>
      </c>
      <c r="C2" s="170"/>
      <c r="D2" s="170"/>
      <c r="E2" s="170"/>
      <c r="F2" s="170"/>
      <c r="G2" s="145"/>
      <c r="H2" s="145"/>
      <c r="I2" s="145"/>
      <c r="J2" s="145"/>
      <c r="K2" s="145"/>
      <c r="L2" s="145"/>
    </row>
    <row r="3" spans="1:12" ht="17.25" customHeight="1" x14ac:dyDescent="0.2">
      <c r="A3" s="145"/>
      <c r="B3" s="171" t="s">
        <v>68</v>
      </c>
      <c r="C3" s="172"/>
      <c r="D3" s="172"/>
      <c r="E3" s="194">
        <v>5000</v>
      </c>
      <c r="F3" s="173" t="s">
        <v>165</v>
      </c>
      <c r="G3" s="145"/>
      <c r="H3" s="145"/>
      <c r="I3" s="145"/>
      <c r="J3" s="145"/>
      <c r="K3" s="145"/>
      <c r="L3" s="145"/>
    </row>
    <row r="4" spans="1:12" ht="17.25" customHeight="1" x14ac:dyDescent="0.2">
      <c r="A4" s="145"/>
      <c r="B4" s="171" t="s">
        <v>66</v>
      </c>
      <c r="C4" s="172"/>
      <c r="D4" s="172"/>
      <c r="E4" s="195">
        <v>4</v>
      </c>
      <c r="F4" s="172" t="s">
        <v>67</v>
      </c>
      <c r="G4" s="145"/>
      <c r="H4" s="145"/>
      <c r="I4" s="145"/>
      <c r="J4" s="145"/>
      <c r="K4" s="145"/>
      <c r="L4" s="145"/>
    </row>
    <row r="5" spans="1:12" ht="17.25" customHeight="1" x14ac:dyDescent="0.2">
      <c r="A5" s="145"/>
      <c r="B5" s="171" t="s">
        <v>69</v>
      </c>
      <c r="C5" s="172"/>
      <c r="D5" s="172"/>
      <c r="E5" s="172"/>
      <c r="F5" s="172"/>
      <c r="G5" s="145"/>
      <c r="H5" s="145"/>
      <c r="I5" s="145"/>
      <c r="J5" s="145"/>
      <c r="K5" s="145"/>
      <c r="L5" s="145"/>
    </row>
    <row r="6" spans="1:12" ht="17.25" customHeight="1" x14ac:dyDescent="0.2">
      <c r="A6" s="145"/>
      <c r="B6" s="171" t="s">
        <v>70</v>
      </c>
      <c r="C6" s="172"/>
      <c r="D6" s="172"/>
      <c r="E6" s="174"/>
      <c r="F6" s="172"/>
      <c r="G6" s="145"/>
      <c r="H6" s="145"/>
      <c r="I6" s="145"/>
      <c r="J6" s="145"/>
      <c r="K6" s="145"/>
      <c r="L6" s="145"/>
    </row>
    <row r="7" spans="1:12" ht="17.25" customHeight="1" x14ac:dyDescent="0.2">
      <c r="A7" s="145"/>
      <c r="B7" s="171"/>
      <c r="C7" s="172"/>
      <c r="D7" s="172"/>
      <c r="E7" s="174"/>
      <c r="F7" s="172"/>
      <c r="G7" s="145"/>
      <c r="H7" s="145"/>
      <c r="I7" s="145"/>
      <c r="J7" s="145"/>
      <c r="K7" s="145"/>
      <c r="L7" s="145"/>
    </row>
    <row r="8" spans="1:12" ht="37.5" customHeight="1" x14ac:dyDescent="0.2">
      <c r="A8" s="145"/>
      <c r="B8" s="175"/>
      <c r="C8" s="176" t="s">
        <v>6</v>
      </c>
      <c r="D8" s="176" t="s">
        <v>7</v>
      </c>
      <c r="E8" s="176" t="s">
        <v>102</v>
      </c>
      <c r="F8" s="176" t="s">
        <v>101</v>
      </c>
      <c r="G8" s="145"/>
      <c r="H8" s="145"/>
      <c r="I8" s="145"/>
      <c r="J8" s="145"/>
      <c r="K8" s="145"/>
      <c r="L8" s="145"/>
    </row>
    <row r="9" spans="1:12" ht="17.25" customHeight="1" x14ac:dyDescent="0.2">
      <c r="A9" s="145"/>
      <c r="B9" s="177" t="s">
        <v>9</v>
      </c>
      <c r="C9" s="178">
        <f>+E3</f>
        <v>5000</v>
      </c>
      <c r="D9" s="179">
        <v>0</v>
      </c>
      <c r="E9" s="178"/>
      <c r="F9" s="178">
        <f>+E9+D9</f>
        <v>0</v>
      </c>
      <c r="G9" s="145"/>
      <c r="H9" s="145"/>
      <c r="I9" s="145"/>
      <c r="J9" s="145"/>
      <c r="K9" s="145"/>
      <c r="L9" s="145"/>
    </row>
    <row r="10" spans="1:12" ht="17.25" customHeight="1" x14ac:dyDescent="0.2">
      <c r="A10" s="145"/>
      <c r="B10" s="178" t="s">
        <v>10</v>
      </c>
      <c r="C10" s="179">
        <f>+C9-E9</f>
        <v>5000</v>
      </c>
      <c r="D10" s="179">
        <v>0</v>
      </c>
      <c r="E10" s="178">
        <f>+E3/E4</f>
        <v>1250</v>
      </c>
      <c r="F10" s="178">
        <f>+E10+D10</f>
        <v>1250</v>
      </c>
      <c r="G10" s="145"/>
      <c r="H10" s="145"/>
      <c r="I10" s="145"/>
      <c r="J10" s="145"/>
      <c r="K10" s="145"/>
      <c r="L10" s="145"/>
    </row>
    <row r="11" spans="1:12" ht="17.25" customHeight="1" x14ac:dyDescent="0.2">
      <c r="A11" s="145"/>
      <c r="B11" s="178" t="s">
        <v>11</v>
      </c>
      <c r="C11" s="179">
        <f>+C10-E10</f>
        <v>3750</v>
      </c>
      <c r="D11" s="179">
        <v>0</v>
      </c>
      <c r="E11" s="178">
        <f>+E10</f>
        <v>1250</v>
      </c>
      <c r="F11" s="178">
        <f>+F10</f>
        <v>1250</v>
      </c>
      <c r="G11" s="145"/>
      <c r="H11" s="145"/>
      <c r="I11" s="145"/>
      <c r="J11" s="145"/>
      <c r="K11" s="145"/>
      <c r="L11" s="145"/>
    </row>
    <row r="12" spans="1:12" ht="17.25" customHeight="1" x14ac:dyDescent="0.2">
      <c r="A12" s="145"/>
      <c r="B12" s="178" t="s">
        <v>12</v>
      </c>
      <c r="C12" s="179">
        <f>+C11-E11</f>
        <v>2500</v>
      </c>
      <c r="D12" s="179">
        <v>0</v>
      </c>
      <c r="E12" s="178">
        <f>+E11</f>
        <v>1250</v>
      </c>
      <c r="F12" s="178">
        <f>+E12+D12</f>
        <v>1250</v>
      </c>
      <c r="G12" s="145"/>
      <c r="H12" s="145"/>
      <c r="I12" s="145"/>
      <c r="J12" s="145"/>
      <c r="K12" s="145"/>
      <c r="L12" s="145"/>
    </row>
    <row r="13" spans="1:12" ht="17.25" customHeight="1" x14ac:dyDescent="0.2">
      <c r="A13" s="145"/>
      <c r="B13" s="178" t="s">
        <v>13</v>
      </c>
      <c r="C13" s="179">
        <f>+C12-E12</f>
        <v>1250</v>
      </c>
      <c r="D13" s="179">
        <v>0</v>
      </c>
      <c r="E13" s="178">
        <f>+E9*3</f>
        <v>0</v>
      </c>
      <c r="F13" s="178">
        <f>+E13+D13</f>
        <v>0</v>
      </c>
      <c r="G13" s="145"/>
      <c r="H13" s="145"/>
      <c r="I13" s="145"/>
      <c r="J13" s="145"/>
      <c r="K13" s="145"/>
      <c r="L13" s="145"/>
    </row>
    <row r="14" spans="1:12" ht="17.25" customHeight="1" x14ac:dyDescent="0.2">
      <c r="A14" s="145"/>
      <c r="B14" s="145"/>
      <c r="C14" s="168"/>
      <c r="D14" s="180" t="s">
        <v>71</v>
      </c>
      <c r="E14" s="181">
        <f>SUM(E9:E13)</f>
        <v>3750</v>
      </c>
      <c r="F14" s="145"/>
      <c r="G14" s="145"/>
      <c r="H14" s="145"/>
      <c r="I14" s="145"/>
      <c r="J14" s="145"/>
      <c r="K14" s="145"/>
      <c r="L14" s="145"/>
    </row>
    <row r="15" spans="1:12" ht="32.25" customHeight="1" x14ac:dyDescent="0.2">
      <c r="A15" s="145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</row>
    <row r="16" spans="1:12" ht="17.25" customHeight="1" x14ac:dyDescent="0.3">
      <c r="A16" s="145"/>
      <c r="B16" s="169" t="s">
        <v>33</v>
      </c>
      <c r="C16" s="170"/>
      <c r="D16" s="170"/>
      <c r="E16" s="170"/>
      <c r="F16" s="170"/>
      <c r="G16" s="145"/>
      <c r="H16" s="145"/>
      <c r="I16" s="145"/>
      <c r="J16" s="145"/>
      <c r="K16" s="145"/>
      <c r="L16" s="145"/>
    </row>
    <row r="17" spans="1:12" ht="17.25" customHeight="1" x14ac:dyDescent="0.2">
      <c r="A17" s="145"/>
      <c r="B17" s="171" t="s">
        <v>98</v>
      </c>
      <c r="C17" s="172"/>
      <c r="D17" s="172"/>
      <c r="E17" s="196"/>
      <c r="F17" s="173" t="s">
        <v>165</v>
      </c>
      <c r="G17" s="145"/>
      <c r="H17" s="145"/>
      <c r="I17" s="145"/>
      <c r="J17" s="145"/>
      <c r="K17" s="145"/>
      <c r="L17" s="145"/>
    </row>
    <row r="18" spans="1:12" ht="17.25" customHeight="1" x14ac:dyDescent="0.2">
      <c r="A18" s="145"/>
      <c r="B18" s="171" t="s">
        <v>99</v>
      </c>
      <c r="C18" s="172"/>
      <c r="D18" s="172"/>
      <c r="E18" s="182">
        <v>5</v>
      </c>
      <c r="F18" s="172" t="s">
        <v>67</v>
      </c>
      <c r="G18" s="145"/>
      <c r="H18" s="145"/>
      <c r="I18" s="145"/>
      <c r="J18" s="145"/>
      <c r="K18" s="145"/>
      <c r="L18" s="145"/>
    </row>
    <row r="19" spans="1:12" x14ac:dyDescent="0.2">
      <c r="A19" s="145"/>
      <c r="B19" s="171" t="s">
        <v>97</v>
      </c>
      <c r="C19" s="172"/>
      <c r="D19" s="172"/>
      <c r="E19" s="172"/>
      <c r="F19" s="172"/>
      <c r="G19" s="145"/>
      <c r="H19" s="145"/>
      <c r="I19" s="145"/>
      <c r="J19" s="145"/>
      <c r="K19" s="145"/>
      <c r="L19" s="145"/>
    </row>
    <row r="20" spans="1:12" ht="17.25" customHeight="1" x14ac:dyDescent="0.2">
      <c r="A20" s="145"/>
      <c r="B20" s="171" t="s">
        <v>100</v>
      </c>
      <c r="C20" s="172"/>
      <c r="D20" s="172"/>
      <c r="E20" s="183">
        <v>0.05</v>
      </c>
      <c r="F20" s="184" t="s">
        <v>150</v>
      </c>
      <c r="G20" s="145"/>
      <c r="H20" s="145"/>
      <c r="I20" s="145"/>
      <c r="J20" s="145"/>
      <c r="K20" s="145"/>
      <c r="L20" s="145"/>
    </row>
    <row r="21" spans="1:12" ht="51" x14ac:dyDescent="0.2">
      <c r="A21" s="145"/>
      <c r="B21" s="175"/>
      <c r="C21" s="176" t="s">
        <v>103</v>
      </c>
      <c r="D21" s="176" t="s">
        <v>7</v>
      </c>
      <c r="E21" s="176" t="s">
        <v>104</v>
      </c>
      <c r="F21" s="176" t="s">
        <v>101</v>
      </c>
      <c r="G21" s="145"/>
      <c r="H21" s="145"/>
      <c r="I21" s="145"/>
      <c r="J21" s="145"/>
      <c r="K21" s="145"/>
      <c r="L21" s="145"/>
    </row>
    <row r="22" spans="1:12" ht="17.25" customHeight="1" x14ac:dyDescent="0.2">
      <c r="A22" s="145"/>
      <c r="B22" s="177" t="s">
        <v>9</v>
      </c>
      <c r="C22" s="178">
        <f>+E17</f>
        <v>0</v>
      </c>
      <c r="D22" s="179">
        <f>+C22*$E$20</f>
        <v>0</v>
      </c>
      <c r="E22" s="178">
        <f>+F22-D22</f>
        <v>0</v>
      </c>
      <c r="F22" s="178">
        <f>+F30</f>
        <v>0</v>
      </c>
      <c r="G22" s="145"/>
      <c r="H22" s="145"/>
      <c r="I22" s="145"/>
      <c r="J22" s="145"/>
      <c r="K22" s="145"/>
      <c r="L22" s="145"/>
    </row>
    <row r="23" spans="1:12" ht="17.25" customHeight="1" x14ac:dyDescent="0.2">
      <c r="A23" s="145"/>
      <c r="B23" s="178" t="s">
        <v>10</v>
      </c>
      <c r="C23" s="179">
        <f>+C22-E22</f>
        <v>0</v>
      </c>
      <c r="D23" s="179">
        <f>+C23*$E$20</f>
        <v>0</v>
      </c>
      <c r="E23" s="178">
        <f>+F23-D23</f>
        <v>0</v>
      </c>
      <c r="F23" s="178">
        <f>+F22</f>
        <v>0</v>
      </c>
      <c r="G23" s="145"/>
      <c r="H23" s="145"/>
      <c r="I23" s="145"/>
      <c r="J23" s="145"/>
      <c r="K23" s="145"/>
      <c r="L23" s="145"/>
    </row>
    <row r="24" spans="1:12" ht="17.25" customHeight="1" x14ac:dyDescent="0.2">
      <c r="A24" s="145"/>
      <c r="B24" s="178" t="s">
        <v>11</v>
      </c>
      <c r="C24" s="179">
        <f>+C23-E23</f>
        <v>0</v>
      </c>
      <c r="D24" s="179">
        <f>+C24*$E$20</f>
        <v>0</v>
      </c>
      <c r="E24" s="178">
        <f>+F24-D24</f>
        <v>0</v>
      </c>
      <c r="F24" s="178">
        <f>+F23</f>
        <v>0</v>
      </c>
      <c r="G24" s="145"/>
      <c r="H24" s="145"/>
      <c r="I24" s="145"/>
      <c r="J24" s="145"/>
      <c r="K24" s="145"/>
      <c r="L24" s="145"/>
    </row>
    <row r="25" spans="1:12" ht="17.25" customHeight="1" x14ac:dyDescent="0.2">
      <c r="A25" s="145"/>
      <c r="B25" s="178" t="s">
        <v>12</v>
      </c>
      <c r="C25" s="179">
        <f>+C24-E24</f>
        <v>0</v>
      </c>
      <c r="D25" s="179">
        <f>+C25*$E$20</f>
        <v>0</v>
      </c>
      <c r="E25" s="178">
        <f>+F25-D25</f>
        <v>0</v>
      </c>
      <c r="F25" s="178">
        <f>+F24</f>
        <v>0</v>
      </c>
      <c r="G25" s="145"/>
      <c r="H25" s="145"/>
      <c r="I25" s="145"/>
      <c r="J25" s="145"/>
      <c r="K25" s="145"/>
      <c r="L25" s="145"/>
    </row>
    <row r="26" spans="1:12" ht="15.75" customHeight="1" x14ac:dyDescent="0.2">
      <c r="A26" s="145"/>
      <c r="B26" s="145"/>
      <c r="C26" s="168"/>
      <c r="D26" s="180"/>
      <c r="E26" s="181"/>
      <c r="F26" s="145"/>
      <c r="G26" s="145"/>
      <c r="H26" s="145"/>
      <c r="I26" s="145"/>
      <c r="J26" s="145"/>
      <c r="K26" s="145"/>
      <c r="L26" s="145"/>
    </row>
    <row r="27" spans="1:12" ht="24" customHeight="1" x14ac:dyDescent="0.2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  <row r="28" spans="1:12" ht="13.5" customHeight="1" x14ac:dyDescent="0.2">
      <c r="A28" s="145"/>
      <c r="B28" s="185" t="s">
        <v>91</v>
      </c>
      <c r="C28" s="186"/>
      <c r="D28" s="186"/>
      <c r="E28" s="186"/>
      <c r="F28" s="186"/>
      <c r="G28" s="145"/>
      <c r="H28" s="145"/>
      <c r="I28" s="145"/>
      <c r="J28" s="145"/>
      <c r="K28" s="145"/>
      <c r="L28" s="145"/>
    </row>
    <row r="29" spans="1:12" s="3" customFormat="1" ht="13.5" customHeight="1" x14ac:dyDescent="0.2">
      <c r="A29" s="187"/>
      <c r="B29" s="188" t="s">
        <v>92</v>
      </c>
      <c r="C29" s="188" t="s">
        <v>93</v>
      </c>
      <c r="D29" s="188" t="s">
        <v>94</v>
      </c>
      <c r="E29" s="188" t="s">
        <v>95</v>
      </c>
      <c r="F29" s="188" t="s">
        <v>14</v>
      </c>
      <c r="G29" s="187"/>
      <c r="H29" s="187"/>
      <c r="I29" s="187"/>
      <c r="J29" s="187"/>
      <c r="K29" s="187"/>
      <c r="L29" s="187"/>
    </row>
    <row r="30" spans="1:12" s="3" customFormat="1" ht="13.5" customHeight="1" x14ac:dyDescent="0.2">
      <c r="A30" s="187"/>
      <c r="B30" s="189">
        <f>+E20</f>
        <v>0.05</v>
      </c>
      <c r="C30" s="190">
        <f>+E18</f>
        <v>5</v>
      </c>
      <c r="D30" s="190">
        <f>+E17</f>
        <v>0</v>
      </c>
      <c r="E30" s="191">
        <f>POWER(B30+1,-C30)</f>
        <v>0.78352616646845896</v>
      </c>
      <c r="F30" s="190">
        <f>+D30*B30/(1-E30)</f>
        <v>0</v>
      </c>
      <c r="G30" s="187"/>
      <c r="H30" s="187"/>
      <c r="I30" s="187"/>
      <c r="J30" s="187"/>
      <c r="K30" s="187"/>
      <c r="L30" s="187"/>
    </row>
    <row r="31" spans="1:12" ht="17.25" customHeight="1" x14ac:dyDescent="0.2">
      <c r="A31" s="145"/>
      <c r="B31" s="192" t="s">
        <v>96</v>
      </c>
      <c r="C31" s="186"/>
      <c r="D31" s="186"/>
      <c r="E31" s="186"/>
      <c r="F31" s="186"/>
      <c r="G31" s="145"/>
      <c r="H31" s="145"/>
      <c r="I31" s="145"/>
      <c r="J31" s="145"/>
      <c r="K31" s="145"/>
      <c r="L31" s="145"/>
    </row>
    <row r="32" spans="1:12" ht="11.25" customHeight="1" x14ac:dyDescent="0.2">
      <c r="A32" s="145"/>
      <c r="B32" s="193"/>
      <c r="C32" s="168"/>
      <c r="D32" s="145"/>
      <c r="E32" s="145"/>
      <c r="F32" s="145"/>
      <c r="G32" s="145"/>
      <c r="H32" s="145"/>
      <c r="I32" s="145"/>
      <c r="J32" s="145"/>
      <c r="K32" s="145"/>
      <c r="L32" s="145"/>
    </row>
    <row r="33" spans="2:4" ht="11.25" customHeight="1" x14ac:dyDescent="0.2">
      <c r="B33" s="40"/>
      <c r="D33" s="1"/>
    </row>
    <row r="34" spans="2:4" ht="11.25" customHeight="1" x14ac:dyDescent="0.2">
      <c r="B34" s="40"/>
      <c r="D34" s="1"/>
    </row>
  </sheetData>
  <sheetProtection sheet="1" objects="1" scenarios="1"/>
  <phoneticPr fontId="0" type="noConversion"/>
  <printOptions horizontalCentered="1"/>
  <pageMargins left="0.23622047244094491" right="0.15748031496062992" top="1.1417322834645669" bottom="0.35433070866141736" header="0.6692913385826772" footer="0.11811023622047245"/>
  <pageSetup paperSize="9" orientation="portrait" horizontalDpi="4294967295" r:id="rId1"/>
  <headerFooter alignWithMargins="0">
    <oddHeader>&amp;C&amp;14Remboursement des emprunts</oddHeader>
    <oddFooter>&amp;LNC, le &amp;D, page 6/9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>
      <selection activeCell="B23" sqref="B23"/>
    </sheetView>
  </sheetViews>
  <sheetFormatPr baseColWidth="10" defaultRowHeight="12.75" x14ac:dyDescent="0.2"/>
  <cols>
    <col min="1" max="1" width="52.28515625" bestFit="1" customWidth="1"/>
    <col min="2" max="2" width="9.85546875" customWidth="1"/>
    <col min="3" max="3" width="9.28515625" hidden="1" customWidth="1"/>
    <col min="4" max="5" width="7.5703125" hidden="1" customWidth="1"/>
    <col min="6" max="6" width="20.28515625" customWidth="1"/>
    <col min="7" max="7" width="11" customWidth="1"/>
    <col min="8" max="8" width="21.5703125" customWidth="1"/>
    <col min="9" max="9" width="8.7109375" customWidth="1"/>
    <col min="10" max="10" width="21" customWidth="1"/>
    <col min="11" max="11" width="14" customWidth="1"/>
  </cols>
  <sheetData>
    <row r="1" spans="1:5" ht="19.5" thickTop="1" thickBot="1" x14ac:dyDescent="0.3">
      <c r="A1" s="236" t="s">
        <v>138</v>
      </c>
      <c r="B1" s="237"/>
      <c r="C1" s="237"/>
      <c r="D1" s="237"/>
      <c r="E1" s="238"/>
    </row>
    <row r="2" spans="1:5" ht="6" customHeight="1" thickTop="1" x14ac:dyDescent="0.2">
      <c r="A2" s="19"/>
      <c r="B2" s="19"/>
      <c r="C2" s="41"/>
      <c r="D2" s="41"/>
      <c r="E2" s="41"/>
    </row>
    <row r="3" spans="1:5" ht="18" customHeight="1" thickBot="1" x14ac:dyDescent="0.25"/>
    <row r="4" spans="1:5" s="62" customFormat="1" ht="26.25" thickBot="1" x14ac:dyDescent="0.25">
      <c r="A4" s="70"/>
      <c r="B4" s="72" t="s">
        <v>29</v>
      </c>
      <c r="C4" s="72" t="s">
        <v>29</v>
      </c>
      <c r="D4" s="72" t="s">
        <v>30</v>
      </c>
      <c r="E4" s="72" t="s">
        <v>31</v>
      </c>
    </row>
    <row r="5" spans="1:5" ht="16.5" thickBot="1" x14ac:dyDescent="0.25">
      <c r="A5" s="71" t="s">
        <v>56</v>
      </c>
      <c r="B5" s="73"/>
      <c r="C5" s="73"/>
      <c r="D5" s="73"/>
      <c r="E5" s="74"/>
    </row>
    <row r="6" spans="1:5" ht="8.25" customHeight="1" x14ac:dyDescent="0.2">
      <c r="A6" s="90"/>
      <c r="B6" s="63"/>
      <c r="C6" s="91"/>
      <c r="D6" s="91"/>
      <c r="E6" s="92"/>
    </row>
    <row r="7" spans="1:5" ht="11.25" customHeight="1" x14ac:dyDescent="0.2">
      <c r="A7" s="93" t="s">
        <v>86</v>
      </c>
      <c r="B7" s="66"/>
      <c r="C7" s="42"/>
      <c r="D7" s="42"/>
      <c r="E7" s="94"/>
    </row>
    <row r="8" spans="1:5" ht="11.25" customHeight="1" x14ac:dyDescent="0.2">
      <c r="A8" s="142" t="s">
        <v>163</v>
      </c>
      <c r="B8" s="69">
        <f>SUM(Investissements!D12)</f>
        <v>4000</v>
      </c>
      <c r="C8" s="69"/>
      <c r="D8" s="69"/>
      <c r="E8" s="69"/>
    </row>
    <row r="9" spans="1:5" ht="11.25" customHeight="1" x14ac:dyDescent="0.2">
      <c r="A9" s="95" t="s">
        <v>59</v>
      </c>
      <c r="B9" s="69">
        <f>SUM(Investissements!D26)</f>
        <v>0</v>
      </c>
      <c r="C9" s="69"/>
      <c r="D9" s="69"/>
      <c r="E9" s="69"/>
    </row>
    <row r="10" spans="1:5" ht="11.25" customHeight="1" x14ac:dyDescent="0.2">
      <c r="A10" s="95" t="s">
        <v>60</v>
      </c>
      <c r="B10" s="69">
        <f>+Investissements!D31</f>
        <v>0</v>
      </c>
      <c r="C10" s="69"/>
      <c r="D10" s="69"/>
      <c r="E10" s="69"/>
    </row>
    <row r="11" spans="1:5" ht="11.25" customHeight="1" x14ac:dyDescent="0.2">
      <c r="A11" s="96"/>
      <c r="B11" s="69"/>
      <c r="C11" s="69"/>
      <c r="D11" s="69"/>
      <c r="E11" s="69"/>
    </row>
    <row r="12" spans="1:5" ht="6" customHeight="1" x14ac:dyDescent="0.2">
      <c r="A12" s="97"/>
      <c r="B12" s="69"/>
      <c r="C12" s="69"/>
      <c r="D12" s="69"/>
      <c r="E12" s="69"/>
    </row>
    <row r="13" spans="1:5" x14ac:dyDescent="0.2">
      <c r="A13" s="93" t="s">
        <v>139</v>
      </c>
      <c r="B13" s="198">
        <v>7500</v>
      </c>
      <c r="C13" s="197"/>
      <c r="D13" s="69"/>
      <c r="E13" s="69"/>
    </row>
    <row r="14" spans="1:5" ht="14.25" customHeight="1" x14ac:dyDescent="0.2">
      <c r="A14" s="93"/>
      <c r="B14" s="69"/>
      <c r="C14" s="69" t="e">
        <f>+#REF!</f>
        <v>#REF!</v>
      </c>
      <c r="D14" s="69" t="e">
        <f>+#REF!</f>
        <v>#REF!</v>
      </c>
      <c r="E14" s="69" t="e">
        <f>+#REF!</f>
        <v>#REF!</v>
      </c>
    </row>
    <row r="15" spans="1:5" ht="4.5" customHeight="1" thickBot="1" x14ac:dyDescent="0.25">
      <c r="A15" s="95"/>
      <c r="B15" s="65"/>
      <c r="C15" s="42"/>
      <c r="D15" s="42"/>
      <c r="E15" s="94"/>
    </row>
    <row r="16" spans="1:5" ht="8.25" customHeight="1" x14ac:dyDescent="0.2">
      <c r="A16" s="239" t="s">
        <v>34</v>
      </c>
      <c r="B16" s="241">
        <f>SUM(B6:B15)</f>
        <v>11500</v>
      </c>
      <c r="C16" s="241" t="e">
        <f>SUM(C6:C15)</f>
        <v>#REF!</v>
      </c>
      <c r="D16" s="241" t="e">
        <f>SUM(D6:D15)</f>
        <v>#REF!</v>
      </c>
      <c r="E16" s="241" t="e">
        <f>SUM(E6:E15)</f>
        <v>#REF!</v>
      </c>
    </row>
    <row r="17" spans="1:7" ht="8.25" customHeight="1" thickBot="1" x14ac:dyDescent="0.25">
      <c r="A17" s="240"/>
      <c r="B17" s="242"/>
      <c r="C17" s="242"/>
      <c r="D17" s="242"/>
      <c r="E17" s="242"/>
    </row>
    <row r="18" spans="1:7" x14ac:dyDescent="0.2">
      <c r="A18" s="243" t="s">
        <v>32</v>
      </c>
      <c r="B18" s="245"/>
      <c r="C18" s="245"/>
      <c r="D18" s="245"/>
      <c r="E18" s="247"/>
    </row>
    <row r="19" spans="1:7" ht="7.5" customHeight="1" thickBot="1" x14ac:dyDescent="0.25">
      <c r="A19" s="244"/>
      <c r="B19" s="246"/>
      <c r="C19" s="246"/>
      <c r="D19" s="246"/>
      <c r="E19" s="248"/>
    </row>
    <row r="20" spans="1:7" ht="8.25" customHeight="1" x14ac:dyDescent="0.2">
      <c r="A20" s="93"/>
      <c r="B20" s="63"/>
      <c r="C20" s="42"/>
      <c r="D20" s="42"/>
      <c r="E20" s="94"/>
    </row>
    <row r="21" spans="1:7" ht="12.75" customHeight="1" x14ac:dyDescent="0.2">
      <c r="A21" s="93" t="s">
        <v>35</v>
      </c>
      <c r="B21" s="64"/>
      <c r="C21" s="42"/>
      <c r="D21" s="42"/>
      <c r="E21" s="42"/>
    </row>
    <row r="22" spans="1:7" x14ac:dyDescent="0.2">
      <c r="A22" s="98" t="s">
        <v>63</v>
      </c>
      <c r="B22" s="216">
        <v>10000</v>
      </c>
      <c r="C22" s="42"/>
      <c r="D22" s="42"/>
      <c r="E22" s="42"/>
    </row>
    <row r="23" spans="1:7" x14ac:dyDescent="0.2">
      <c r="A23" s="98" t="s">
        <v>64</v>
      </c>
      <c r="B23" s="69"/>
      <c r="C23" s="69"/>
      <c r="D23" s="69"/>
      <c r="E23" s="42"/>
    </row>
    <row r="24" spans="1:7" x14ac:dyDescent="0.2">
      <c r="A24" s="98"/>
      <c r="B24" s="69"/>
      <c r="C24" s="69"/>
      <c r="D24" s="69"/>
      <c r="E24" s="42"/>
    </row>
    <row r="25" spans="1:7" ht="8.25" customHeight="1" x14ac:dyDescent="0.2">
      <c r="A25" s="93"/>
      <c r="B25" s="69"/>
      <c r="C25" s="69"/>
      <c r="D25" s="69"/>
      <c r="E25" s="69"/>
    </row>
    <row r="26" spans="1:7" ht="15" x14ac:dyDescent="0.25">
      <c r="A26" s="93" t="s">
        <v>65</v>
      </c>
      <c r="B26" s="69"/>
      <c r="C26" s="69"/>
      <c r="D26" s="69"/>
      <c r="E26" s="69"/>
      <c r="G26" s="134"/>
    </row>
    <row r="27" spans="1:7" ht="15" x14ac:dyDescent="0.25">
      <c r="A27" s="98" t="s">
        <v>61</v>
      </c>
      <c r="B27" s="69">
        <v>7000</v>
      </c>
      <c r="C27" s="69"/>
      <c r="D27" s="69"/>
      <c r="E27" s="69"/>
      <c r="G27" s="134"/>
    </row>
    <row r="28" spans="1:7" x14ac:dyDescent="0.2">
      <c r="A28" s="98" t="s">
        <v>62</v>
      </c>
      <c r="B28" s="69">
        <v>0</v>
      </c>
      <c r="C28" s="69"/>
      <c r="D28" s="69"/>
      <c r="E28" s="69"/>
    </row>
    <row r="29" spans="1:7" x14ac:dyDescent="0.2">
      <c r="A29" s="98"/>
      <c r="B29" s="69"/>
      <c r="C29" s="69"/>
      <c r="D29" s="69"/>
      <c r="E29" s="69"/>
    </row>
    <row r="30" spans="1:7" x14ac:dyDescent="0.2">
      <c r="A30" s="99"/>
      <c r="B30" s="69"/>
      <c r="C30" s="69"/>
      <c r="D30" s="69"/>
      <c r="E30" s="69"/>
    </row>
    <row r="31" spans="1:7" ht="13.5" thickBot="1" x14ac:dyDescent="0.25">
      <c r="A31" s="93"/>
      <c r="B31" s="64"/>
      <c r="C31" s="42"/>
      <c r="D31" s="42"/>
      <c r="E31" s="69"/>
    </row>
    <row r="32" spans="1:7" ht="12" customHeight="1" x14ac:dyDescent="0.2">
      <c r="A32" s="239" t="s">
        <v>36</v>
      </c>
      <c r="B32" s="241">
        <f>SUM(B20:B31)</f>
        <v>17000</v>
      </c>
      <c r="C32" s="241">
        <f>SUM(C20:C31)</f>
        <v>0</v>
      </c>
      <c r="D32" s="241">
        <f>SUM(D20:D31)</f>
        <v>0</v>
      </c>
      <c r="E32" s="241">
        <f>SUM(E20:E31)</f>
        <v>0</v>
      </c>
    </row>
    <row r="33" spans="1:5" ht="13.5" thickBot="1" x14ac:dyDescent="0.25">
      <c r="A33" s="244"/>
      <c r="B33" s="242"/>
      <c r="C33" s="242"/>
      <c r="D33" s="242"/>
      <c r="E33" s="242"/>
    </row>
    <row r="34" spans="1:5" ht="7.5" customHeight="1" thickBot="1" x14ac:dyDescent="0.25">
      <c r="A34" s="199"/>
      <c r="B34" s="200"/>
      <c r="C34" s="43"/>
      <c r="D34" s="44"/>
      <c r="E34" s="100"/>
    </row>
    <row r="35" spans="1:5" ht="16.5" thickBot="1" x14ac:dyDescent="0.3">
      <c r="A35" s="101" t="s">
        <v>37</v>
      </c>
      <c r="B35" s="102">
        <f>+B32-B16</f>
        <v>5500</v>
      </c>
      <c r="C35" s="102" t="e">
        <f>C32-C16</f>
        <v>#REF!</v>
      </c>
      <c r="D35" s="102" t="e">
        <f>D32-D16</f>
        <v>#REF!</v>
      </c>
      <c r="E35" s="102" t="e">
        <f>E32-E16</f>
        <v>#REF!</v>
      </c>
    </row>
    <row r="36" spans="1:5" ht="14.25" customHeight="1" thickBot="1" x14ac:dyDescent="0.25">
      <c r="C36" s="89"/>
    </row>
    <row r="37" spans="1:5" ht="14.25" customHeight="1" x14ac:dyDescent="0.2"/>
    <row r="38" spans="1:5" ht="18" customHeight="1" x14ac:dyDescent="0.2"/>
    <row r="44" spans="1:5" ht="24" customHeight="1" x14ac:dyDescent="0.2"/>
    <row r="45" spans="1:5" ht="18.75" customHeight="1" x14ac:dyDescent="0.2"/>
    <row r="46" spans="1:5" ht="18.75" customHeight="1" x14ac:dyDescent="0.2"/>
    <row r="47" spans="1:5" ht="18.75" customHeight="1" x14ac:dyDescent="0.2"/>
    <row r="48" spans="1:5" ht="21.75" customHeight="1" x14ac:dyDescent="0.2"/>
  </sheetData>
  <mergeCells count="16">
    <mergeCell ref="A32:A33"/>
    <mergeCell ref="C32:C33"/>
    <mergeCell ref="D32:D33"/>
    <mergeCell ref="E32:E33"/>
    <mergeCell ref="B32:B33"/>
    <mergeCell ref="A18:A19"/>
    <mergeCell ref="C18:C19"/>
    <mergeCell ref="D18:D19"/>
    <mergeCell ref="E18:E19"/>
    <mergeCell ref="B18:B19"/>
    <mergeCell ref="A1:E1"/>
    <mergeCell ref="A16:A17"/>
    <mergeCell ref="C16:C17"/>
    <mergeCell ref="D16:D17"/>
    <mergeCell ref="E16:E17"/>
    <mergeCell ref="B16:B17"/>
  </mergeCells>
  <phoneticPr fontId="0" type="noConversion"/>
  <printOptions horizontalCentered="1" verticalCentered="1"/>
  <pageMargins left="0.27559055118110237" right="0.11811023622047245" top="0.62992125984251968" bottom="0.6" header="0.15748031496062992" footer="0.27"/>
  <pageSetup paperSize="9" orientation="portrait" horizontalDpi="4294967293" r:id="rId1"/>
  <headerFooter alignWithMargins="0">
    <oddFooter>&amp;LNC, le &amp;D, page 7/9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CR ANNEE 1</vt:lpstr>
      <vt:lpstr>CR ANNEE 2</vt:lpstr>
      <vt:lpstr>CR ANNEE 3</vt:lpstr>
      <vt:lpstr>CR SYNTHESE SUR 3 ANS</vt:lpstr>
      <vt:lpstr>besoin tréso exploit°</vt:lpstr>
      <vt:lpstr>Investissements</vt:lpstr>
      <vt:lpstr>Emprunts</vt:lpstr>
      <vt:lpstr>PLAN FIN 1ERE ANNEE</vt:lpstr>
      <vt:lpstr>'CR SYNTHESE SUR 3 ANS'!Zone_d_impression</vt:lpstr>
      <vt:lpstr>Investissements!Zone_d_impression</vt:lpstr>
      <vt:lpstr>'PLAN FIN 1ERE ANNEE'!Zone_d_impression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master</dc:title>
  <dc:creator>Olivier Fortin</dc:creator>
  <cp:lastModifiedBy>Phil</cp:lastModifiedBy>
  <cp:lastPrinted>2010-03-16T22:06:30Z</cp:lastPrinted>
  <dcterms:created xsi:type="dcterms:W3CDTF">2007-04-05T11:11:55Z</dcterms:created>
  <dcterms:modified xsi:type="dcterms:W3CDTF">2016-05-11T12:41:11Z</dcterms:modified>
</cp:coreProperties>
</file>