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30" yWindow="-90" windowWidth="7260" windowHeight="7365" activeTab="2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  <externalReference r:id="rId10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M4" i="20" l="1"/>
  <c r="L4" i="20"/>
  <c r="K4" i="20"/>
  <c r="I4" i="20"/>
  <c r="H4" i="20"/>
  <c r="G4" i="20"/>
  <c r="F4" i="20"/>
  <c r="E4" i="20"/>
  <c r="D4" i="20"/>
  <c r="C4" i="20"/>
  <c r="J4" i="20" l="1"/>
  <c r="N39" i="20" l="1"/>
  <c r="N43" i="20"/>
  <c r="N42" i="20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M28" i="20"/>
  <c r="L28" i="20"/>
  <c r="K28" i="20"/>
  <c r="J28" i="20"/>
  <c r="I28" i="20"/>
  <c r="H28" i="20"/>
  <c r="G28" i="20"/>
  <c r="F28" i="20"/>
  <c r="E28" i="20"/>
  <c r="D28" i="20"/>
  <c r="C28" i="20"/>
  <c r="B28" i="20"/>
  <c r="M22" i="20"/>
  <c r="L22" i="20"/>
  <c r="K22" i="20"/>
  <c r="J22" i="20"/>
  <c r="I22" i="20"/>
  <c r="H22" i="20"/>
  <c r="G22" i="20"/>
  <c r="F22" i="20"/>
  <c r="F23" i="20" s="1"/>
  <c r="E22" i="20"/>
  <c r="D22" i="20"/>
  <c r="D23" i="20" s="1"/>
  <c r="C22" i="20"/>
  <c r="B22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D24" i="20" l="1"/>
  <c r="B23" i="20"/>
  <c r="B24" i="20" s="1"/>
  <c r="J23" i="20"/>
  <c r="J24" i="20" s="1"/>
  <c r="F24" i="20"/>
  <c r="H23" i="20"/>
  <c r="H24" i="20" s="1"/>
  <c r="C23" i="20"/>
  <c r="C24" i="20" s="1"/>
  <c r="G23" i="20"/>
  <c r="G24" i="20" s="1"/>
  <c r="K23" i="20"/>
  <c r="K24" i="20" s="1"/>
  <c r="L23" i="20"/>
  <c r="L24" i="20" s="1"/>
  <c r="E23" i="20"/>
  <c r="E24" i="20" s="1"/>
  <c r="I23" i="20"/>
  <c r="I24" i="20" s="1"/>
  <c r="M23" i="20"/>
  <c r="M24" i="20" s="1"/>
  <c r="C39" i="19" l="1"/>
  <c r="D39" i="19"/>
  <c r="E39" i="19"/>
  <c r="F39" i="19"/>
  <c r="G39" i="19"/>
  <c r="H39" i="19"/>
  <c r="I39" i="19"/>
  <c r="J39" i="19"/>
  <c r="K39" i="19"/>
  <c r="L39" i="19"/>
  <c r="M39" i="19"/>
  <c r="B39" i="19"/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N42" i="19"/>
  <c r="N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N20" i="12" s="1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D9" i="20" s="1"/>
  <c r="E8" i="20"/>
  <c r="E9" i="20" s="1"/>
  <c r="F8" i="20"/>
  <c r="F9" i="20" s="1"/>
  <c r="G8" i="20"/>
  <c r="G9" i="20" s="1"/>
  <c r="H8" i="20"/>
  <c r="H9" i="20" s="1"/>
  <c r="I8" i="20"/>
  <c r="I9" i="20" s="1"/>
  <c r="J8" i="20"/>
  <c r="J9" i="20" s="1"/>
  <c r="K8" i="20"/>
  <c r="K9" i="20" s="1"/>
  <c r="L8" i="20"/>
  <c r="L9" i="20" s="1"/>
  <c r="M8" i="20"/>
  <c r="M9" i="20" s="1"/>
  <c r="B8" i="20"/>
  <c r="B9" i="20" s="1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 s="1"/>
  <c r="L50" i="20"/>
  <c r="L25" i="20" s="1"/>
  <c r="L26" i="20" s="1"/>
  <c r="L27" i="20" s="1"/>
  <c r="K50" i="20"/>
  <c r="K25" i="20" s="1"/>
  <c r="K26" i="20" s="1"/>
  <c r="K27" i="20" s="1"/>
  <c r="J50" i="20"/>
  <c r="J25" i="20" s="1"/>
  <c r="J26" i="20" s="1"/>
  <c r="J27" i="20" s="1"/>
  <c r="I50" i="20"/>
  <c r="I25" i="20" s="1"/>
  <c r="I26" i="20" s="1"/>
  <c r="I27" i="20" s="1"/>
  <c r="H50" i="20"/>
  <c r="H25" i="20" s="1"/>
  <c r="H26" i="20" s="1"/>
  <c r="H27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D26" i="20" s="1"/>
  <c r="D27" i="20" s="1"/>
  <c r="C50" i="20"/>
  <c r="C25" i="20" s="1"/>
  <c r="B50" i="20"/>
  <c r="B25" i="20" s="1"/>
  <c r="D21" i="4"/>
  <c r="N19" i="20"/>
  <c r="D19" i="4" s="1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D4" i="4" s="1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19"/>
  <c r="B24" i="19" s="1"/>
  <c r="B19" i="13"/>
  <c r="F19" i="13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B4" i="4"/>
  <c r="F5" i="13"/>
  <c r="M13" i="13"/>
  <c r="G20" i="13"/>
  <c r="N22" i="19"/>
  <c r="N23" i="19" s="1"/>
  <c r="C23" i="4" s="1"/>
  <c r="C23" i="19"/>
  <c r="C24" i="19" s="1"/>
  <c r="N22" i="20"/>
  <c r="N23" i="20" s="1"/>
  <c r="D23" i="4" s="1"/>
  <c r="K21" i="16"/>
  <c r="K5" i="13"/>
  <c r="H5" i="13"/>
  <c r="E5" i="13"/>
  <c r="N20" i="20"/>
  <c r="D20" i="4" s="1"/>
  <c r="K10" i="16"/>
  <c r="I6" i="13"/>
  <c r="F6" i="13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8" i="20" l="1"/>
  <c r="N9" i="20" s="1"/>
  <c r="D9" i="4" s="1"/>
  <c r="D22" i="4"/>
  <c r="N24" i="20"/>
  <c r="D24" i="4" s="1"/>
  <c r="M26" i="20"/>
  <c r="M27" i="20" s="1"/>
  <c r="B26" i="20"/>
  <c r="B27" i="20" s="1"/>
  <c r="C26" i="20"/>
  <c r="C27" i="20" s="1"/>
  <c r="N8" i="19"/>
  <c r="C8" i="4" s="1"/>
  <c r="N6" i="13"/>
  <c r="D35" i="15"/>
  <c r="N25" i="20"/>
  <c r="C35" i="15"/>
  <c r="L22" i="16"/>
  <c r="L7" i="16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D8" i="4" l="1"/>
  <c r="N26" i="19"/>
  <c r="C26" i="4" s="1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J32" i="16"/>
  <c r="L32" i="16"/>
  <c r="K32" i="16"/>
  <c r="E28" i="19" s="1"/>
  <c r="C12" i="3"/>
  <c r="C13" i="3" s="1"/>
  <c r="E22" i="3"/>
  <c r="C23" i="3" s="1"/>
  <c r="D23" i="3" s="1"/>
  <c r="B29" i="19" s="1"/>
  <c r="C23" i="13"/>
  <c r="F24" i="3"/>
  <c r="N27" i="20" l="1"/>
  <c r="D27" i="4" s="1"/>
  <c r="N27" i="19"/>
  <c r="C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F28" i="19"/>
  <c r="D28" i="19"/>
  <c r="C28" i="19"/>
  <c r="H28" i="19"/>
  <c r="I28" i="19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E24" i="3"/>
  <c r="C25" i="3" s="1"/>
  <c r="D25" i="3" s="1"/>
  <c r="E25" i="3" s="1"/>
  <c r="G23" i="13" l="1"/>
  <c r="F25" i="13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H25" i="13" l="1"/>
  <c r="I23" i="13"/>
  <c r="I24" i="13" s="1"/>
  <c r="H29" i="19"/>
  <c r="G30" i="19"/>
  <c r="G32" i="19" s="1"/>
  <c r="D30" i="20"/>
  <c r="D32" i="20" s="1"/>
  <c r="I25" i="13" l="1"/>
  <c r="J23" i="13"/>
  <c r="J24" i="13" s="1"/>
  <c r="I29" i="19"/>
  <c r="H30" i="19"/>
  <c r="H32" i="19" s="1"/>
  <c r="E30" i="20"/>
  <c r="E32" i="20" s="1"/>
  <c r="J25" i="13" l="1"/>
  <c r="K23" i="13"/>
  <c r="K24" i="13" s="1"/>
  <c r="F30" i="20"/>
  <c r="F32" i="20" s="1"/>
  <c r="I30" i="19"/>
  <c r="I32" i="19" s="1"/>
  <c r="J29" i="19"/>
  <c r="K25" i="13" l="1"/>
  <c r="L23" i="13"/>
  <c r="L24" i="13" s="1"/>
  <c r="G30" i="20"/>
  <c r="G32" i="20" s="1"/>
  <c r="K29" i="19"/>
  <c r="J30" i="19"/>
  <c r="J32" i="19" s="1"/>
  <c r="L25" i="13" l="1"/>
  <c r="M23" i="13"/>
  <c r="B29" i="4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I30" i="20"/>
  <c r="I32" i="20" s="1"/>
  <c r="M30" i="19" l="1"/>
  <c r="M32" i="19" s="1"/>
  <c r="N29" i="19"/>
  <c r="B31" i="4"/>
  <c r="B30" i="4"/>
  <c r="J30" i="20"/>
  <c r="J32" i="20" s="1"/>
  <c r="N30" i="19" l="1"/>
  <c r="C29" i="4"/>
  <c r="B32" i="4"/>
  <c r="K30" i="20"/>
  <c r="K32" i="20" s="1"/>
  <c r="N31" i="19" l="1"/>
  <c r="C31" i="4" s="1"/>
  <c r="C30" i="4"/>
  <c r="L30" i="20"/>
  <c r="L32" i="20" s="1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sz val="9"/>
            <color indexed="81"/>
            <rFont val="Tahoma"/>
            <family val="2"/>
          </rPr>
          <t>Co-développement de Pierre Bon (à l'origine du projet)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<sst xmlns="http://schemas.openxmlformats.org/spreadsheetml/2006/main" count="474" uniqueCount="180">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</sst>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3" fontId="0" fillId="0" borderId="70" xfId="0" applyNumberForma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p%20affaire\Farview_Matrice_fi_ann&#233;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/>
      <sheetData sheetId="1"/>
      <sheetData sheetId="2"/>
      <sheetData sheetId="3"/>
      <sheetData sheetId="4"/>
      <sheetData sheetId="5">
        <row r="32">
          <cell r="L32">
            <v>58.333333333333336</v>
          </cell>
        </row>
        <row r="79">
          <cell r="L79">
            <v>0</v>
          </cell>
        </row>
        <row r="111">
          <cell r="L111">
            <v>0</v>
          </cell>
        </row>
      </sheetData>
      <sheetData sheetId="6">
        <row r="24">
          <cell r="D2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workbookViewId="0">
      <selection activeCell="B33" sqref="B33"/>
    </sheetView>
  </sheetViews>
  <sheetFormatPr baseColWidth="10" defaultRowHeight="12.75" x14ac:dyDescent="0.2"/>
  <cols>
    <col min="1" max="1" width="33.5703125" bestFit="1" customWidth="1"/>
    <col min="2" max="14" width="11.4257812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13.5" customHeight="1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4" t="s">
        <v>178</v>
      </c>
    </row>
    <row r="4" spans="1:16" x14ac:dyDescent="0.2">
      <c r="A4" s="15" t="s">
        <v>72</v>
      </c>
      <c r="B4" s="205">
        <v>0</v>
      </c>
      <c r="C4" s="205">
        <v>0</v>
      </c>
      <c r="D4" s="205">
        <v>0</v>
      </c>
      <c r="E4" s="205">
        <v>10</v>
      </c>
      <c r="F4" s="205">
        <v>0</v>
      </c>
      <c r="G4" s="205">
        <v>0</v>
      </c>
      <c r="H4" s="205">
        <v>0</v>
      </c>
      <c r="I4" s="205">
        <v>10000</v>
      </c>
      <c r="J4" s="205">
        <v>0</v>
      </c>
      <c r="K4" s="205">
        <v>10000</v>
      </c>
      <c r="L4" s="205">
        <v>0</v>
      </c>
      <c r="M4" s="205">
        <v>10000</v>
      </c>
      <c r="N4" s="205">
        <f>SUM(B4:M4)</f>
        <v>30010</v>
      </c>
    </row>
    <row r="5" spans="1:16" ht="25.5" x14ac:dyDescent="0.2">
      <c r="A5" s="206" t="s">
        <v>126</v>
      </c>
      <c r="B5" s="205">
        <v>0</v>
      </c>
      <c r="C5" s="205">
        <v>0</v>
      </c>
      <c r="D5" s="205">
        <v>0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5">
        <f>SUM(B5:M5)</f>
        <v>0</v>
      </c>
      <c r="P5" s="215"/>
    </row>
    <row r="6" spans="1:16" x14ac:dyDescent="0.2">
      <c r="A6" s="141" t="s">
        <v>114</v>
      </c>
      <c r="B6" s="205">
        <v>0</v>
      </c>
      <c r="C6" s="205">
        <v>0</v>
      </c>
      <c r="D6" s="205">
        <v>0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5">
        <f>SUM(B6:M6)</f>
        <v>0</v>
      </c>
    </row>
    <row r="7" spans="1:16" x14ac:dyDescent="0.2">
      <c r="A7" s="207" t="s">
        <v>115</v>
      </c>
      <c r="B7" s="205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5">
        <v>0</v>
      </c>
      <c r="M7" s="208">
        <v>0</v>
      </c>
      <c r="N7" s="205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10000</v>
      </c>
      <c r="J8" s="39">
        <f t="shared" si="0"/>
        <v>0</v>
      </c>
      <c r="K8" s="39">
        <f t="shared" si="0"/>
        <v>10000</v>
      </c>
      <c r="L8" s="39">
        <f t="shared" si="0"/>
        <v>0</v>
      </c>
      <c r="M8" s="39">
        <f t="shared" si="0"/>
        <v>10000</v>
      </c>
      <c r="N8" s="39">
        <f>SUM(B8:M8)</f>
        <v>30010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 t="e">
        <f t="shared" si="1"/>
        <v>#DIV/0!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 x14ac:dyDescent="0.2">
      <c r="A10" s="141" t="s">
        <v>116</v>
      </c>
      <c r="B10" s="140">
        <v>-10</v>
      </c>
      <c r="C10" s="140">
        <v>-10</v>
      </c>
      <c r="D10" s="140">
        <v>-10</v>
      </c>
      <c r="E10" s="140">
        <v>-10</v>
      </c>
      <c r="F10" s="140">
        <v>-10</v>
      </c>
      <c r="G10" s="140">
        <v>-10</v>
      </c>
      <c r="H10" s="140">
        <v>-10</v>
      </c>
      <c r="I10" s="140">
        <v>-10</v>
      </c>
      <c r="J10" s="140">
        <v>-10</v>
      </c>
      <c r="K10" s="140">
        <v>-10</v>
      </c>
      <c r="L10" s="140">
        <v>-10</v>
      </c>
      <c r="M10" s="140">
        <v>-10</v>
      </c>
      <c r="N10" s="205">
        <f>SUM(B10:M10)</f>
        <v>-120</v>
      </c>
    </row>
    <row r="11" spans="1:16" x14ac:dyDescent="0.2">
      <c r="A11" s="141" t="s">
        <v>175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205">
        <f>SUM(B11:M11)</f>
        <v>-6000</v>
      </c>
    </row>
    <row r="12" spans="1:16" x14ac:dyDescent="0.2">
      <c r="A12" s="141" t="s">
        <v>117</v>
      </c>
      <c r="B12" s="140">
        <f>-200/4</f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205">
        <f t="shared" ref="N12:N19" si="2">SUM(B12:M12)</f>
        <v>-200</v>
      </c>
    </row>
    <row r="13" spans="1:16" x14ac:dyDescent="0.2">
      <c r="A13" s="133" t="s">
        <v>172</v>
      </c>
      <c r="B13" s="140">
        <v>-100</v>
      </c>
      <c r="C13" s="140">
        <v>0</v>
      </c>
      <c r="D13" s="140">
        <v>0</v>
      </c>
      <c r="E13" s="140">
        <v>0</v>
      </c>
      <c r="F13" s="140">
        <v>-50</v>
      </c>
      <c r="G13" s="140">
        <v>0</v>
      </c>
      <c r="H13" s="140">
        <v>0</v>
      </c>
      <c r="I13" s="140">
        <v>-50</v>
      </c>
      <c r="J13" s="140">
        <v>0</v>
      </c>
      <c r="K13" s="140">
        <v>0</v>
      </c>
      <c r="L13" s="140">
        <v>-50</v>
      </c>
      <c r="M13" s="140">
        <v>0</v>
      </c>
      <c r="N13" s="205">
        <f t="shared" si="2"/>
        <v>-250</v>
      </c>
    </row>
    <row r="14" spans="1:16" x14ac:dyDescent="0.2">
      <c r="A14" s="133" t="s">
        <v>176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205">
        <f t="shared" si="2"/>
        <v>0</v>
      </c>
      <c r="P14" t="s">
        <v>179</v>
      </c>
    </row>
    <row r="15" spans="1:16" x14ac:dyDescent="0.2">
      <c r="A15" s="133" t="s">
        <v>173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205">
        <f t="shared" si="2"/>
        <v>0</v>
      </c>
    </row>
    <row r="16" spans="1:16" x14ac:dyDescent="0.2">
      <c r="A16" s="141" t="s">
        <v>118</v>
      </c>
      <c r="B16" s="140">
        <v>-708</v>
      </c>
      <c r="C16" s="140">
        <f>-2500/12</f>
        <v>-208.33333333333334</v>
      </c>
      <c r="D16" s="140">
        <f t="shared" ref="D16:M16" si="3">-2500/12</f>
        <v>-208.33333333333334</v>
      </c>
      <c r="E16" s="140">
        <f t="shared" si="3"/>
        <v>-208.33333333333334</v>
      </c>
      <c r="F16" s="140">
        <f t="shared" si="3"/>
        <v>-208.33333333333334</v>
      </c>
      <c r="G16" s="140">
        <f t="shared" si="3"/>
        <v>-208.33333333333334</v>
      </c>
      <c r="H16" s="140">
        <f t="shared" si="3"/>
        <v>-208.33333333333334</v>
      </c>
      <c r="I16" s="140">
        <f t="shared" si="3"/>
        <v>-208.33333333333334</v>
      </c>
      <c r="J16" s="140">
        <f t="shared" si="3"/>
        <v>-208.33333333333334</v>
      </c>
      <c r="K16" s="140">
        <f t="shared" si="3"/>
        <v>-208.33333333333334</v>
      </c>
      <c r="L16" s="140">
        <f t="shared" si="3"/>
        <v>-208.33333333333334</v>
      </c>
      <c r="M16" s="140">
        <f t="shared" si="3"/>
        <v>-208.33333333333334</v>
      </c>
      <c r="N16" s="205">
        <f t="shared" si="2"/>
        <v>-2999.666666666667</v>
      </c>
    </row>
    <row r="17" spans="1:15" x14ac:dyDescent="0.2">
      <c r="A17" s="141" t="s">
        <v>119</v>
      </c>
      <c r="B17" s="140">
        <f>-25-5</f>
        <v>-30</v>
      </c>
      <c r="C17" s="140">
        <f t="shared" ref="C17:H17" si="4">-25-5</f>
        <v>-30</v>
      </c>
      <c r="D17" s="140">
        <f t="shared" si="4"/>
        <v>-30</v>
      </c>
      <c r="E17" s="140">
        <f t="shared" si="4"/>
        <v>-30</v>
      </c>
      <c r="F17" s="140">
        <f t="shared" si="4"/>
        <v>-30</v>
      </c>
      <c r="G17" s="140">
        <f t="shared" si="4"/>
        <v>-30</v>
      </c>
      <c r="H17" s="140">
        <f t="shared" si="4"/>
        <v>-30</v>
      </c>
      <c r="I17" s="140">
        <f>-25-10</f>
        <v>-35</v>
      </c>
      <c r="J17" s="140">
        <f>-25-10</f>
        <v>-35</v>
      </c>
      <c r="K17" s="140">
        <f t="shared" ref="K17:M17" si="5">-25-10</f>
        <v>-35</v>
      </c>
      <c r="L17" s="140">
        <f t="shared" si="5"/>
        <v>-35</v>
      </c>
      <c r="M17" s="140">
        <f t="shared" si="5"/>
        <v>-35</v>
      </c>
      <c r="N17" s="205">
        <f t="shared" si="2"/>
        <v>-385</v>
      </c>
    </row>
    <row r="18" spans="1:15" x14ac:dyDescent="0.2">
      <c r="A18" s="141" t="s">
        <v>120</v>
      </c>
      <c r="B18" s="140">
        <v>0</v>
      </c>
      <c r="C18" s="140">
        <v>-50</v>
      </c>
      <c r="D18" s="140">
        <v>0</v>
      </c>
      <c r="E18" s="140">
        <v>0</v>
      </c>
      <c r="F18" s="140">
        <v>0</v>
      </c>
      <c r="G18" s="140">
        <v>-50</v>
      </c>
      <c r="H18" s="140">
        <v>0</v>
      </c>
      <c r="I18" s="140">
        <v>-200</v>
      </c>
      <c r="J18" s="209">
        <v>-50</v>
      </c>
      <c r="K18" s="140">
        <v>-50</v>
      </c>
      <c r="L18" s="140">
        <v>-50</v>
      </c>
      <c r="M18" s="140">
        <v>-50</v>
      </c>
      <c r="N18" s="205">
        <f t="shared" si="2"/>
        <v>-500</v>
      </c>
    </row>
    <row r="19" spans="1:15" x14ac:dyDescent="0.2">
      <c r="A19" s="141" t="s">
        <v>121</v>
      </c>
      <c r="B19" s="140">
        <v>0</v>
      </c>
      <c r="C19" s="140">
        <v>0</v>
      </c>
      <c r="D19" s="140">
        <v>0</v>
      </c>
      <c r="E19" s="140">
        <v>-500</v>
      </c>
      <c r="F19" s="140">
        <v>0</v>
      </c>
      <c r="G19" s="140">
        <v>-1100</v>
      </c>
      <c r="H19" s="140">
        <v>0</v>
      </c>
      <c r="I19" s="140">
        <v>0</v>
      </c>
      <c r="J19" s="140">
        <v>-1000</v>
      </c>
      <c r="K19" s="140">
        <v>0</v>
      </c>
      <c r="L19" s="140">
        <v>0</v>
      </c>
      <c r="M19" s="140">
        <v>0</v>
      </c>
      <c r="N19" s="205">
        <f t="shared" si="2"/>
        <v>-2600</v>
      </c>
    </row>
    <row r="20" spans="1:15" x14ac:dyDescent="0.2">
      <c r="A20" s="210" t="s">
        <v>23</v>
      </c>
      <c r="B20" s="211">
        <f>SUM(B10:B19)</f>
        <v>-6898</v>
      </c>
      <c r="C20" s="211">
        <f t="shared" ref="C20:M20" si="6">SUM(C10:C19)</f>
        <v>-298.33333333333337</v>
      </c>
      <c r="D20" s="211">
        <f t="shared" si="6"/>
        <v>-248.33333333333334</v>
      </c>
      <c r="E20" s="211">
        <f t="shared" si="6"/>
        <v>-798.33333333333337</v>
      </c>
      <c r="F20" s="211">
        <f t="shared" si="6"/>
        <v>-298.33333333333337</v>
      </c>
      <c r="G20" s="211">
        <f t="shared" si="6"/>
        <v>-1398.3333333333335</v>
      </c>
      <c r="H20" s="211">
        <f t="shared" si="6"/>
        <v>-298.33333333333337</v>
      </c>
      <c r="I20" s="211">
        <f t="shared" si="6"/>
        <v>-503.33333333333337</v>
      </c>
      <c r="J20" s="211">
        <f>SUM(J10:J19)</f>
        <v>-1303.3333333333335</v>
      </c>
      <c r="K20" s="211">
        <f t="shared" si="6"/>
        <v>-353.33333333333337</v>
      </c>
      <c r="L20" s="211">
        <f t="shared" si="6"/>
        <v>-353.33333333333337</v>
      </c>
      <c r="M20" s="211">
        <f t="shared" si="6"/>
        <v>-303.33333333333337</v>
      </c>
      <c r="N20" s="212">
        <f>SUM(B20:M20)</f>
        <v>-13054.666666666672</v>
      </c>
    </row>
    <row r="21" spans="1:15" x14ac:dyDescent="0.2">
      <c r="A21" s="210" t="s">
        <v>106</v>
      </c>
      <c r="B21" s="211">
        <v>0</v>
      </c>
      <c r="C21" s="211">
        <v>0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-200</v>
      </c>
      <c r="N21" s="211">
        <f>SUM(B21:M21)</f>
        <v>-200</v>
      </c>
    </row>
    <row r="22" spans="1:15" x14ac:dyDescent="0.2">
      <c r="A22" s="141" t="s">
        <v>122</v>
      </c>
      <c r="B22" s="140">
        <f>+B39</f>
        <v>0</v>
      </c>
      <c r="C22" s="140">
        <f t="shared" ref="C22:L22" si="7">+C39</f>
        <v>0</v>
      </c>
      <c r="D22" s="140">
        <f t="shared" si="7"/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  <c r="J22" s="140">
        <f t="shared" si="7"/>
        <v>0</v>
      </c>
      <c r="K22" s="140">
        <f t="shared" si="7"/>
        <v>0</v>
      </c>
      <c r="L22" s="140">
        <f t="shared" si="7"/>
        <v>0</v>
      </c>
      <c r="M22" s="140">
        <f>+M39</f>
        <v>0</v>
      </c>
      <c r="N22" s="205">
        <f>SUM(B22:M22)</f>
        <v>0</v>
      </c>
    </row>
    <row r="23" spans="1:15" x14ac:dyDescent="0.2">
      <c r="A23" s="141" t="s">
        <v>142</v>
      </c>
      <c r="B23" s="140">
        <f>0.35*B22</f>
        <v>0</v>
      </c>
      <c r="C23" s="140">
        <f t="shared" ref="C23:M23" si="8">0.35*C22</f>
        <v>0</v>
      </c>
      <c r="D23" s="140">
        <f t="shared" si="8"/>
        <v>0</v>
      </c>
      <c r="E23" s="140">
        <f t="shared" si="8"/>
        <v>0</v>
      </c>
      <c r="F23" s="140">
        <f t="shared" si="8"/>
        <v>0</v>
      </c>
      <c r="G23" s="140">
        <f t="shared" si="8"/>
        <v>0</v>
      </c>
      <c r="H23" s="140">
        <f t="shared" si="8"/>
        <v>0</v>
      </c>
      <c r="I23" s="140">
        <f t="shared" si="8"/>
        <v>0</v>
      </c>
      <c r="J23" s="140">
        <f t="shared" si="8"/>
        <v>0</v>
      </c>
      <c r="K23" s="140">
        <f t="shared" si="8"/>
        <v>0</v>
      </c>
      <c r="L23" s="140">
        <f t="shared" si="8"/>
        <v>0</v>
      </c>
      <c r="M23" s="140">
        <f t="shared" si="8"/>
        <v>0</v>
      </c>
      <c r="N23" s="205">
        <f>SUM(B23:M23)</f>
        <v>0</v>
      </c>
    </row>
    <row r="24" spans="1:15" x14ac:dyDescent="0.2">
      <c r="A24" s="210" t="s">
        <v>105</v>
      </c>
      <c r="B24" s="211">
        <f>SUM(B22:B23)</f>
        <v>0</v>
      </c>
      <c r="C24" s="211">
        <f t="shared" ref="C24:N24" si="9">SUM(C22:C23)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11">
        <f t="shared" si="9"/>
        <v>0</v>
      </c>
      <c r="J24" s="211">
        <f t="shared" si="9"/>
        <v>0</v>
      </c>
      <c r="K24" s="211">
        <f t="shared" si="9"/>
        <v>0</v>
      </c>
      <c r="L24" s="211">
        <f t="shared" si="9"/>
        <v>0</v>
      </c>
      <c r="M24" s="211">
        <f t="shared" si="9"/>
        <v>0</v>
      </c>
      <c r="N24" s="211">
        <f t="shared" si="9"/>
        <v>0</v>
      </c>
    </row>
    <row r="25" spans="1:15" x14ac:dyDescent="0.2">
      <c r="A25" s="141" t="s">
        <v>123</v>
      </c>
      <c r="B25" s="140">
        <f>+B50</f>
        <v>0</v>
      </c>
      <c r="C25" s="140">
        <f t="shared" ref="C25:M25" si="10">+C50</f>
        <v>0</v>
      </c>
      <c r="D25" s="140">
        <f t="shared" si="10"/>
        <v>0</v>
      </c>
      <c r="E25" s="140">
        <f t="shared" si="10"/>
        <v>0</v>
      </c>
      <c r="F25" s="140">
        <f t="shared" si="10"/>
        <v>0</v>
      </c>
      <c r="G25" s="140">
        <f t="shared" si="10"/>
        <v>0</v>
      </c>
      <c r="H25" s="140">
        <f t="shared" si="10"/>
        <v>0</v>
      </c>
      <c r="I25" s="140">
        <f t="shared" si="10"/>
        <v>0</v>
      </c>
      <c r="J25" s="140">
        <f t="shared" si="10"/>
        <v>0</v>
      </c>
      <c r="K25" s="140">
        <f t="shared" si="10"/>
        <v>0</v>
      </c>
      <c r="L25" s="140">
        <f t="shared" si="10"/>
        <v>0</v>
      </c>
      <c r="M25" s="140">
        <f t="shared" si="10"/>
        <v>0</v>
      </c>
      <c r="N25" s="205">
        <f>SUM(B25:M25)</f>
        <v>0</v>
      </c>
    </row>
    <row r="26" spans="1:15" x14ac:dyDescent="0.2">
      <c r="A26" s="141" t="s">
        <v>143</v>
      </c>
      <c r="B26" s="140">
        <f>0.45*B25</f>
        <v>0</v>
      </c>
      <c r="C26" s="140">
        <f t="shared" ref="C26:M26" si="11">0.45*C25</f>
        <v>0</v>
      </c>
      <c r="D26" s="140">
        <f t="shared" si="11"/>
        <v>0</v>
      </c>
      <c r="E26" s="140">
        <f t="shared" si="11"/>
        <v>0</v>
      </c>
      <c r="F26" s="140">
        <f t="shared" si="11"/>
        <v>0</v>
      </c>
      <c r="G26" s="140">
        <f t="shared" si="11"/>
        <v>0</v>
      </c>
      <c r="H26" s="140">
        <f t="shared" si="11"/>
        <v>0</v>
      </c>
      <c r="I26" s="140">
        <f t="shared" si="11"/>
        <v>0</v>
      </c>
      <c r="J26" s="140">
        <f t="shared" si="11"/>
        <v>0</v>
      </c>
      <c r="K26" s="140">
        <f t="shared" si="11"/>
        <v>0</v>
      </c>
      <c r="L26" s="140">
        <f t="shared" si="11"/>
        <v>0</v>
      </c>
      <c r="M26" s="140">
        <f t="shared" si="11"/>
        <v>0</v>
      </c>
      <c r="N26" s="205">
        <f>SUM(B26:M26)</f>
        <v>0</v>
      </c>
    </row>
    <row r="27" spans="1:15" x14ac:dyDescent="0.2">
      <c r="A27" s="210" t="s">
        <v>24</v>
      </c>
      <c r="B27" s="211">
        <f>SUM(B25:B26)</f>
        <v>0</v>
      </c>
      <c r="C27" s="211">
        <f t="shared" ref="C27:N27" si="12">SUM(C25:C26)</f>
        <v>0</v>
      </c>
      <c r="D27" s="211">
        <f t="shared" si="12"/>
        <v>0</v>
      </c>
      <c r="E27" s="211">
        <f t="shared" si="12"/>
        <v>0</v>
      </c>
      <c r="F27" s="211">
        <f t="shared" si="12"/>
        <v>0</v>
      </c>
      <c r="G27" s="211">
        <f t="shared" si="12"/>
        <v>0</v>
      </c>
      <c r="H27" s="211">
        <f t="shared" si="12"/>
        <v>0</v>
      </c>
      <c r="I27" s="211">
        <f t="shared" si="12"/>
        <v>0</v>
      </c>
      <c r="J27" s="211">
        <f t="shared" si="12"/>
        <v>0</v>
      </c>
      <c r="K27" s="211">
        <f t="shared" si="12"/>
        <v>0</v>
      </c>
      <c r="L27" s="211">
        <f t="shared" si="12"/>
        <v>0</v>
      </c>
      <c r="M27" s="211">
        <f t="shared" si="12"/>
        <v>0</v>
      </c>
      <c r="N27" s="211">
        <f t="shared" si="12"/>
        <v>0</v>
      </c>
    </row>
    <row r="28" spans="1:15" x14ac:dyDescent="0.2">
      <c r="A28" s="141" t="s">
        <v>124</v>
      </c>
      <c r="B28" s="140">
        <f>-[1]Investissements!$J32</f>
        <v>-58.333333333333336</v>
      </c>
      <c r="C28" s="140">
        <f>-[1]Investissements!$J32</f>
        <v>-58.333333333333336</v>
      </c>
      <c r="D28" s="140">
        <f>-[1]Investissements!$J32</f>
        <v>-58.333333333333336</v>
      </c>
      <c r="E28" s="140">
        <f>-[1]Investissements!$J32</f>
        <v>-58.333333333333336</v>
      </c>
      <c r="F28" s="140">
        <f>-[1]Investissements!$J32</f>
        <v>-58.333333333333336</v>
      </c>
      <c r="G28" s="140">
        <f>-[1]Investissements!$J32</f>
        <v>-58.333333333333336</v>
      </c>
      <c r="H28" s="140">
        <f>-[1]Investissements!$J32</f>
        <v>-58.333333333333336</v>
      </c>
      <c r="I28" s="140">
        <f>-[1]Investissements!$J32</f>
        <v>-58.333333333333336</v>
      </c>
      <c r="J28" s="140">
        <f>-[1]Investissements!$J32</f>
        <v>-58.333333333333336</v>
      </c>
      <c r="K28" s="140">
        <f>-[1]Investissements!$J32</f>
        <v>-58.333333333333336</v>
      </c>
      <c r="L28" s="140">
        <f>-[1]Investissements!$J32</f>
        <v>-58.333333333333336</v>
      </c>
      <c r="M28" s="140">
        <f>-[1]Investissements!$J32</f>
        <v>-58.333333333333336</v>
      </c>
      <c r="N28" s="205">
        <f>SUM(B28:M28)</f>
        <v>-700.00000000000011</v>
      </c>
    </row>
    <row r="29" spans="1:15" x14ac:dyDescent="0.2">
      <c r="A29" s="141" t="s">
        <v>125</v>
      </c>
      <c r="B29" s="140">
        <f>-[1]Emprunts!D22/12</f>
        <v>0</v>
      </c>
      <c r="C29" s="140">
        <f t="shared" ref="C29:M29" si="13">+B29</f>
        <v>0</v>
      </c>
      <c r="D29" s="140">
        <f t="shared" si="13"/>
        <v>0</v>
      </c>
      <c r="E29" s="140">
        <f t="shared" si="13"/>
        <v>0</v>
      </c>
      <c r="F29" s="140">
        <f t="shared" si="13"/>
        <v>0</v>
      </c>
      <c r="G29" s="140">
        <f t="shared" si="13"/>
        <v>0</v>
      </c>
      <c r="H29" s="140">
        <f t="shared" si="13"/>
        <v>0</v>
      </c>
      <c r="I29" s="140">
        <f t="shared" si="13"/>
        <v>0</v>
      </c>
      <c r="J29" s="140">
        <f t="shared" si="13"/>
        <v>0</v>
      </c>
      <c r="K29" s="140">
        <f t="shared" si="13"/>
        <v>0</v>
      </c>
      <c r="L29" s="140">
        <f t="shared" si="13"/>
        <v>0</v>
      </c>
      <c r="M29" s="140">
        <f t="shared" si="13"/>
        <v>0</v>
      </c>
      <c r="N29" s="205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3">
        <f t="shared" si="14"/>
        <v>-356.66666666666669</v>
      </c>
      <c r="I30" s="203">
        <f t="shared" si="14"/>
        <v>9438.3333333333321</v>
      </c>
      <c r="J30" s="203">
        <f t="shared" si="14"/>
        <v>-1361.6666666666667</v>
      </c>
      <c r="K30" s="203">
        <f t="shared" si="14"/>
        <v>9588.3333333333321</v>
      </c>
      <c r="L30" s="203">
        <f t="shared" si="14"/>
        <v>-411.66666666666669</v>
      </c>
      <c r="M30" s="203">
        <f t="shared" si="14"/>
        <v>9438.3333333333321</v>
      </c>
      <c r="N30" s="203">
        <f>SUM(B30:M30)</f>
        <v>16055.33333333333</v>
      </c>
      <c r="O30" s="1"/>
    </row>
    <row r="31" spans="1:15" ht="13.5" thickBot="1" x14ac:dyDescent="0.25">
      <c r="A31" s="6" t="s">
        <v>26</v>
      </c>
      <c r="B31" s="213">
        <f t="shared" ref="B31:M31" si="15">IF(B30&lt;0,0,+B30*0.33)</f>
        <v>0</v>
      </c>
      <c r="C31" s="213">
        <f t="shared" si="15"/>
        <v>0</v>
      </c>
      <c r="D31" s="213">
        <f t="shared" si="15"/>
        <v>0</v>
      </c>
      <c r="E31" s="213">
        <f t="shared" si="15"/>
        <v>0</v>
      </c>
      <c r="F31" s="213">
        <f t="shared" si="15"/>
        <v>0</v>
      </c>
      <c r="G31" s="213">
        <f t="shared" si="15"/>
        <v>0</v>
      </c>
      <c r="H31" s="213">
        <f t="shared" si="15"/>
        <v>0</v>
      </c>
      <c r="I31" s="213">
        <f t="shared" si="15"/>
        <v>3114.6499999999996</v>
      </c>
      <c r="J31" s="213">
        <f t="shared" si="15"/>
        <v>0</v>
      </c>
      <c r="K31" s="213">
        <f t="shared" si="15"/>
        <v>3164.1499999999996</v>
      </c>
      <c r="L31" s="213">
        <f t="shared" si="15"/>
        <v>0</v>
      </c>
      <c r="M31" s="213">
        <f t="shared" si="15"/>
        <v>3114.6499999999996</v>
      </c>
      <c r="N31" s="213">
        <f>IF(N30&lt;0,0,+N30*0.33)</f>
        <v>5298.2599999999993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4">
        <f t="shared" si="16"/>
        <v>-356.66666666666669</v>
      </c>
      <c r="I32" s="204">
        <f t="shared" si="16"/>
        <v>12552.983333333332</v>
      </c>
      <c r="J32" s="204">
        <f t="shared" si="16"/>
        <v>-1361.6666666666667</v>
      </c>
      <c r="K32" s="204">
        <f t="shared" si="16"/>
        <v>12752.483333333332</v>
      </c>
      <c r="L32" s="204">
        <f t="shared" si="16"/>
        <v>-411.66666666666669</v>
      </c>
      <c r="M32" s="204">
        <f t="shared" si="16"/>
        <v>12552.983333333332</v>
      </c>
      <c r="N32" s="204">
        <f>+N30-N31</f>
        <v>10757.07333333333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4">
        <f>SUM(B39:M39)</f>
        <v>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ref="N42:N48" si="17">SUM(B42:M42)</f>
        <v>0</v>
      </c>
    </row>
    <row r="43" spans="1:14" x14ac:dyDescent="0.2">
      <c r="A43" s="124" t="s">
        <v>155</v>
      </c>
      <c r="B43" s="78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81">
        <f t="shared" si="17"/>
        <v>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81">
        <f t="shared" si="17"/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>
        <f t="shared" si="17"/>
        <v>0</v>
      </c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>
        <f t="shared" si="17"/>
        <v>0</v>
      </c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>
        <f t="shared" si="17"/>
        <v>0</v>
      </c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>
        <f t="shared" si="17"/>
        <v>0</v>
      </c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78"/>
      <c r="N49" s="127"/>
    </row>
    <row r="50" spans="1:14" ht="13.5" thickBot="1" x14ac:dyDescent="0.25">
      <c r="A50" s="128" t="s">
        <v>141</v>
      </c>
      <c r="B50" s="129">
        <f>SUM(B42:B49)</f>
        <v>0</v>
      </c>
      <c r="C50" s="129">
        <f t="shared" ref="C50:M50" si="18">SUM(C42:C49)</f>
        <v>0</v>
      </c>
      <c r="D50" s="129">
        <f t="shared" si="18"/>
        <v>0</v>
      </c>
      <c r="E50" s="129">
        <f t="shared" si="18"/>
        <v>0</v>
      </c>
      <c r="F50" s="129">
        <f t="shared" si="18"/>
        <v>0</v>
      </c>
      <c r="G50" s="129">
        <f t="shared" si="18"/>
        <v>0</v>
      </c>
      <c r="H50" s="129">
        <f t="shared" si="18"/>
        <v>0</v>
      </c>
      <c r="I50" s="129">
        <f t="shared" si="18"/>
        <v>0</v>
      </c>
      <c r="J50" s="129">
        <f t="shared" si="18"/>
        <v>0</v>
      </c>
      <c r="K50" s="129">
        <f t="shared" si="18"/>
        <v>0</v>
      </c>
      <c r="L50" s="129">
        <f t="shared" si="18"/>
        <v>0</v>
      </c>
      <c r="M50" s="129">
        <f t="shared" si="18"/>
        <v>0</v>
      </c>
      <c r="N50" s="129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D4" sqref="D4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v>10000</v>
      </c>
      <c r="D4" s="16">
        <v>30000</v>
      </c>
      <c r="E4" s="16">
        <v>10000</v>
      </c>
      <c r="F4" s="16">
        <v>10000</v>
      </c>
      <c r="G4" s="16">
        <v>10000</v>
      </c>
      <c r="H4" s="16">
        <v>10000</v>
      </c>
      <c r="I4" s="16">
        <v>10000</v>
      </c>
      <c r="J4" s="16">
        <v>0</v>
      </c>
      <c r="K4" s="16">
        <v>20000</v>
      </c>
      <c r="L4" s="16">
        <v>20000</v>
      </c>
      <c r="M4" s="16">
        <v>20000</v>
      </c>
      <c r="N4" s="16">
        <f>SUM(B4:M4)</f>
        <v>160000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0">SUM(C4:C7)</f>
        <v>10000</v>
      </c>
      <c r="D8" s="39">
        <f t="shared" si="0"/>
        <v>30000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10000</v>
      </c>
      <c r="J8" s="39">
        <f t="shared" si="0"/>
        <v>0</v>
      </c>
      <c r="K8" s="39">
        <f t="shared" si="0"/>
        <v>20000</v>
      </c>
      <c r="L8" s="39">
        <f t="shared" si="0"/>
        <v>20000</v>
      </c>
      <c r="M8" s="39">
        <f t="shared" si="0"/>
        <v>20000</v>
      </c>
      <c r="N8" s="39">
        <f t="shared" si="0"/>
        <v>160000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 t="e">
        <f t="shared" si="2"/>
        <v>#DIV/0!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1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3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3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3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f>-2500/12</f>
        <v>-208.33333333333334</v>
      </c>
      <c r="D16" s="140">
        <f t="shared" ref="D16:M16" si="5">-2500/12</f>
        <v>-208.33333333333334</v>
      </c>
      <c r="E16" s="140">
        <f t="shared" si="5"/>
        <v>-208.33333333333334</v>
      </c>
      <c r="F16" s="140">
        <f t="shared" si="5"/>
        <v>-208.33333333333334</v>
      </c>
      <c r="G16" s="140">
        <f t="shared" si="5"/>
        <v>-208.33333333333334</v>
      </c>
      <c r="H16" s="140">
        <f t="shared" si="5"/>
        <v>-208.33333333333334</v>
      </c>
      <c r="I16" s="140">
        <f t="shared" si="5"/>
        <v>-208.33333333333334</v>
      </c>
      <c r="J16" s="140">
        <f t="shared" si="5"/>
        <v>-208.33333333333334</v>
      </c>
      <c r="K16" s="140">
        <f t="shared" si="5"/>
        <v>-208.33333333333334</v>
      </c>
      <c r="L16" s="140">
        <f t="shared" si="5"/>
        <v>-208.33333333333334</v>
      </c>
      <c r="M16" s="140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-4000</v>
      </c>
      <c r="C19" s="140">
        <v>-1200</v>
      </c>
      <c r="D19" s="140">
        <v>0</v>
      </c>
      <c r="E19" s="140">
        <v>-500</v>
      </c>
      <c r="F19" s="140">
        <v>-200</v>
      </c>
      <c r="G19" s="140">
        <v>0</v>
      </c>
      <c r="H19" s="140">
        <v>0</v>
      </c>
      <c r="I19" s="140">
        <v>-700</v>
      </c>
      <c r="J19" s="140">
        <v>0</v>
      </c>
      <c r="K19" s="140">
        <v>-2000</v>
      </c>
      <c r="L19" s="140">
        <v>0</v>
      </c>
      <c r="M19" s="140">
        <v>0</v>
      </c>
      <c r="N19" s="16">
        <f t="shared" si="4"/>
        <v>-8600</v>
      </c>
    </row>
    <row r="20" spans="1:15" x14ac:dyDescent="0.2">
      <c r="A20" s="103" t="s">
        <v>23</v>
      </c>
      <c r="B20" s="104">
        <f>SUM(B10:B19)</f>
        <v>-11578</v>
      </c>
      <c r="C20" s="104">
        <f t="shared" ref="C20:M20" si="6">SUM(C10:C19)</f>
        <v>-2078.3333333333335</v>
      </c>
      <c r="D20" s="104">
        <f t="shared" si="6"/>
        <v>-878.33333333333337</v>
      </c>
      <c r="E20" s="104">
        <f t="shared" si="6"/>
        <v>-1428.3333333333335</v>
      </c>
      <c r="F20" s="104">
        <f t="shared" si="6"/>
        <v>-1128.3333333333335</v>
      </c>
      <c r="G20" s="104">
        <f t="shared" si="6"/>
        <v>-878.33333333333337</v>
      </c>
      <c r="H20" s="104">
        <f t="shared" si="6"/>
        <v>-928.33333333333337</v>
      </c>
      <c r="I20" s="104">
        <f t="shared" si="6"/>
        <v>-1628.3333333333335</v>
      </c>
      <c r="J20" s="104">
        <f t="shared" si="6"/>
        <v>-878.33333333333337</v>
      </c>
      <c r="K20" s="104">
        <f t="shared" si="6"/>
        <v>-2928.3333333333335</v>
      </c>
      <c r="L20" s="104">
        <f t="shared" si="6"/>
        <v>-928.33333333333337</v>
      </c>
      <c r="M20" s="104">
        <f t="shared" si="6"/>
        <v>-878.33333333333337</v>
      </c>
      <c r="N20" s="106">
        <f>SUM(B20:M20)</f>
        <v>-26139.666666666661</v>
      </c>
    </row>
    <row r="21" spans="1:15" x14ac:dyDescent="0.2">
      <c r="A21" s="103" t="s">
        <v>106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>
        <f>SUM(B21:M21)</f>
        <v>0</v>
      </c>
    </row>
    <row r="22" spans="1:15" x14ac:dyDescent="0.2">
      <c r="A22" s="17" t="s">
        <v>122</v>
      </c>
      <c r="B22" s="18">
        <f>-B39</f>
        <v>3333.3333333333335</v>
      </c>
      <c r="C22" s="18">
        <f>-C39</f>
        <v>3333.3333333333335</v>
      </c>
      <c r="D22" s="18">
        <f t="shared" ref="D22:M22" si="7">-D39</f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 x14ac:dyDescent="0.2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 x14ac:dyDescent="0.2">
      <c r="A24" s="103" t="s">
        <v>105</v>
      </c>
      <c r="B24" s="104">
        <f>SUM(B22:B23)</f>
        <v>4500</v>
      </c>
      <c r="C24" s="104">
        <f t="shared" ref="C24:N24" si="9">SUM(C22:C23)</f>
        <v>4500</v>
      </c>
      <c r="D24" s="104">
        <f t="shared" si="9"/>
        <v>4500</v>
      </c>
      <c r="E24" s="104">
        <f t="shared" si="9"/>
        <v>4500</v>
      </c>
      <c r="F24" s="104">
        <f t="shared" si="9"/>
        <v>4500</v>
      </c>
      <c r="G24" s="104">
        <f t="shared" si="9"/>
        <v>4500</v>
      </c>
      <c r="H24" s="104">
        <f t="shared" si="9"/>
        <v>4500</v>
      </c>
      <c r="I24" s="104">
        <f t="shared" si="9"/>
        <v>4500</v>
      </c>
      <c r="J24" s="104">
        <f t="shared" si="9"/>
        <v>4500</v>
      </c>
      <c r="K24" s="104">
        <f t="shared" si="9"/>
        <v>4500</v>
      </c>
      <c r="L24" s="104">
        <f t="shared" si="9"/>
        <v>4500</v>
      </c>
      <c r="M24" s="104">
        <f t="shared" si="9"/>
        <v>4500</v>
      </c>
      <c r="N24" s="104">
        <f t="shared" si="9"/>
        <v>54000</v>
      </c>
    </row>
    <row r="25" spans="1:15" x14ac:dyDescent="0.2">
      <c r="A25" s="17" t="s">
        <v>123</v>
      </c>
      <c r="B25" s="18">
        <f>B50</f>
        <v>-10000</v>
      </c>
      <c r="C25" s="18">
        <f t="shared" ref="C25:M25" si="10">C50</f>
        <v>-10000</v>
      </c>
      <c r="D25" s="18">
        <f t="shared" si="10"/>
        <v>-10000</v>
      </c>
      <c r="E25" s="18">
        <f t="shared" si="10"/>
        <v>-10000</v>
      </c>
      <c r="F25" s="18">
        <f t="shared" si="10"/>
        <v>-10000</v>
      </c>
      <c r="G25" s="18">
        <f t="shared" si="10"/>
        <v>-10000</v>
      </c>
      <c r="H25" s="18">
        <f t="shared" si="10"/>
        <v>-10000</v>
      </c>
      <c r="I25" s="18">
        <f t="shared" si="10"/>
        <v>-10000</v>
      </c>
      <c r="J25" s="18">
        <f t="shared" si="10"/>
        <v>-10000</v>
      </c>
      <c r="K25" s="18">
        <f t="shared" si="10"/>
        <v>-10000</v>
      </c>
      <c r="L25" s="18">
        <f t="shared" si="10"/>
        <v>-10000</v>
      </c>
      <c r="M25" s="18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8">
        <f>+B25*0.45</f>
        <v>-4500</v>
      </c>
      <c r="C26" s="18">
        <f t="shared" ref="C26:N26" si="11">+C25*0.45</f>
        <v>-4500</v>
      </c>
      <c r="D26" s="18">
        <f t="shared" si="11"/>
        <v>-4500</v>
      </c>
      <c r="E26" s="18">
        <f t="shared" si="11"/>
        <v>-4500</v>
      </c>
      <c r="F26" s="18">
        <f t="shared" si="11"/>
        <v>-4500</v>
      </c>
      <c r="G26" s="18">
        <f t="shared" si="11"/>
        <v>-4500</v>
      </c>
      <c r="H26" s="18">
        <f t="shared" si="11"/>
        <v>-4500</v>
      </c>
      <c r="I26" s="18">
        <f t="shared" si="11"/>
        <v>-4500</v>
      </c>
      <c r="J26" s="18">
        <f t="shared" si="11"/>
        <v>-4500</v>
      </c>
      <c r="K26" s="18">
        <f t="shared" si="11"/>
        <v>-4500</v>
      </c>
      <c r="L26" s="18">
        <f t="shared" si="11"/>
        <v>-4500</v>
      </c>
      <c r="M26" s="18">
        <f t="shared" si="11"/>
        <v>-4500</v>
      </c>
      <c r="N26" s="18">
        <f t="shared" si="11"/>
        <v>-54000</v>
      </c>
    </row>
    <row r="27" spans="1:15" x14ac:dyDescent="0.2">
      <c r="A27" s="103" t="s">
        <v>24</v>
      </c>
      <c r="B27" s="104">
        <f>SUM(B25:B26)</f>
        <v>-14500</v>
      </c>
      <c r="C27" s="104">
        <f t="shared" ref="C27:N27" si="12">SUM(C25:C26)</f>
        <v>-14500</v>
      </c>
      <c r="D27" s="104">
        <f t="shared" si="12"/>
        <v>-14500</v>
      </c>
      <c r="E27" s="104">
        <f t="shared" si="12"/>
        <v>-14500</v>
      </c>
      <c r="F27" s="104">
        <f t="shared" si="12"/>
        <v>-14500</v>
      </c>
      <c r="G27" s="104">
        <f t="shared" si="12"/>
        <v>-14500</v>
      </c>
      <c r="H27" s="104">
        <f t="shared" si="12"/>
        <v>-14500</v>
      </c>
      <c r="I27" s="104">
        <f t="shared" si="12"/>
        <v>-14500</v>
      </c>
      <c r="J27" s="104">
        <f t="shared" si="12"/>
        <v>-14500</v>
      </c>
      <c r="K27" s="104">
        <f t="shared" si="12"/>
        <v>-14500</v>
      </c>
      <c r="L27" s="104">
        <f t="shared" si="12"/>
        <v>-14500</v>
      </c>
      <c r="M27" s="104">
        <f t="shared" si="12"/>
        <v>-14500</v>
      </c>
      <c r="N27" s="104">
        <f t="shared" si="12"/>
        <v>-174000</v>
      </c>
    </row>
    <row r="28" spans="1:15" x14ac:dyDescent="0.2">
      <c r="A28" s="17" t="s">
        <v>124</v>
      </c>
      <c r="B28" s="18">
        <f>-Investissements!$K32-Investissements!$K79</f>
        <v>-236.9047619047619</v>
      </c>
      <c r="C28" s="18">
        <f>-Investissements!$K32-Investissements!$K79</f>
        <v>-236.9047619047619</v>
      </c>
      <c r="D28" s="18">
        <f>-Investissements!$K32-Investissements!$K79</f>
        <v>-236.9047619047619</v>
      </c>
      <c r="E28" s="18">
        <f>-Investissements!$K32-Investissements!$K79</f>
        <v>-236.9047619047619</v>
      </c>
      <c r="F28" s="18">
        <f>-Investissements!$K32-Investissements!$K79</f>
        <v>-236.9047619047619</v>
      </c>
      <c r="G28" s="18">
        <f>-Investissements!$K32-Investissements!$K79</f>
        <v>-236.9047619047619</v>
      </c>
      <c r="H28" s="18">
        <f>-Investissements!$K32-Investissements!$K79</f>
        <v>-236.9047619047619</v>
      </c>
      <c r="I28" s="18">
        <f>-Investissements!$K32-Investissements!$K79</f>
        <v>-236.9047619047619</v>
      </c>
      <c r="J28" s="18">
        <f>-Investissements!$K32-Investissements!$K79</f>
        <v>-236.9047619047619</v>
      </c>
      <c r="K28" s="18">
        <f>-Investissements!$K32-Investissements!$K79</f>
        <v>-236.9047619047619</v>
      </c>
      <c r="L28" s="18">
        <f>-Investissements!$K32-Investissements!$K79</f>
        <v>-236.9047619047619</v>
      </c>
      <c r="M28" s="18">
        <f>-Investissements!$K32-Investissements!$K79</f>
        <v>-236.9047619047619</v>
      </c>
      <c r="N28" s="16">
        <f>SUM(B28:M28)</f>
        <v>-2842.8571428571427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-11814.904761904761</v>
      </c>
      <c r="C30" s="39">
        <f t="shared" ref="C30:N30" si="14">C8+C20+C21+C24+C27+C28+C29</f>
        <v>-2315.2380952380959</v>
      </c>
      <c r="D30" s="39">
        <f t="shared" si="14"/>
        <v>18884.761904761908</v>
      </c>
      <c r="E30" s="39">
        <f t="shared" si="14"/>
        <v>-1665.2380952380959</v>
      </c>
      <c r="F30" s="39">
        <f t="shared" si="14"/>
        <v>-1365.2380952380959</v>
      </c>
      <c r="G30" s="39">
        <f t="shared" si="14"/>
        <v>-1115.2380952380959</v>
      </c>
      <c r="H30" s="39">
        <f t="shared" si="14"/>
        <v>-1165.2380952380959</v>
      </c>
      <c r="I30" s="39">
        <f t="shared" si="14"/>
        <v>-1865.2380952380959</v>
      </c>
      <c r="J30" s="39">
        <f t="shared" si="14"/>
        <v>-11115.238095238095</v>
      </c>
      <c r="K30" s="39">
        <f t="shared" si="14"/>
        <v>6834.7619047619064</v>
      </c>
      <c r="L30" s="39">
        <f t="shared" si="14"/>
        <v>8834.7619047619064</v>
      </c>
      <c r="M30" s="39">
        <f t="shared" si="14"/>
        <v>8884.7619047619064</v>
      </c>
      <c r="N30" s="39">
        <f t="shared" si="14"/>
        <v>11017.4761904762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3635.7671428571462</v>
      </c>
    </row>
    <row r="32" spans="1:15" x14ac:dyDescent="0.2">
      <c r="A32" s="14" t="s">
        <v>8</v>
      </c>
      <c r="B32" s="39">
        <f>+B30+B31</f>
        <v>-11814.904761904761</v>
      </c>
      <c r="C32" s="39">
        <f t="shared" ref="C32:M32" si="15">+C30+C31</f>
        <v>-2315.2380952380959</v>
      </c>
      <c r="D32" s="39">
        <f t="shared" si="15"/>
        <v>18884.761904761908</v>
      </c>
      <c r="E32" s="39">
        <f t="shared" si="15"/>
        <v>-1665.2380952380959</v>
      </c>
      <c r="F32" s="39">
        <f t="shared" si="15"/>
        <v>-1365.2380952380959</v>
      </c>
      <c r="G32" s="39">
        <f t="shared" si="15"/>
        <v>-1115.2380952380959</v>
      </c>
      <c r="H32" s="39">
        <f t="shared" si="15"/>
        <v>-1165.2380952380959</v>
      </c>
      <c r="I32" s="39">
        <f t="shared" si="15"/>
        <v>-1865.2380952380959</v>
      </c>
      <c r="J32" s="39">
        <f t="shared" si="15"/>
        <v>-11115.238095238095</v>
      </c>
      <c r="K32" s="39">
        <f t="shared" si="15"/>
        <v>6834.7619047619064</v>
      </c>
      <c r="L32" s="39">
        <f t="shared" si="15"/>
        <v>8834.7619047619064</v>
      </c>
      <c r="M32" s="39">
        <f t="shared" si="15"/>
        <v>8884.7619047619064</v>
      </c>
      <c r="N32" s="39">
        <f>+N30-N31</f>
        <v>7381.7090476190533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217">
        <f>-40000/12</f>
        <v>-3333.3333333333335</v>
      </c>
      <c r="C39" s="217">
        <f t="shared" ref="C39:M39" si="16">-40000/12</f>
        <v>-3333.3333333333335</v>
      </c>
      <c r="D39" s="217">
        <f t="shared" si="16"/>
        <v>-3333.3333333333335</v>
      </c>
      <c r="E39" s="217">
        <f t="shared" si="16"/>
        <v>-3333.3333333333335</v>
      </c>
      <c r="F39" s="217">
        <f t="shared" si="16"/>
        <v>-3333.3333333333335</v>
      </c>
      <c r="G39" s="217">
        <f t="shared" si="16"/>
        <v>-3333.3333333333335</v>
      </c>
      <c r="H39" s="217">
        <f t="shared" si="16"/>
        <v>-3333.3333333333335</v>
      </c>
      <c r="I39" s="217">
        <f t="shared" si="16"/>
        <v>-3333.3333333333335</v>
      </c>
      <c r="J39" s="217">
        <f t="shared" si="16"/>
        <v>-3333.3333333333335</v>
      </c>
      <c r="K39" s="217">
        <f t="shared" si="16"/>
        <v>-3333.3333333333335</v>
      </c>
      <c r="L39" s="217">
        <f t="shared" si="16"/>
        <v>-3333.3333333333335</v>
      </c>
      <c r="M39" s="217">
        <f t="shared" si="16"/>
        <v>-3333.3333333333335</v>
      </c>
      <c r="N39" s="84">
        <f>40000</f>
        <v>40000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78">
        <v>-10000</v>
      </c>
      <c r="C43" s="78">
        <v>-10000</v>
      </c>
      <c r="D43" s="78">
        <v>-10000</v>
      </c>
      <c r="E43" s="78">
        <v>-10000</v>
      </c>
      <c r="F43" s="78">
        <v>-10000</v>
      </c>
      <c r="G43" s="78">
        <v>-10000</v>
      </c>
      <c r="H43" s="78">
        <v>-10000</v>
      </c>
      <c r="I43" s="78">
        <v>-10000</v>
      </c>
      <c r="J43" s="78">
        <v>-10000</v>
      </c>
      <c r="K43" s="78">
        <v>-10000</v>
      </c>
      <c r="L43" s="78">
        <v>-10000</v>
      </c>
      <c r="M43" s="78">
        <v>-10000</v>
      </c>
      <c r="N43" s="81">
        <f>SUM(B43:M43)</f>
        <v>-120000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7">SUM(C42:C49)</f>
        <v>-10000</v>
      </c>
      <c r="D50" s="129">
        <f t="shared" si="17"/>
        <v>-10000</v>
      </c>
      <c r="E50" s="129">
        <f t="shared" si="17"/>
        <v>-10000</v>
      </c>
      <c r="F50" s="129">
        <f t="shared" si="17"/>
        <v>-10000</v>
      </c>
      <c r="G50" s="129">
        <f t="shared" si="17"/>
        <v>-10000</v>
      </c>
      <c r="H50" s="129">
        <f t="shared" si="17"/>
        <v>-10000</v>
      </c>
      <c r="I50" s="129">
        <f t="shared" si="17"/>
        <v>-10000</v>
      </c>
      <c r="J50" s="129">
        <f t="shared" si="17"/>
        <v>-10000</v>
      </c>
      <c r="K50" s="129">
        <f t="shared" si="17"/>
        <v>-10000</v>
      </c>
      <c r="L50" s="129">
        <f t="shared" si="17"/>
        <v>-10000</v>
      </c>
      <c r="M50" s="129">
        <f t="shared" si="17"/>
        <v>-10000</v>
      </c>
      <c r="N50" s="129">
        <f t="shared" si="17"/>
        <v>-120000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K5" sqref="K5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f>140000/11 + 10000</f>
        <v>22727.272727272728</v>
      </c>
      <c r="D4" s="16">
        <f>140000/11 +30000</f>
        <v>42727.272727272728</v>
      </c>
      <c r="E4" s="16">
        <f>140000/11 +10000</f>
        <v>22727.272727272728</v>
      </c>
      <c r="F4" s="16">
        <f>140000/11+10000</f>
        <v>22727.272727272728</v>
      </c>
      <c r="G4" s="16">
        <f>140000/11+10000</f>
        <v>22727.272727272728</v>
      </c>
      <c r="H4" s="16">
        <f>140000/11+10000</f>
        <v>22727.272727272728</v>
      </c>
      <c r="I4" s="16">
        <f>140000/11+10000</f>
        <v>22727.272727272728</v>
      </c>
      <c r="J4" s="16">
        <f t="shared" ref="D4:M4" si="0">140000/11</f>
        <v>12727.272727272728</v>
      </c>
      <c r="K4" s="16">
        <f>140000/11+20000</f>
        <v>32727.272727272728</v>
      </c>
      <c r="L4" s="16">
        <f>140000/11+20000</f>
        <v>32727.272727272728</v>
      </c>
      <c r="M4" s="16">
        <f>140000/11+20000</f>
        <v>32727.272727272728</v>
      </c>
      <c r="N4" s="16">
        <f>SUM(B4:M4)</f>
        <v>300000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1">SUM(C4:C7)</f>
        <v>22727.272727272728</v>
      </c>
      <c r="D8" s="39">
        <f t="shared" si="1"/>
        <v>42727.272727272728</v>
      </c>
      <c r="E8" s="39">
        <f t="shared" si="1"/>
        <v>22727.272727272728</v>
      </c>
      <c r="F8" s="39">
        <f t="shared" si="1"/>
        <v>22727.272727272728</v>
      </c>
      <c r="G8" s="39">
        <f t="shared" si="1"/>
        <v>22727.272727272728</v>
      </c>
      <c r="H8" s="39">
        <f t="shared" si="1"/>
        <v>22727.272727272728</v>
      </c>
      <c r="I8" s="39">
        <f t="shared" si="1"/>
        <v>22727.272727272728</v>
      </c>
      <c r="J8" s="39">
        <f t="shared" si="1"/>
        <v>12727.272727272728</v>
      </c>
      <c r="K8" s="39">
        <f t="shared" si="1"/>
        <v>32727.272727272728</v>
      </c>
      <c r="L8" s="39">
        <f t="shared" si="1"/>
        <v>32727.272727272728</v>
      </c>
      <c r="M8" s="39">
        <f t="shared" si="1"/>
        <v>32727.272727272728</v>
      </c>
      <c r="N8" s="39">
        <f t="shared" si="1"/>
        <v>300000</v>
      </c>
    </row>
    <row r="9" spans="1:14" x14ac:dyDescent="0.2">
      <c r="A9" s="14" t="s">
        <v>74</v>
      </c>
      <c r="B9" s="75">
        <f t="shared" ref="B9:G9" si="2">+B8/B4</f>
        <v>1</v>
      </c>
      <c r="C9" s="75">
        <f t="shared" si="2"/>
        <v>1</v>
      </c>
      <c r="D9" s="75">
        <f t="shared" si="2"/>
        <v>1</v>
      </c>
      <c r="E9" s="75">
        <f t="shared" si="2"/>
        <v>1</v>
      </c>
      <c r="F9" s="75">
        <f t="shared" si="2"/>
        <v>1</v>
      </c>
      <c r="G9" s="75">
        <f t="shared" si="2"/>
        <v>1</v>
      </c>
      <c r="H9" s="75">
        <f t="shared" ref="H9:M9" si="3">+H8/H4</f>
        <v>1</v>
      </c>
      <c r="I9" s="75">
        <f t="shared" si="3"/>
        <v>1</v>
      </c>
      <c r="J9" s="75">
        <f t="shared" si="3"/>
        <v>1</v>
      </c>
      <c r="K9" s="75">
        <f t="shared" si="3"/>
        <v>1</v>
      </c>
      <c r="L9" s="75">
        <f t="shared" si="3"/>
        <v>1</v>
      </c>
      <c r="M9" s="75">
        <f t="shared" si="3"/>
        <v>1</v>
      </c>
      <c r="N9" s="75">
        <f>+N8/N4</f>
        <v>1</v>
      </c>
    </row>
    <row r="10" spans="1:14" x14ac:dyDescent="0.2">
      <c r="A10" s="17" t="s">
        <v>116</v>
      </c>
      <c r="B10" s="140">
        <v>-500</v>
      </c>
      <c r="C10" s="140">
        <v>-500</v>
      </c>
      <c r="D10" s="140">
        <v>-500</v>
      </c>
      <c r="E10" s="140">
        <v>-500</v>
      </c>
      <c r="F10" s="140">
        <v>-500</v>
      </c>
      <c r="G10" s="140">
        <v>-500</v>
      </c>
      <c r="H10" s="140">
        <v>-500</v>
      </c>
      <c r="I10" s="140">
        <v>-500</v>
      </c>
      <c r="J10" s="140">
        <v>-500</v>
      </c>
      <c r="K10" s="140">
        <v>-500</v>
      </c>
      <c r="L10" s="140">
        <v>-500</v>
      </c>
      <c r="M10" s="140">
        <v>-500</v>
      </c>
      <c r="N10" s="16">
        <f>SUM(B10:M10)</f>
        <v>-6000</v>
      </c>
    </row>
    <row r="11" spans="1:14" x14ac:dyDescent="0.2">
      <c r="A11" s="141" t="s">
        <v>162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6">
        <f>SUM(B11:M11)</f>
        <v>-6000</v>
      </c>
    </row>
    <row r="12" spans="1:14" x14ac:dyDescent="0.2">
      <c r="A12" s="17" t="s">
        <v>117</v>
      </c>
      <c r="B12" s="140"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16">
        <f t="shared" ref="N12:N19" si="4">SUM(B12:M12)</f>
        <v>-200</v>
      </c>
    </row>
    <row r="13" spans="1:14" x14ac:dyDescent="0.2">
      <c r="A13" s="133" t="str">
        <f>+'CR ANNEE 2'!A13</f>
        <v>Fournitures et consommables (-)</v>
      </c>
      <c r="B13" s="140">
        <v>-200</v>
      </c>
      <c r="C13" s="140">
        <v>0</v>
      </c>
      <c r="D13" s="140">
        <v>0</v>
      </c>
      <c r="E13" s="140">
        <v>-75</v>
      </c>
      <c r="F13" s="140">
        <v>0</v>
      </c>
      <c r="G13" s="140">
        <v>0</v>
      </c>
      <c r="H13" s="140">
        <v>0</v>
      </c>
      <c r="I13" s="140">
        <v>-100</v>
      </c>
      <c r="J13" s="140">
        <v>0</v>
      </c>
      <c r="K13" s="140">
        <v>0</v>
      </c>
      <c r="L13" s="140">
        <v>-50</v>
      </c>
      <c r="M13" s="140">
        <v>0</v>
      </c>
      <c r="N13" s="16">
        <f t="shared" si="4"/>
        <v>-425</v>
      </c>
    </row>
    <row r="14" spans="1:14" x14ac:dyDescent="0.2">
      <c r="A14" s="133" t="str">
        <f>+'CR ANNEE 2'!A14</f>
        <v>Electricité (-) **</v>
      </c>
      <c r="B14" s="140">
        <v>-30</v>
      </c>
      <c r="C14" s="140">
        <v>-30</v>
      </c>
      <c r="D14" s="140">
        <v>-30</v>
      </c>
      <c r="E14" s="140">
        <v>-30</v>
      </c>
      <c r="F14" s="140">
        <v>-30</v>
      </c>
      <c r="G14" s="140">
        <v>-30</v>
      </c>
      <c r="H14" s="140">
        <v>-30</v>
      </c>
      <c r="I14" s="140">
        <v>-30</v>
      </c>
      <c r="J14" s="140">
        <v>-30</v>
      </c>
      <c r="K14" s="140">
        <v>-30</v>
      </c>
      <c r="L14" s="140">
        <v>-30</v>
      </c>
      <c r="M14" s="140">
        <v>-30</v>
      </c>
      <c r="N14" s="16">
        <f t="shared" si="4"/>
        <v>-360</v>
      </c>
    </row>
    <row r="15" spans="1:14" x14ac:dyDescent="0.2">
      <c r="A15" s="133" t="str">
        <f>+'CR ANNEE 2'!A15</f>
        <v>Intérim (-)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v>-208</v>
      </c>
      <c r="D16" s="140">
        <v>-208</v>
      </c>
      <c r="E16" s="140">
        <v>-208</v>
      </c>
      <c r="F16" s="140">
        <v>-208</v>
      </c>
      <c r="G16" s="140">
        <v>-208</v>
      </c>
      <c r="H16" s="140">
        <v>-208</v>
      </c>
      <c r="I16" s="140">
        <v>-208</v>
      </c>
      <c r="J16" s="140">
        <v>-208</v>
      </c>
      <c r="K16" s="140">
        <v>-208</v>
      </c>
      <c r="L16" s="140">
        <v>-208</v>
      </c>
      <c r="M16" s="140">
        <v>-208</v>
      </c>
      <c r="N16" s="16">
        <f t="shared" si="4"/>
        <v>-2996</v>
      </c>
    </row>
    <row r="17" spans="1:15" x14ac:dyDescent="0.2">
      <c r="A17" s="17" t="s">
        <v>119</v>
      </c>
      <c r="B17" s="140">
        <v>-80</v>
      </c>
      <c r="C17" s="140">
        <v>-80</v>
      </c>
      <c r="D17" s="140">
        <v>-80</v>
      </c>
      <c r="E17" s="140">
        <v>-80</v>
      </c>
      <c r="F17" s="140">
        <v>-80</v>
      </c>
      <c r="G17" s="140">
        <v>-80</v>
      </c>
      <c r="H17" s="140">
        <v>-80</v>
      </c>
      <c r="I17" s="140">
        <v>-80</v>
      </c>
      <c r="J17" s="140">
        <v>-80</v>
      </c>
      <c r="K17" s="140">
        <v>-80</v>
      </c>
      <c r="L17" s="140">
        <v>-80</v>
      </c>
      <c r="M17" s="140">
        <v>-80</v>
      </c>
      <c r="N17" s="16">
        <f t="shared" si="4"/>
        <v>-960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-833.33333333333303</v>
      </c>
      <c r="C19" s="140">
        <v>-833.33333333333303</v>
      </c>
      <c r="D19" s="140">
        <v>-833.33333333333303</v>
      </c>
      <c r="E19" s="140">
        <v>-833.33333333333303</v>
      </c>
      <c r="F19" s="140">
        <v>-833.33333333333303</v>
      </c>
      <c r="G19" s="140">
        <v>-833.33333333333303</v>
      </c>
      <c r="H19" s="140">
        <v>-833.33333333333303</v>
      </c>
      <c r="I19" s="140">
        <v>-833.33333333333303</v>
      </c>
      <c r="J19" s="140">
        <v>-833.33333333333303</v>
      </c>
      <c r="K19" s="140">
        <v>-833.33333333333303</v>
      </c>
      <c r="L19" s="140">
        <v>-833.33333333333303</v>
      </c>
      <c r="M19" s="140">
        <v>-833.33333333333303</v>
      </c>
      <c r="N19" s="16">
        <f t="shared" si="4"/>
        <v>-9999.9999999999964</v>
      </c>
    </row>
    <row r="20" spans="1:15" x14ac:dyDescent="0.2">
      <c r="A20" s="103" t="s">
        <v>23</v>
      </c>
      <c r="B20" s="211">
        <f>SUM(B10:B19)</f>
        <v>-8501.3333333333321</v>
      </c>
      <c r="C20" s="211">
        <f t="shared" ref="C20:M20" si="5">SUM(C10:C19)</f>
        <v>-1751.333333333333</v>
      </c>
      <c r="D20" s="211">
        <f t="shared" si="5"/>
        <v>-1751.333333333333</v>
      </c>
      <c r="E20" s="211">
        <f t="shared" si="5"/>
        <v>-1876.333333333333</v>
      </c>
      <c r="F20" s="211">
        <f t="shared" si="5"/>
        <v>-1751.333333333333</v>
      </c>
      <c r="G20" s="211">
        <f t="shared" si="5"/>
        <v>-1751.333333333333</v>
      </c>
      <c r="H20" s="211">
        <f t="shared" si="5"/>
        <v>-1801.333333333333</v>
      </c>
      <c r="I20" s="211">
        <f t="shared" si="5"/>
        <v>-1851.333333333333</v>
      </c>
      <c r="J20" s="211">
        <f t="shared" si="5"/>
        <v>-1751.333333333333</v>
      </c>
      <c r="K20" s="211">
        <f t="shared" si="5"/>
        <v>-1801.333333333333</v>
      </c>
      <c r="L20" s="211">
        <f t="shared" si="5"/>
        <v>-1801.333333333333</v>
      </c>
      <c r="M20" s="211">
        <f t="shared" si="5"/>
        <v>-1751.333333333333</v>
      </c>
      <c r="N20" s="106">
        <f>SUM(B20:M20)</f>
        <v>-28140.999999999985</v>
      </c>
    </row>
    <row r="21" spans="1:15" x14ac:dyDescent="0.2">
      <c r="A21" s="103" t="s">
        <v>106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104">
        <f>SUM(B21:M21)</f>
        <v>0</v>
      </c>
    </row>
    <row r="22" spans="1:15" x14ac:dyDescent="0.2">
      <c r="A22" s="17" t="s">
        <v>122</v>
      </c>
      <c r="B22" s="140">
        <f>B39</f>
        <v>-3333.3333333333298</v>
      </c>
      <c r="C22" s="140">
        <f t="shared" ref="C22:M22" si="6">C39</f>
        <v>-3333.3333333333298</v>
      </c>
      <c r="D22" s="140">
        <f t="shared" si="6"/>
        <v>-3333.3333333333298</v>
      </c>
      <c r="E22" s="140">
        <f t="shared" si="6"/>
        <v>-3333.3333333333298</v>
      </c>
      <c r="F22" s="140">
        <f t="shared" si="6"/>
        <v>-3333.3333333333298</v>
      </c>
      <c r="G22" s="140">
        <f t="shared" si="6"/>
        <v>-3333.3333333333298</v>
      </c>
      <c r="H22" s="140">
        <f t="shared" si="6"/>
        <v>-3333.3333333333298</v>
      </c>
      <c r="I22" s="140">
        <f t="shared" si="6"/>
        <v>-3333.3333333333298</v>
      </c>
      <c r="J22" s="140">
        <f t="shared" si="6"/>
        <v>-3333.3333333333298</v>
      </c>
      <c r="K22" s="140">
        <f t="shared" si="6"/>
        <v>-3333.3333333333298</v>
      </c>
      <c r="L22" s="140">
        <f t="shared" si="6"/>
        <v>-3333.3333333333298</v>
      </c>
      <c r="M22" s="140">
        <f t="shared" si="6"/>
        <v>-3333.3333333333298</v>
      </c>
      <c r="N22" s="16">
        <f>SUM(B22:M22)</f>
        <v>-39999.999999999949</v>
      </c>
    </row>
    <row r="23" spans="1:15" x14ac:dyDescent="0.2">
      <c r="A23" s="17" t="s">
        <v>142</v>
      </c>
      <c r="B23" s="140">
        <f>+B22*0.35</f>
        <v>-1166.6666666666654</v>
      </c>
      <c r="C23" s="140">
        <f t="shared" ref="C23:M23" si="7">+C22*0.35</f>
        <v>-1166.6666666666654</v>
      </c>
      <c r="D23" s="140">
        <f t="shared" si="7"/>
        <v>-1166.6666666666654</v>
      </c>
      <c r="E23" s="140">
        <f t="shared" si="7"/>
        <v>-1166.6666666666654</v>
      </c>
      <c r="F23" s="140">
        <f t="shared" si="7"/>
        <v>-1166.6666666666654</v>
      </c>
      <c r="G23" s="140">
        <f t="shared" si="7"/>
        <v>-1166.6666666666654</v>
      </c>
      <c r="H23" s="140">
        <f t="shared" si="7"/>
        <v>-1166.6666666666654</v>
      </c>
      <c r="I23" s="140">
        <f t="shared" si="7"/>
        <v>-1166.6666666666654</v>
      </c>
      <c r="J23" s="140">
        <f t="shared" si="7"/>
        <v>-1166.6666666666654</v>
      </c>
      <c r="K23" s="140">
        <f t="shared" si="7"/>
        <v>-1166.6666666666654</v>
      </c>
      <c r="L23" s="140">
        <f t="shared" si="7"/>
        <v>-1166.6666666666654</v>
      </c>
      <c r="M23" s="140">
        <f t="shared" si="7"/>
        <v>-1166.6666666666654</v>
      </c>
      <c r="N23" s="18">
        <f t="shared" ref="N23" si="8">+N22*0.35</f>
        <v>-13999.999999999982</v>
      </c>
    </row>
    <row r="24" spans="1:15" x14ac:dyDescent="0.2">
      <c r="A24" s="103" t="s">
        <v>105</v>
      </c>
      <c r="B24" s="211">
        <f>SUM(B22:B23)</f>
        <v>-4499.9999999999955</v>
      </c>
      <c r="C24" s="211">
        <f t="shared" ref="C24:M24" si="9">SUM(C22:C23)</f>
        <v>-4499.9999999999955</v>
      </c>
      <c r="D24" s="211">
        <f t="shared" si="9"/>
        <v>-4499.9999999999955</v>
      </c>
      <c r="E24" s="211">
        <f t="shared" si="9"/>
        <v>-4499.9999999999955</v>
      </c>
      <c r="F24" s="211">
        <f t="shared" si="9"/>
        <v>-4499.9999999999955</v>
      </c>
      <c r="G24" s="211">
        <f t="shared" si="9"/>
        <v>-4499.9999999999955</v>
      </c>
      <c r="H24" s="211">
        <f t="shared" si="9"/>
        <v>-4499.9999999999955</v>
      </c>
      <c r="I24" s="211">
        <f t="shared" si="9"/>
        <v>-4499.9999999999955</v>
      </c>
      <c r="J24" s="211">
        <f t="shared" si="9"/>
        <v>-4499.9999999999955</v>
      </c>
      <c r="K24" s="211">
        <f t="shared" si="9"/>
        <v>-4499.9999999999955</v>
      </c>
      <c r="L24" s="211">
        <f t="shared" si="9"/>
        <v>-4499.9999999999955</v>
      </c>
      <c r="M24" s="211">
        <f t="shared" si="9"/>
        <v>-4499.9999999999955</v>
      </c>
      <c r="N24" s="104">
        <f t="shared" ref="N24" si="10">SUM(N22:N23)</f>
        <v>-53999.999999999927</v>
      </c>
    </row>
    <row r="25" spans="1:15" x14ac:dyDescent="0.2">
      <c r="A25" s="17" t="s">
        <v>123</v>
      </c>
      <c r="B25" s="140">
        <f>B50</f>
        <v>-10000</v>
      </c>
      <c r="C25" s="140">
        <f t="shared" ref="C25:M25" si="11">C50</f>
        <v>-10000</v>
      </c>
      <c r="D25" s="140">
        <f t="shared" si="11"/>
        <v>-10000</v>
      </c>
      <c r="E25" s="140">
        <f t="shared" si="11"/>
        <v>-10000</v>
      </c>
      <c r="F25" s="140">
        <f t="shared" si="11"/>
        <v>-10000</v>
      </c>
      <c r="G25" s="140">
        <f t="shared" si="11"/>
        <v>-10000</v>
      </c>
      <c r="H25" s="140">
        <f t="shared" si="11"/>
        <v>-10000</v>
      </c>
      <c r="I25" s="140">
        <f t="shared" si="11"/>
        <v>-10000</v>
      </c>
      <c r="J25" s="140">
        <f t="shared" si="11"/>
        <v>-10000</v>
      </c>
      <c r="K25" s="140">
        <f t="shared" si="11"/>
        <v>-10000</v>
      </c>
      <c r="L25" s="140">
        <f t="shared" si="11"/>
        <v>-10000</v>
      </c>
      <c r="M25" s="140">
        <f t="shared" si="11"/>
        <v>-10000</v>
      </c>
      <c r="N25" s="16">
        <f>SUM(B25:M25)</f>
        <v>-120000</v>
      </c>
    </row>
    <row r="26" spans="1:15" x14ac:dyDescent="0.2">
      <c r="A26" s="17" t="s">
        <v>143</v>
      </c>
      <c r="B26" s="140">
        <f>+B25*0.45</f>
        <v>-4500</v>
      </c>
      <c r="C26" s="140">
        <f t="shared" ref="C26:M26" si="12">+C25*0.45</f>
        <v>-4500</v>
      </c>
      <c r="D26" s="140">
        <f t="shared" si="12"/>
        <v>-4500</v>
      </c>
      <c r="E26" s="140">
        <f t="shared" si="12"/>
        <v>-4500</v>
      </c>
      <c r="F26" s="140">
        <f t="shared" si="12"/>
        <v>-4500</v>
      </c>
      <c r="G26" s="140">
        <f t="shared" si="12"/>
        <v>-4500</v>
      </c>
      <c r="H26" s="140">
        <f t="shared" si="12"/>
        <v>-4500</v>
      </c>
      <c r="I26" s="140">
        <f t="shared" si="12"/>
        <v>-4500</v>
      </c>
      <c r="J26" s="140">
        <f t="shared" si="12"/>
        <v>-4500</v>
      </c>
      <c r="K26" s="140">
        <f t="shared" si="12"/>
        <v>-4500</v>
      </c>
      <c r="L26" s="140">
        <f t="shared" si="12"/>
        <v>-4500</v>
      </c>
      <c r="M26" s="140">
        <f t="shared" si="12"/>
        <v>-4500</v>
      </c>
      <c r="N26" s="18">
        <f t="shared" ref="N26" si="13">+N25*0.45</f>
        <v>-54000</v>
      </c>
    </row>
    <row r="27" spans="1:15" x14ac:dyDescent="0.2">
      <c r="A27" s="103" t="s">
        <v>24</v>
      </c>
      <c r="B27" s="211">
        <f>SUM(B25:B26)</f>
        <v>-14500</v>
      </c>
      <c r="C27" s="211">
        <f t="shared" ref="C27:M27" si="14">SUM(C25:C26)</f>
        <v>-14500</v>
      </c>
      <c r="D27" s="211">
        <f t="shared" si="14"/>
        <v>-14500</v>
      </c>
      <c r="E27" s="211">
        <f t="shared" si="14"/>
        <v>-14500</v>
      </c>
      <c r="F27" s="211">
        <f t="shared" si="14"/>
        <v>-14500</v>
      </c>
      <c r="G27" s="211">
        <f t="shared" si="14"/>
        <v>-14500</v>
      </c>
      <c r="H27" s="211">
        <f t="shared" si="14"/>
        <v>-14500</v>
      </c>
      <c r="I27" s="211">
        <f t="shared" si="14"/>
        <v>-14500</v>
      </c>
      <c r="J27" s="211">
        <f t="shared" si="14"/>
        <v>-14500</v>
      </c>
      <c r="K27" s="211">
        <f t="shared" si="14"/>
        <v>-14500</v>
      </c>
      <c r="L27" s="211">
        <f t="shared" si="14"/>
        <v>-14500</v>
      </c>
      <c r="M27" s="211">
        <f t="shared" si="14"/>
        <v>-14500</v>
      </c>
      <c r="N27" s="104">
        <f t="shared" ref="N27" si="15">SUM(N25:N26)</f>
        <v>-174000</v>
      </c>
    </row>
    <row r="28" spans="1:15" x14ac:dyDescent="0.2">
      <c r="A28" s="17" t="s">
        <v>124</v>
      </c>
      <c r="B28" s="140">
        <f>-[2]Investissements!$L32-[2]Investissements!$L79-[2]Investissements!$L111</f>
        <v>-58.333333333333336</v>
      </c>
      <c r="C28" s="140">
        <f>-[2]Investissements!$L32-[2]Investissements!$L79-[2]Investissements!$L111</f>
        <v>-58.333333333333336</v>
      </c>
      <c r="D28" s="140">
        <f>-[2]Investissements!$L32-[2]Investissements!$L79-[2]Investissements!$L111</f>
        <v>-58.333333333333336</v>
      </c>
      <c r="E28" s="140">
        <f>-[2]Investissements!$L32-[2]Investissements!$L79-[2]Investissements!$L111</f>
        <v>-58.333333333333336</v>
      </c>
      <c r="F28" s="140">
        <f>-[2]Investissements!$L32-[2]Investissements!$L79-[2]Investissements!$L111</f>
        <v>-58.333333333333336</v>
      </c>
      <c r="G28" s="140">
        <f>-[2]Investissements!$L32-[2]Investissements!$L79-[2]Investissements!$L111</f>
        <v>-58.333333333333336</v>
      </c>
      <c r="H28" s="140">
        <f>-[2]Investissements!$L32-[2]Investissements!$L79-[2]Investissements!$L111</f>
        <v>-58.333333333333336</v>
      </c>
      <c r="I28" s="140">
        <f>-[2]Investissements!$L32-[2]Investissements!$L79-[2]Investissements!$L111</f>
        <v>-58.333333333333336</v>
      </c>
      <c r="J28" s="140">
        <f>-[2]Investissements!$L32-[2]Investissements!$L79-[2]Investissements!$L111</f>
        <v>-58.333333333333336</v>
      </c>
      <c r="K28" s="140">
        <f>-[2]Investissements!$L32-[2]Investissements!$L79-[2]Investissements!$L111</f>
        <v>-58.333333333333336</v>
      </c>
      <c r="L28" s="140">
        <f>-[2]Investissements!$L32-[2]Investissements!$L79-[2]Investissements!$L111</f>
        <v>-58.333333333333336</v>
      </c>
      <c r="M28" s="140">
        <f>-[2]Investissements!$L32-[2]Investissements!$L79-[2]Investissements!$L111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40">
        <f>-[2]Emprunts!D24/12</f>
        <v>0</v>
      </c>
      <c r="C29" s="140">
        <f t="shared" ref="C29:M29" si="16">+B29</f>
        <v>0</v>
      </c>
      <c r="D29" s="140">
        <f t="shared" si="16"/>
        <v>0</v>
      </c>
      <c r="E29" s="140">
        <f t="shared" si="16"/>
        <v>0</v>
      </c>
      <c r="F29" s="140">
        <f t="shared" si="16"/>
        <v>0</v>
      </c>
      <c r="G29" s="140">
        <f t="shared" si="16"/>
        <v>0</v>
      </c>
      <c r="H29" s="140">
        <f t="shared" si="16"/>
        <v>0</v>
      </c>
      <c r="I29" s="140">
        <f t="shared" si="16"/>
        <v>0</v>
      </c>
      <c r="J29" s="140">
        <f t="shared" si="16"/>
        <v>0</v>
      </c>
      <c r="K29" s="140">
        <f t="shared" si="16"/>
        <v>0</v>
      </c>
      <c r="L29" s="140">
        <f t="shared" si="16"/>
        <v>0</v>
      </c>
      <c r="M29" s="140">
        <f t="shared" si="16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-17559.666666666661</v>
      </c>
      <c r="C30" s="39">
        <f t="shared" ref="C30:N30" si="17">C8+C20+C21+C24+C27+C28+C29</f>
        <v>1917.6060606060662</v>
      </c>
      <c r="D30" s="39">
        <f t="shared" si="17"/>
        <v>21917.606060606067</v>
      </c>
      <c r="E30" s="39">
        <f t="shared" si="17"/>
        <v>1792.6060606060662</v>
      </c>
      <c r="F30" s="39">
        <f t="shared" si="17"/>
        <v>1917.6060606060662</v>
      </c>
      <c r="G30" s="39">
        <f t="shared" si="17"/>
        <v>1917.6060606060662</v>
      </c>
      <c r="H30" s="39">
        <f t="shared" si="17"/>
        <v>1867.6060606060662</v>
      </c>
      <c r="I30" s="39">
        <f t="shared" si="17"/>
        <v>1817.6060606060662</v>
      </c>
      <c r="J30" s="39">
        <f t="shared" si="17"/>
        <v>-8082.3939393939327</v>
      </c>
      <c r="K30" s="39">
        <f t="shared" si="17"/>
        <v>11867.606060606066</v>
      </c>
      <c r="L30" s="39">
        <f t="shared" si="17"/>
        <v>11867.606060606066</v>
      </c>
      <c r="M30" s="39">
        <f t="shared" si="17"/>
        <v>11917.606060606066</v>
      </c>
      <c r="N30" s="39">
        <f t="shared" si="17"/>
        <v>43159.000000000058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14242.470000000019</v>
      </c>
    </row>
    <row r="32" spans="1:15" x14ac:dyDescent="0.2">
      <c r="A32" s="14" t="s">
        <v>8</v>
      </c>
      <c r="B32" s="39">
        <f>+B30+B31</f>
        <v>-17559.666666666661</v>
      </c>
      <c r="C32" s="39">
        <f t="shared" ref="C32:M32" si="18">+C30+C31</f>
        <v>1917.6060606060662</v>
      </c>
      <c r="D32" s="39">
        <f t="shared" si="18"/>
        <v>21917.606060606067</v>
      </c>
      <c r="E32" s="39">
        <f t="shared" si="18"/>
        <v>1792.6060606060662</v>
      </c>
      <c r="F32" s="39">
        <f t="shared" si="18"/>
        <v>1917.6060606060662</v>
      </c>
      <c r="G32" s="39">
        <f t="shared" si="18"/>
        <v>1917.6060606060662</v>
      </c>
      <c r="H32" s="39">
        <f t="shared" si="18"/>
        <v>1867.6060606060662</v>
      </c>
      <c r="I32" s="39">
        <f t="shared" si="18"/>
        <v>1817.6060606060662</v>
      </c>
      <c r="J32" s="39">
        <f t="shared" si="18"/>
        <v>-8082.3939393939327</v>
      </c>
      <c r="K32" s="39">
        <f t="shared" si="18"/>
        <v>11867.606060606066</v>
      </c>
      <c r="L32" s="39">
        <f t="shared" si="18"/>
        <v>11867.606060606066</v>
      </c>
      <c r="M32" s="39">
        <f t="shared" si="18"/>
        <v>11917.606060606066</v>
      </c>
      <c r="N32" s="39">
        <f>+N30-N31</f>
        <v>28916.530000000039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ht="13.5" thickBot="1" x14ac:dyDescent="0.25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-3333.3333333333298</v>
      </c>
      <c r="C39" s="83">
        <v>-3333.3333333333298</v>
      </c>
      <c r="D39" s="83">
        <v>-3333.3333333333298</v>
      </c>
      <c r="E39" s="83">
        <v>-3333.3333333333298</v>
      </c>
      <c r="F39" s="83">
        <v>-3333.3333333333298</v>
      </c>
      <c r="G39" s="83">
        <v>-3333.3333333333298</v>
      </c>
      <c r="H39" s="83">
        <v>-3333.3333333333298</v>
      </c>
      <c r="I39" s="83">
        <v>-3333.3333333333298</v>
      </c>
      <c r="J39" s="83">
        <v>-3333.3333333333298</v>
      </c>
      <c r="K39" s="83">
        <v>-3333.3333333333298</v>
      </c>
      <c r="L39" s="83">
        <v>-3333.3333333333298</v>
      </c>
      <c r="M39" s="83">
        <v>-3333.3333333333298</v>
      </c>
      <c r="N39" s="119">
        <f>SUM(B39:M39)</f>
        <v>-39999.999999999949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ht="13.5" thickBot="1" x14ac:dyDescent="0.25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218">
        <v>-10000</v>
      </c>
      <c r="C43" s="218">
        <v>-10000</v>
      </c>
      <c r="D43" s="218">
        <v>-10000</v>
      </c>
      <c r="E43" s="218">
        <v>-10000</v>
      </c>
      <c r="F43" s="218">
        <v>-10000</v>
      </c>
      <c r="G43" s="218">
        <v>-10000</v>
      </c>
      <c r="H43" s="218">
        <v>-10000</v>
      </c>
      <c r="I43" s="218">
        <v>-10000</v>
      </c>
      <c r="J43" s="218">
        <v>-10000</v>
      </c>
      <c r="K43" s="218">
        <v>-10000</v>
      </c>
      <c r="L43" s="218">
        <v>-10000</v>
      </c>
      <c r="M43" s="218">
        <v>-10000</v>
      </c>
      <c r="N43" s="119">
        <f>SUM(B43:M43)</f>
        <v>-120000</v>
      </c>
    </row>
    <row r="44" spans="1:14" x14ac:dyDescent="0.2">
      <c r="A44" s="124" t="s">
        <v>153</v>
      </c>
      <c r="B44" s="78"/>
      <c r="C44" s="78"/>
      <c r="D44" s="78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9">SUM(C42:C49)</f>
        <v>-10000</v>
      </c>
      <c r="D50" s="129">
        <f t="shared" si="19"/>
        <v>-10000</v>
      </c>
      <c r="E50" s="129">
        <f t="shared" si="19"/>
        <v>-10000</v>
      </c>
      <c r="F50" s="129">
        <f t="shared" si="19"/>
        <v>-10000</v>
      </c>
      <c r="G50" s="129">
        <f t="shared" si="19"/>
        <v>-10000</v>
      </c>
      <c r="H50" s="129">
        <f t="shared" si="19"/>
        <v>-10000</v>
      </c>
      <c r="I50" s="129">
        <f t="shared" si="19"/>
        <v>-10000</v>
      </c>
      <c r="J50" s="129">
        <f t="shared" si="19"/>
        <v>-10000</v>
      </c>
      <c r="K50" s="129">
        <f t="shared" si="19"/>
        <v>-10000</v>
      </c>
      <c r="L50" s="129">
        <f t="shared" si="19"/>
        <v>-10000</v>
      </c>
      <c r="M50" s="129">
        <f t="shared" si="19"/>
        <v>-10000</v>
      </c>
      <c r="N50" s="129">
        <f t="shared" si="19"/>
        <v>-120000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0"/>
      <c r="C2" s="130"/>
      <c r="D2" s="130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30010</v>
      </c>
      <c r="C4" s="18">
        <f>'CR ANNEE 2'!N4</f>
        <v>160000</v>
      </c>
      <c r="D4" s="18">
        <f>'CR ANNEE 3'!N4</f>
        <v>300000</v>
      </c>
    </row>
    <row r="5" spans="1:25" s="3" customFormat="1" ht="15.95" customHeight="1" x14ac:dyDescent="0.2">
      <c r="A5" s="108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7" customFormat="1" ht="15.95" customHeight="1" x14ac:dyDescent="0.2">
      <c r="A8" s="14" t="s">
        <v>73</v>
      </c>
      <c r="B8" s="131">
        <f>'CR ANNEE 1'!N8</f>
        <v>30010</v>
      </c>
      <c r="C8" s="131">
        <f>'CR ANNEE 2'!N8</f>
        <v>160000</v>
      </c>
      <c r="D8" s="131">
        <f>'CR ANNEE 3'!N8</f>
        <v>300000</v>
      </c>
    </row>
    <row r="9" spans="1:25" s="4" customFormat="1" ht="15.95" customHeight="1" x14ac:dyDescent="0.2">
      <c r="A9" s="14" t="s">
        <v>74</v>
      </c>
      <c r="B9" s="132">
        <f>'CR ANNEE 1'!N9</f>
        <v>1</v>
      </c>
      <c r="C9" s="131">
        <f>'CR ANNEE 2'!N9</f>
        <v>1</v>
      </c>
      <c r="D9" s="131">
        <f>'CR ANNEE 3'!N9</f>
        <v>1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1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3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3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3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-500</v>
      </c>
      <c r="C18" s="18">
        <f>'CR ANNEE 2'!N18</f>
        <v>-1200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-8600</v>
      </c>
      <c r="D19" s="18">
        <f>'CR ANNEE 3'!N19</f>
        <v>-9999.9999999999964</v>
      </c>
    </row>
    <row r="20" spans="1:31" ht="15.95" customHeight="1" x14ac:dyDescent="0.2">
      <c r="A20" s="103" t="s">
        <v>23</v>
      </c>
      <c r="B20" s="103">
        <f>'CR ANNEE 1'!N20</f>
        <v>-13054.666666666672</v>
      </c>
      <c r="C20" s="103">
        <f>'CR ANNEE 2'!N20</f>
        <v>-26139.666666666661</v>
      </c>
      <c r="D20" s="103">
        <f>'CR ANNEE 3'!N20</f>
        <v>-28140.999999999985</v>
      </c>
    </row>
    <row r="21" spans="1:31" ht="15.95" customHeight="1" x14ac:dyDescent="0.2">
      <c r="A21" s="103" t="s">
        <v>106</v>
      </c>
      <c r="B21" s="103">
        <f>'CR ANNEE 1'!N21</f>
        <v>-200</v>
      </c>
      <c r="C21" s="103">
        <f>'CR ANNEE 2'!N21</f>
        <v>0</v>
      </c>
      <c r="D21" s="103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-39999.999999999949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-13999.999999999982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3" t="s">
        <v>105</v>
      </c>
      <c r="B24" s="103">
        <f>'CR ANNEE 1'!N24</f>
        <v>0</v>
      </c>
      <c r="C24" s="103">
        <f>'CR ANNEE 2'!N24</f>
        <v>54000</v>
      </c>
      <c r="D24" s="103">
        <f>'CR ANNEE 3'!N24</f>
        <v>-53999.999999999927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-120000</v>
      </c>
      <c r="D25" s="18">
        <f>'CR ANNEE 3'!N25</f>
        <v>-120000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-54000</v>
      </c>
      <c r="D26" s="18">
        <f>'CR ANNEE 3'!N26</f>
        <v>-54000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3" t="s">
        <v>24</v>
      </c>
      <c r="B27" s="103">
        <f>'CR ANNEE 1'!N27</f>
        <v>0</v>
      </c>
      <c r="C27" s="103">
        <f>'CR ANNEE 2'!N27</f>
        <v>-174000</v>
      </c>
      <c r="D27" s="103">
        <f>'CR ANNEE 3'!N27</f>
        <v>-174000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-2842.8571428571427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16055.33333333333</v>
      </c>
      <c r="C30" s="14">
        <f>'CR ANNEE 2'!N30</f>
        <v>11017.4761904762</v>
      </c>
      <c r="D30" s="14">
        <f>'CR ANNEE 3'!N30</f>
        <v>43159.000000000058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5298.2599999999993</v>
      </c>
      <c r="C31" s="18">
        <f>'CR ANNEE 2'!N31</f>
        <v>3635.7671428571462</v>
      </c>
      <c r="D31" s="18">
        <f>'CR ANNEE 3'!N31</f>
        <v>14242.470000000019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10757.07333333333</v>
      </c>
      <c r="C32" s="14">
        <f>'CR ANNEE 2'!N32</f>
        <v>7381.7090476190533</v>
      </c>
      <c r="D32" s="14">
        <f>'CR ANNEE 3'!N32</f>
        <v>28916.530000000039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6" t="s">
        <v>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47"/>
    </row>
    <row r="2" spans="1:15" ht="35.25" customHeight="1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ht="38.25" x14ac:dyDescent="0.2">
      <c r="A3" s="149" t="s">
        <v>75</v>
      </c>
      <c r="B3" s="150" t="s">
        <v>0</v>
      </c>
      <c r="C3" s="150" t="s">
        <v>1</v>
      </c>
      <c r="D3" s="150" t="s">
        <v>2</v>
      </c>
      <c r="E3" s="150" t="s">
        <v>3</v>
      </c>
      <c r="F3" s="150" t="s">
        <v>28</v>
      </c>
      <c r="G3" s="150" t="s">
        <v>4</v>
      </c>
      <c r="H3" s="150" t="s">
        <v>108</v>
      </c>
      <c r="I3" s="150" t="s">
        <v>109</v>
      </c>
      <c r="J3" s="150" t="s">
        <v>164</v>
      </c>
      <c r="K3" s="150" t="s">
        <v>111</v>
      </c>
      <c r="L3" s="150" t="s">
        <v>112</v>
      </c>
      <c r="M3" s="150" t="s">
        <v>113</v>
      </c>
      <c r="N3" s="150" t="s">
        <v>5</v>
      </c>
      <c r="O3" s="150" t="s">
        <v>84</v>
      </c>
    </row>
    <row r="4" spans="1:15" x14ac:dyDescent="0.2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>
        <f>SUM(B4:G4)</f>
        <v>0</v>
      </c>
      <c r="O4" s="152"/>
    </row>
    <row r="5" spans="1:15" x14ac:dyDescent="0.2">
      <c r="A5" s="151" t="s">
        <v>72</v>
      </c>
      <c r="B5" s="152"/>
      <c r="C5" s="152"/>
      <c r="D5" s="152">
        <f>+'CR ANNEE 1'!B4</f>
        <v>0</v>
      </c>
      <c r="E5" s="152">
        <f>+'CR ANNEE 1'!C4</f>
        <v>0</v>
      </c>
      <c r="F5" s="152">
        <f>+'CR ANNEE 1'!D4</f>
        <v>0</v>
      </c>
      <c r="G5" s="152">
        <f>+'CR ANNEE 1'!E4</f>
        <v>10</v>
      </c>
      <c r="H5" s="152">
        <f>+'CR ANNEE 1'!F4</f>
        <v>0</v>
      </c>
      <c r="I5" s="152">
        <f>+'CR ANNEE 1'!G4</f>
        <v>0</v>
      </c>
      <c r="J5" s="152">
        <f>+'CR ANNEE 1'!H4</f>
        <v>0</v>
      </c>
      <c r="K5" s="152">
        <f>+'CR ANNEE 1'!I4</f>
        <v>10000</v>
      </c>
      <c r="L5" s="152">
        <f>+'CR ANNEE 1'!J4</f>
        <v>0</v>
      </c>
      <c r="M5" s="152">
        <f>+'CR ANNEE 1'!K4</f>
        <v>10000</v>
      </c>
      <c r="N5" s="152">
        <f>SUM(B5:M5)</f>
        <v>20010</v>
      </c>
      <c r="O5" s="152">
        <f>+'CR ANNEE 1'!N4-'besoin tréso exploit°'!N5</f>
        <v>10000</v>
      </c>
    </row>
    <row r="6" spans="1:15" ht="25.5" x14ac:dyDescent="0.2">
      <c r="A6" s="153" t="s">
        <v>126</v>
      </c>
      <c r="B6" s="152">
        <f>+'CR ANNEE 1'!B5</f>
        <v>0</v>
      </c>
      <c r="C6" s="152">
        <f>+'CR ANNEE 1'!C5</f>
        <v>0</v>
      </c>
      <c r="D6" s="152">
        <f>+'CR ANNEE 1'!D5</f>
        <v>0</v>
      </c>
      <c r="E6" s="152">
        <f>+'CR ANNEE 1'!E5</f>
        <v>0</v>
      </c>
      <c r="F6" s="152">
        <f>+'CR ANNEE 1'!F5</f>
        <v>0</v>
      </c>
      <c r="G6" s="152">
        <f>+'CR ANNEE 1'!G5</f>
        <v>0</v>
      </c>
      <c r="H6" s="152">
        <f>+'CR ANNEE 1'!H5</f>
        <v>0</v>
      </c>
      <c r="I6" s="152">
        <f>+'CR ANNEE 1'!I5</f>
        <v>0</v>
      </c>
      <c r="J6" s="152">
        <f>+'CR ANNEE 1'!J5</f>
        <v>0</v>
      </c>
      <c r="K6" s="152">
        <f>+'CR ANNEE 1'!K5</f>
        <v>0</v>
      </c>
      <c r="L6" s="152">
        <f>+'CR ANNEE 1'!L5</f>
        <v>0</v>
      </c>
      <c r="M6" s="152">
        <f>+'CR ANNEE 1'!M5</f>
        <v>0</v>
      </c>
      <c r="N6" s="152">
        <f t="shared" ref="N6:N23" si="0">SUM(B6:M6)</f>
        <v>0</v>
      </c>
      <c r="O6" s="152">
        <f>+'CR ANNEE 1'!N5-'besoin tréso exploit°'!N6</f>
        <v>0</v>
      </c>
    </row>
    <row r="7" spans="1:15" x14ac:dyDescent="0.2">
      <c r="A7" s="154" t="s">
        <v>114</v>
      </c>
      <c r="B7" s="152"/>
      <c r="C7" s="152">
        <f>+'CR ANNEE 1'!B6</f>
        <v>0</v>
      </c>
      <c r="D7" s="152">
        <f>+'CR ANNEE 1'!C6</f>
        <v>0</v>
      </c>
      <c r="E7" s="152">
        <f>+'CR ANNEE 1'!D6</f>
        <v>0</v>
      </c>
      <c r="F7" s="152">
        <f>+'CR ANNEE 1'!E6</f>
        <v>0</v>
      </c>
      <c r="G7" s="152">
        <f>+'CR ANNEE 1'!F6</f>
        <v>0</v>
      </c>
      <c r="H7" s="152">
        <f>+'CR ANNEE 1'!G6</f>
        <v>0</v>
      </c>
      <c r="I7" s="152">
        <f>+'CR ANNEE 1'!H6</f>
        <v>0</v>
      </c>
      <c r="J7" s="152">
        <f>+'CR ANNEE 1'!I6</f>
        <v>0</v>
      </c>
      <c r="K7" s="152">
        <f>+'CR ANNEE 1'!J6</f>
        <v>0</v>
      </c>
      <c r="L7" s="152">
        <f>+'CR ANNEE 1'!K6</f>
        <v>0</v>
      </c>
      <c r="M7" s="152">
        <f>+'CR ANNEE 1'!L6</f>
        <v>0</v>
      </c>
      <c r="N7" s="152">
        <f t="shared" si="0"/>
        <v>0</v>
      </c>
      <c r="O7" s="152">
        <f>+'CR ANNEE 1'!N6-'besoin tréso exploit°'!N7</f>
        <v>0</v>
      </c>
    </row>
    <row r="8" spans="1:15" x14ac:dyDescent="0.2">
      <c r="A8" s="155" t="s">
        <v>115</v>
      </c>
      <c r="B8" s="152">
        <f>+'CR ANNEE 1'!B7</f>
        <v>0</v>
      </c>
      <c r="C8" s="152">
        <f>+'CR ANNEE 1'!C7</f>
        <v>0</v>
      </c>
      <c r="D8" s="152">
        <f>+'CR ANNEE 1'!D7</f>
        <v>0</v>
      </c>
      <c r="E8" s="152">
        <f>+'CR ANNEE 1'!E7</f>
        <v>0</v>
      </c>
      <c r="F8" s="152">
        <f>+'CR ANNEE 1'!F7</f>
        <v>0</v>
      </c>
      <c r="G8" s="152">
        <f>+'CR ANNEE 1'!G7</f>
        <v>0</v>
      </c>
      <c r="H8" s="152">
        <f>+'CR ANNEE 1'!H7</f>
        <v>0</v>
      </c>
      <c r="I8" s="152">
        <f>+'CR ANNEE 1'!I7</f>
        <v>0</v>
      </c>
      <c r="J8" s="152">
        <f>+'CR ANNEE 1'!J7</f>
        <v>0</v>
      </c>
      <c r="K8" s="152">
        <f>+'CR ANNEE 1'!K7</f>
        <v>0</v>
      </c>
      <c r="L8" s="152">
        <f>+'CR ANNEE 1'!L7</f>
        <v>0</v>
      </c>
      <c r="M8" s="152">
        <f>+'CR ANNEE 1'!M7</f>
        <v>0</v>
      </c>
      <c r="N8" s="152">
        <f t="shared" si="0"/>
        <v>0</v>
      </c>
      <c r="O8" s="152">
        <f>+'CR ANNEE 1'!N7-'besoin tréso exploit°'!N8</f>
        <v>0</v>
      </c>
    </row>
    <row r="9" spans="1:15" x14ac:dyDescent="0.2">
      <c r="A9" s="154" t="s">
        <v>116</v>
      </c>
      <c r="B9" s="156">
        <f>+'CR ANNEE 1'!B10+'CR ANNEE 1'!C10+'CR ANNEE 1'!D10</f>
        <v>-30</v>
      </c>
      <c r="C9" s="156"/>
      <c r="D9" s="156"/>
      <c r="E9" s="156">
        <f>+'CR ANNEE 1'!E10+'CR ANNEE 1'!F10+'CR ANNEE 1'!G10</f>
        <v>-30</v>
      </c>
      <c r="F9" s="156"/>
      <c r="G9" s="156"/>
      <c r="H9" s="156">
        <f>+'CR ANNEE 1'!H10+'CR ANNEE 1'!I10+'CR ANNEE 1'!J10</f>
        <v>-30</v>
      </c>
      <c r="I9" s="156"/>
      <c r="J9" s="156"/>
      <c r="K9" s="156">
        <f>+'CR ANNEE 1'!K10+'CR ANNEE 1'!L10+'CR ANNEE 1'!M10</f>
        <v>-30</v>
      </c>
      <c r="L9" s="156"/>
      <c r="M9" s="156"/>
      <c r="N9" s="152">
        <f t="shared" si="0"/>
        <v>-120</v>
      </c>
      <c r="O9" s="152">
        <f>+'CR ANNEE 1'!N10-'besoin tréso exploit°'!N9</f>
        <v>0</v>
      </c>
    </row>
    <row r="10" spans="1:15" x14ac:dyDescent="0.2">
      <c r="A10" s="154" t="str">
        <f>+'CR ANNEE 1'!A11</f>
        <v>Loyer des machines / License logicielle(-)</v>
      </c>
      <c r="B10" s="154">
        <f>+'CR ANNEE 1'!B11</f>
        <v>-6000</v>
      </c>
      <c r="C10" s="154">
        <f>+'CR ANNEE 1'!C11</f>
        <v>0</v>
      </c>
      <c r="D10" s="154">
        <f>+'CR ANNEE 1'!D11</f>
        <v>0</v>
      </c>
      <c r="E10" s="154">
        <f>+'CR ANNEE 1'!E11</f>
        <v>0</v>
      </c>
      <c r="F10" s="154">
        <f>+'CR ANNEE 1'!F11</f>
        <v>0</v>
      </c>
      <c r="G10" s="154">
        <f>+'CR ANNEE 1'!G11</f>
        <v>0</v>
      </c>
      <c r="H10" s="154">
        <f>+'CR ANNEE 1'!H11</f>
        <v>0</v>
      </c>
      <c r="I10" s="154">
        <f>+'CR ANNEE 1'!I11</f>
        <v>0</v>
      </c>
      <c r="J10" s="154">
        <f>+'CR ANNEE 1'!J11</f>
        <v>0</v>
      </c>
      <c r="K10" s="154">
        <f>+'CR ANNEE 1'!K11</f>
        <v>0</v>
      </c>
      <c r="L10" s="154">
        <f>+'CR ANNEE 1'!L11</f>
        <v>0</v>
      </c>
      <c r="M10" s="154">
        <f>+'CR ANNEE 1'!M11</f>
        <v>0</v>
      </c>
      <c r="N10" s="152">
        <f t="shared" si="0"/>
        <v>-6000</v>
      </c>
      <c r="O10" s="152"/>
    </row>
    <row r="11" spans="1:15" x14ac:dyDescent="0.2">
      <c r="A11" s="154" t="s">
        <v>117</v>
      </c>
      <c r="B11" s="156">
        <f>+'CR ANNEE 1'!B12+'CR ANNEE 1'!C12+'CR ANNEE 1'!D12</f>
        <v>-50</v>
      </c>
      <c r="C11" s="156"/>
      <c r="D11" s="156"/>
      <c r="E11" s="156">
        <f>+'CR ANNEE 1'!E12+'CR ANNEE 1'!F12+'CR ANNEE 1'!G12</f>
        <v>-50</v>
      </c>
      <c r="F11" s="156"/>
      <c r="G11" s="156"/>
      <c r="H11" s="156">
        <f>+'CR ANNEE 1'!H12+'CR ANNEE 1'!I12+'CR ANNEE 1'!J12</f>
        <v>-50</v>
      </c>
      <c r="I11" s="156"/>
      <c r="J11" s="156"/>
      <c r="K11" s="156">
        <f>+'CR ANNEE 1'!K12+'CR ANNEE 1'!L12+'CR ANNEE 1'!M12</f>
        <v>-50</v>
      </c>
      <c r="L11" s="156"/>
      <c r="M11" s="156"/>
      <c r="N11" s="152">
        <f t="shared" si="0"/>
        <v>-200</v>
      </c>
      <c r="O11" s="152">
        <f>+'CR ANNEE 1'!N12-'besoin tréso exploit°'!N11</f>
        <v>0</v>
      </c>
    </row>
    <row r="12" spans="1:15" x14ac:dyDescent="0.2">
      <c r="A12" s="157" t="str">
        <f>+'CR ANNEE 1'!A13</f>
        <v>Fournitures et consommables (-)</v>
      </c>
      <c r="B12" s="156">
        <f>+'CR ANNEE 1'!B13</f>
        <v>-100</v>
      </c>
      <c r="C12" s="156">
        <f>+'CR ANNEE 1'!C13</f>
        <v>0</v>
      </c>
      <c r="D12" s="156">
        <f>+'CR ANNEE 1'!D13</f>
        <v>0</v>
      </c>
      <c r="E12" s="156">
        <f>+'CR ANNEE 1'!E13</f>
        <v>0</v>
      </c>
      <c r="F12" s="156">
        <f>+'CR ANNEE 1'!F13</f>
        <v>-50</v>
      </c>
      <c r="G12" s="156">
        <f>+'CR ANNEE 1'!G13</f>
        <v>0</v>
      </c>
      <c r="H12" s="156">
        <f>+'CR ANNEE 1'!H13</f>
        <v>0</v>
      </c>
      <c r="I12" s="156">
        <f>+'CR ANNEE 1'!I13</f>
        <v>-50</v>
      </c>
      <c r="J12" s="156">
        <f>+'CR ANNEE 1'!J13</f>
        <v>0</v>
      </c>
      <c r="K12" s="156">
        <f>+'CR ANNEE 1'!K13</f>
        <v>0</v>
      </c>
      <c r="L12" s="156">
        <f>+'CR ANNEE 1'!L13</f>
        <v>-50</v>
      </c>
      <c r="M12" s="156">
        <f>+'CR ANNEE 1'!M13</f>
        <v>0</v>
      </c>
      <c r="N12" s="152">
        <f t="shared" si="0"/>
        <v>-250</v>
      </c>
      <c r="O12" s="152">
        <f>+'CR ANNEE 1'!N16-'besoin tréso exploit°'!N12</f>
        <v>-2749.666666666667</v>
      </c>
    </row>
    <row r="13" spans="1:15" x14ac:dyDescent="0.2">
      <c r="A13" s="157" t="str">
        <f>+'CR ANNEE 1'!A14</f>
        <v>Electricité (-) **</v>
      </c>
      <c r="B13" s="156">
        <f>+'CR ANNEE 1'!B14</f>
        <v>0</v>
      </c>
      <c r="C13" s="156">
        <f>+'CR ANNEE 1'!C14</f>
        <v>0</v>
      </c>
      <c r="D13" s="156">
        <f>+'CR ANNEE 1'!D14</f>
        <v>0</v>
      </c>
      <c r="E13" s="156">
        <f>+'CR ANNEE 1'!E14</f>
        <v>0</v>
      </c>
      <c r="F13" s="156">
        <f>+'CR ANNEE 1'!F14</f>
        <v>0</v>
      </c>
      <c r="G13" s="156">
        <f>+'CR ANNEE 1'!G14</f>
        <v>0</v>
      </c>
      <c r="H13" s="156">
        <f>+'CR ANNEE 1'!H14</f>
        <v>0</v>
      </c>
      <c r="I13" s="156">
        <f>+'CR ANNEE 1'!I14</f>
        <v>0</v>
      </c>
      <c r="J13" s="156">
        <f>+'CR ANNEE 1'!J14</f>
        <v>0</v>
      </c>
      <c r="K13" s="156">
        <f>+'CR ANNEE 1'!K14</f>
        <v>0</v>
      </c>
      <c r="L13" s="156">
        <f>+'CR ANNEE 1'!L14</f>
        <v>0</v>
      </c>
      <c r="M13" s="156">
        <f>+'CR ANNEE 1'!M14</f>
        <v>0</v>
      </c>
      <c r="N13" s="152">
        <f t="shared" si="0"/>
        <v>0</v>
      </c>
      <c r="O13" s="152">
        <f>+'CR ANNEE 1'!N17-'besoin tréso exploit°'!N13</f>
        <v>-385</v>
      </c>
    </row>
    <row r="14" spans="1:15" x14ac:dyDescent="0.2">
      <c r="A14" s="157" t="str">
        <f>+'CR ANNEE 1'!A15</f>
        <v>Intérim (-)</v>
      </c>
      <c r="B14" s="156">
        <f>+'CR ANNEE 1'!B15</f>
        <v>0</v>
      </c>
      <c r="C14" s="156">
        <f>+'CR ANNEE 1'!C15</f>
        <v>0</v>
      </c>
      <c r="D14" s="156">
        <f>+'CR ANNEE 1'!D15</f>
        <v>0</v>
      </c>
      <c r="E14" s="156">
        <f>+'CR ANNEE 1'!E15</f>
        <v>0</v>
      </c>
      <c r="F14" s="156">
        <f>+'CR ANNEE 1'!F15</f>
        <v>0</v>
      </c>
      <c r="G14" s="156">
        <f>+'CR ANNEE 1'!G15</f>
        <v>0</v>
      </c>
      <c r="H14" s="156">
        <f>+'CR ANNEE 1'!H15</f>
        <v>0</v>
      </c>
      <c r="I14" s="156">
        <f>+'CR ANNEE 1'!I15</f>
        <v>0</v>
      </c>
      <c r="J14" s="156">
        <f>+'CR ANNEE 1'!J15</f>
        <v>0</v>
      </c>
      <c r="K14" s="156">
        <f>+'CR ANNEE 1'!K15</f>
        <v>0</v>
      </c>
      <c r="L14" s="156">
        <f>+'CR ANNEE 1'!L15</f>
        <v>0</v>
      </c>
      <c r="M14" s="156">
        <f>+'CR ANNEE 1'!M15</f>
        <v>0</v>
      </c>
      <c r="N14" s="152">
        <f t="shared" si="0"/>
        <v>0</v>
      </c>
      <c r="O14" s="152">
        <f>+'CR ANNEE 1'!N18-'besoin tréso exploit°'!N14</f>
        <v>-500</v>
      </c>
    </row>
    <row r="15" spans="1:15" x14ac:dyDescent="0.2">
      <c r="A15" s="154" t="s">
        <v>118</v>
      </c>
      <c r="B15" s="156"/>
      <c r="C15" s="156">
        <f>+'CR ANNEE 1'!B16</f>
        <v>-708</v>
      </c>
      <c r="D15" s="156">
        <f>+'CR ANNEE 1'!C16</f>
        <v>-208.33333333333334</v>
      </c>
      <c r="E15" s="156">
        <f>+'CR ANNEE 1'!D16</f>
        <v>-208.33333333333334</v>
      </c>
      <c r="F15" s="156">
        <f>+'CR ANNEE 1'!E16</f>
        <v>-208.33333333333334</v>
      </c>
      <c r="G15" s="156">
        <f>+'CR ANNEE 1'!F16</f>
        <v>-208.33333333333334</v>
      </c>
      <c r="H15" s="156">
        <f>+'CR ANNEE 1'!G16</f>
        <v>-208.33333333333334</v>
      </c>
      <c r="I15" s="156">
        <f>+'CR ANNEE 1'!H16</f>
        <v>-208.33333333333334</v>
      </c>
      <c r="J15" s="156">
        <f>+'CR ANNEE 1'!I16</f>
        <v>-208.33333333333334</v>
      </c>
      <c r="K15" s="156">
        <f>+'CR ANNEE 1'!J16</f>
        <v>-208.33333333333334</v>
      </c>
      <c r="L15" s="156">
        <f>+'CR ANNEE 1'!K16</f>
        <v>-208.33333333333334</v>
      </c>
      <c r="M15" s="156">
        <f>+'CR ANNEE 1'!L16</f>
        <v>-208.33333333333334</v>
      </c>
      <c r="N15" s="152">
        <f t="shared" si="0"/>
        <v>-2791.3333333333335</v>
      </c>
      <c r="O15" s="152">
        <f>+'CR ANNEE 1'!N19-'besoin tréso exploit°'!N15</f>
        <v>191.33333333333348</v>
      </c>
    </row>
    <row r="16" spans="1:15" x14ac:dyDescent="0.2">
      <c r="A16" s="154" t="s">
        <v>119</v>
      </c>
      <c r="B16" s="156">
        <f>+'CR ANNEE 1'!B17</f>
        <v>-30</v>
      </c>
      <c r="C16" s="156">
        <f>+'CR ANNEE 1'!C17</f>
        <v>-30</v>
      </c>
      <c r="D16" s="156">
        <f>+'CR ANNEE 1'!D17</f>
        <v>-30</v>
      </c>
      <c r="E16" s="156">
        <f>+'CR ANNEE 1'!E17</f>
        <v>-30</v>
      </c>
      <c r="F16" s="156">
        <f>+'CR ANNEE 1'!F17</f>
        <v>-30</v>
      </c>
      <c r="G16" s="156">
        <f>+'CR ANNEE 1'!G17</f>
        <v>-30</v>
      </c>
      <c r="H16" s="156">
        <f>+'CR ANNEE 1'!H17</f>
        <v>-30</v>
      </c>
      <c r="I16" s="156">
        <f>+'CR ANNEE 1'!I17</f>
        <v>-35</v>
      </c>
      <c r="J16" s="156">
        <f>+'CR ANNEE 1'!J17</f>
        <v>-35</v>
      </c>
      <c r="K16" s="156">
        <f>+'CR ANNEE 1'!K17</f>
        <v>-35</v>
      </c>
      <c r="L16" s="156">
        <f>+'CR ANNEE 1'!L17</f>
        <v>-35</v>
      </c>
      <c r="M16" s="156">
        <f>+'CR ANNEE 1'!M17</f>
        <v>-35</v>
      </c>
      <c r="N16" s="152">
        <f t="shared" si="0"/>
        <v>-385</v>
      </c>
      <c r="O16" s="152">
        <f>+'CR ANNEE 1'!N22-'besoin tréso exploit°'!N16</f>
        <v>385</v>
      </c>
    </row>
    <row r="17" spans="1:15" x14ac:dyDescent="0.2">
      <c r="A17" s="154" t="s">
        <v>120</v>
      </c>
      <c r="B17" s="156"/>
      <c r="C17" s="156">
        <f>+'CR ANNEE 1'!B18</f>
        <v>0</v>
      </c>
      <c r="D17" s="156">
        <f>+'CR ANNEE 1'!C18</f>
        <v>-50</v>
      </c>
      <c r="E17" s="156">
        <f>+'CR ANNEE 1'!D18</f>
        <v>0</v>
      </c>
      <c r="F17" s="156">
        <f>+'CR ANNEE 1'!E18</f>
        <v>0</v>
      </c>
      <c r="G17" s="156">
        <f>+'CR ANNEE 1'!F18</f>
        <v>0</v>
      </c>
      <c r="H17" s="156">
        <f>+'CR ANNEE 1'!G18</f>
        <v>-50</v>
      </c>
      <c r="I17" s="156">
        <f>+'CR ANNEE 1'!H18</f>
        <v>0</v>
      </c>
      <c r="J17" s="156">
        <f>+'CR ANNEE 1'!I18</f>
        <v>-200</v>
      </c>
      <c r="K17" s="156">
        <f>+'CR ANNEE 1'!J18</f>
        <v>-50</v>
      </c>
      <c r="L17" s="156">
        <f>+'CR ANNEE 1'!K18</f>
        <v>-50</v>
      </c>
      <c r="M17" s="156">
        <f>+'CR ANNEE 1'!L18</f>
        <v>-50</v>
      </c>
      <c r="N17" s="152">
        <f t="shared" si="0"/>
        <v>-450</v>
      </c>
      <c r="O17" s="152">
        <f>+'CR ANNEE 1'!N23-'besoin tréso exploit°'!N17</f>
        <v>450</v>
      </c>
    </row>
    <row r="18" spans="1:15" x14ac:dyDescent="0.2">
      <c r="A18" s="154" t="s">
        <v>121</v>
      </c>
      <c r="B18" s="156">
        <f>+'CR ANNEE 1'!B19</f>
        <v>0</v>
      </c>
      <c r="C18" s="156">
        <f>+'CR ANNEE 1'!C19</f>
        <v>0</v>
      </c>
      <c r="D18" s="156">
        <f>+'CR ANNEE 1'!D19</f>
        <v>0</v>
      </c>
      <c r="E18" s="156">
        <f>+'CR ANNEE 1'!E19</f>
        <v>-500</v>
      </c>
      <c r="F18" s="156">
        <f>+'CR ANNEE 1'!F19</f>
        <v>0</v>
      </c>
      <c r="G18" s="156">
        <f>+'CR ANNEE 1'!G19</f>
        <v>-1100</v>
      </c>
      <c r="H18" s="156">
        <f>+'CR ANNEE 1'!H19</f>
        <v>0</v>
      </c>
      <c r="I18" s="156">
        <f>+'CR ANNEE 1'!I19</f>
        <v>0</v>
      </c>
      <c r="J18" s="156">
        <f>+'CR ANNEE 1'!J19</f>
        <v>-1000</v>
      </c>
      <c r="K18" s="156">
        <f>+'CR ANNEE 1'!K19</f>
        <v>0</v>
      </c>
      <c r="L18" s="156">
        <f>+'CR ANNEE 1'!L19</f>
        <v>0</v>
      </c>
      <c r="M18" s="156">
        <f>+'CR ANNEE 1'!M19</f>
        <v>0</v>
      </c>
      <c r="N18" s="152">
        <f t="shared" si="0"/>
        <v>-2600</v>
      </c>
      <c r="O18" s="152"/>
    </row>
    <row r="19" spans="1:15" x14ac:dyDescent="0.2">
      <c r="A19" s="154" t="s">
        <v>122</v>
      </c>
      <c r="B19" s="156">
        <f>'CR ANNEE 1'!B22</f>
        <v>0</v>
      </c>
      <c r="C19" s="156">
        <f>'CR ANNEE 1'!C22</f>
        <v>0</v>
      </c>
      <c r="D19" s="156">
        <f>'CR ANNEE 1'!D22</f>
        <v>0</v>
      </c>
      <c r="E19" s="156">
        <f>'CR ANNEE 1'!E22</f>
        <v>0</v>
      </c>
      <c r="F19" s="156">
        <f>'CR ANNEE 1'!F22</f>
        <v>0</v>
      </c>
      <c r="G19" s="156">
        <f>'CR ANNEE 1'!G22</f>
        <v>0</v>
      </c>
      <c r="H19" s="156">
        <f>'CR ANNEE 1'!H22</f>
        <v>0</v>
      </c>
      <c r="I19" s="156">
        <f>'CR ANNEE 1'!I22</f>
        <v>0</v>
      </c>
      <c r="J19" s="156">
        <f>'CR ANNEE 1'!J22</f>
        <v>0</v>
      </c>
      <c r="K19" s="156">
        <f>'CR ANNEE 1'!K22</f>
        <v>0</v>
      </c>
      <c r="L19" s="156">
        <f>'CR ANNEE 1'!L22</f>
        <v>0</v>
      </c>
      <c r="M19" s="156">
        <f>'CR ANNEE 1'!M22</f>
        <v>0</v>
      </c>
      <c r="N19" s="152">
        <f t="shared" si="0"/>
        <v>0</v>
      </c>
      <c r="O19" s="152"/>
    </row>
    <row r="20" spans="1:15" x14ac:dyDescent="0.2">
      <c r="A20" s="154" t="s">
        <v>142</v>
      </c>
      <c r="B20" s="156"/>
      <c r="C20" s="156">
        <f>+'CR ANNEE 1'!B23</f>
        <v>0</v>
      </c>
      <c r="D20" s="156">
        <f>+'CR ANNEE 1'!C23</f>
        <v>0</v>
      </c>
      <c r="E20" s="156">
        <f>+'CR ANNEE 1'!D23</f>
        <v>0</v>
      </c>
      <c r="F20" s="156">
        <f>+'CR ANNEE 1'!E23</f>
        <v>0</v>
      </c>
      <c r="G20" s="156">
        <f>+'CR ANNEE 1'!F23</f>
        <v>0</v>
      </c>
      <c r="H20" s="156">
        <f>+'CR ANNEE 1'!G23</f>
        <v>0</v>
      </c>
      <c r="I20" s="156">
        <f>+'CR ANNEE 1'!H23</f>
        <v>0</v>
      </c>
      <c r="J20" s="156">
        <f>+'CR ANNEE 1'!I23</f>
        <v>0</v>
      </c>
      <c r="K20" s="156">
        <f>+'CR ANNEE 1'!J23</f>
        <v>0</v>
      </c>
      <c r="L20" s="156">
        <f>+'CR ANNEE 1'!K23</f>
        <v>0</v>
      </c>
      <c r="M20" s="156">
        <f>+'CR ANNEE 1'!L23</f>
        <v>0</v>
      </c>
      <c r="N20" s="152">
        <f t="shared" si="0"/>
        <v>0</v>
      </c>
      <c r="O20" s="152"/>
    </row>
    <row r="21" spans="1:15" x14ac:dyDescent="0.2">
      <c r="A21" s="154" t="s">
        <v>123</v>
      </c>
      <c r="B21" s="156">
        <f>+'CR ANNEE 1'!B25</f>
        <v>0</v>
      </c>
      <c r="C21" s="156">
        <f>+'CR ANNEE 1'!C25</f>
        <v>0</v>
      </c>
      <c r="D21" s="156">
        <f>+'CR ANNEE 1'!D25</f>
        <v>0</v>
      </c>
      <c r="E21" s="156">
        <f>+'CR ANNEE 1'!E25</f>
        <v>0</v>
      </c>
      <c r="F21" s="156">
        <f>+'CR ANNEE 1'!F25</f>
        <v>0</v>
      </c>
      <c r="G21" s="156">
        <f>+'CR ANNEE 1'!G25</f>
        <v>0</v>
      </c>
      <c r="H21" s="156">
        <f>+'CR ANNEE 1'!H25</f>
        <v>0</v>
      </c>
      <c r="I21" s="156">
        <f>+'CR ANNEE 1'!I25</f>
        <v>0</v>
      </c>
      <c r="J21" s="156">
        <f>+'CR ANNEE 1'!J25</f>
        <v>0</v>
      </c>
      <c r="K21" s="156">
        <f>+'CR ANNEE 1'!K25</f>
        <v>0</v>
      </c>
      <c r="L21" s="156">
        <f>+'CR ANNEE 1'!L25</f>
        <v>0</v>
      </c>
      <c r="M21" s="156">
        <f>+'CR ANNEE 1'!M25</f>
        <v>0</v>
      </c>
      <c r="N21" s="152">
        <f t="shared" si="0"/>
        <v>0</v>
      </c>
      <c r="O21" s="152"/>
    </row>
    <row r="22" spans="1:15" x14ac:dyDescent="0.2">
      <c r="A22" s="154" t="s">
        <v>143</v>
      </c>
      <c r="B22" s="156"/>
      <c r="C22" s="156">
        <f>+'CR ANNEE 1'!B26</f>
        <v>0</v>
      </c>
      <c r="D22" s="156">
        <f>+'CR ANNEE 1'!C26</f>
        <v>0</v>
      </c>
      <c r="E22" s="156">
        <f>+'CR ANNEE 1'!D26</f>
        <v>0</v>
      </c>
      <c r="F22" s="156">
        <f>+'CR ANNEE 1'!E26</f>
        <v>0</v>
      </c>
      <c r="G22" s="156">
        <f>+'CR ANNEE 1'!F26</f>
        <v>0</v>
      </c>
      <c r="H22" s="156">
        <f>+'CR ANNEE 1'!G26</f>
        <v>0</v>
      </c>
      <c r="I22" s="156">
        <f>+'CR ANNEE 1'!H26</f>
        <v>0</v>
      </c>
      <c r="J22" s="156">
        <f>+'CR ANNEE 1'!I26</f>
        <v>0</v>
      </c>
      <c r="K22" s="156">
        <f>+'CR ANNEE 1'!J26</f>
        <v>0</v>
      </c>
      <c r="L22" s="156">
        <f>+'CR ANNEE 1'!K26</f>
        <v>0</v>
      </c>
      <c r="M22" s="156">
        <f>+'CR ANNEE 1'!L26</f>
        <v>0</v>
      </c>
      <c r="N22" s="152">
        <f t="shared" si="0"/>
        <v>0</v>
      </c>
      <c r="O22" s="152"/>
    </row>
    <row r="23" spans="1:15" x14ac:dyDescent="0.2">
      <c r="A23" s="154" t="s">
        <v>125</v>
      </c>
      <c r="B23" s="156">
        <f>+'CR ANNEE 1'!B29</f>
        <v>0</v>
      </c>
      <c r="C23" s="156">
        <f>+'CR ANNEE 1'!C29</f>
        <v>0</v>
      </c>
      <c r="D23" s="156">
        <f>+'CR ANNEE 1'!D29</f>
        <v>0</v>
      </c>
      <c r="E23" s="156">
        <f>+'CR ANNEE 1'!E29</f>
        <v>0</v>
      </c>
      <c r="F23" s="156">
        <f>+'CR ANNEE 1'!F29</f>
        <v>0</v>
      </c>
      <c r="G23" s="156">
        <f>+'CR ANNEE 1'!G29</f>
        <v>0</v>
      </c>
      <c r="H23" s="156">
        <f>+'CR ANNEE 1'!H29</f>
        <v>0</v>
      </c>
      <c r="I23" s="156">
        <f>+'CR ANNEE 1'!I29</f>
        <v>0</v>
      </c>
      <c r="J23" s="156">
        <f>+'CR ANNEE 1'!J29</f>
        <v>0</v>
      </c>
      <c r="K23" s="156">
        <f>+'CR ANNEE 1'!K29</f>
        <v>0</v>
      </c>
      <c r="L23" s="156">
        <f>+'CR ANNEE 1'!L29</f>
        <v>0</v>
      </c>
      <c r="M23" s="156">
        <f>+'CR ANNEE 1'!M29</f>
        <v>0</v>
      </c>
      <c r="N23" s="152">
        <f t="shared" si="0"/>
        <v>0</v>
      </c>
      <c r="O23" s="152"/>
    </row>
    <row r="24" spans="1:15" x14ac:dyDescent="0.2">
      <c r="A24" s="158" t="s">
        <v>76</v>
      </c>
      <c r="B24" s="159">
        <f t="shared" ref="B24:M24" si="1">SUM(B5:B23)</f>
        <v>-6210</v>
      </c>
      <c r="C24" s="159">
        <f t="shared" si="1"/>
        <v>-738</v>
      </c>
      <c r="D24" s="159">
        <f t="shared" si="1"/>
        <v>-288.33333333333337</v>
      </c>
      <c r="E24" s="159">
        <f t="shared" si="1"/>
        <v>-818.33333333333337</v>
      </c>
      <c r="F24" s="159">
        <f t="shared" si="1"/>
        <v>-288.33333333333337</v>
      </c>
      <c r="G24" s="159">
        <f t="shared" si="1"/>
        <v>-1328.3333333333333</v>
      </c>
      <c r="H24" s="159">
        <f t="shared" si="1"/>
        <v>-368.33333333333337</v>
      </c>
      <c r="I24" s="159">
        <f t="shared" si="1"/>
        <v>-293.33333333333337</v>
      </c>
      <c r="J24" s="159">
        <f t="shared" si="1"/>
        <v>-1443.3333333333335</v>
      </c>
      <c r="K24" s="159">
        <f t="shared" si="1"/>
        <v>9626.6666666666661</v>
      </c>
      <c r="L24" s="159">
        <f t="shared" si="1"/>
        <v>-343.33333333333337</v>
      </c>
      <c r="M24" s="159">
        <f t="shared" si="1"/>
        <v>9706.6666666666661</v>
      </c>
      <c r="N24" s="159"/>
      <c r="O24" s="152">
        <f>+'CR ANNEE 1'!N24-'besoin tréso exploit°'!N24</f>
        <v>0</v>
      </c>
    </row>
    <row r="25" spans="1:15" x14ac:dyDescent="0.2">
      <c r="A25" s="158" t="s">
        <v>77</v>
      </c>
      <c r="B25" s="159">
        <f>+B24</f>
        <v>-6210</v>
      </c>
      <c r="C25" s="159">
        <f>+C24+B25</f>
        <v>-6948</v>
      </c>
      <c r="D25" s="159">
        <f>+D24+C25</f>
        <v>-7236.333333333333</v>
      </c>
      <c r="E25" s="159">
        <f>+E24+D25</f>
        <v>-8054.6666666666661</v>
      </c>
      <c r="F25" s="159">
        <f>+F24+E25</f>
        <v>-8343</v>
      </c>
      <c r="G25" s="159">
        <f>+G24+F25</f>
        <v>-9671.3333333333339</v>
      </c>
      <c r="H25" s="159">
        <f t="shared" ref="H25:M25" si="2">+H24+G25</f>
        <v>-10039.666666666668</v>
      </c>
      <c r="I25" s="159">
        <f t="shared" si="2"/>
        <v>-10333.000000000002</v>
      </c>
      <c r="J25" s="159">
        <f t="shared" si="2"/>
        <v>-11776.333333333336</v>
      </c>
      <c r="K25" s="159">
        <f t="shared" si="2"/>
        <v>-2149.6666666666697</v>
      </c>
      <c r="L25" s="159">
        <f t="shared" si="2"/>
        <v>-2493.0000000000032</v>
      </c>
      <c r="M25" s="159">
        <f t="shared" si="2"/>
        <v>7213.6666666666624</v>
      </c>
      <c r="N25" s="159"/>
      <c r="O25" s="148"/>
    </row>
    <row r="26" spans="1:15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 x14ac:dyDescent="0.2">
      <c r="A27" s="160" t="s">
        <v>149</v>
      </c>
      <c r="B27" s="161"/>
      <c r="C27" s="161"/>
      <c r="D27" s="161"/>
      <c r="E27" s="161"/>
      <c r="F27" s="162"/>
      <c r="G27" s="161"/>
      <c r="H27" s="161"/>
      <c r="I27" s="161"/>
      <c r="J27" s="161"/>
      <c r="K27" s="161"/>
      <c r="L27" s="161"/>
      <c r="M27" s="163"/>
      <c r="N27" s="148"/>
      <c r="O27" s="164">
        <f>+N24</f>
        <v>0</v>
      </c>
    </row>
    <row r="28" spans="1:15" x14ac:dyDescent="0.2">
      <c r="A28" s="148"/>
      <c r="B28" s="148"/>
      <c r="C28" s="148"/>
      <c r="D28" s="148"/>
      <c r="E28" s="148"/>
      <c r="F28" s="164"/>
      <c r="G28" s="148"/>
      <c r="H28" s="148"/>
      <c r="I28" s="148"/>
      <c r="J28" s="148"/>
      <c r="K28" s="148"/>
      <c r="L28" s="148"/>
      <c r="M28" s="148"/>
      <c r="N28" s="148"/>
      <c r="O28" s="148"/>
    </row>
    <row r="29" spans="1:15" x14ac:dyDescent="0.2">
      <c r="A29" s="219" t="s">
        <v>39</v>
      </c>
      <c r="B29" s="219"/>
      <c r="C29" s="219"/>
      <c r="D29" s="219"/>
      <c r="E29" s="219"/>
      <c r="F29" s="219"/>
      <c r="G29" s="219"/>
      <c r="H29" s="165"/>
      <c r="I29" s="165"/>
      <c r="J29" s="165"/>
      <c r="K29" s="165"/>
      <c r="L29" s="165"/>
      <c r="M29" s="165"/>
      <c r="N29" s="148"/>
      <c r="O29" s="148"/>
    </row>
    <row r="30" spans="1:15" x14ac:dyDescent="0.2">
      <c r="A30" s="219"/>
      <c r="B30" s="219"/>
      <c r="C30" s="219"/>
      <c r="D30" s="219"/>
      <c r="E30" s="219"/>
      <c r="F30" s="219"/>
      <c r="G30" s="219"/>
      <c r="H30" s="165"/>
      <c r="I30" s="165"/>
      <c r="J30" s="165"/>
      <c r="K30" s="165"/>
      <c r="L30" s="165"/>
      <c r="M30" s="165"/>
      <c r="N30" s="148"/>
      <c r="O30" s="148"/>
    </row>
    <row r="31" spans="1:15" ht="4.5" customHeight="1" x14ac:dyDescent="0.2">
      <c r="A31" s="219" t="s">
        <v>55</v>
      </c>
      <c r="B31" s="219"/>
      <c r="C31" s="219"/>
      <c r="D31" s="219"/>
      <c r="E31" s="219"/>
      <c r="F31" s="219"/>
      <c r="G31" s="219"/>
      <c r="H31" s="165"/>
      <c r="I31" s="165"/>
      <c r="J31" s="165"/>
      <c r="K31" s="165"/>
      <c r="L31" s="165"/>
      <c r="M31" s="165"/>
      <c r="N31" s="148"/>
      <c r="O31" s="148"/>
    </row>
    <row r="32" spans="1:15" x14ac:dyDescent="0.2">
      <c r="A32" s="219"/>
      <c r="B32" s="219"/>
      <c r="C32" s="219"/>
      <c r="D32" s="219"/>
      <c r="E32" s="219"/>
      <c r="F32" s="219"/>
      <c r="G32" s="219"/>
      <c r="H32" s="165"/>
      <c r="I32" s="165"/>
      <c r="J32" s="165"/>
      <c r="K32" s="165"/>
      <c r="L32" s="165"/>
      <c r="M32" s="165"/>
      <c r="N32" s="148"/>
      <c r="O32" s="148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58" workbookViewId="0">
      <selection activeCell="D67" sqref="D67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34" t="s">
        <v>15</v>
      </c>
      <c r="C3" s="234"/>
      <c r="D3" s="234" t="s">
        <v>16</v>
      </c>
      <c r="E3" s="21" t="s">
        <v>17</v>
      </c>
      <c r="F3" s="220" t="s">
        <v>18</v>
      </c>
      <c r="G3" s="220" t="s">
        <v>78</v>
      </c>
      <c r="H3" s="22" t="s">
        <v>81</v>
      </c>
      <c r="I3" s="19"/>
      <c r="J3" s="136" t="s">
        <v>159</v>
      </c>
      <c r="K3" s="136" t="s">
        <v>159</v>
      </c>
      <c r="L3" s="136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35"/>
      <c r="C4" s="235"/>
      <c r="D4" s="235"/>
      <c r="E4" s="24" t="s">
        <v>79</v>
      </c>
      <c r="F4" s="221"/>
      <c r="G4" s="221"/>
      <c r="H4" s="25" t="s">
        <v>80</v>
      </c>
      <c r="I4" s="19"/>
      <c r="J4" s="137" t="s">
        <v>156</v>
      </c>
      <c r="K4" s="137" t="s">
        <v>157</v>
      </c>
      <c r="L4" s="137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6"/>
      <c r="E5" s="28"/>
      <c r="F5" s="27"/>
      <c r="G5" s="27"/>
      <c r="H5" s="29"/>
      <c r="I5" s="19"/>
      <c r="J5" s="138"/>
      <c r="K5" s="138"/>
      <c r="L5" s="138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7"/>
      <c r="E6" s="28"/>
      <c r="F6" s="27">
        <v>0</v>
      </c>
      <c r="G6" s="27"/>
      <c r="H6" s="37"/>
      <c r="I6" s="19"/>
      <c r="J6" s="138"/>
      <c r="K6" s="138"/>
      <c r="L6" s="138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7">
        <v>500</v>
      </c>
      <c r="E7" s="28"/>
      <c r="F7" s="27">
        <v>0</v>
      </c>
      <c r="G7" s="27"/>
      <c r="H7" s="37"/>
      <c r="I7" s="19"/>
      <c r="J7" s="138">
        <f>IF(F7&gt;1,H7/12,0)</f>
        <v>0</v>
      </c>
      <c r="K7" s="138">
        <f>IF(N7&gt;2,H7/12,0)</f>
        <v>0</v>
      </c>
      <c r="L7" s="138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7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8">
        <f>IF(F8&gt;1,H8/12,0)</f>
        <v>0</v>
      </c>
      <c r="K8" s="138">
        <f>IF(N8&gt;2,H8/12,0)</f>
        <v>0</v>
      </c>
      <c r="L8" s="138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7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8">
        <f>IF(F9&gt;1,H9/12,0)</f>
        <v>0</v>
      </c>
      <c r="K9" s="138">
        <f>IF(N9&gt;2,H9/12,0)</f>
        <v>0</v>
      </c>
      <c r="L9" s="138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7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8">
        <f t="shared" ref="J10:J24" si="3">IF(F10&gt;1,H10/12,0)</f>
        <v>58.333333333333336</v>
      </c>
      <c r="K10" s="138">
        <f t="shared" ref="K10:K24" si="4">IF(N10&gt;2,H10/12,0)</f>
        <v>58.333333333333336</v>
      </c>
      <c r="L10" s="138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7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8">
        <f t="shared" si="3"/>
        <v>0</v>
      </c>
      <c r="K11" s="138">
        <f t="shared" si="4"/>
        <v>0</v>
      </c>
      <c r="L11" s="138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09" t="s">
        <v>135</v>
      </c>
      <c r="B12" s="114"/>
      <c r="C12" s="111"/>
      <c r="D12" s="111">
        <f>SUM(D7:D11)</f>
        <v>4000</v>
      </c>
      <c r="E12" s="112"/>
      <c r="F12" s="110"/>
      <c r="G12" s="110"/>
      <c r="H12" s="115"/>
      <c r="I12" s="19"/>
      <c r="J12" s="138">
        <f t="shared" si="3"/>
        <v>0</v>
      </c>
      <c r="K12" s="138">
        <f t="shared" si="4"/>
        <v>0</v>
      </c>
      <c r="L12" s="138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7"/>
      <c r="E13" s="28"/>
      <c r="F13" s="27"/>
      <c r="G13" s="27"/>
      <c r="H13" s="37"/>
      <c r="I13" s="19"/>
      <c r="J13" s="138"/>
      <c r="K13" s="138"/>
      <c r="L13" s="138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7">
        <v>0</v>
      </c>
      <c r="E14" s="28"/>
      <c r="F14" s="27"/>
      <c r="G14" s="27"/>
      <c r="H14" s="37"/>
      <c r="I14" s="19"/>
      <c r="J14" s="138"/>
      <c r="K14" s="138"/>
      <c r="L14" s="138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7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8">
        <f t="shared" si="3"/>
        <v>0</v>
      </c>
      <c r="K15" s="138">
        <f t="shared" si="4"/>
        <v>0</v>
      </c>
      <c r="L15" s="138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7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8">
        <f t="shared" si="3"/>
        <v>0</v>
      </c>
      <c r="K16" s="138">
        <f t="shared" si="4"/>
        <v>0</v>
      </c>
      <c r="L16" s="138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7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8">
        <f t="shared" si="3"/>
        <v>0</v>
      </c>
      <c r="K17" s="138">
        <f t="shared" si="4"/>
        <v>0</v>
      </c>
      <c r="L17" s="138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7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8">
        <f t="shared" si="3"/>
        <v>0</v>
      </c>
      <c r="K18" s="138">
        <f t="shared" si="4"/>
        <v>0</v>
      </c>
      <c r="L18" s="138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7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8">
        <f t="shared" si="3"/>
        <v>0</v>
      </c>
      <c r="K19" s="138">
        <f t="shared" si="4"/>
        <v>0</v>
      </c>
      <c r="L19" s="138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7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8">
        <f t="shared" si="3"/>
        <v>0</v>
      </c>
      <c r="K20" s="138">
        <f t="shared" si="4"/>
        <v>0</v>
      </c>
      <c r="L20" s="138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7"/>
      <c r="E21" s="28"/>
      <c r="F21" s="27"/>
      <c r="G21" s="27">
        <v>1</v>
      </c>
      <c r="H21" s="37">
        <f t="shared" si="1"/>
        <v>0</v>
      </c>
      <c r="I21" s="19"/>
      <c r="J21" s="138">
        <f t="shared" si="3"/>
        <v>0</v>
      </c>
      <c r="K21" s="138">
        <f t="shared" si="4"/>
        <v>0</v>
      </c>
      <c r="L21" s="138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7"/>
      <c r="E22" s="28"/>
      <c r="F22" s="27"/>
      <c r="G22" s="27">
        <v>1</v>
      </c>
      <c r="H22" s="37">
        <f t="shared" si="1"/>
        <v>0</v>
      </c>
      <c r="I22" s="19"/>
      <c r="J22" s="138">
        <f t="shared" si="3"/>
        <v>0</v>
      </c>
      <c r="K22" s="138">
        <f t="shared" si="4"/>
        <v>0</v>
      </c>
      <c r="L22" s="138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7"/>
      <c r="E23" s="28"/>
      <c r="F23" s="27"/>
      <c r="G23" s="27">
        <v>1</v>
      </c>
      <c r="H23" s="37">
        <f t="shared" si="1"/>
        <v>0</v>
      </c>
      <c r="I23" s="19"/>
      <c r="J23" s="138">
        <f t="shared" si="3"/>
        <v>0</v>
      </c>
      <c r="K23" s="138">
        <f t="shared" si="4"/>
        <v>0</v>
      </c>
      <c r="L23" s="138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7"/>
      <c r="E24" s="28"/>
      <c r="F24" s="27"/>
      <c r="G24" s="27">
        <v>1</v>
      </c>
      <c r="H24" s="37">
        <f t="shared" si="1"/>
        <v>0</v>
      </c>
      <c r="I24" s="19"/>
      <c r="J24" s="138">
        <f t="shared" si="3"/>
        <v>0</v>
      </c>
      <c r="K24" s="138">
        <f t="shared" si="4"/>
        <v>0</v>
      </c>
      <c r="L24" s="138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7"/>
      <c r="E25" s="28"/>
      <c r="F25" s="27"/>
      <c r="G25" s="27"/>
      <c r="H25" s="37"/>
      <c r="I25" s="19"/>
      <c r="J25" s="138"/>
      <c r="K25" s="138"/>
      <c r="L25" s="138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09" t="s">
        <v>136</v>
      </c>
      <c r="B26" s="110"/>
      <c r="C26" s="111"/>
      <c r="D26" s="111">
        <f>SUM(D14:D25)</f>
        <v>0</v>
      </c>
      <c r="E26" s="112"/>
      <c r="F26" s="110"/>
      <c r="G26" s="110"/>
      <c r="H26" s="113"/>
      <c r="I26" s="19"/>
      <c r="J26" s="139"/>
      <c r="K26" s="139"/>
      <c r="L26" s="139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7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7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7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7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09" t="s">
        <v>137</v>
      </c>
      <c r="B31" s="110"/>
      <c r="C31" s="110"/>
      <c r="D31" s="111">
        <f>SUM(D28:D30)</f>
        <v>0</v>
      </c>
      <c r="E31" s="112"/>
      <c r="F31" s="110"/>
      <c r="G31" s="110"/>
      <c r="H31" s="116"/>
      <c r="I31" s="31"/>
      <c r="J31" s="135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30" t="s">
        <v>40</v>
      </c>
      <c r="B35" s="231"/>
      <c r="C35" s="232" t="s">
        <v>41</v>
      </c>
      <c r="D35" s="233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2"/>
      <c r="B36" s="223"/>
      <c r="C36" s="223"/>
      <c r="D36" s="223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4"/>
      <c r="D37" s="2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6" t="s">
        <v>44</v>
      </c>
      <c r="D38" s="22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28" t="s">
        <v>46</v>
      </c>
      <c r="D39" s="22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2" t="s">
        <v>47</v>
      </c>
      <c r="B40" s="223"/>
      <c r="C40" s="223"/>
      <c r="D40" s="22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6" t="s">
        <v>49</v>
      </c>
      <c r="D42" s="22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6"/>
      <c r="D43" s="22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1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34" t="s">
        <v>15</v>
      </c>
      <c r="C50" s="234"/>
      <c r="D50" s="234" t="s">
        <v>16</v>
      </c>
      <c r="E50" s="143" t="s">
        <v>17</v>
      </c>
      <c r="F50" s="220" t="s">
        <v>18</v>
      </c>
      <c r="G50" s="220" t="s">
        <v>78</v>
      </c>
      <c r="H50" s="22" t="s">
        <v>81</v>
      </c>
      <c r="I50" s="19"/>
      <c r="J50" s="136"/>
      <c r="K50" s="136" t="s">
        <v>159</v>
      </c>
      <c r="L50" s="136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35"/>
      <c r="C51" s="235"/>
      <c r="D51" s="235"/>
      <c r="E51" s="144" t="s">
        <v>79</v>
      </c>
      <c r="F51" s="221"/>
      <c r="G51" s="221"/>
      <c r="H51" s="25" t="s">
        <v>80</v>
      </c>
      <c r="I51" s="19"/>
      <c r="J51" s="137"/>
      <c r="K51" s="137" t="s">
        <v>157</v>
      </c>
      <c r="L51" s="137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6"/>
      <c r="E52" s="28"/>
      <c r="F52" s="27"/>
      <c r="G52" s="27"/>
      <c r="H52" s="29"/>
      <c r="I52" s="19"/>
      <c r="J52" s="138"/>
      <c r="K52" s="138"/>
      <c r="L52" s="13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7"/>
      <c r="E53" s="28"/>
      <c r="F53" s="27"/>
      <c r="G53" s="27"/>
      <c r="H53" s="37"/>
      <c r="I53" s="19"/>
      <c r="J53" s="138"/>
      <c r="K53" s="138"/>
      <c r="L53" s="13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7">
        <v>0</v>
      </c>
      <c r="E54" s="28"/>
      <c r="F54" s="27">
        <v>0</v>
      </c>
      <c r="G54" s="27"/>
      <c r="H54" s="37"/>
      <c r="I54" s="19"/>
      <c r="J54" s="138"/>
      <c r="K54" s="138">
        <f>IF(F54&gt;1,H54/12,0)</f>
        <v>0</v>
      </c>
      <c r="L54" s="138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7">
        <v>0</v>
      </c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8"/>
      <c r="K55" s="138">
        <f t="shared" ref="K55:K59" si="6">IF(F55&gt;1,H55/12,0)</f>
        <v>0</v>
      </c>
      <c r="L55" s="138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7">
        <v>0</v>
      </c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8"/>
      <c r="K56" s="138">
        <f t="shared" si="6"/>
        <v>0</v>
      </c>
      <c r="L56" s="138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7">
        <v>0</v>
      </c>
      <c r="E57" s="28"/>
      <c r="F57" s="27">
        <v>5</v>
      </c>
      <c r="G57" s="27">
        <v>1</v>
      </c>
      <c r="H57" s="37">
        <f t="shared" si="8"/>
        <v>0</v>
      </c>
      <c r="I57" s="19"/>
      <c r="J57" s="138"/>
      <c r="K57" s="138">
        <f t="shared" si="6"/>
        <v>0</v>
      </c>
      <c r="L57" s="138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7"/>
      <c r="E58" s="28"/>
      <c r="F58" s="27"/>
      <c r="G58" s="27"/>
      <c r="H58" s="37"/>
      <c r="I58" s="19"/>
      <c r="J58" s="138"/>
      <c r="K58" s="138">
        <f t="shared" si="6"/>
        <v>0</v>
      </c>
      <c r="L58" s="138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09" t="s">
        <v>135</v>
      </c>
      <c r="B59" s="114"/>
      <c r="C59" s="111"/>
      <c r="D59" s="111">
        <f>SUM(D54:D58)</f>
        <v>0</v>
      </c>
      <c r="E59" s="112"/>
      <c r="F59" s="110"/>
      <c r="G59" s="110"/>
      <c r="H59" s="115"/>
      <c r="I59" s="19"/>
      <c r="J59" s="138"/>
      <c r="K59" s="138">
        <f t="shared" si="6"/>
        <v>0</v>
      </c>
      <c r="L59" s="138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7"/>
      <c r="E60" s="28"/>
      <c r="F60" s="27"/>
      <c r="G60" s="27"/>
      <c r="H60" s="37"/>
      <c r="I60" s="19"/>
      <c r="J60" s="138"/>
      <c r="K60" s="138"/>
      <c r="L60" s="13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7">
        <v>0</v>
      </c>
      <c r="E61" s="28"/>
      <c r="F61" s="27"/>
      <c r="G61" s="27"/>
      <c r="H61" s="37"/>
      <c r="I61" s="19"/>
      <c r="J61" s="138"/>
      <c r="K61" s="138"/>
      <c r="L61" s="13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7">
        <v>0</v>
      </c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8"/>
      <c r="K62" s="138">
        <f>IF(F62&gt;1,H62/12,0)</f>
        <v>0</v>
      </c>
      <c r="L62" s="138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7">
        <v>0</v>
      </c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8"/>
      <c r="K63" s="138">
        <f t="shared" ref="K63:K67" si="11">IF(F63&gt;1,H63/12,0)</f>
        <v>0</v>
      </c>
      <c r="L63" s="138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7">
        <v>0</v>
      </c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8"/>
      <c r="K64" s="138">
        <f t="shared" si="11"/>
        <v>0</v>
      </c>
      <c r="L64" s="138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7">
        <v>0</v>
      </c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8"/>
      <c r="K65" s="138">
        <f t="shared" si="11"/>
        <v>0</v>
      </c>
      <c r="L65" s="138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7">
        <v>1000</v>
      </c>
      <c r="E66" s="28" t="s">
        <v>19</v>
      </c>
      <c r="F66" s="27">
        <v>7</v>
      </c>
      <c r="G66" s="27">
        <v>1</v>
      </c>
      <c r="H66" s="37">
        <f t="shared" si="9"/>
        <v>142.85714285714286</v>
      </c>
      <c r="I66" s="19"/>
      <c r="J66" s="138"/>
      <c r="K66" s="138">
        <f t="shared" si="11"/>
        <v>11.904761904761905</v>
      </c>
      <c r="L66" s="138">
        <f t="shared" si="10"/>
        <v>11.904761904761905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7">
        <v>6000</v>
      </c>
      <c r="E67" s="28" t="s">
        <v>19</v>
      </c>
      <c r="F67" s="27">
        <v>3</v>
      </c>
      <c r="G67" s="27">
        <v>1</v>
      </c>
      <c r="H67" s="37">
        <f t="shared" si="9"/>
        <v>2000</v>
      </c>
      <c r="I67" s="19"/>
      <c r="J67" s="138"/>
      <c r="K67" s="138">
        <f t="shared" si="11"/>
        <v>166.66666666666666</v>
      </c>
      <c r="L67" s="138">
        <f t="shared" si="10"/>
        <v>166.66666666666666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7"/>
      <c r="E68" s="28"/>
      <c r="F68" s="27"/>
      <c r="G68" s="27"/>
      <c r="H68" s="37">
        <f t="shared" si="9"/>
        <v>0</v>
      </c>
      <c r="I68" s="19"/>
      <c r="J68" s="138"/>
      <c r="K68" s="138">
        <f t="shared" ref="K68:K71" si="12">IF(F68&gt;2,H68/12,0)</f>
        <v>0</v>
      </c>
      <c r="L68" s="138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7"/>
      <c r="E69" s="28"/>
      <c r="F69" s="27"/>
      <c r="G69" s="27"/>
      <c r="H69" s="37">
        <f t="shared" si="9"/>
        <v>0</v>
      </c>
      <c r="I69" s="19"/>
      <c r="J69" s="138"/>
      <c r="K69" s="138">
        <f t="shared" si="12"/>
        <v>0</v>
      </c>
      <c r="L69" s="138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7"/>
      <c r="E70" s="28"/>
      <c r="F70" s="27"/>
      <c r="G70" s="27"/>
      <c r="H70" s="37">
        <f t="shared" si="9"/>
        <v>0</v>
      </c>
      <c r="I70" s="19"/>
      <c r="J70" s="138"/>
      <c r="K70" s="138">
        <f t="shared" si="12"/>
        <v>0</v>
      </c>
      <c r="L70" s="138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7"/>
      <c r="E71" s="28"/>
      <c r="F71" s="27"/>
      <c r="G71" s="27"/>
      <c r="H71" s="37">
        <f t="shared" si="9"/>
        <v>0</v>
      </c>
      <c r="I71" s="19"/>
      <c r="J71" s="138"/>
      <c r="K71" s="138">
        <f t="shared" si="12"/>
        <v>0</v>
      </c>
      <c r="L71" s="138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7"/>
      <c r="E72" s="28"/>
      <c r="F72" s="27"/>
      <c r="G72" s="27"/>
      <c r="H72" s="37"/>
      <c r="I72" s="19"/>
      <c r="J72" s="138"/>
      <c r="K72" s="138"/>
      <c r="L72" s="13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09" t="s">
        <v>136</v>
      </c>
      <c r="B73" s="110"/>
      <c r="C73" s="111"/>
      <c r="D73" s="111">
        <f>SUM(D61:D72)</f>
        <v>7000</v>
      </c>
      <c r="E73" s="112"/>
      <c r="F73" s="110"/>
      <c r="G73" s="110"/>
      <c r="H73" s="113"/>
      <c r="I73" s="19"/>
      <c r="J73" s="139"/>
      <c r="K73" s="139"/>
      <c r="L73" s="13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7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7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7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7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09" t="s">
        <v>137</v>
      </c>
      <c r="B78" s="110"/>
      <c r="C78" s="110"/>
      <c r="D78" s="111">
        <f>SUM(D75:D77)</f>
        <v>0</v>
      </c>
      <c r="E78" s="112"/>
      <c r="F78" s="110"/>
      <c r="G78" s="110"/>
      <c r="H78" s="116"/>
      <c r="I78" s="19"/>
      <c r="J78" s="135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2" t="s">
        <v>169</v>
      </c>
      <c r="B79" s="19"/>
      <c r="C79" s="19"/>
      <c r="D79" s="41">
        <f>+D59+D73+D78</f>
        <v>7000</v>
      </c>
      <c r="E79" s="19"/>
      <c r="F79" s="19"/>
      <c r="G79" s="19"/>
      <c r="H79" s="19"/>
      <c r="I79" s="202" t="s">
        <v>171</v>
      </c>
      <c r="J79" s="41">
        <f>SUM(J55:J78)</f>
        <v>0</v>
      </c>
      <c r="K79" s="41">
        <f>SUM(K55:K78)</f>
        <v>178.57142857142856</v>
      </c>
      <c r="L79" s="41">
        <f>SUM(L55:L78)</f>
        <v>178.57142857142856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1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34" t="s">
        <v>15</v>
      </c>
      <c r="C82" s="234"/>
      <c r="D82" s="234" t="s">
        <v>16</v>
      </c>
      <c r="E82" s="143" t="s">
        <v>17</v>
      </c>
      <c r="F82" s="220" t="s">
        <v>18</v>
      </c>
      <c r="G82" s="220" t="s">
        <v>78</v>
      </c>
      <c r="H82" s="22" t="s">
        <v>81</v>
      </c>
      <c r="I82" s="19"/>
      <c r="J82" s="136"/>
      <c r="K82" s="136"/>
      <c r="L82" s="136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35"/>
      <c r="C83" s="235"/>
      <c r="D83" s="235"/>
      <c r="E83" s="144" t="s">
        <v>79</v>
      </c>
      <c r="F83" s="221"/>
      <c r="G83" s="221"/>
      <c r="H83" s="25" t="s">
        <v>80</v>
      </c>
      <c r="I83" s="19"/>
      <c r="J83" s="137"/>
      <c r="K83" s="137"/>
      <c r="L83" s="137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6"/>
      <c r="E84" s="28"/>
      <c r="F84" s="27"/>
      <c r="G84" s="27"/>
      <c r="H84" s="29"/>
      <c r="I84" s="19"/>
      <c r="J84" s="138"/>
      <c r="K84" s="138"/>
      <c r="L84" s="13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7"/>
      <c r="E85" s="28"/>
      <c r="F85" s="27">
        <v>0</v>
      </c>
      <c r="G85" s="27"/>
      <c r="H85" s="37"/>
      <c r="I85" s="19"/>
      <c r="J85" s="138"/>
      <c r="K85" s="138"/>
      <c r="L85" s="13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7">
        <v>0</v>
      </c>
      <c r="E86" s="28"/>
      <c r="F86" s="27">
        <v>0</v>
      </c>
      <c r="G86" s="27"/>
      <c r="H86" s="37"/>
      <c r="I86" s="19"/>
      <c r="J86" s="138"/>
      <c r="K86" s="138"/>
      <c r="L86" s="138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7">
        <v>0</v>
      </c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8"/>
      <c r="K87" s="138"/>
      <c r="L87" s="138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7">
        <v>0</v>
      </c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8"/>
      <c r="K88" s="138"/>
      <c r="L88" s="138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7">
        <v>0</v>
      </c>
      <c r="E89" s="28"/>
      <c r="F89" s="27">
        <v>5</v>
      </c>
      <c r="G89" s="27"/>
      <c r="H89" s="37">
        <f t="shared" si="14"/>
        <v>0</v>
      </c>
      <c r="I89" s="19"/>
      <c r="J89" s="138"/>
      <c r="K89" s="138"/>
      <c r="L89" s="138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7"/>
      <c r="E90" s="28"/>
      <c r="F90" s="27"/>
      <c r="G90" s="27"/>
      <c r="H90" s="37"/>
      <c r="I90" s="19"/>
      <c r="J90" s="138"/>
      <c r="K90" s="138"/>
      <c r="L90" s="138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09" t="s">
        <v>135</v>
      </c>
      <c r="B91" s="114"/>
      <c r="C91" s="111"/>
      <c r="D91" s="111">
        <f>SUM(D86:D90)</f>
        <v>0</v>
      </c>
      <c r="E91" s="112"/>
      <c r="F91" s="110"/>
      <c r="G91" s="110"/>
      <c r="H91" s="115"/>
      <c r="I91" s="19"/>
      <c r="J91" s="138"/>
      <c r="K91" s="138"/>
      <c r="L91" s="138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7"/>
      <c r="E92" s="28"/>
      <c r="F92" s="27"/>
      <c r="G92" s="27"/>
      <c r="H92" s="37"/>
      <c r="I92" s="19"/>
      <c r="J92" s="138"/>
      <c r="K92" s="138"/>
      <c r="L92" s="13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7">
        <v>0</v>
      </c>
      <c r="E93" s="28"/>
      <c r="F93" s="27"/>
      <c r="G93" s="27"/>
      <c r="H93" s="37"/>
      <c r="I93" s="19"/>
      <c r="J93" s="138"/>
      <c r="K93" s="138"/>
      <c r="L93" s="13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7">
        <v>0</v>
      </c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8"/>
      <c r="K94" s="138"/>
      <c r="L94" s="138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7">
        <v>0</v>
      </c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8"/>
      <c r="K95" s="138"/>
      <c r="L95" s="138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7">
        <v>0</v>
      </c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8"/>
      <c r="K96" s="138"/>
      <c r="L96" s="138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7">
        <v>0</v>
      </c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8"/>
      <c r="K97" s="138"/>
      <c r="L97" s="138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7">
        <v>500</v>
      </c>
      <c r="E98" s="28" t="s">
        <v>19</v>
      </c>
      <c r="F98" s="27">
        <v>7</v>
      </c>
      <c r="G98" s="27">
        <v>1</v>
      </c>
      <c r="H98" s="37">
        <f t="shared" si="15"/>
        <v>71.428571428571431</v>
      </c>
      <c r="I98" s="19"/>
      <c r="J98" s="138"/>
      <c r="K98" s="138"/>
      <c r="L98" s="138">
        <f t="shared" si="16"/>
        <v>5.9523809523809526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7">
        <v>6000</v>
      </c>
      <c r="E99" s="28" t="s">
        <v>19</v>
      </c>
      <c r="F99" s="27">
        <v>3</v>
      </c>
      <c r="G99" s="27">
        <v>1</v>
      </c>
      <c r="H99" s="37">
        <f t="shared" si="15"/>
        <v>2000</v>
      </c>
      <c r="I99" s="19"/>
      <c r="J99" s="138"/>
      <c r="K99" s="138"/>
      <c r="L99" s="138">
        <f t="shared" si="16"/>
        <v>166.66666666666666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7"/>
      <c r="E100" s="28"/>
      <c r="F100" s="27"/>
      <c r="G100" s="27"/>
      <c r="H100" s="37">
        <f t="shared" si="15"/>
        <v>0</v>
      </c>
      <c r="I100" s="19"/>
      <c r="J100" s="138"/>
      <c r="K100" s="138"/>
      <c r="L100" s="138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7"/>
      <c r="E101" s="28"/>
      <c r="F101" s="27"/>
      <c r="G101" s="27"/>
      <c r="H101" s="37">
        <f t="shared" si="15"/>
        <v>0</v>
      </c>
      <c r="I101" s="19"/>
      <c r="J101" s="138"/>
      <c r="K101" s="138"/>
      <c r="L101" s="138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7"/>
      <c r="E102" s="28"/>
      <c r="F102" s="27"/>
      <c r="G102" s="27"/>
      <c r="H102" s="37">
        <f t="shared" si="15"/>
        <v>0</v>
      </c>
      <c r="I102" s="19"/>
      <c r="J102" s="138"/>
      <c r="K102" s="138"/>
      <c r="L102" s="138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7"/>
      <c r="E103" s="28"/>
      <c r="F103" s="27"/>
      <c r="G103" s="27"/>
      <c r="H103" s="37">
        <f t="shared" si="15"/>
        <v>0</v>
      </c>
      <c r="I103" s="19"/>
      <c r="J103" s="138"/>
      <c r="K103" s="138"/>
      <c r="L103" s="138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7"/>
      <c r="E104" s="28"/>
      <c r="F104" s="27"/>
      <c r="G104" s="27"/>
      <c r="H104" s="37"/>
      <c r="I104" s="19"/>
      <c r="J104" s="138"/>
      <c r="K104" s="138"/>
      <c r="L104" s="13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09" t="s">
        <v>136</v>
      </c>
      <c r="B105" s="110"/>
      <c r="C105" s="111"/>
      <c r="D105" s="111">
        <f>SUM(D93:D104)</f>
        <v>6500</v>
      </c>
      <c r="E105" s="112"/>
      <c r="F105" s="110"/>
      <c r="G105" s="110"/>
      <c r="H105" s="113"/>
      <c r="I105" s="19"/>
      <c r="J105" s="139"/>
      <c r="K105" s="139"/>
      <c r="L105" s="13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7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7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7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7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09" t="s">
        <v>137</v>
      </c>
      <c r="B110" s="110"/>
      <c r="C110" s="110"/>
      <c r="D110" s="111">
        <f>SUM(D107:D109)</f>
        <v>0</v>
      </c>
      <c r="E110" s="112"/>
      <c r="F110" s="110"/>
      <c r="G110" s="110"/>
      <c r="H110" s="116"/>
      <c r="I110" s="19"/>
      <c r="J110" s="135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2" t="s">
        <v>170</v>
      </c>
      <c r="J111" s="41">
        <f>SUM(J87:J110)</f>
        <v>0</v>
      </c>
      <c r="K111" s="41">
        <f>SUM(K87:K110)</f>
        <v>0</v>
      </c>
      <c r="L111" s="41">
        <f>SUM(L87:L110)</f>
        <v>172.61904761904762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B82:B83"/>
    <mergeCell ref="C82:C83"/>
    <mergeCell ref="D82:D83"/>
    <mergeCell ref="F82:F83"/>
    <mergeCell ref="G82:G83"/>
    <mergeCell ref="B50:B51"/>
    <mergeCell ref="C50:C51"/>
    <mergeCell ref="D50:D51"/>
    <mergeCell ref="F50:F51"/>
    <mergeCell ref="G50:G51"/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I12" sqref="I12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5"/>
      <c r="B1" s="145"/>
      <c r="C1" s="168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17.25" customHeight="1" x14ac:dyDescent="0.3">
      <c r="A2" s="145"/>
      <c r="B2" s="169" t="s">
        <v>85</v>
      </c>
      <c r="C2" s="170"/>
      <c r="D2" s="170"/>
      <c r="E2" s="170"/>
      <c r="F2" s="170"/>
      <c r="G2" s="145"/>
      <c r="H2" s="145"/>
      <c r="I2" s="145"/>
      <c r="J2" s="145"/>
      <c r="K2" s="145"/>
      <c r="L2" s="145"/>
    </row>
    <row r="3" spans="1:12" ht="17.25" customHeight="1" x14ac:dyDescent="0.2">
      <c r="A3" s="145"/>
      <c r="B3" s="171" t="s">
        <v>68</v>
      </c>
      <c r="C3" s="172"/>
      <c r="D3" s="172"/>
      <c r="E3" s="194">
        <v>5000</v>
      </c>
      <c r="F3" s="173" t="s">
        <v>165</v>
      </c>
      <c r="G3" s="145"/>
      <c r="H3" s="145"/>
      <c r="I3" s="145"/>
      <c r="J3" s="145"/>
      <c r="K3" s="145"/>
      <c r="L3" s="145"/>
    </row>
    <row r="4" spans="1:12" ht="17.25" customHeight="1" x14ac:dyDescent="0.2">
      <c r="A4" s="145"/>
      <c r="B4" s="171" t="s">
        <v>66</v>
      </c>
      <c r="C4" s="172"/>
      <c r="D4" s="172"/>
      <c r="E4" s="195">
        <v>4</v>
      </c>
      <c r="F4" s="172" t="s">
        <v>67</v>
      </c>
      <c r="G4" s="145"/>
      <c r="H4" s="145"/>
      <c r="I4" s="145"/>
      <c r="J4" s="145"/>
      <c r="K4" s="145"/>
      <c r="L4" s="145"/>
    </row>
    <row r="5" spans="1:12" ht="17.25" customHeight="1" x14ac:dyDescent="0.2">
      <c r="A5" s="145"/>
      <c r="B5" s="171" t="s">
        <v>69</v>
      </c>
      <c r="C5" s="172"/>
      <c r="D5" s="172"/>
      <c r="E5" s="172"/>
      <c r="F5" s="172"/>
      <c r="G5" s="145"/>
      <c r="H5" s="145"/>
      <c r="I5" s="145"/>
      <c r="J5" s="145"/>
      <c r="K5" s="145"/>
      <c r="L5" s="145"/>
    </row>
    <row r="6" spans="1:12" ht="17.25" customHeight="1" x14ac:dyDescent="0.2">
      <c r="A6" s="145"/>
      <c r="B6" s="171" t="s">
        <v>70</v>
      </c>
      <c r="C6" s="172"/>
      <c r="D6" s="172"/>
      <c r="E6" s="174"/>
      <c r="F6" s="172"/>
      <c r="G6" s="145"/>
      <c r="H6" s="145"/>
      <c r="I6" s="145"/>
      <c r="J6" s="145"/>
      <c r="K6" s="145"/>
      <c r="L6" s="145"/>
    </row>
    <row r="7" spans="1:12" ht="17.25" customHeight="1" x14ac:dyDescent="0.2">
      <c r="A7" s="145"/>
      <c r="B7" s="171"/>
      <c r="C7" s="172"/>
      <c r="D7" s="172"/>
      <c r="E7" s="174"/>
      <c r="F7" s="172"/>
      <c r="G7" s="145"/>
      <c r="H7" s="145"/>
      <c r="I7" s="145"/>
      <c r="J7" s="145"/>
      <c r="K7" s="145"/>
      <c r="L7" s="145"/>
    </row>
    <row r="8" spans="1:12" ht="37.5" customHeight="1" x14ac:dyDescent="0.2">
      <c r="A8" s="145"/>
      <c r="B8" s="175"/>
      <c r="C8" s="176" t="s">
        <v>6</v>
      </c>
      <c r="D8" s="176" t="s">
        <v>7</v>
      </c>
      <c r="E8" s="176" t="s">
        <v>102</v>
      </c>
      <c r="F8" s="176" t="s">
        <v>101</v>
      </c>
      <c r="G8" s="145"/>
      <c r="H8" s="145"/>
      <c r="I8" s="145"/>
      <c r="J8" s="145"/>
      <c r="K8" s="145"/>
      <c r="L8" s="145"/>
    </row>
    <row r="9" spans="1:12" ht="17.25" customHeight="1" x14ac:dyDescent="0.2">
      <c r="A9" s="145"/>
      <c r="B9" s="177" t="s">
        <v>9</v>
      </c>
      <c r="C9" s="178">
        <f>+E3</f>
        <v>5000</v>
      </c>
      <c r="D9" s="179">
        <v>0</v>
      </c>
      <c r="E9" s="178"/>
      <c r="F9" s="178">
        <f>+E9+D9</f>
        <v>0</v>
      </c>
      <c r="G9" s="145"/>
      <c r="H9" s="145"/>
      <c r="I9" s="145"/>
      <c r="J9" s="145"/>
      <c r="K9" s="145"/>
      <c r="L9" s="145"/>
    </row>
    <row r="10" spans="1:12" ht="17.25" customHeight="1" x14ac:dyDescent="0.2">
      <c r="A10" s="145"/>
      <c r="B10" s="178" t="s">
        <v>10</v>
      </c>
      <c r="C10" s="179">
        <f>+C9-E9</f>
        <v>5000</v>
      </c>
      <c r="D10" s="179">
        <v>0</v>
      </c>
      <c r="E10" s="178">
        <f>+E3/E4</f>
        <v>1250</v>
      </c>
      <c r="F10" s="178">
        <f>+E10+D10</f>
        <v>1250</v>
      </c>
      <c r="G10" s="145"/>
      <c r="H10" s="145"/>
      <c r="I10" s="145"/>
      <c r="J10" s="145"/>
      <c r="K10" s="145"/>
      <c r="L10" s="145"/>
    </row>
    <row r="11" spans="1:12" ht="17.25" customHeight="1" x14ac:dyDescent="0.2">
      <c r="A11" s="145"/>
      <c r="B11" s="178" t="s">
        <v>11</v>
      </c>
      <c r="C11" s="179">
        <f>+C10-E10</f>
        <v>3750</v>
      </c>
      <c r="D11" s="179">
        <v>0</v>
      </c>
      <c r="E11" s="178">
        <f>+E10</f>
        <v>1250</v>
      </c>
      <c r="F11" s="178">
        <f>+F10</f>
        <v>1250</v>
      </c>
      <c r="G11" s="145"/>
      <c r="H11" s="145"/>
      <c r="I11" s="145"/>
      <c r="J11" s="145"/>
      <c r="K11" s="145"/>
      <c r="L11" s="145"/>
    </row>
    <row r="12" spans="1:12" ht="17.25" customHeight="1" x14ac:dyDescent="0.2">
      <c r="A12" s="145"/>
      <c r="B12" s="178" t="s">
        <v>12</v>
      </c>
      <c r="C12" s="179">
        <f>+C11-E11</f>
        <v>2500</v>
      </c>
      <c r="D12" s="179">
        <v>0</v>
      </c>
      <c r="E12" s="178">
        <f>+E11</f>
        <v>1250</v>
      </c>
      <c r="F12" s="178">
        <f>+E12+D12</f>
        <v>1250</v>
      </c>
      <c r="G12" s="145"/>
      <c r="H12" s="145"/>
      <c r="I12" s="145"/>
      <c r="J12" s="145"/>
      <c r="K12" s="145"/>
      <c r="L12" s="145"/>
    </row>
    <row r="13" spans="1:12" ht="17.25" customHeight="1" x14ac:dyDescent="0.2">
      <c r="A13" s="145"/>
      <c r="B13" s="178" t="s">
        <v>13</v>
      </c>
      <c r="C13" s="179">
        <f>+C12-E12</f>
        <v>1250</v>
      </c>
      <c r="D13" s="179">
        <v>0</v>
      </c>
      <c r="E13" s="178">
        <f>+E9*3</f>
        <v>0</v>
      </c>
      <c r="F13" s="178">
        <f>+E13+D13</f>
        <v>0</v>
      </c>
      <c r="G13" s="145"/>
      <c r="H13" s="145"/>
      <c r="I13" s="145"/>
      <c r="J13" s="145"/>
      <c r="K13" s="145"/>
      <c r="L13" s="145"/>
    </row>
    <row r="14" spans="1:12" ht="17.25" customHeight="1" x14ac:dyDescent="0.2">
      <c r="A14" s="145"/>
      <c r="B14" s="145"/>
      <c r="C14" s="168"/>
      <c r="D14" s="180" t="s">
        <v>71</v>
      </c>
      <c r="E14" s="181">
        <f>SUM(E9:E13)</f>
        <v>3750</v>
      </c>
      <c r="F14" s="145"/>
      <c r="G14" s="145"/>
      <c r="H14" s="145"/>
      <c r="I14" s="145"/>
      <c r="J14" s="145"/>
      <c r="K14" s="145"/>
      <c r="L14" s="145"/>
    </row>
    <row r="15" spans="1:12" ht="32.25" customHeight="1" x14ac:dyDescent="0.2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</row>
    <row r="16" spans="1:12" ht="17.25" customHeight="1" x14ac:dyDescent="0.3">
      <c r="A16" s="145"/>
      <c r="B16" s="169" t="s">
        <v>33</v>
      </c>
      <c r="C16" s="170"/>
      <c r="D16" s="170"/>
      <c r="E16" s="170"/>
      <c r="F16" s="170"/>
      <c r="G16" s="145"/>
      <c r="H16" s="145"/>
      <c r="I16" s="145"/>
      <c r="J16" s="145"/>
      <c r="K16" s="145"/>
      <c r="L16" s="145"/>
    </row>
    <row r="17" spans="1:12" ht="17.25" customHeight="1" x14ac:dyDescent="0.2">
      <c r="A17" s="145"/>
      <c r="B17" s="171" t="s">
        <v>98</v>
      </c>
      <c r="C17" s="172"/>
      <c r="D17" s="172"/>
      <c r="E17" s="196"/>
      <c r="F17" s="173" t="s">
        <v>165</v>
      </c>
      <c r="G17" s="145"/>
      <c r="H17" s="145"/>
      <c r="I17" s="145"/>
      <c r="J17" s="145"/>
      <c r="K17" s="145"/>
      <c r="L17" s="145"/>
    </row>
    <row r="18" spans="1:12" ht="17.25" customHeight="1" x14ac:dyDescent="0.2">
      <c r="A18" s="145"/>
      <c r="B18" s="171" t="s">
        <v>99</v>
      </c>
      <c r="C18" s="172"/>
      <c r="D18" s="172"/>
      <c r="E18" s="182">
        <v>5</v>
      </c>
      <c r="F18" s="172" t="s">
        <v>67</v>
      </c>
      <c r="G18" s="145"/>
      <c r="H18" s="145"/>
      <c r="I18" s="145"/>
      <c r="J18" s="145"/>
      <c r="K18" s="145"/>
      <c r="L18" s="145"/>
    </row>
    <row r="19" spans="1:12" x14ac:dyDescent="0.2">
      <c r="A19" s="145"/>
      <c r="B19" s="171" t="s">
        <v>97</v>
      </c>
      <c r="C19" s="172"/>
      <c r="D19" s="172"/>
      <c r="E19" s="172"/>
      <c r="F19" s="172"/>
      <c r="G19" s="145"/>
      <c r="H19" s="145"/>
      <c r="I19" s="145"/>
      <c r="J19" s="145"/>
      <c r="K19" s="145"/>
      <c r="L19" s="145"/>
    </row>
    <row r="20" spans="1:12" ht="17.25" customHeight="1" x14ac:dyDescent="0.2">
      <c r="A20" s="145"/>
      <c r="B20" s="171" t="s">
        <v>100</v>
      </c>
      <c r="C20" s="172"/>
      <c r="D20" s="172"/>
      <c r="E20" s="183">
        <v>0.05</v>
      </c>
      <c r="F20" s="184" t="s">
        <v>150</v>
      </c>
      <c r="G20" s="145"/>
      <c r="H20" s="145"/>
      <c r="I20" s="145"/>
      <c r="J20" s="145"/>
      <c r="K20" s="145"/>
      <c r="L20" s="145"/>
    </row>
    <row r="21" spans="1:12" ht="51" x14ac:dyDescent="0.2">
      <c r="A21" s="145"/>
      <c r="B21" s="175"/>
      <c r="C21" s="176" t="s">
        <v>103</v>
      </c>
      <c r="D21" s="176" t="s">
        <v>7</v>
      </c>
      <c r="E21" s="176" t="s">
        <v>104</v>
      </c>
      <c r="F21" s="176" t="s">
        <v>101</v>
      </c>
      <c r="G21" s="145"/>
      <c r="H21" s="145"/>
      <c r="I21" s="145"/>
      <c r="J21" s="145"/>
      <c r="K21" s="145"/>
      <c r="L21" s="145"/>
    </row>
    <row r="22" spans="1:12" ht="17.25" customHeight="1" x14ac:dyDescent="0.2">
      <c r="A22" s="145"/>
      <c r="B22" s="177" t="s">
        <v>9</v>
      </c>
      <c r="C22" s="178">
        <f>+E17</f>
        <v>0</v>
      </c>
      <c r="D22" s="179">
        <f>+C22*$E$20</f>
        <v>0</v>
      </c>
      <c r="E22" s="178">
        <f>+F22-D22</f>
        <v>0</v>
      </c>
      <c r="F22" s="178">
        <f>+F30</f>
        <v>0</v>
      </c>
      <c r="G22" s="145"/>
      <c r="H22" s="145"/>
      <c r="I22" s="145"/>
      <c r="J22" s="145"/>
      <c r="K22" s="145"/>
      <c r="L22" s="145"/>
    </row>
    <row r="23" spans="1:12" ht="17.25" customHeight="1" x14ac:dyDescent="0.2">
      <c r="A23" s="145"/>
      <c r="B23" s="178" t="s">
        <v>10</v>
      </c>
      <c r="C23" s="179">
        <f>+C22-E22</f>
        <v>0</v>
      </c>
      <c r="D23" s="179">
        <f>+C23*$E$20</f>
        <v>0</v>
      </c>
      <c r="E23" s="178">
        <f>+F23-D23</f>
        <v>0</v>
      </c>
      <c r="F23" s="178">
        <f>+F22</f>
        <v>0</v>
      </c>
      <c r="G23" s="145"/>
      <c r="H23" s="145"/>
      <c r="I23" s="145"/>
      <c r="J23" s="145"/>
      <c r="K23" s="145"/>
      <c r="L23" s="145"/>
    </row>
    <row r="24" spans="1:12" ht="17.25" customHeight="1" x14ac:dyDescent="0.2">
      <c r="A24" s="145"/>
      <c r="B24" s="178" t="s">
        <v>11</v>
      </c>
      <c r="C24" s="179">
        <f>+C23-E23</f>
        <v>0</v>
      </c>
      <c r="D24" s="179">
        <f>+C24*$E$20</f>
        <v>0</v>
      </c>
      <c r="E24" s="178">
        <f>+F24-D24</f>
        <v>0</v>
      </c>
      <c r="F24" s="178">
        <f>+F23</f>
        <v>0</v>
      </c>
      <c r="G24" s="145"/>
      <c r="H24" s="145"/>
      <c r="I24" s="145"/>
      <c r="J24" s="145"/>
      <c r="K24" s="145"/>
      <c r="L24" s="145"/>
    </row>
    <row r="25" spans="1:12" ht="17.25" customHeight="1" x14ac:dyDescent="0.2">
      <c r="A25" s="145"/>
      <c r="B25" s="178" t="s">
        <v>12</v>
      </c>
      <c r="C25" s="179">
        <f>+C24-E24</f>
        <v>0</v>
      </c>
      <c r="D25" s="179">
        <f>+C25*$E$20</f>
        <v>0</v>
      </c>
      <c r="E25" s="178">
        <f>+F25-D25</f>
        <v>0</v>
      </c>
      <c r="F25" s="178">
        <f>+F24</f>
        <v>0</v>
      </c>
      <c r="G25" s="145"/>
      <c r="H25" s="145"/>
      <c r="I25" s="145"/>
      <c r="J25" s="145"/>
      <c r="K25" s="145"/>
      <c r="L25" s="145"/>
    </row>
    <row r="26" spans="1:12" ht="15.75" customHeight="1" x14ac:dyDescent="0.2">
      <c r="A26" s="145"/>
      <c r="B26" s="145"/>
      <c r="C26" s="168"/>
      <c r="D26" s="180"/>
      <c r="E26" s="181"/>
      <c r="F26" s="145"/>
      <c r="G26" s="145"/>
      <c r="H26" s="145"/>
      <c r="I26" s="145"/>
      <c r="J26" s="145"/>
      <c r="K26" s="145"/>
      <c r="L26" s="145"/>
    </row>
    <row r="27" spans="1:12" ht="24" customHeight="1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ht="13.5" customHeight="1" x14ac:dyDescent="0.2">
      <c r="A28" s="145"/>
      <c r="B28" s="185" t="s">
        <v>91</v>
      </c>
      <c r="C28" s="186"/>
      <c r="D28" s="186"/>
      <c r="E28" s="186"/>
      <c r="F28" s="186"/>
      <c r="G28" s="145"/>
      <c r="H28" s="145"/>
      <c r="I28" s="145"/>
      <c r="J28" s="145"/>
      <c r="K28" s="145"/>
      <c r="L28" s="145"/>
    </row>
    <row r="29" spans="1:12" s="3" customFormat="1" ht="13.5" customHeight="1" x14ac:dyDescent="0.2">
      <c r="A29" s="187"/>
      <c r="B29" s="188" t="s">
        <v>92</v>
      </c>
      <c r="C29" s="188" t="s">
        <v>93</v>
      </c>
      <c r="D29" s="188" t="s">
        <v>94</v>
      </c>
      <c r="E29" s="188" t="s">
        <v>95</v>
      </c>
      <c r="F29" s="188" t="s">
        <v>14</v>
      </c>
      <c r="G29" s="187"/>
      <c r="H29" s="187"/>
      <c r="I29" s="187"/>
      <c r="J29" s="187"/>
      <c r="K29" s="187"/>
      <c r="L29" s="187"/>
    </row>
    <row r="30" spans="1:12" s="3" customFormat="1" ht="13.5" customHeight="1" x14ac:dyDescent="0.2">
      <c r="A30" s="187"/>
      <c r="B30" s="189">
        <f>+E20</f>
        <v>0.05</v>
      </c>
      <c r="C30" s="190">
        <f>+E18</f>
        <v>5</v>
      </c>
      <c r="D30" s="190">
        <f>+E17</f>
        <v>0</v>
      </c>
      <c r="E30" s="191">
        <f>POWER(B30+1,-C30)</f>
        <v>0.78352616646845896</v>
      </c>
      <c r="F30" s="190">
        <f>+D30*B30/(1-E30)</f>
        <v>0</v>
      </c>
      <c r="G30" s="187"/>
      <c r="H30" s="187"/>
      <c r="I30" s="187"/>
      <c r="J30" s="187"/>
      <c r="K30" s="187"/>
      <c r="L30" s="187"/>
    </row>
    <row r="31" spans="1:12" ht="17.25" customHeight="1" x14ac:dyDescent="0.2">
      <c r="A31" s="145"/>
      <c r="B31" s="192" t="s">
        <v>96</v>
      </c>
      <c r="C31" s="186"/>
      <c r="D31" s="186"/>
      <c r="E31" s="186"/>
      <c r="F31" s="186"/>
      <c r="G31" s="145"/>
      <c r="H31" s="145"/>
      <c r="I31" s="145"/>
      <c r="J31" s="145"/>
      <c r="K31" s="145"/>
      <c r="L31" s="145"/>
    </row>
    <row r="32" spans="1:12" ht="11.25" customHeight="1" x14ac:dyDescent="0.2">
      <c r="A32" s="145"/>
      <c r="B32" s="193"/>
      <c r="C32" s="168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45" t="s">
        <v>138</v>
      </c>
      <c r="B1" s="246"/>
      <c r="C1" s="246"/>
      <c r="D1" s="246"/>
      <c r="E1" s="247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0"/>
      <c r="B6" s="63"/>
      <c r="C6" s="91"/>
      <c r="D6" s="91"/>
      <c r="E6" s="92"/>
    </row>
    <row r="7" spans="1:5" ht="11.25" customHeight="1" x14ac:dyDescent="0.2">
      <c r="A7" s="93" t="s">
        <v>86</v>
      </c>
      <c r="B7" s="66"/>
      <c r="C7" s="42"/>
      <c r="D7" s="42"/>
      <c r="E7" s="94"/>
    </row>
    <row r="8" spans="1:5" ht="11.25" customHeight="1" x14ac:dyDescent="0.2">
      <c r="A8" s="142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5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5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6"/>
      <c r="B11" s="69"/>
      <c r="C11" s="69"/>
      <c r="D11" s="69"/>
      <c r="E11" s="69"/>
    </row>
    <row r="12" spans="1:5" ht="6" customHeight="1" x14ac:dyDescent="0.2">
      <c r="A12" s="97"/>
      <c r="B12" s="69"/>
      <c r="C12" s="69"/>
      <c r="D12" s="69"/>
      <c r="E12" s="69"/>
    </row>
    <row r="13" spans="1:5" x14ac:dyDescent="0.2">
      <c r="A13" s="93" t="s">
        <v>139</v>
      </c>
      <c r="B13" s="198">
        <v>7500</v>
      </c>
      <c r="C13" s="197"/>
      <c r="D13" s="69"/>
      <c r="E13" s="69"/>
    </row>
    <row r="14" spans="1:5" ht="14.25" customHeight="1" x14ac:dyDescent="0.2">
      <c r="A14" s="93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5"/>
      <c r="B15" s="65"/>
      <c r="C15" s="42"/>
      <c r="D15" s="42"/>
      <c r="E15" s="94"/>
    </row>
    <row r="16" spans="1:5" ht="8.25" customHeight="1" x14ac:dyDescent="0.2">
      <c r="A16" s="236" t="s">
        <v>34</v>
      </c>
      <c r="B16" s="238">
        <f>SUM(B6:B15)</f>
        <v>11500</v>
      </c>
      <c r="C16" s="238" t="e">
        <f>SUM(C6:C15)</f>
        <v>#REF!</v>
      </c>
      <c r="D16" s="238" t="e">
        <f>SUM(D6:D15)</f>
        <v>#REF!</v>
      </c>
      <c r="E16" s="238" t="e">
        <f>SUM(E6:E15)</f>
        <v>#REF!</v>
      </c>
    </row>
    <row r="17" spans="1:7" ht="8.25" customHeight="1" thickBot="1" x14ac:dyDescent="0.25">
      <c r="A17" s="248"/>
      <c r="B17" s="239"/>
      <c r="C17" s="239"/>
      <c r="D17" s="239"/>
      <c r="E17" s="239"/>
    </row>
    <row r="18" spans="1:7" x14ac:dyDescent="0.2">
      <c r="A18" s="240" t="s">
        <v>32</v>
      </c>
      <c r="B18" s="241"/>
      <c r="C18" s="241"/>
      <c r="D18" s="241"/>
      <c r="E18" s="243"/>
    </row>
    <row r="19" spans="1:7" ht="7.5" customHeight="1" thickBot="1" x14ac:dyDescent="0.25">
      <c r="A19" s="237"/>
      <c r="B19" s="242"/>
      <c r="C19" s="242"/>
      <c r="D19" s="242"/>
      <c r="E19" s="244"/>
    </row>
    <row r="20" spans="1:7" ht="8.25" customHeight="1" x14ac:dyDescent="0.2">
      <c r="A20" s="93"/>
      <c r="B20" s="63"/>
      <c r="C20" s="42"/>
      <c r="D20" s="42"/>
      <c r="E20" s="94"/>
    </row>
    <row r="21" spans="1:7" ht="12.75" customHeight="1" x14ac:dyDescent="0.2">
      <c r="A21" s="93" t="s">
        <v>35</v>
      </c>
      <c r="B21" s="64"/>
      <c r="C21" s="42"/>
      <c r="D21" s="42"/>
      <c r="E21" s="42"/>
    </row>
    <row r="22" spans="1:7" x14ac:dyDescent="0.2">
      <c r="A22" s="98" t="s">
        <v>63</v>
      </c>
      <c r="B22" s="216">
        <v>10000</v>
      </c>
      <c r="C22" s="42"/>
      <c r="D22" s="42"/>
      <c r="E22" s="42"/>
    </row>
    <row r="23" spans="1:7" x14ac:dyDescent="0.2">
      <c r="A23" s="98" t="s">
        <v>64</v>
      </c>
      <c r="B23" s="69"/>
      <c r="C23" s="69"/>
      <c r="D23" s="69"/>
      <c r="E23" s="42"/>
    </row>
    <row r="24" spans="1:7" x14ac:dyDescent="0.2">
      <c r="A24" s="98"/>
      <c r="B24" s="69"/>
      <c r="C24" s="69"/>
      <c r="D24" s="69"/>
      <c r="E24" s="42"/>
    </row>
    <row r="25" spans="1:7" ht="8.25" customHeight="1" x14ac:dyDescent="0.2">
      <c r="A25" s="93"/>
      <c r="B25" s="69"/>
      <c r="C25" s="69"/>
      <c r="D25" s="69"/>
      <c r="E25" s="69"/>
    </row>
    <row r="26" spans="1:7" ht="15" x14ac:dyDescent="0.25">
      <c r="A26" s="93" t="s">
        <v>65</v>
      </c>
      <c r="B26" s="69"/>
      <c r="C26" s="69"/>
      <c r="D26" s="69"/>
      <c r="E26" s="69"/>
      <c r="G26" s="134"/>
    </row>
    <row r="27" spans="1:7" ht="15" x14ac:dyDescent="0.25">
      <c r="A27" s="98" t="s">
        <v>61</v>
      </c>
      <c r="B27" s="69">
        <v>7000</v>
      </c>
      <c r="C27" s="69"/>
      <c r="D27" s="69"/>
      <c r="E27" s="69"/>
      <c r="G27" s="134"/>
    </row>
    <row r="28" spans="1:7" x14ac:dyDescent="0.2">
      <c r="A28" s="98" t="s">
        <v>62</v>
      </c>
      <c r="B28" s="69">
        <v>0</v>
      </c>
      <c r="C28" s="69"/>
      <c r="D28" s="69"/>
      <c r="E28" s="69"/>
    </row>
    <row r="29" spans="1:7" x14ac:dyDescent="0.2">
      <c r="A29" s="98"/>
      <c r="B29" s="69"/>
      <c r="C29" s="69"/>
      <c r="D29" s="69"/>
      <c r="E29" s="69"/>
    </row>
    <row r="30" spans="1:7" x14ac:dyDescent="0.2">
      <c r="A30" s="99"/>
      <c r="B30" s="69"/>
      <c r="C30" s="69"/>
      <c r="D30" s="69"/>
      <c r="E30" s="69"/>
    </row>
    <row r="31" spans="1:7" ht="13.5" thickBot="1" x14ac:dyDescent="0.25">
      <c r="A31" s="93"/>
      <c r="B31" s="64"/>
      <c r="C31" s="42"/>
      <c r="D31" s="42"/>
      <c r="E31" s="69"/>
    </row>
    <row r="32" spans="1:7" ht="12" customHeight="1" x14ac:dyDescent="0.2">
      <c r="A32" s="236" t="s">
        <v>36</v>
      </c>
      <c r="B32" s="238">
        <f>SUM(B20:B31)</f>
        <v>17000</v>
      </c>
      <c r="C32" s="238">
        <f>SUM(C20:C31)</f>
        <v>0</v>
      </c>
      <c r="D32" s="238">
        <f>SUM(D20:D31)</f>
        <v>0</v>
      </c>
      <c r="E32" s="238">
        <f>SUM(E20:E31)</f>
        <v>0</v>
      </c>
    </row>
    <row r="33" spans="1:5" ht="13.5" thickBot="1" x14ac:dyDescent="0.25">
      <c r="A33" s="237"/>
      <c r="B33" s="239"/>
      <c r="C33" s="239"/>
      <c r="D33" s="239"/>
      <c r="E33" s="239"/>
    </row>
    <row r="34" spans="1:5" ht="7.5" customHeight="1" thickBot="1" x14ac:dyDescent="0.25">
      <c r="A34" s="199"/>
      <c r="B34" s="200"/>
      <c r="C34" s="43"/>
      <c r="D34" s="44"/>
      <c r="E34" s="100"/>
    </row>
    <row r="35" spans="1:5" ht="16.5" thickBot="1" x14ac:dyDescent="0.3">
      <c r="A35" s="101" t="s">
        <v>37</v>
      </c>
      <c r="B35" s="102">
        <f>+B32-B16</f>
        <v>5500</v>
      </c>
      <c r="C35" s="102" t="e">
        <f>C32-C16</f>
        <v>#REF!</v>
      </c>
      <c r="D35" s="102" t="e">
        <f>D32-D16</f>
        <v>#REF!</v>
      </c>
      <c r="E35" s="102" t="e">
        <f>E32-E16</f>
        <v>#REF!</v>
      </c>
    </row>
    <row r="36" spans="1:5" ht="14.25" customHeight="1" thickBot="1" x14ac:dyDescent="0.25">
      <c r="C36" s="89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mergeCells count="16">
    <mergeCell ref="A1:E1"/>
    <mergeCell ref="A16:A17"/>
    <mergeCell ref="C16:C17"/>
    <mergeCell ref="D16:D17"/>
    <mergeCell ref="E16:E17"/>
    <mergeCell ref="B16:B17"/>
    <mergeCell ref="A18:A19"/>
    <mergeCell ref="C18:C19"/>
    <mergeCell ref="D18:D19"/>
    <mergeCell ref="E18:E19"/>
    <mergeCell ref="B18:B19"/>
    <mergeCell ref="A32:A33"/>
    <mergeCell ref="C32:C33"/>
    <mergeCell ref="D32:D33"/>
    <mergeCell ref="E32:E33"/>
    <mergeCell ref="B32:B33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Phil</cp:lastModifiedBy>
  <cp:lastPrinted>2010-03-16T22:06:30Z</cp:lastPrinted>
  <dcterms:created xsi:type="dcterms:W3CDTF">2007-04-05T11:11:55Z</dcterms:created>
  <dcterms:modified xsi:type="dcterms:W3CDTF">2016-05-11T17:06:14Z</dcterms:modified>
</cp:coreProperties>
</file>