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
      <left/>
      <right style="thin">
        <color rgb="FF000000"/>
      </right>
      <top/>
      <bottom style="thin">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0" borderId="1" applyAlignment="1" pivotButton="0" quotePrefix="0" xfId="0">
      <alignment horizontal="center" vertical="center" wrapText="1"/>
    </xf>
    <xf numFmtId="0" fontId="0" fillId="0" borderId="5" applyAlignment="1" pivotButton="0" quotePrefix="0" xfId="0">
      <alignment horizontal="left" vertical="top" wrapText="1"/>
    </xf>
    <xf numFmtId="0" fontId="0" fillId="0" borderId="5" applyAlignment="1" pivotButton="0" quotePrefix="0" xfId="0">
      <alignment horizontal="left"/>
    </xf>
    <xf numFmtId="0" fontId="2" fillId="7" borderId="0" applyAlignment="1" pivotButton="0" quotePrefix="0" xfId="0">
      <alignment horizontal="center"/>
    </xf>
    <xf numFmtId="0" fontId="2" fillId="8" borderId="0" applyAlignment="1" pivotButton="0" quotePrefix="0" xfId="0">
      <alignment horizontal="center"/>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2" fillId="20" borderId="28" applyAlignment="1" pivotButton="0" quotePrefix="0" xfId="0">
      <alignment horizontal="center" vertical="center" wrapText="1"/>
    </xf>
    <xf numFmtId="0" fontId="2" fillId="14" borderId="17" applyAlignment="1" pivotButton="0" quotePrefix="0" xfId="0">
      <alignment vertical="top" wrapText="1"/>
    </xf>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2" fillId="0" borderId="1" applyAlignment="1" pivotButton="0" quotePrefix="0" xfId="2">
      <alignment horizontal="left"/>
    </xf>
    <xf numFmtId="0" fontId="0" fillId="0" borderId="1" applyAlignment="1" pivotButton="0" quotePrefix="0" xfId="2">
      <alignment horizontal="center"/>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0" fontId="0" fillId="0" borderId="5" pivotButton="0" quotePrefix="0" xfId="0"/>
    <xf numFmtId="0" fontId="0" fillId="0" borderId="6" pivotButton="0" quotePrefix="0" xfId="0"/>
    <xf numFmtId="0" fontId="0" fillId="0" borderId="0" pivotButton="0" quotePrefix="0" xfId="0"/>
    <xf numFmtId="0" fontId="0" fillId="0" borderId="23" pivotButton="0" quotePrefix="0" xfId="0"/>
    <xf numFmtId="0" fontId="0" fillId="15" borderId="17" pivotButton="0" quotePrefix="0" xfId="0"/>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0" fillId="0" borderId="11" pivotButton="0" quotePrefix="0" xfId="0"/>
    <xf numFmtId="0" fontId="0" fillId="0" borderId="45" pivotButton="0" quotePrefix="0" xfId="0"/>
    <xf numFmtId="0" fontId="0" fillId="0" borderId="85"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3"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4"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workbookViewId="0">
      <selection activeCell="B7" sqref="B7"/>
    </sheetView>
  </sheetViews>
  <sheetFormatPr baseColWidth="8" defaultRowHeight="15"/>
  <cols>
    <col width="40.140625" customWidth="1" style="495" min="1" max="1"/>
    <col width="14.5703125" customWidth="1" style="495" min="2" max="2"/>
    <col width="14" customWidth="1" style="495" min="3" max="3"/>
    <col width="13.85546875" customWidth="1" style="495" min="4" max="6"/>
    <col width="12.5703125" bestFit="1" customWidth="1" style="495"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2020</v>
      </c>
      <c r="C6" s="371">
        <f>B6+1</f>
        <v/>
      </c>
      <c r="D6" s="372">
        <f>C6+1</f>
        <v/>
      </c>
      <c r="E6" s="372">
        <f>D6+1</f>
        <v/>
      </c>
      <c r="F6" s="372">
        <f>E6+1</f>
        <v/>
      </c>
    </row>
    <row r="7">
      <c r="A7" s="373" t="inlineStr">
        <is>
          <t>Cash and equivalents</t>
        </is>
      </c>
      <c r="B7" s="385" t="n"/>
      <c r="C7" s="385" t="n"/>
      <c r="D7" s="375" t="n"/>
      <c r="E7" s="375" t="n">
        <v>10551</v>
      </c>
      <c r="F7" s="375" t="n">
        <v>9327</v>
      </c>
    </row>
    <row r="8">
      <c r="A8" s="373" t="inlineStr">
        <is>
          <t>Accounts Receivable</t>
        </is>
      </c>
      <c r="B8" s="385" t="n"/>
      <c r="C8" s="385" t="n"/>
      <c r="D8" s="375" t="n"/>
      <c r="E8" s="375" t="n">
        <v/>
      </c>
      <c r="F8" s="375" t="n">
        <v/>
      </c>
    </row>
    <row r="9">
      <c r="A9" s="373" t="inlineStr">
        <is>
          <t>Prepaid Expenses</t>
        </is>
      </c>
      <c r="B9" s="385" t="n"/>
      <c r="C9" s="385" t="n"/>
      <c r="D9" s="375" t="n"/>
      <c r="E9" s="375" t="n"/>
      <c r="F9" s="375" t="n"/>
    </row>
    <row r="10">
      <c r="A10" s="373" t="inlineStr">
        <is>
          <t>Inventory</t>
        </is>
      </c>
      <c r="B10" s="385" t="n"/>
      <c r="C10" s="385" t="n"/>
      <c r="D10" s="375" t="n"/>
      <c r="E10" s="375" t="n">
        <v>1071923</v>
      </c>
      <c r="F10" s="375" t="n">
        <v>1100823</v>
      </c>
    </row>
    <row r="11">
      <c r="A11" s="373" t="inlineStr">
        <is>
          <t>Investments</t>
        </is>
      </c>
      <c r="B11" s="385" t="n"/>
      <c r="C11" s="385" t="n"/>
      <c r="D11" s="375" t="n"/>
      <c r="E11" s="375" t="n">
        <v>91338</v>
      </c>
      <c r="F11" s="375" t="n">
        <v>110997</v>
      </c>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t="n">
        <v>2038194</v>
      </c>
      <c r="F13" s="375" t="n">
        <v>1962925</v>
      </c>
    </row>
    <row r="14">
      <c r="A14" s="379" t="n"/>
      <c r="B14" s="380" t="n"/>
      <c r="C14" s="380" t="n"/>
      <c r="D14" s="381" t="n"/>
      <c r="E14" s="381" t="n"/>
      <c r="F14" s="381" t="n"/>
    </row>
    <row r="15">
      <c r="A15" s="373" t="inlineStr">
        <is>
          <t>Net PPE</t>
        </is>
      </c>
      <c r="B15" s="385" t="n"/>
      <c r="C15" s="385" t="n"/>
      <c r="D15" s="375" t="n"/>
      <c r="E15" s="375" t="n">
        <v>330279</v>
      </c>
      <c r="F15" s="375" t="n">
        <v>329986</v>
      </c>
    </row>
    <row r="16">
      <c r="A16" s="373" t="inlineStr">
        <is>
          <t>Goodwill</t>
        </is>
      </c>
      <c r="B16" s="385" t="n"/>
      <c r="C16" s="385" t="n"/>
      <c r="D16" s="375" t="n"/>
      <c r="E16" s="375" t="n">
        <v>415028</v>
      </c>
      <c r="F16" s="375" t="n">
        <v>359998</v>
      </c>
    </row>
    <row r="17">
      <c r="A17" s="373" t="inlineStr">
        <is>
          <t>Intangibles</t>
        </is>
      </c>
      <c r="B17" s="385" t="n"/>
      <c r="C17" s="385" t="n"/>
      <c r="D17" s="375" t="n"/>
      <c r="E17" s="375" t="n">
        <v/>
      </c>
      <c r="F17" s="375" t="n">
        <v/>
      </c>
    </row>
    <row r="18">
      <c r="A18" s="373" t="inlineStr">
        <is>
          <t>Other</t>
        </is>
      </c>
      <c r="B18" s="385" t="n"/>
      <c r="C18" s="385" t="n"/>
      <c r="D18" s="375" t="n"/>
      <c r="E18" s="375" t="n"/>
      <c r="F18" s="375" t="n"/>
    </row>
    <row r="19" ht="15.75" customHeight="1" s="495" thickBot="1">
      <c r="A19" s="373" t="n"/>
      <c r="B19" s="382" t="n"/>
      <c r="C19" s="382" t="n"/>
      <c r="D19" s="383" t="n"/>
      <c r="E19" s="383" t="n"/>
      <c r="F19" s="383" t="n"/>
    </row>
    <row r="20" ht="15.75" customHeight="1" s="495" thickTop="1">
      <c r="A20" s="373" t="inlineStr">
        <is>
          <t>Total Non Current Assets</t>
        </is>
      </c>
      <c r="B20" s="385">
        <f>SUM(B15:B19)</f>
        <v/>
      </c>
      <c r="C20" s="385">
        <f>SUM(C15:C19)</f>
        <v/>
      </c>
      <c r="D20" s="390">
        <f>SUM(D15:D19)</f>
        <v/>
      </c>
      <c r="E20" s="390" t="n">
        <v>3448598</v>
      </c>
      <c r="F20" s="390" t="n">
        <v>3371842</v>
      </c>
    </row>
    <row r="21">
      <c r="A21" s="384" t="inlineStr">
        <is>
          <t>Total Assets</t>
        </is>
      </c>
      <c r="B21" s="377">
        <f>B20+B13</f>
        <v/>
      </c>
      <c r="C21" s="377">
        <f>C20+C13</f>
        <v/>
      </c>
      <c r="D21" s="378">
        <f>D20+D13</f>
        <v/>
      </c>
      <c r="E21" s="378" t="n">
        <v>1516672</v>
      </c>
      <c r="F21" s="378" t="n">
        <v>1409918</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v>1012636</v>
      </c>
      <c r="F24" s="375" t="n">
        <v>962675</v>
      </c>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v>187522</v>
      </c>
      <c r="F27" s="375" t="n">
        <v>171780</v>
      </c>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t="n">
        <v>3448598</v>
      </c>
      <c r="F29" s="375" t="n">
        <v>3371842</v>
      </c>
    </row>
    <row r="30">
      <c r="A30" s="379" t="n"/>
      <c r="B30" s="380" t="n"/>
      <c r="C30" s="380" t="n"/>
      <c r="D30" s="381" t="n"/>
      <c r="E30" s="381" t="n"/>
      <c r="F30" s="381" t="n"/>
    </row>
    <row r="31">
      <c r="A31" s="373" t="inlineStr">
        <is>
          <t>Long Term Debt</t>
        </is>
      </c>
      <c r="B31" s="385" t="n"/>
      <c r="C31" s="385" t="n"/>
      <c r="D31" s="375" t="n"/>
      <c r="E31" s="375" t="n">
        <v>42342</v>
      </c>
      <c r="F31" s="375" t="n">
        <v>33841</v>
      </c>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95" thickBot="1">
      <c r="A34" s="373" t="n"/>
      <c r="B34" s="382" t="n"/>
      <c r="C34" s="382" t="n"/>
      <c r="D34" s="383" t="n"/>
      <c r="E34" s="383" t="n"/>
      <c r="F34" s="383" t="n"/>
    </row>
    <row r="35" ht="15.75" customHeight="1" s="495" thickTop="1">
      <c r="A35" s="373" t="inlineStr">
        <is>
          <t>Total Non Current Liabilities</t>
        </is>
      </c>
      <c r="B35" s="385">
        <f>SUM(B31:B34)</f>
        <v/>
      </c>
      <c r="C35" s="385">
        <f>SUM(C31:C34)</f>
        <v/>
      </c>
      <c r="D35" s="390">
        <f>SUM(D31:D34)</f>
        <v/>
      </c>
      <c r="E35" s="390" t="n">
        <v>0</v>
      </c>
      <c r="F35" s="390" t="n">
        <v>0</v>
      </c>
    </row>
    <row r="36">
      <c r="A36" s="384" t="inlineStr">
        <is>
          <t>Total Liabilities</t>
        </is>
      </c>
      <c r="B36" s="377">
        <f>B35+B29</f>
        <v/>
      </c>
      <c r="C36" s="377">
        <f>C35+C29</f>
        <v/>
      </c>
      <c r="D36" s="378">
        <f>D35+D29</f>
        <v/>
      </c>
      <c r="E36" s="378" t="n">
        <v>3143914</v>
      </c>
      <c r="F36" s="378" t="n">
        <v>2986939</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95" thickBot="1">
      <c r="A42" s="373" t="inlineStr">
        <is>
          <t>Other</t>
        </is>
      </c>
      <c r="B42" s="382" t="n"/>
      <c r="C42" s="382" t="n"/>
      <c r="D42" s="383" t="n"/>
      <c r="E42" s="383" t="n"/>
      <c r="F42" s="383" t="n"/>
    </row>
    <row r="43" ht="15.75" customHeight="1" s="495" thickTop="1">
      <c r="A43" s="384" t="inlineStr">
        <is>
          <t>Total Equity</t>
        </is>
      </c>
      <c r="B43" s="377">
        <f>SUM(B39:B42)</f>
        <v/>
      </c>
      <c r="C43" s="377">
        <f>SUM(C39:C42)</f>
        <v/>
      </c>
      <c r="D43" s="378">
        <f>SUM(D39:D42)</f>
        <v/>
      </c>
      <c r="E43" s="378" t="n">
        <v>0</v>
      </c>
      <c r="F43" s="378" t="n">
        <v>0</v>
      </c>
    </row>
    <row r="44">
      <c r="B44" s="385" t="n"/>
      <c r="C44" s="385" t="n"/>
      <c r="D44" s="385" t="n"/>
      <c r="E44" s="385" t="n"/>
      <c r="F44" s="385" t="n"/>
    </row>
    <row r="45">
      <c r="A45" t="inlineStr">
        <is>
          <t>Total Liabilities and Equity</t>
        </is>
      </c>
      <c r="B45" s="385">
        <f>B43+B36</f>
        <v/>
      </c>
      <c r="C45" s="385">
        <f>C43+C36</f>
        <v/>
      </c>
      <c r="D45" s="385">
        <f>D43+D36</f>
        <v/>
      </c>
      <c r="E45" s="385" t="n">
        <v/>
      </c>
      <c r="F45" s="385" t="n">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95" min="1" max="1"/>
    <col width="14.140625" customWidth="1" style="495" min="2" max="2"/>
    <col width="13.42578125" bestFit="1" customWidth="1" style="495" min="3" max="3"/>
    <col width="14.42578125" customWidth="1" style="495"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v>14513965</v>
      </c>
      <c r="F6" s="375" t="n">
        <v>14591936</v>
      </c>
    </row>
    <row r="7" ht="15.75" customHeight="1" s="495" thickBot="1">
      <c r="A7" s="373" t="inlineStr">
        <is>
          <t>Operating Expenses</t>
        </is>
      </c>
      <c r="B7" s="382" t="n"/>
      <c r="C7" s="382" t="n"/>
      <c r="D7" s="383" t="n"/>
      <c r="E7" s="383" t="n">
        <v>925619</v>
      </c>
      <c r="F7" s="383" t="n">
        <v>933317</v>
      </c>
    </row>
    <row r="8" ht="15.75" customHeight="1" s="495" thickTop="1">
      <c r="A8" s="373" t="inlineStr">
        <is>
          <t>Operating Income</t>
        </is>
      </c>
      <c r="B8" s="385">
        <f>B6+B7</f>
        <v/>
      </c>
      <c r="C8" s="385">
        <f>C6+C7</f>
        <v/>
      </c>
      <c r="D8" s="375">
        <f>D6+D7</f>
        <v/>
      </c>
      <c r="E8" s="375" t="n">
        <v>139921</v>
      </c>
      <c r="F8" s="375" t="n">
        <v>210592</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v/>
      </c>
      <c r="F15" s="375" t="n">
        <v/>
      </c>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95" thickBot="1">
      <c r="A19" s="373" t="inlineStr">
        <is>
          <t>Other</t>
        </is>
      </c>
      <c r="B19" s="382" t="n"/>
      <c r="C19" s="382" t="n"/>
      <c r="D19" s="383" t="n"/>
      <c r="E19" s="383" t="n"/>
      <c r="F19" s="383" t="n"/>
    </row>
    <row r="20" ht="15.75" customHeight="1" s="495" thickTop="1">
      <c r="A20" s="384" t="inlineStr">
        <is>
          <t>Net Income</t>
        </is>
      </c>
      <c r="B20" s="377">
        <f>SUM(B17:B19)</f>
        <v/>
      </c>
      <c r="C20" s="377">
        <f>SUM(C17:C19)</f>
        <v/>
      </c>
      <c r="D20" s="378">
        <f>SUM(D17:D19)</f>
        <v/>
      </c>
      <c r="E20" s="378" t="n">
        <v>62866</v>
      </c>
      <c r="F20" s="378" t="n">
        <v>119074</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v/>
      </c>
      <c r="F23" s="375" t="n">
        <v/>
      </c>
    </row>
    <row r="24">
      <c r="A24" s="373" t="inlineStr">
        <is>
          <t>Net Income</t>
        </is>
      </c>
      <c r="B24" s="385">
        <f>B20</f>
        <v/>
      </c>
      <c r="C24" s="385">
        <f>C20</f>
        <v/>
      </c>
      <c r="D24" s="375">
        <f>D20</f>
        <v/>
      </c>
      <c r="E24" s="375" t="n">
        <v>62866</v>
      </c>
      <c r="F24" s="375" t="n">
        <v>119074</v>
      </c>
    </row>
    <row r="25">
      <c r="A25" s="373" t="inlineStr">
        <is>
          <t>Changes in noncash items</t>
        </is>
      </c>
      <c r="B25" s="385" t="n"/>
      <c r="C25" s="385" t="n"/>
      <c r="D25" s="375" t="n"/>
      <c r="E25" s="375" t="n">
        <v>135988</v>
      </c>
      <c r="F25" s="375" t="n">
        <v>149852</v>
      </c>
    </row>
    <row r="26" ht="15.75" customHeight="1" s="495" thickBot="1">
      <c r="A26" s="373" t="inlineStr">
        <is>
          <t>Changes in Asses and Liabilities</t>
        </is>
      </c>
      <c r="B26" s="382" t="n"/>
      <c r="C26" s="382" t="n"/>
      <c r="D26" s="383" t="n"/>
      <c r="E26" s="383" t="n"/>
      <c r="F26" s="383" t="n"/>
    </row>
    <row r="27" ht="15.75" customHeight="1" s="495"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v/>
      </c>
      <c r="F29" s="375" t="n">
        <v/>
      </c>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95" thickBot="1">
      <c r="A32" s="373" t="inlineStr">
        <is>
          <t>Others</t>
        </is>
      </c>
      <c r="B32" s="382" t="n"/>
      <c r="C32" s="382" t="n"/>
      <c r="D32" s="383" t="n"/>
      <c r="E32" s="383" t="n"/>
      <c r="F32" s="383" t="n"/>
    </row>
    <row r="33" ht="15.75" customHeight="1" s="495"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v/>
      </c>
      <c r="F35" s="375" t="n">
        <v/>
      </c>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v>-25358</v>
      </c>
      <c r="F39" s="375" t="n">
        <v>-29320</v>
      </c>
    </row>
    <row r="40" ht="15.75" customHeight="1" s="495" thickBot="1">
      <c r="A40" s="373" t="inlineStr">
        <is>
          <t>Other</t>
        </is>
      </c>
      <c r="B40" s="382" t="n"/>
      <c r="C40" s="382" t="n"/>
      <c r="D40" s="383" t="n"/>
      <c r="E40" s="383" t="n"/>
      <c r="F40" s="383" t="n"/>
    </row>
    <row r="41" ht="15.75" customHeight="1" s="495"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t="n">
        <v>16293</v>
      </c>
      <c r="F43" s="375" t="n">
        <v>7662</v>
      </c>
    </row>
    <row r="44">
      <c r="A44" s="373" t="inlineStr">
        <is>
          <t>Starting Cash</t>
        </is>
      </c>
      <c r="B44" s="385" t="n"/>
      <c r="C44" s="385">
        <f>B45</f>
        <v/>
      </c>
      <c r="D44" s="375">
        <f>C45</f>
        <v/>
      </c>
      <c r="E44" s="375" t="n">
        <v>19013</v>
      </c>
      <c r="F44" s="375" t="n">
        <v>10551</v>
      </c>
    </row>
    <row r="45">
      <c r="A45" s="384" t="inlineStr">
        <is>
          <t>Ending Cash</t>
        </is>
      </c>
      <c r="B45" s="377">
        <f>B43+B44</f>
        <v/>
      </c>
      <c r="C45" s="377">
        <f>C43+C44</f>
        <v/>
      </c>
      <c r="D45" s="378">
        <f>D43+D44</f>
        <v/>
      </c>
      <c r="E45" s="378" t="n">
        <v>10551</v>
      </c>
      <c r="F45" s="378" t="n">
        <v>9327</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60">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95">
      <c r="B4" s="493" t="n"/>
      <c r="C4" s="461"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95">
      <c r="B5" s="493" t="n"/>
      <c r="C5" s="493"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95">
      <c r="B6" s="494" t="n"/>
      <c r="C6" s="494"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95">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95">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95">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95">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95">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61" t="n"/>
      <c r="P16" s="502" t="n"/>
    </row>
    <row r="17">
      <c r="C17" s="462" t="n"/>
      <c r="P17" s="502" t="n"/>
    </row>
    <row r="18" ht="15" customHeight="1" s="495">
      <c r="C18" s="461" t="n"/>
      <c r="P18" s="502" t="n"/>
    </row>
    <row r="19">
      <c r="C19" s="179" t="n"/>
      <c r="P19" s="35" t="n"/>
    </row>
    <row r="20">
      <c r="C20" s="180" t="inlineStr">
        <is>
          <t>Attention points:</t>
        </is>
      </c>
      <c r="P20" s="35" t="n"/>
    </row>
    <row r="21" s="495">
      <c r="B21" s="34" t="n"/>
      <c r="C21" s="493"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95">
      <c r="B22" s="34" t="n"/>
      <c r="C22" s="493"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95">
      <c r="B23" s="34" t="n"/>
      <c r="C23" s="493"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95">
      <c r="B24" s="34" t="n"/>
      <c r="C24" s="494"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95">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95">
      <c r="B31" s="34" t="n"/>
      <c r="C31" s="465">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95">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95">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95">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95">
      <c r="B35" s="34" t="n"/>
      <c r="C35" s="181">
        <f>G78</f>
        <v/>
      </c>
      <c r="D35" s="24" t="inlineStr">
        <is>
          <t>Current</t>
        </is>
      </c>
      <c r="E35" s="24" t="inlineStr">
        <is>
          <t>Non current</t>
        </is>
      </c>
      <c r="F35" s="24" t="inlineStr">
        <is>
          <t>Equity</t>
        </is>
      </c>
      <c r="G35" s="37" t="inlineStr">
        <is>
          <t>TOTAL</t>
        </is>
      </c>
      <c r="H35" s="34" t="n"/>
      <c r="I35" s="34" t="n"/>
      <c r="J35" s="34" t="n"/>
      <c r="K35" s="34" t="n"/>
      <c r="L35" s="34" t="n"/>
      <c r="M35" s="463" t="inlineStr">
        <is>
          <t>Balance sheet composition FY22</t>
        </is>
      </c>
      <c r="Q35" s="34" t="n"/>
      <c r="R35" s="34" t="n"/>
      <c r="S35" s="34" t="n"/>
      <c r="T35" s="34" t="n"/>
      <c r="U35" s="464"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95">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95">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95">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60" t="inlineStr">
        <is>
          <t>Amounts in  EUR</t>
        </is>
      </c>
      <c r="C39" s="182">
        <f>+B7</f>
        <v/>
      </c>
      <c r="D39" s="465">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93"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93"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93"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95">
      <c r="B43" s="493"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95">
      <c r="B44" s="493"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93"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93"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93"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93"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95">
      <c r="B49" s="493"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95">
      <c r="B50" s="493"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93"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95" thickBot="1">
      <c r="B52" s="493"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95" thickBot="1">
      <c r="B53" s="493"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95">
      <c r="B54" s="493"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95">
      <c r="B55" s="493"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95" thickBot="1">
      <c r="B56" s="493"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95" thickBot="1">
      <c r="B57" s="493"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95">
      <c r="B58" s="493"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95">
      <c r="B59" s="493"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95" thickBot="1">
      <c r="B60" s="493"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95" thickBot="1">
      <c r="B61" s="493"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95">
      <c r="B62" s="493"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95" thickBot="1">
      <c r="B63" s="493"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95" thickBot="1">
      <c r="B64" s="493"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95">
      <c r="B65" s="493"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95">
      <c r="B66" s="493"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95">
      <c r="B67" s="493"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95">
      <c r="B68" s="493"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95" thickBot="1">
      <c r="B69" s="494" t="n"/>
      <c r="C69" s="212" t="inlineStr">
        <is>
          <t>Material off-balance sheet items (Y/N)</t>
        </is>
      </c>
      <c r="D69" s="213" t="inlineStr">
        <is>
          <t>N</t>
        </is>
      </c>
      <c r="E69" s="49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95">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95">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95">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95">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95"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95"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8"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9"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97"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70"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70" t="n"/>
      <c r="BO82" s="470" t="n"/>
      <c r="BP82" s="470"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70" t="n"/>
      <c r="BO83" s="470" t="n"/>
      <c r="BP83" s="470"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70" t="n"/>
      <c r="BO84" s="470" t="n"/>
      <c r="BP84" s="470"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70" t="n"/>
      <c r="BO85" s="470" t="n"/>
      <c r="BP85" s="470"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71"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8"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71"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71"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71"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72"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8"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8"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8"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98"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99"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500"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501"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95"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95"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95"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95"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95"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95"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95"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95"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95"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95"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95"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95"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95"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95">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95">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BO124:BR157"/>
    <mergeCell ref="C18:P18"/>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95" thickBot="1"/>
    <row r="2">
      <c r="B2" s="132" t="inlineStr">
        <is>
          <t>Company name</t>
        </is>
      </c>
      <c r="C2" s="133">
        <f>Details!B3</f>
        <v/>
      </c>
    </row>
    <row r="3">
      <c r="B3" s="134" t="inlineStr">
        <is>
          <t>Closing</t>
        </is>
      </c>
      <c r="C3" s="135" t="n">
        <v>44561</v>
      </c>
    </row>
    <row r="4" ht="15.75" customHeight="1" s="495"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79">
        <f>IFERROR(VLOOKUP(C7,Rating_Ref!A4:B9,2,0),"")</f>
        <v/>
      </c>
      <c r="E7" s="140" t="n">
        <v>0.04</v>
      </c>
      <c r="F7" s="348">
        <f>E7*D7</f>
        <v/>
      </c>
      <c r="G7" s="480">
        <f>+SUM(E7:E9)</f>
        <v/>
      </c>
    </row>
    <row r="8">
      <c r="B8" s="6" t="inlineStr">
        <is>
          <t>Equity Base</t>
        </is>
      </c>
      <c r="C8" s="139" t="inlineStr">
        <is>
          <t>100-500M</t>
        </is>
      </c>
      <c r="D8" s="479">
        <f>IFERROR(VLOOKUP(C8,Rating_Ref!A12:B18,2,0),"")</f>
        <v/>
      </c>
      <c r="E8" s="140" t="n">
        <v>0.1</v>
      </c>
      <c r="F8" s="348">
        <f>E8*D8</f>
        <v/>
      </c>
      <c r="G8" s="493" t="n"/>
    </row>
    <row r="9">
      <c r="B9" s="6" t="inlineStr">
        <is>
          <t>Operating Risk</t>
        </is>
      </c>
      <c r="C9" s="141" t="inlineStr">
        <is>
          <t>Moderate</t>
        </is>
      </c>
      <c r="D9" s="479">
        <f>IFERROR(VLOOKUP(C9,Rating_Ref!A21:B25,2,0),"")</f>
        <v/>
      </c>
      <c r="E9" s="140" t="n">
        <v>0.06</v>
      </c>
      <c r="F9" s="348">
        <f>E9*D9</f>
        <v/>
      </c>
      <c r="G9" s="494"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79">
        <f>IFERROR(VLOOKUP(C13,Rating_Ref!A28:B32,2,0),"")</f>
        <v/>
      </c>
      <c r="E13" s="140" t="n">
        <v>0.05</v>
      </c>
      <c r="F13" s="348">
        <f>E13*D13</f>
        <v/>
      </c>
      <c r="G13" s="481">
        <f>+SUM(E13:E17)</f>
        <v/>
      </c>
    </row>
    <row r="14">
      <c r="B14" s="6" t="inlineStr">
        <is>
          <t>Industry Outlook</t>
        </is>
      </c>
      <c r="C14" s="141" t="inlineStr">
        <is>
          <t>Moderate</t>
        </is>
      </c>
      <c r="D14" s="479">
        <f>IFERROR(VLOOKUP(C14,Rating_Ref!A35:B39,2,0),"")</f>
        <v/>
      </c>
      <c r="E14" s="140" t="n">
        <v>0.05</v>
      </c>
      <c r="F14" s="348">
        <f>E14*D14</f>
        <v/>
      </c>
      <c r="G14" s="493" t="n"/>
    </row>
    <row r="15">
      <c r="B15" s="6" t="inlineStr">
        <is>
          <t>Current ratio</t>
        </is>
      </c>
      <c r="C15" s="143">
        <f>Details!I119</f>
        <v/>
      </c>
      <c r="D15" s="479">
        <f>IF(C15&lt;0,20,VLOOKUP(C15,Rating_Ref!M63:N73,2))</f>
        <v/>
      </c>
      <c r="E15" s="140" t="n">
        <v>0.025</v>
      </c>
      <c r="F15" s="348">
        <f>E15*D15</f>
        <v/>
      </c>
      <c r="G15" s="493" t="n"/>
    </row>
    <row r="16">
      <c r="B16" s="6" t="inlineStr">
        <is>
          <t>Cash ratio</t>
        </is>
      </c>
      <c r="C16" s="143">
        <f>+Details!I121</f>
        <v/>
      </c>
      <c r="D16" s="479">
        <f>IF(C16&lt;0,20,VLOOKUP(C16,Rating_Ref!M54:N60,2))</f>
        <v/>
      </c>
      <c r="E16" s="140" t="n">
        <v>0.05</v>
      </c>
      <c r="F16" s="348">
        <f>E16*D16</f>
        <v/>
      </c>
      <c r="G16" s="493" t="n"/>
      <c r="H16" s="346" t="n"/>
      <c r="I16" s="346" t="n"/>
      <c r="J16" s="346" t="n"/>
      <c r="K16" s="346" t="n"/>
      <c r="L16" s="346" t="n"/>
      <c r="M16" s="346" t="n"/>
      <c r="N16" s="346" t="n"/>
      <c r="O16" s="346" t="n"/>
      <c r="P16" s="346" t="n"/>
    </row>
    <row r="17">
      <c r="B17" s="6" t="inlineStr">
        <is>
          <t>Capex/D&amp;A</t>
        </is>
      </c>
      <c r="C17" s="150">
        <f>Details!I123</f>
        <v/>
      </c>
      <c r="D17" s="479">
        <f>IF(C17&lt;0,20,VLOOKUP(C17,Rating_Ref!$M$86:$N$93,2))</f>
        <v/>
      </c>
      <c r="E17" s="140" t="n">
        <v>0.01</v>
      </c>
      <c r="F17" s="348">
        <f>E17*D17</f>
        <v/>
      </c>
      <c r="G17" s="494"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79">
        <f>IF(C21&lt;0,20,VLOOKUP(C21,Rating_Ref!E5:F14,2))</f>
        <v/>
      </c>
      <c r="E21" s="146" t="n">
        <v>0.05</v>
      </c>
      <c r="F21" s="348">
        <f>E21*D21</f>
        <v/>
      </c>
      <c r="G21" s="481">
        <f>+SUM(E21:E23)</f>
        <v/>
      </c>
    </row>
    <row r="22">
      <c r="B22" s="6" t="inlineStr">
        <is>
          <t>Capitalization</t>
        </is>
      </c>
      <c r="C22" s="143">
        <f>Details!I100</f>
        <v/>
      </c>
      <c r="D22" s="479">
        <f>IF(C22&lt;0,20,VLOOKUP(C22,Rating_Ref!E17:F26,2))</f>
        <v/>
      </c>
      <c r="E22" s="146" t="n">
        <v>0.15</v>
      </c>
      <c r="F22" s="348">
        <f>E22*D22</f>
        <v/>
      </c>
      <c r="G22" s="493" t="n"/>
      <c r="H22" s="346" t="n"/>
      <c r="I22" s="346" t="n"/>
      <c r="J22" s="346" t="n"/>
      <c r="K22" s="346" t="n"/>
      <c r="L22" s="346" t="n"/>
      <c r="M22" s="346" t="n"/>
      <c r="N22" s="346" t="n"/>
      <c r="O22" s="346" t="n"/>
      <c r="P22" s="346" t="n"/>
    </row>
    <row r="23">
      <c r="B23" s="6" t="inlineStr">
        <is>
          <t>TNW/assets</t>
        </is>
      </c>
      <c r="C23" s="143">
        <f>Details!I102</f>
        <v/>
      </c>
      <c r="D23" s="479">
        <f>IF(C23&lt;0,20,VLOOKUP(C23,Rating_Ref!E30:F37,2))</f>
        <v/>
      </c>
      <c r="E23" s="146" t="n">
        <v>0.05</v>
      </c>
      <c r="F23" s="348">
        <f>E23*D23</f>
        <v/>
      </c>
      <c r="G23" s="494"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79">
        <f>IF(C27&lt;0,20,VLOOKUP(C27,Rating_Ref!I5:J10,2))</f>
        <v/>
      </c>
      <c r="E27" s="140" t="n">
        <v>0.05</v>
      </c>
      <c r="F27" s="348">
        <f>E27*D27</f>
        <v/>
      </c>
      <c r="G27" s="481">
        <f>SUM(E27:E30)</f>
        <v/>
      </c>
    </row>
    <row r="28">
      <c r="B28" s="6" t="inlineStr">
        <is>
          <t>Cover ratio</t>
        </is>
      </c>
      <c r="C28" s="143">
        <f>IFERROR(Details!I106,1000)</f>
        <v/>
      </c>
      <c r="D28" s="479">
        <f>IF(C28&lt;0,20,VLOOKUP(C28,Rating_Ref!I13:J19,2))</f>
        <v/>
      </c>
      <c r="E28" s="140" t="n">
        <v>0.05</v>
      </c>
      <c r="F28" s="348">
        <f>E28*D28</f>
        <v/>
      </c>
      <c r="G28" s="493" t="n"/>
    </row>
    <row r="29">
      <c r="B29" s="6" t="inlineStr">
        <is>
          <t>Net leverage</t>
        </is>
      </c>
      <c r="C29" s="143">
        <f>Details!I104</f>
        <v/>
      </c>
      <c r="D29" s="479">
        <f>IF(C29&lt;0,1,VLOOKUP(C29,Rating_Ref!I22:J29,2))</f>
        <v/>
      </c>
      <c r="E29" s="146" t="n">
        <v>0.05</v>
      </c>
      <c r="F29" s="348">
        <f>E29*D29</f>
        <v/>
      </c>
      <c r="G29" s="493" t="n"/>
    </row>
    <row r="30">
      <c r="B30" s="6" t="inlineStr">
        <is>
          <t>Net debt/NOCF</t>
        </is>
      </c>
      <c r="C30" s="149">
        <f>Details!I124</f>
        <v/>
      </c>
      <c r="D30" s="479">
        <f>IF(C30&lt;0,1,VLOOKUP(C30,Rating_Ref!I42:J49,2))</f>
        <v/>
      </c>
      <c r="E30" s="140" t="n">
        <v>0.045</v>
      </c>
      <c r="F30" s="348">
        <f>E30*D30</f>
        <v/>
      </c>
      <c r="G30" s="494"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81">
        <f>+SUM(E34:E36)</f>
        <v/>
      </c>
    </row>
    <row r="35">
      <c r="B35" s="6" t="inlineStr">
        <is>
          <t>Net margin (net income/sales)</t>
        </is>
      </c>
      <c r="C35" s="353">
        <f>Details!I95</f>
        <v/>
      </c>
      <c r="D35" s="479">
        <f>IF(C35&lt;0,20,VLOOKUP(C35,Rating_Ref!M40:N50,2))</f>
        <v/>
      </c>
      <c r="E35" s="140" t="n">
        <v>0.07000000000000001</v>
      </c>
      <c r="F35" s="348">
        <f>E35*D35</f>
        <v/>
      </c>
      <c r="G35" s="493" t="n"/>
    </row>
    <row r="36">
      <c r="B36" s="6" t="inlineStr">
        <is>
          <t>Return on TNW</t>
        </is>
      </c>
      <c r="C36" s="353">
        <f>Details!I125</f>
        <v/>
      </c>
      <c r="D36" s="479">
        <f>IF(C36&lt;0,20,VLOOKUP(C36,Rating_Ref!M27:N37,2))</f>
        <v/>
      </c>
      <c r="E36" s="140" t="n">
        <v>0.01</v>
      </c>
      <c r="F36" s="348">
        <f>E36*D36</f>
        <v/>
      </c>
      <c r="G36" s="494"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95">
      <c r="B40" s="6" t="inlineStr">
        <is>
          <t>NWC/Sales</t>
        </is>
      </c>
      <c r="C40" s="143">
        <f>Details!I122</f>
        <v/>
      </c>
      <c r="D40" s="479">
        <f>IF(C40&lt;0,20,VLOOKUP(C40,Rating_Ref!M76:N82,2))</f>
        <v/>
      </c>
      <c r="E40" s="140" t="n">
        <v>0.02</v>
      </c>
      <c r="F40" s="348">
        <f>E40*D40</f>
        <v/>
      </c>
      <c r="G40" s="481" t="n">
        <v>0.01</v>
      </c>
      <c r="H40" s="3" t="n"/>
      <c r="M40" s="3" t="n"/>
    </row>
    <row r="41" s="495">
      <c r="G41" s="148" t="n"/>
      <c r="H41" s="3" t="n"/>
      <c r="M41" s="3" t="n"/>
    </row>
    <row r="42">
      <c r="F42" s="349" t="n"/>
    </row>
    <row r="43" ht="30" customHeight="1" s="495">
      <c r="B43" s="477" t="inlineStr">
        <is>
          <t>Implied Rating</t>
        </is>
      </c>
      <c r="C43" s="512" t="n"/>
      <c r="D43" s="201" t="n"/>
      <c r="E43" s="152">
        <f>VLOOKUP(F43,Rating_Ref!$Q$5:$R$23,2)</f>
        <v/>
      </c>
      <c r="F43" s="354">
        <f>SUM(F7:F39)</f>
        <v/>
      </c>
      <c r="G43" s="153" t="inlineStr">
        <is>
          <t>1 Highest
20 Lowest</t>
        </is>
      </c>
      <c r="H43" s="3" t="n"/>
      <c r="M43" s="3" t="n"/>
    </row>
    <row r="44" s="495">
      <c r="B44" s="478" t="inlineStr">
        <is>
          <t>Check</t>
        </is>
      </c>
      <c r="C44" s="512" t="n"/>
      <c r="D44" s="201" t="n"/>
      <c r="E44" s="154">
        <f>SUM(E7:E40)</f>
        <v/>
      </c>
      <c r="F44" s="355">
        <f>E44=100%</f>
        <v/>
      </c>
      <c r="G44" s="3" t="n"/>
      <c r="H44" s="3" t="n"/>
      <c r="M44" s="3" t="n"/>
    </row>
    <row r="45" s="495">
      <c r="M45" s="3" t="n"/>
    </row>
    <row r="46" s="495">
      <c r="B46" s="1" t="inlineStr">
        <is>
          <t>Support / collateral and volatility index</t>
        </is>
      </c>
      <c r="C46" s="3" t="n"/>
      <c r="D46" s="131" t="n"/>
      <c r="E46" s="131" t="n"/>
      <c r="F46" s="131" t="n"/>
      <c r="G46" s="131" t="n"/>
      <c r="H46" s="131" t="n"/>
    </row>
    <row r="47" s="495">
      <c r="B47" s="155" t="inlineStr">
        <is>
          <t>Government support</t>
        </is>
      </c>
      <c r="C47" s="479" t="inlineStr">
        <is>
          <t>N</t>
        </is>
      </c>
      <c r="D47" s="201" t="n"/>
      <c r="E47" s="146" t="n"/>
      <c r="F47" s="479" t="n"/>
      <c r="G47" s="3" t="n"/>
      <c r="H47" s="3" t="n"/>
    </row>
    <row r="48" s="495">
      <c r="B48" s="155" t="inlineStr">
        <is>
          <t>Shareholder Support and Quality</t>
        </is>
      </c>
      <c r="C48" s="479" t="inlineStr">
        <is>
          <t>Y</t>
        </is>
      </c>
      <c r="D48" s="201" t="n"/>
      <c r="E48" s="146" t="n"/>
      <c r="F48" s="479" t="n"/>
      <c r="G48" s="3" t="n"/>
      <c r="H48" s="3" t="n"/>
    </row>
    <row r="49" s="495">
      <c r="B49" s="155" t="inlineStr">
        <is>
          <t>Country Risk</t>
        </is>
      </c>
      <c r="C49" s="479" t="inlineStr">
        <is>
          <t>N</t>
        </is>
      </c>
      <c r="D49" s="201" t="n"/>
      <c r="E49" s="146" t="n"/>
      <c r="F49" s="479" t="n"/>
      <c r="G49" s="3" t="n"/>
      <c r="H49" s="3" t="n"/>
    </row>
    <row r="50" s="495">
      <c r="B50" s="6" t="inlineStr">
        <is>
          <t>Existence of collateral</t>
        </is>
      </c>
      <c r="C50" s="479" t="inlineStr">
        <is>
          <t>N</t>
        </is>
      </c>
      <c r="D50" s="201" t="n"/>
      <c r="E50" s="479" t="n"/>
      <c r="F50" s="479" t="n"/>
      <c r="G50" s="3" t="n"/>
      <c r="H50" s="3" t="n"/>
    </row>
    <row r="51" s="495">
      <c r="B51" s="6" t="inlineStr">
        <is>
          <t>Access to committed lines</t>
        </is>
      </c>
      <c r="C51" s="479" t="inlineStr">
        <is>
          <t>Y</t>
        </is>
      </c>
      <c r="D51" s="201" t="n"/>
      <c r="E51" s="479" t="n"/>
      <c r="F51" s="479" t="n"/>
      <c r="G51" s="3" t="n"/>
      <c r="H51" s="3" t="n"/>
    </row>
    <row r="52" s="495">
      <c r="B52" s="6" t="inlineStr">
        <is>
          <t>Off balance sheet risk?</t>
        </is>
      </c>
      <c r="C52" s="479" t="inlineStr">
        <is>
          <t>N</t>
        </is>
      </c>
      <c r="D52" s="201" t="n"/>
      <c r="E52" s="140" t="n"/>
      <c r="F52" s="46" t="n"/>
      <c r="G52" s="3" t="n"/>
      <c r="H52" s="3" t="n"/>
    </row>
    <row r="53" s="495">
      <c r="B53" s="6" t="inlineStr">
        <is>
          <t>Breach of covenant?</t>
        </is>
      </c>
      <c r="C53" s="479" t="inlineStr">
        <is>
          <t>N</t>
        </is>
      </c>
      <c r="D53" s="201" t="n"/>
      <c r="E53" s="140" t="n"/>
      <c r="F53" s="46" t="n"/>
      <c r="G53" s="3" t="n"/>
      <c r="H53" s="3" t="n"/>
    </row>
    <row r="54" s="495">
      <c r="B54" s="6" t="inlineStr">
        <is>
          <t>Stress on maturity of debt vs. net leverage</t>
        </is>
      </c>
      <c r="C54" s="479" t="inlineStr">
        <is>
          <t>N</t>
        </is>
      </c>
      <c r="D54" s="201" t="n"/>
      <c r="E54" s="140" t="n"/>
      <c r="F54" s="46" t="n"/>
      <c r="G54" s="3" t="n"/>
      <c r="H54" s="3" t="n"/>
    </row>
    <row r="55" s="495">
      <c r="B55" s="6" t="inlineStr">
        <is>
          <t>Volatility factor</t>
        </is>
      </c>
      <c r="C55" s="479" t="inlineStr">
        <is>
          <t>Y</t>
        </is>
      </c>
      <c r="D55" s="201" t="n"/>
      <c r="E55" s="140" t="n"/>
      <c r="F55" s="46" t="n"/>
      <c r="G55" s="3" t="n"/>
      <c r="H55" s="3" t="n"/>
    </row>
    <row r="56" s="495">
      <c r="B56" s="3" t="n"/>
      <c r="C56" s="131" t="n"/>
      <c r="D56" s="3" t="n"/>
      <c r="E56" s="3" t="n"/>
      <c r="F56" s="131" t="n"/>
      <c r="G56" s="3" t="n"/>
      <c r="H56" s="3" t="n"/>
      <c r="I56" s="3" t="n"/>
      <c r="J56" s="3" t="n"/>
      <c r="K56" s="3" t="n"/>
      <c r="L56" s="3" t="n"/>
    </row>
    <row r="57" s="495">
      <c r="B57" s="478" t="inlineStr">
        <is>
          <t>Analyst adjustment in notch</t>
        </is>
      </c>
      <c r="C57" s="512" t="n"/>
      <c r="D57" s="201" t="n"/>
      <c r="E57" s="356" t="n">
        <v>0</v>
      </c>
      <c r="F57" s="568">
        <f>IFERROR(VLOOKUP(E57,Rating_Ref!T5:U15,2,0),"")</f>
        <v/>
      </c>
      <c r="G57" s="3" t="n"/>
      <c r="H57" s="3" t="n"/>
    </row>
    <row r="58" ht="48.75" customHeight="1" s="495">
      <c r="B58" s="490" t="inlineStr">
        <is>
          <t>Comment on adjustment</t>
        </is>
      </c>
      <c r="C58" s="512" t="n"/>
      <c r="D58" s="201" t="n"/>
      <c r="E58" s="491" t="n"/>
      <c r="F58" s="201" t="n"/>
      <c r="G58" s="3" t="n"/>
      <c r="H58" s="3" t="n"/>
    </row>
    <row r="59" s="495">
      <c r="B59" s="3" t="n"/>
      <c r="C59" s="131" t="n"/>
      <c r="D59" s="3" t="n"/>
      <c r="E59" s="131" t="n"/>
      <c r="F59" s="131" t="n"/>
      <c r="G59" s="3" t="n"/>
      <c r="I59" s="3" t="n"/>
    </row>
    <row r="60" s="495">
      <c r="B60" s="492" t="inlineStr">
        <is>
          <t>FINAL RATING</t>
        </is>
      </c>
      <c r="C60" s="512" t="n"/>
      <c r="D60" s="201" t="n"/>
      <c r="E60" s="152">
        <f>VLOOKUP(F60,Rating_Ref!$Q$5:$R$23,2)</f>
        <v/>
      </c>
      <c r="F60" s="569">
        <f>F43+F57</f>
        <v/>
      </c>
      <c r="G60" s="3" t="n"/>
      <c r="H60" s="3" t="n"/>
      <c r="I60" s="3" t="n"/>
    </row>
    <row r="61" ht="15.75" customHeight="1" s="495" thickBot="1">
      <c r="B61" s="3" t="n"/>
      <c r="C61" s="131" t="n"/>
      <c r="D61" s="3" t="n"/>
      <c r="E61" s="131" t="n"/>
      <c r="F61" s="131" t="n"/>
      <c r="G61" s="3" t="n"/>
      <c r="H61" s="3" t="n"/>
    </row>
    <row r="62" ht="15.75" customHeight="1" s="495" thickBot="1">
      <c r="B62" s="156">
        <f>Details!C46&amp;" "&amp;BS!B4</f>
        <v/>
      </c>
      <c r="C62" s="157">
        <f>Details!H99</f>
        <v/>
      </c>
      <c r="D62" s="3" t="n"/>
      <c r="E62" s="394" t="n"/>
      <c r="F62" s="131" t="n"/>
      <c r="G62" s="3" t="n"/>
      <c r="H62" s="3" t="n"/>
    </row>
    <row r="63" ht="15.75" customHeight="1" s="495" thickBot="1">
      <c r="B63" s="3" t="n"/>
      <c r="C63" s="131" t="n"/>
      <c r="D63" s="3" t="n"/>
      <c r="E63" s="131" t="n"/>
      <c r="F63" s="131" t="n"/>
      <c r="G63" s="3" t="n"/>
      <c r="H63" s="3" t="n"/>
    </row>
    <row r="64" s="495">
      <c r="B64" s="359" t="inlineStr">
        <is>
          <t>FINAL CREDIT LIMIT IN mln</t>
        </is>
      </c>
      <c r="C64" s="360">
        <f>MIN(C65:C66)</f>
        <v/>
      </c>
      <c r="D64" s="3" t="n"/>
      <c r="E64" s="489">
        <f>"Current D&amp;B limit"&amp;" "&amp;BS!B4</f>
        <v/>
      </c>
      <c r="F64" s="201" t="n"/>
      <c r="G64" s="361" t="n">
        <v>120</v>
      </c>
      <c r="H64" s="3" t="n"/>
    </row>
    <row r="65" s="495">
      <c r="B65" s="362" t="inlineStr">
        <is>
          <t>Limit based on equity</t>
        </is>
      </c>
      <c r="C65" s="458">
        <f>VLOOKUP(E60,$C$72:$G$90,5,0)*C62</f>
        <v/>
      </c>
      <c r="D65" s="363">
        <f>C65/C62</f>
        <v/>
      </c>
      <c r="E65" s="489" t="inlineStr">
        <is>
          <t>Share of equity</t>
        </is>
      </c>
      <c r="F65" s="201" t="n"/>
      <c r="G65" s="395">
        <f>+G64/C62</f>
        <v/>
      </c>
      <c r="H65" s="3" t="n"/>
      <c r="K65" s="349" t="n"/>
    </row>
    <row r="66" ht="15.75" customHeight="1" s="495" thickBot="1">
      <c r="B66" s="364" t="inlineStr">
        <is>
          <t>Limit based on max USD 30 mln expo.</t>
        </is>
      </c>
      <c r="C66" s="365">
        <f>VLOOKUP(E60,$C$72:$H$90,6,0)</f>
        <v/>
      </c>
      <c r="D66" s="3" t="n"/>
      <c r="E66" s="3" t="n"/>
      <c r="F66" s="3" t="n"/>
      <c r="G66" s="3" t="n"/>
      <c r="H66" s="3" t="n"/>
    </row>
    <row r="67" s="495">
      <c r="B67" s="3" t="n"/>
      <c r="C67" s="366" t="n"/>
      <c r="D67" s="3" t="n"/>
      <c r="E67" s="3" t="n"/>
      <c r="F67" s="131" t="n"/>
      <c r="G67" s="3" t="n"/>
      <c r="H67" s="3" t="n"/>
      <c r="I67" s="3" t="n"/>
      <c r="J67" s="3" t="n"/>
    </row>
    <row r="68" s="495">
      <c r="B68" s="6" t="inlineStr">
        <is>
          <t>ST liquid capacity in EUR mln</t>
        </is>
      </c>
      <c r="C68" s="159">
        <f>(Details!D133-Details!D134)/1000000</f>
        <v/>
      </c>
      <c r="D68" s="3" t="n"/>
      <c r="E68" s="3" t="n"/>
      <c r="F68" s="131" t="n"/>
      <c r="G68" s="158" t="n"/>
      <c r="H68" s="3" t="n"/>
      <c r="I68" s="3" t="n"/>
      <c r="J68" s="3" t="n"/>
    </row>
    <row r="69" ht="15.75" customHeight="1" s="495" thickBot="1">
      <c r="B69" s="3" t="n"/>
      <c r="C69" s="131" t="n"/>
      <c r="D69" s="3" t="n"/>
      <c r="E69" s="3" t="n"/>
      <c r="F69" s="131" t="n"/>
      <c r="G69" s="3" t="n"/>
      <c r="H69" s="3" t="n"/>
      <c r="I69" s="3" t="n"/>
    </row>
    <row r="70" ht="15.75" customHeight="1" s="495" thickBot="1">
      <c r="B70" s="3" t="n"/>
      <c r="C70" s="570" t="inlineStr">
        <is>
          <t>INTERNAL CREDIT RATING MODEL</t>
        </is>
      </c>
      <c r="D70" s="571" t="n"/>
      <c r="E70" s="571" t="n"/>
      <c r="F70" s="572" t="n"/>
      <c r="G70" s="3" t="n"/>
      <c r="H70" s="3" t="n"/>
      <c r="I70" s="473" t="inlineStr">
        <is>
          <t>EXTERNAL CREDIT RATING</t>
        </is>
      </c>
      <c r="J70" s="475" t="inlineStr">
        <is>
          <t>PD output</t>
        </is>
      </c>
      <c r="N70" s="413" t="n"/>
    </row>
    <row r="71" ht="15.75" customHeight="1" s="495"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96" t="n"/>
      <c r="J71" s="573" t="n"/>
      <c r="N71" s="413" t="n"/>
    </row>
    <row r="72" s="495">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95">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95">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95">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95">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95">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95"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95">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95">
      <c r="B80" s="49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95">
      <c r="B81" s="49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95">
      <c r="B82" s="49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95">
      <c r="B83" s="49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95">
      <c r="B84" s="49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95">
      <c r="B85" s="49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95">
      <c r="B86" s="49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95">
      <c r="B87" s="49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95">
      <c r="B88" s="49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9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95"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95">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95">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95">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95">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95">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G27:G30"/>
    <mergeCell ref="B44:D44"/>
    <mergeCell ref="E64:F64"/>
    <mergeCell ref="C47:D47"/>
    <mergeCell ref="C54:D54"/>
    <mergeCell ref="J70:J71"/>
    <mergeCell ref="C55:D55"/>
    <mergeCell ref="C50:D50"/>
    <mergeCell ref="E65:F65"/>
    <mergeCell ref="G21:G23"/>
    <mergeCell ref="C51:D51"/>
    <mergeCell ref="C52:D52"/>
    <mergeCell ref="B72:B78"/>
    <mergeCell ref="C48:D48"/>
    <mergeCell ref="G7:G9"/>
    <mergeCell ref="G13:G17"/>
    <mergeCell ref="G34:G36"/>
    <mergeCell ref="B58:D58"/>
    <mergeCell ref="B43:D43"/>
    <mergeCell ref="C53:D53"/>
    <mergeCell ref="E58:F58"/>
    <mergeCell ref="C49:D49"/>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79" t="n">
        <v>1.5</v>
      </c>
      <c r="R5" s="47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79" t="n">
        <v>2.5</v>
      </c>
      <c r="R6" s="47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79" t="n">
        <v>3.5</v>
      </c>
      <c r="R7" s="47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79" t="n">
        <v>4.5</v>
      </c>
      <c r="R8" s="479" t="inlineStr">
        <is>
          <t>AA-</t>
        </is>
      </c>
      <c r="T8" s="6" t="n">
        <v>-3</v>
      </c>
      <c r="U8" s="6" t="n">
        <v>3</v>
      </c>
    </row>
    <row r="9">
      <c r="A9" s="7" t="inlineStr">
        <is>
          <t>&gt;20 years</t>
        </is>
      </c>
      <c r="B9" s="6" t="n">
        <v>1</v>
      </c>
      <c r="E9" s="8" t="n">
        <v>0.4</v>
      </c>
      <c r="F9" s="6" t="n">
        <v>9</v>
      </c>
      <c r="I9" s="9" t="n">
        <v>0.18</v>
      </c>
      <c r="J9" s="6" t="n">
        <v>4.8</v>
      </c>
      <c r="M9" s="10" t="n">
        <v>0.1</v>
      </c>
      <c r="N9" s="348">
        <f>(N8)-20/9</f>
        <v/>
      </c>
      <c r="Q9" s="479" t="n">
        <v>5.5</v>
      </c>
      <c r="R9" s="47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79" t="n">
        <v>6.5</v>
      </c>
      <c r="R10" s="47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79" t="n">
        <v>7.5</v>
      </c>
      <c r="R11" s="47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79" t="n">
        <v>8.5</v>
      </c>
      <c r="R12" s="47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79" t="n">
        <v>9.5</v>
      </c>
      <c r="R13" s="47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79" t="n">
        <v>10.5</v>
      </c>
      <c r="R14" s="479" t="inlineStr">
        <is>
          <t>BBB-</t>
        </is>
      </c>
      <c r="T14" s="6" t="n">
        <v>4</v>
      </c>
      <c r="U14" s="6" t="n">
        <v>-4</v>
      </c>
      <c r="W14" s="6" t="n">
        <v>0.3</v>
      </c>
      <c r="X14" s="6" t="n">
        <v>0.01</v>
      </c>
    </row>
    <row r="15">
      <c r="A15" s="7" t="inlineStr">
        <is>
          <t>500M-1B</t>
        </is>
      </c>
      <c r="B15" s="6" t="n">
        <v>10.5</v>
      </c>
      <c r="I15" s="14" t="n">
        <v>2.5</v>
      </c>
      <c r="J15" s="14" t="n">
        <v>13.7</v>
      </c>
      <c r="Q15" s="479" t="n">
        <v>11.5</v>
      </c>
      <c r="R15" s="479" t="inlineStr">
        <is>
          <t>BB+</t>
        </is>
      </c>
      <c r="T15" s="6" t="n">
        <v>5</v>
      </c>
      <c r="U15" s="6" t="n">
        <v>-5</v>
      </c>
    </row>
    <row r="16">
      <c r="A16" s="7" t="inlineStr">
        <is>
          <t>100-500M</t>
        </is>
      </c>
      <c r="B16" s="6" t="n">
        <v>13.7</v>
      </c>
      <c r="E16" s="5" t="inlineStr">
        <is>
          <t>Capitalization</t>
        </is>
      </c>
      <c r="F16" s="2" t="inlineStr">
        <is>
          <t>OK</t>
        </is>
      </c>
      <c r="I16" s="14" t="n">
        <v>4</v>
      </c>
      <c r="J16" s="14" t="n">
        <v>10.5</v>
      </c>
      <c r="Q16" s="479" t="n">
        <v>12.5</v>
      </c>
      <c r="R16" s="47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79" t="n">
        <v>13.5</v>
      </c>
      <c r="R17" s="479" t="inlineStr">
        <is>
          <t>BB-</t>
        </is>
      </c>
    </row>
    <row r="18">
      <c r="A18" s="7" t="inlineStr">
        <is>
          <t>&lt;25M</t>
        </is>
      </c>
      <c r="B18" s="6" t="n">
        <v>20</v>
      </c>
      <c r="E18" s="15" t="n">
        <v>0.05</v>
      </c>
      <c r="F18" s="16" t="n">
        <v>18</v>
      </c>
      <c r="I18" s="14" t="n">
        <v>9</v>
      </c>
      <c r="J18" s="14" t="n">
        <v>4.2</v>
      </c>
      <c r="M18" s="9" t="n">
        <v>0</v>
      </c>
      <c r="N18" s="6" t="n">
        <v>20</v>
      </c>
      <c r="Q18" s="479" t="n">
        <v>14.5</v>
      </c>
      <c r="R18" s="479" t="inlineStr">
        <is>
          <t>B+</t>
        </is>
      </c>
    </row>
    <row r="19">
      <c r="A19" s="13" t="n"/>
      <c r="E19" s="15" t="n">
        <v>0.15</v>
      </c>
      <c r="F19" s="16" t="n">
        <v>16</v>
      </c>
      <c r="I19" s="14" t="n">
        <v>12</v>
      </c>
      <c r="J19" s="14" t="n">
        <v>1</v>
      </c>
      <c r="M19" s="17" t="n">
        <v>0.025</v>
      </c>
      <c r="N19" s="6" t="n">
        <v>16.8</v>
      </c>
      <c r="Q19" s="479" t="n">
        <v>15.5</v>
      </c>
      <c r="R19" s="479" t="inlineStr">
        <is>
          <t>B</t>
        </is>
      </c>
    </row>
    <row r="20">
      <c r="A20" s="1" t="inlineStr">
        <is>
          <t>Operating Risk</t>
        </is>
      </c>
      <c r="B20" s="2" t="inlineStr">
        <is>
          <t>OK</t>
        </is>
      </c>
      <c r="E20" s="15" t="n">
        <v>0.25</v>
      </c>
      <c r="F20" s="16" t="n">
        <v>14</v>
      </c>
      <c r="M20" s="9" t="n">
        <v>0.05</v>
      </c>
      <c r="N20" s="6" t="n">
        <v>13.7</v>
      </c>
      <c r="Q20" s="479" t="n">
        <v>16.5</v>
      </c>
      <c r="R20" s="479" t="inlineStr">
        <is>
          <t>B-</t>
        </is>
      </c>
    </row>
    <row r="21">
      <c r="A21" s="7" t="inlineStr">
        <is>
          <t>Exceptional</t>
        </is>
      </c>
      <c r="B21" s="6" t="n">
        <v>1</v>
      </c>
      <c r="E21" s="15" t="n">
        <v>0.35</v>
      </c>
      <c r="F21" s="16" t="n">
        <v>12</v>
      </c>
      <c r="I21" s="5" t="inlineStr">
        <is>
          <t>Net leverage</t>
        </is>
      </c>
      <c r="J21" s="2" t="inlineStr">
        <is>
          <t>OK</t>
        </is>
      </c>
      <c r="M21" s="9" t="n">
        <v>0.1</v>
      </c>
      <c r="N21" s="6" t="n">
        <v>10.5</v>
      </c>
      <c r="Q21" s="479" t="n">
        <v>17.5</v>
      </c>
      <c r="R21" s="479" t="inlineStr">
        <is>
          <t>CCC+</t>
        </is>
      </c>
    </row>
    <row r="22">
      <c r="A22" s="7" t="inlineStr">
        <is>
          <t>Good</t>
        </is>
      </c>
      <c r="B22" s="6" t="n">
        <v>5.8</v>
      </c>
      <c r="E22" s="15" t="n">
        <v>0.5</v>
      </c>
      <c r="F22" s="16" t="n">
        <v>10</v>
      </c>
      <c r="I22" s="14" t="n">
        <v>0</v>
      </c>
      <c r="J22" s="6" t="n">
        <v>1</v>
      </c>
      <c r="M22" s="9" t="n">
        <v>0.15</v>
      </c>
      <c r="N22" s="6" t="n">
        <v>7.3</v>
      </c>
      <c r="Q22" s="479" t="n">
        <v>18.5</v>
      </c>
      <c r="R22" s="479" t="inlineStr">
        <is>
          <t>CCC</t>
        </is>
      </c>
    </row>
    <row r="23">
      <c r="A23" s="7" t="inlineStr">
        <is>
          <t>Moderate</t>
        </is>
      </c>
      <c r="B23" s="6" t="n">
        <v>10.5</v>
      </c>
      <c r="E23" s="15" t="n">
        <v>0.6</v>
      </c>
      <c r="F23" s="16" t="n">
        <v>8</v>
      </c>
      <c r="I23" s="14" t="n">
        <v>0.5</v>
      </c>
      <c r="J23" s="6" t="n">
        <v>3.7</v>
      </c>
      <c r="M23" s="9" t="n">
        <v>0.2</v>
      </c>
      <c r="N23" s="6" t="n">
        <v>4.2</v>
      </c>
      <c r="Q23" s="479" t="n">
        <v>19.5</v>
      </c>
      <c r="R23" s="47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2025-06-12T18:54:13Z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