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ustomProperty4.bin" ContentType="application/vnd.openxmlformats-officedocument.spreadsheetml.customProperty"/>
  <Override PartName="/xl/comments2.xml" ContentType="application/vnd.openxmlformats-officedocument.spreadsheetml.comments+xml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commodities.sharepoint.com/sites/ACTUSA-LRC/US Risk/"/>
    </mc:Choice>
  </mc:AlternateContent>
  <xr:revisionPtr revIDLastSave="631" documentId="8_{6DA986D1-CC33-4DD9-B3F9-7F759A2EB09F}" xr6:coauthVersionLast="47" xr6:coauthVersionMax="47" xr10:uidLastSave="{09D20813-E0B9-461B-9564-028A2B199EA8}"/>
  <bookViews>
    <workbookView xWindow="-120" yWindow="-120" windowWidth="29040" windowHeight="15720" xr2:uid="{E3359BAA-C342-4807-B1CA-57D8899F1C07}"/>
  </bookViews>
  <sheets>
    <sheet name="BS" sheetId="6" r:id="rId1"/>
    <sheet name="IS.CF" sheetId="7" r:id="rId2"/>
    <sheet name="Details" sheetId="4" r:id="rId3"/>
    <sheet name="Rating" sheetId="5" r:id="rId4"/>
    <sheet name="Rating_Ref" sheetId="1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45707.5918518519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 s="1"/>
  <c r="N10" i="1" s="1"/>
  <c r="N11" i="1" s="1"/>
  <c r="N12" i="1" s="1"/>
  <c r="N13" i="1" s="1"/>
  <c r="N35" i="1"/>
  <c r="N36" i="1" s="1"/>
  <c r="N55" i="1"/>
  <c r="N56" i="1"/>
  <c r="N57" i="1" s="1"/>
  <c r="N58" i="1" s="1"/>
  <c r="N59" i="1" s="1"/>
  <c r="C2" i="5"/>
  <c r="C4" i="5"/>
  <c r="D7" i="5"/>
  <c r="F7" i="5" s="1"/>
  <c r="G7" i="5"/>
  <c r="D8" i="5"/>
  <c r="F8" i="5" s="1"/>
  <c r="D9" i="5"/>
  <c r="F9" i="5" s="1"/>
  <c r="D13" i="5"/>
  <c r="F13" i="5"/>
  <c r="G13" i="5"/>
  <c r="D14" i="5"/>
  <c r="F14" i="5" s="1"/>
  <c r="G21" i="5"/>
  <c r="G27" i="5"/>
  <c r="G34" i="5"/>
  <c r="E44" i="5"/>
  <c r="F44" i="5" s="1"/>
  <c r="F57" i="5"/>
  <c r="B62" i="5"/>
  <c r="E64" i="5"/>
  <c r="N75" i="5"/>
  <c r="N76" i="5"/>
  <c r="L73" i="5"/>
  <c r="L74" i="5" s="1"/>
  <c r="L75" i="5" s="1"/>
  <c r="L76" i="5" s="1"/>
  <c r="H77" i="5"/>
  <c r="N77" i="5"/>
  <c r="N82" i="5"/>
  <c r="N83" i="5" s="1"/>
  <c r="L78" i="5"/>
  <c r="L79" i="5" s="1"/>
  <c r="L80" i="5" s="1"/>
  <c r="L81" i="5" s="1"/>
  <c r="N78" i="5"/>
  <c r="L83" i="5"/>
  <c r="L84" i="5" s="1"/>
  <c r="L86" i="5"/>
  <c r="L87" i="5"/>
  <c r="L88" i="5"/>
  <c r="L89" i="5"/>
  <c r="L90" i="5"/>
  <c r="N89" i="5" s="1"/>
  <c r="N90" i="5" s="1"/>
  <c r="B3" i="4"/>
  <c r="AS4" i="4"/>
  <c r="AV4" i="4"/>
  <c r="AW4" i="4"/>
  <c r="AX4" i="4"/>
  <c r="AX12" i="4" s="1"/>
  <c r="AY4" i="4"/>
  <c r="AV5" i="4"/>
  <c r="AZ5" i="4" s="1"/>
  <c r="AV12" i="4"/>
  <c r="AZ7" i="4" s="1"/>
  <c r="AZ4" i="4"/>
  <c r="AZ12" i="4" s="1"/>
  <c r="AW5" i="4"/>
  <c r="AW12" i="4" s="1"/>
  <c r="AX5" i="4"/>
  <c r="AY5" i="4"/>
  <c r="AY6" i="4"/>
  <c r="AZ6" i="4"/>
  <c r="BB6" i="4"/>
  <c r="AY7" i="4"/>
  <c r="AY8" i="4"/>
  <c r="D46" i="4"/>
  <c r="D47" i="4"/>
  <c r="F42" i="4"/>
  <c r="F41" i="4"/>
  <c r="F40" i="4"/>
  <c r="U63" i="4" s="1"/>
  <c r="F47" i="4"/>
  <c r="G47" i="4"/>
  <c r="E37" i="4" s="1"/>
  <c r="F46" i="4"/>
  <c r="C39" i="4"/>
  <c r="C53" i="4"/>
  <c r="D54" i="4"/>
  <c r="D56" i="4" s="1"/>
  <c r="H118" i="4"/>
  <c r="H121" i="4" s="1"/>
  <c r="D55" i="4"/>
  <c r="D59" i="4"/>
  <c r="H93" i="4"/>
  <c r="I93" i="4" s="1"/>
  <c r="D62" i="4"/>
  <c r="B78" i="4"/>
  <c r="D78" i="4"/>
  <c r="G79" i="4"/>
  <c r="H79" i="4"/>
  <c r="J79" i="4" s="1"/>
  <c r="I79" i="4"/>
  <c r="K79" i="4"/>
  <c r="BQ88" i="4"/>
  <c r="BR80" i="4"/>
  <c r="BR88" i="4" s="1"/>
  <c r="BR81" i="4"/>
  <c r="I82" i="4"/>
  <c r="J82" i="4"/>
  <c r="BR82" i="4"/>
  <c r="I83" i="4"/>
  <c r="J83" i="4"/>
  <c r="BR83" i="4"/>
  <c r="I84" i="4"/>
  <c r="J84" i="4"/>
  <c r="BR84" i="4"/>
  <c r="I85" i="4"/>
  <c r="J85" i="4"/>
  <c r="BR85" i="4"/>
  <c r="G86" i="4"/>
  <c r="G87" i="4" s="1"/>
  <c r="I87" i="4" s="1"/>
  <c r="H86" i="4"/>
  <c r="H87" i="4" s="1"/>
  <c r="I86" i="4"/>
  <c r="J86" i="4"/>
  <c r="BR86" i="4"/>
  <c r="BR87" i="4"/>
  <c r="G90" i="4"/>
  <c r="G123" i="4" s="1"/>
  <c r="H90" i="4"/>
  <c r="J90" i="4"/>
  <c r="G93" i="4"/>
  <c r="J93" i="4"/>
  <c r="G94" i="4"/>
  <c r="BQ96" i="4"/>
  <c r="BQ98" i="4" s="1"/>
  <c r="G97" i="4"/>
  <c r="H97" i="4"/>
  <c r="I97" i="4"/>
  <c r="BQ97" i="4"/>
  <c r="G99" i="4"/>
  <c r="H99" i="4"/>
  <c r="I99" i="4"/>
  <c r="J99" i="4"/>
  <c r="G103" i="4"/>
  <c r="H103" i="4"/>
  <c r="G108" i="4"/>
  <c r="G122" i="4" s="1"/>
  <c r="I122" i="4" s="1"/>
  <c r="C40" i="5" s="1"/>
  <c r="D40" i="5" s="1"/>
  <c r="F40" i="5" s="1"/>
  <c r="H108" i="4"/>
  <c r="H122" i="4" s="1"/>
  <c r="I108" i="4"/>
  <c r="J108" i="4"/>
  <c r="G110" i="4"/>
  <c r="I110" i="4" s="1"/>
  <c r="H110" i="4"/>
  <c r="J110" i="4"/>
  <c r="G111" i="4"/>
  <c r="H111" i="4"/>
  <c r="I111" i="4"/>
  <c r="J111" i="4"/>
  <c r="I113" i="4"/>
  <c r="I114" i="4"/>
  <c r="I115" i="4"/>
  <c r="I116" i="4"/>
  <c r="G118" i="4"/>
  <c r="K118" i="4"/>
  <c r="H120" i="4"/>
  <c r="I123" i="4"/>
  <c r="C17" i="5" s="1"/>
  <c r="D17" i="5" s="1"/>
  <c r="F17" i="5" s="1"/>
  <c r="B132" i="4"/>
  <c r="BV136" i="4"/>
  <c r="BV140" i="4"/>
  <c r="BW142" i="4"/>
  <c r="A1" i="7"/>
  <c r="B1" i="7"/>
  <c r="A2" i="7"/>
  <c r="B2" i="7"/>
  <c r="A3" i="7"/>
  <c r="B3" i="7"/>
  <c r="B5" i="7"/>
  <c r="B22" i="7" s="1"/>
  <c r="B8" i="7"/>
  <c r="C8" i="7"/>
  <c r="D8" i="7"/>
  <c r="E8" i="7"/>
  <c r="F8" i="7"/>
  <c r="B17" i="7"/>
  <c r="C17" i="7"/>
  <c r="C20" i="7" s="1"/>
  <c r="D17" i="7"/>
  <c r="D20" i="7" s="1"/>
  <c r="E17" i="7"/>
  <c r="E20" i="7" s="1"/>
  <c r="F17" i="7"/>
  <c r="F20" i="7" s="1"/>
  <c r="H91" i="4" s="1"/>
  <c r="B20" i="7"/>
  <c r="B24" i="7"/>
  <c r="B27" i="7" s="1"/>
  <c r="C24" i="7"/>
  <c r="C27" i="7" s="1"/>
  <c r="D24" i="7"/>
  <c r="D27" i="7" s="1"/>
  <c r="B33" i="7"/>
  <c r="C33" i="7"/>
  <c r="D33" i="7"/>
  <c r="E33" i="7"/>
  <c r="F33" i="7"/>
  <c r="B41" i="7"/>
  <c r="C41" i="7"/>
  <c r="D41" i="7"/>
  <c r="E41" i="7"/>
  <c r="F41" i="7"/>
  <c r="C6" i="6"/>
  <c r="C23" i="6" s="1"/>
  <c r="B13" i="6"/>
  <c r="B21" i="6" s="1"/>
  <c r="C13" i="6"/>
  <c r="D13" i="6"/>
  <c r="E13" i="6"/>
  <c r="F13" i="6"/>
  <c r="D42" i="4" s="1"/>
  <c r="B20" i="6"/>
  <c r="C20" i="6"/>
  <c r="D20" i="6"/>
  <c r="E20" i="6"/>
  <c r="E21" i="6" s="1"/>
  <c r="F20" i="6"/>
  <c r="C21" i="6"/>
  <c r="D21" i="6"/>
  <c r="B23" i="6"/>
  <c r="B29" i="6"/>
  <c r="B36" i="6" s="1"/>
  <c r="C29" i="6"/>
  <c r="C36" i="6" s="1"/>
  <c r="D29" i="6"/>
  <c r="E29" i="6"/>
  <c r="F29" i="6"/>
  <c r="H98" i="4" s="1"/>
  <c r="B35" i="6"/>
  <c r="C35" i="6"/>
  <c r="D35" i="6"/>
  <c r="E35" i="6"/>
  <c r="F35" i="6"/>
  <c r="D36" i="6"/>
  <c r="D45" i="6" s="1"/>
  <c r="D47" i="6" s="1"/>
  <c r="E36" i="6"/>
  <c r="E45" i="6" s="1"/>
  <c r="E47" i="6" s="1"/>
  <c r="F36" i="6"/>
  <c r="F45" i="6" s="1"/>
  <c r="B43" i="6"/>
  <c r="B45" i="6" s="1"/>
  <c r="B47" i="6" s="1"/>
  <c r="C43" i="6"/>
  <c r="D43" i="6"/>
  <c r="E43" i="6"/>
  <c r="F43" i="6"/>
  <c r="E78" i="4" l="1"/>
  <c r="D6" i="6"/>
  <c r="C5" i="7"/>
  <c r="C22" i="7" s="1"/>
  <c r="BA7" i="4"/>
  <c r="BA8" i="4"/>
  <c r="BA6" i="4"/>
  <c r="BA4" i="4"/>
  <c r="BA12" i="4" s="1"/>
  <c r="F43" i="5"/>
  <c r="H88" i="4"/>
  <c r="H104" i="4" s="1"/>
  <c r="H92" i="4"/>
  <c r="J92" i="4"/>
  <c r="H106" i="4"/>
  <c r="G95" i="4"/>
  <c r="I95" i="4" s="1"/>
  <c r="C35" i="5" s="1"/>
  <c r="D35" i="5" s="1"/>
  <c r="F35" i="5" s="1"/>
  <c r="J87" i="4"/>
  <c r="K87" i="4"/>
  <c r="G41" i="4"/>
  <c r="G42" i="4"/>
  <c r="D36" i="4" s="1"/>
  <c r="G36" i="4" s="1"/>
  <c r="C43" i="7"/>
  <c r="C45" i="7" s="1"/>
  <c r="D44" i="7" s="1"/>
  <c r="I103" i="4"/>
  <c r="G105" i="4"/>
  <c r="I105" i="4" s="1"/>
  <c r="C21" i="5" s="1"/>
  <c r="D21" i="5" s="1"/>
  <c r="F21" i="5" s="1"/>
  <c r="H46" i="4"/>
  <c r="B43" i="7"/>
  <c r="B45" i="7" s="1"/>
  <c r="C44" i="7" s="1"/>
  <c r="D48" i="4"/>
  <c r="C62" i="5"/>
  <c r="G65" i="5" s="1"/>
  <c r="F24" i="7"/>
  <c r="D58" i="4"/>
  <c r="G98" i="4"/>
  <c r="F48" i="4"/>
  <c r="G48" i="4" s="1"/>
  <c r="D37" i="4" s="1"/>
  <c r="G37" i="4" s="1"/>
  <c r="G46" i="4"/>
  <c r="F45" i="4"/>
  <c r="G51" i="4" s="1"/>
  <c r="C45" i="6"/>
  <c r="C47" i="6" s="1"/>
  <c r="D133" i="4"/>
  <c r="K99" i="4"/>
  <c r="H94" i="4"/>
  <c r="BA5" i="4"/>
  <c r="I90" i="4"/>
  <c r="BB4" i="4"/>
  <c r="BB12" i="4" s="1"/>
  <c r="BB7" i="4"/>
  <c r="BB5" i="4"/>
  <c r="BB8" i="4"/>
  <c r="H42" i="4"/>
  <c r="D45" i="4"/>
  <c r="E47" i="4" s="1"/>
  <c r="E33" i="4" s="1"/>
  <c r="E24" i="7"/>
  <c r="G91" i="4"/>
  <c r="H128" i="4"/>
  <c r="I118" i="4"/>
  <c r="J118" i="4"/>
  <c r="BV134" i="4"/>
  <c r="D41" i="4"/>
  <c r="F21" i="6"/>
  <c r="G128" i="4"/>
  <c r="I128" i="4" s="1"/>
  <c r="J97" i="4"/>
  <c r="H119" i="4"/>
  <c r="G96" i="4"/>
  <c r="G101" i="4"/>
  <c r="G125" i="4" s="1"/>
  <c r="I125" i="4" s="1"/>
  <c r="C36" i="5" s="1"/>
  <c r="D36" i="5" s="1"/>
  <c r="F36" i="5" s="1"/>
  <c r="D43" i="7"/>
  <c r="J103" i="4"/>
  <c r="H105" i="4"/>
  <c r="J105" i="4" s="1"/>
  <c r="G119" i="4"/>
  <c r="I119" i="4" s="1"/>
  <c r="C15" i="5" s="1"/>
  <c r="D15" i="5" s="1"/>
  <c r="F15" i="5" s="1"/>
  <c r="G120" i="4"/>
  <c r="J91" i="4"/>
  <c r="H123" i="4"/>
  <c r="H47" i="4"/>
  <c r="AZ8" i="4"/>
  <c r="D23" i="6" l="1"/>
  <c r="F78" i="4"/>
  <c r="D5" i="7"/>
  <c r="D22" i="7" s="1"/>
  <c r="E6" i="6"/>
  <c r="I98" i="4"/>
  <c r="G121" i="4"/>
  <c r="F60" i="5"/>
  <c r="E60" i="5" s="1"/>
  <c r="E43" i="5"/>
  <c r="D45" i="7"/>
  <c r="E44" i="7" s="1"/>
  <c r="H107" i="4"/>
  <c r="F27" i="7"/>
  <c r="F43" i="7" s="1"/>
  <c r="G102" i="4"/>
  <c r="I102" i="4" s="1"/>
  <c r="C23" i="5" s="1"/>
  <c r="D23" i="5" s="1"/>
  <c r="F23" i="5" s="1"/>
  <c r="I101" i="4"/>
  <c r="I96" i="4"/>
  <c r="G92" i="4"/>
  <c r="I92" i="4" s="1"/>
  <c r="C34" i="5" s="1"/>
  <c r="D34" i="5" s="1"/>
  <c r="F34" i="5" s="1"/>
  <c r="G106" i="4"/>
  <c r="I106" i="4" s="1"/>
  <c r="C28" i="5" s="1"/>
  <c r="D28" i="5" s="1"/>
  <c r="F28" i="5" s="1"/>
  <c r="G88" i="4"/>
  <c r="I91" i="4"/>
  <c r="K94" i="4"/>
  <c r="H95" i="4"/>
  <c r="H125" i="4"/>
  <c r="J94" i="4"/>
  <c r="G100" i="4"/>
  <c r="I100" i="4" s="1"/>
  <c r="C22" i="5" s="1"/>
  <c r="D22" i="5" s="1"/>
  <c r="F22" i="5" s="1"/>
  <c r="I120" i="4"/>
  <c r="J120" i="4"/>
  <c r="D40" i="4"/>
  <c r="E41" i="4"/>
  <c r="H41" i="4"/>
  <c r="J119" i="4"/>
  <c r="G107" i="4"/>
  <c r="E27" i="7"/>
  <c r="E43" i="7" s="1"/>
  <c r="D60" i="4"/>
  <c r="D63" i="4"/>
  <c r="E48" i="4"/>
  <c r="D33" i="4" s="1"/>
  <c r="G33" i="4" s="1"/>
  <c r="D66" i="4"/>
  <c r="D134" i="4"/>
  <c r="D136" i="4" s="1"/>
  <c r="H48" i="4"/>
  <c r="I94" i="4"/>
  <c r="J98" i="4"/>
  <c r="G40" i="4"/>
  <c r="E36" i="4"/>
  <c r="H45" i="4"/>
  <c r="O63" i="4"/>
  <c r="H101" i="4"/>
  <c r="H96" i="4"/>
  <c r="W63" i="4"/>
  <c r="F51" i="4"/>
  <c r="E46" i="4"/>
  <c r="J88" i="4"/>
  <c r="K88" i="4"/>
  <c r="H89" i="4"/>
  <c r="F47" i="6"/>
  <c r="F37" i="4"/>
  <c r="G45" i="4"/>
  <c r="F6" i="6" l="1"/>
  <c r="E5" i="7"/>
  <c r="E22" i="7" s="1"/>
  <c r="E23" i="6"/>
  <c r="G78" i="4"/>
  <c r="C65" i="5"/>
  <c r="C66" i="5"/>
  <c r="F33" i="4"/>
  <c r="E45" i="4"/>
  <c r="G117" i="4"/>
  <c r="E45" i="7"/>
  <c r="F44" i="7" s="1"/>
  <c r="F45" i="7" s="1"/>
  <c r="I107" i="4"/>
  <c r="G109" i="4"/>
  <c r="I88" i="4"/>
  <c r="G89" i="4"/>
  <c r="I89" i="4" s="1"/>
  <c r="G104" i="4"/>
  <c r="E51" i="4"/>
  <c r="M63" i="4"/>
  <c r="H40" i="4"/>
  <c r="E42" i="4"/>
  <c r="D32" i="4" s="1"/>
  <c r="G32" i="4" s="1"/>
  <c r="C68" i="5"/>
  <c r="H117" i="4"/>
  <c r="J117" i="4" s="1"/>
  <c r="I121" i="4"/>
  <c r="C16" i="5" s="1"/>
  <c r="D16" i="5" s="1"/>
  <c r="F16" i="5" s="1"/>
  <c r="J121" i="4"/>
  <c r="E32" i="4"/>
  <c r="E40" i="4"/>
  <c r="J96" i="4"/>
  <c r="K96" i="4"/>
  <c r="H100" i="4"/>
  <c r="J100" i="4" s="1"/>
  <c r="D67" i="4"/>
  <c r="H102" i="4"/>
  <c r="J101" i="4"/>
  <c r="D135" i="4"/>
  <c r="D51" i="4"/>
  <c r="J107" i="4"/>
  <c r="K107" i="4"/>
  <c r="H109" i="4"/>
  <c r="C35" i="4" l="1"/>
  <c r="F39" i="4"/>
  <c r="F5" i="7"/>
  <c r="F22" i="7" s="1"/>
  <c r="F23" i="6"/>
  <c r="H78" i="4"/>
  <c r="I104" i="4"/>
  <c r="C29" i="5" s="1"/>
  <c r="D29" i="5" s="1"/>
  <c r="F29" i="5" s="1"/>
  <c r="J104" i="4"/>
  <c r="J109" i="4"/>
  <c r="K109" i="4"/>
  <c r="BV135" i="4"/>
  <c r="BV142" i="4" s="1"/>
  <c r="H124" i="4"/>
  <c r="H112" i="4"/>
  <c r="H127" i="4"/>
  <c r="I109" i="4"/>
  <c r="G112" i="4"/>
  <c r="G124" i="4"/>
  <c r="I124" i="4" s="1"/>
  <c r="C30" i="5" s="1"/>
  <c r="D30" i="5" s="1"/>
  <c r="F30" i="5" s="1"/>
  <c r="G127" i="4"/>
  <c r="I127" i="4" s="1"/>
  <c r="I117" i="4"/>
  <c r="J89" i="4"/>
  <c r="D68" i="4"/>
  <c r="J102" i="4"/>
  <c r="C64" i="5"/>
  <c r="D65" i="5"/>
  <c r="D132" i="4" l="1"/>
  <c r="D53" i="4"/>
  <c r="D39" i="4"/>
  <c r="C31" i="4"/>
  <c r="I112" i="4"/>
  <c r="G126" i="4"/>
  <c r="I126" i="4" s="1"/>
  <c r="C27" i="5" s="1"/>
  <c r="D27" i="5" s="1"/>
  <c r="F27" i="5" s="1"/>
  <c r="J112" i="4"/>
  <c r="H126" i="4"/>
  <c r="BX142" i="4"/>
  <c r="BV14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504F671F-35B5-4E5F-B733-27CCD25DF572}">
      <text>
        <r>
          <rPr>
            <sz val="11"/>
            <color rgb="FF000000"/>
            <rFont val="Calibri"/>
            <family val="2"/>
          </rPr>
          <t>Comment:
    In the net debt figures reported in FS, the company deduces margining receivables (page 230)</t>
        </r>
      </text>
    </comment>
    <comment ref="C65" authorId="0" shapeId="0" xr:uid="{34A4C2FA-F1BC-4D06-820D-695B9FD363B4}">
      <text>
        <r>
          <rPr>
            <sz val="11"/>
            <color rgb="FF000000"/>
            <rFont val="Calibri"/>
            <family val="2"/>
          </rPr>
          <t>Comment:
    Current assets - inventory and prepaid</t>
        </r>
      </text>
    </comment>
    <comment ref="C67" authorId="0" shapeId="0" xr:uid="{EFCA00BD-878A-4C82-AB82-FC84CDC221AF}">
      <text>
        <r>
          <rPr>
            <sz val="11"/>
            <color rgb="FF000000"/>
            <rFont val="Calibri"/>
            <family val="2"/>
          </rPr>
          <t>Comment:
    TNW: Total assets - intangibles - liabilities</t>
        </r>
      </text>
    </comment>
    <comment ref="C69" authorId="0" shapeId="0" xr:uid="{634D67F6-F1D9-4803-8626-3FF6BD07DE82}">
      <text>
        <r>
          <rPr>
            <sz val="11"/>
            <color rgb="FF000000"/>
            <rFont val="Calibri"/>
            <family val="2"/>
          </rPr>
          <t>Comment:
    Material if off balance sheet &gt; 10% of assets</t>
        </r>
      </text>
    </comment>
    <comment ref="C102" authorId="0" shapeId="0" xr:uid="{E89F499C-0588-49F2-8138-E260DE5378D8}">
      <text>
        <r>
          <rPr>
            <sz val="11"/>
            <color rgb="FF000000"/>
            <rFont val="Calibri"/>
            <family val="2"/>
          </rPr>
          <t>Comment:
    TNW: Total assets - intangibles - liabilities</t>
        </r>
      </text>
    </comment>
    <comment ref="C105" authorId="0" shapeId="0" xr:uid="{AFB01633-4899-422B-9896-DE37AA352DC7}">
      <text>
        <r>
          <rPr>
            <sz val="11"/>
            <color rgb="FF000000"/>
            <rFont val="Calibri"/>
            <family val="2"/>
          </rPr>
          <t>Comment:
    Net debt / equity</t>
        </r>
      </text>
    </comment>
    <comment ref="C107" authorId="0" shapeId="0" xr:uid="{2FE03ED7-7185-4E29-8D66-4F9C1ADD82AA}">
      <text>
        <r>
          <rPr>
            <sz val="11"/>
            <color rgb="FF000000"/>
            <rFont val="Calibri"/>
            <family val="2"/>
          </rPr>
          <t>Comment:
    Client did not provide CF statement. CF table reconstructed by ACT</t>
        </r>
      </text>
    </comment>
    <comment ref="C119" authorId="0" shapeId="0" xr:uid="{7DE989E0-792A-4589-A21A-A70EDFF9FCE7}">
      <text>
        <r>
          <rPr>
            <sz val="11"/>
            <color rgb="FF000000"/>
            <rFont val="Calibri"/>
            <family val="2"/>
          </rPr>
          <t>Comment:
    CA/CL</t>
        </r>
      </text>
    </comment>
    <comment ref="C120" authorId="0" shapeId="0" xr:uid="{8F0523FF-FE5B-45F8-BDB7-FF31516ACAAC}">
      <text>
        <r>
          <rPr>
            <sz val="11"/>
            <color rgb="FF000000"/>
            <rFont val="Calibri"/>
            <family val="2"/>
          </rPr>
          <t>Comment:
    (CA-inventory)/CL</t>
        </r>
      </text>
    </comment>
    <comment ref="C121" authorId="0" shapeId="0" xr:uid="{8972808C-F427-438E-96C3-D174BCA25A3D}">
      <text>
        <r>
          <rPr>
            <sz val="11"/>
            <color rgb="FF000000"/>
            <rFont val="Calibri"/>
            <family val="2"/>
          </rPr>
          <t>Comment:
    cash/CL</t>
        </r>
      </text>
    </comment>
    <comment ref="C122" authorId="0" shapeId="0" xr:uid="{9CA9249C-742F-44A3-B87E-8662D1009D7C}">
      <text>
        <r>
          <rPr>
            <sz val="11"/>
            <color rgb="FF000000"/>
            <rFont val="Calibri"/>
            <family val="2"/>
          </rPr>
          <t>Comment:
    estimation of funding to increase sales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7" authorId="0" shapeId="0" xr:uid="{8BBFA452-A679-438E-B51A-652670E7AF0A}">
      <text>
        <r>
          <rPr>
            <sz val="11"/>
            <color rgb="FF000000"/>
            <rFont val="Calibri"/>
            <family val="2"/>
          </rPr>
          <t>Comment:
    Investment effort ==&gt;balance sheet outlook</t>
        </r>
      </text>
    </comment>
    <comment ref="B40" authorId="0" shapeId="0" xr:uid="{6B2E1D3A-B390-4283-A01D-CFE5D6E7B41E}">
      <text>
        <r>
          <rPr>
            <sz val="11"/>
            <color rgb="FF000000"/>
            <rFont val="Calibri"/>
            <family val="2"/>
          </rPr>
          <t>Comment:
    Estimator of funds needed for growth</t>
        </r>
      </text>
    </comment>
    <comment ref="B68" authorId="0" shapeId="0" xr:uid="{5465D278-6C94-49E1-972D-75215FE89E93}">
      <text>
        <r>
          <rPr>
            <sz val="11"/>
            <color rgb="FF000000"/>
            <rFont val="Calibri"/>
            <family val="2"/>
          </rPr>
          <t>Comment:
    Liquid assets + access to committed lines - ST liabilities</t>
        </r>
      </text>
    </comment>
  </commentList>
</comments>
</file>

<file path=xl/sharedStrings.xml><?xml version="1.0" encoding="utf-8"?>
<sst xmlns="http://schemas.openxmlformats.org/spreadsheetml/2006/main" count="454" uniqueCount="302">
  <si>
    <t>Company Name</t>
  </si>
  <si>
    <t>New Wave Energy Holding Company, Inc.</t>
  </si>
  <si>
    <t>Fiscal Year Ending</t>
  </si>
  <si>
    <t>Auditor</t>
  </si>
  <si>
    <t>RSM</t>
  </si>
  <si>
    <t>Currency (in millions, thousands, etc.)</t>
  </si>
  <si>
    <t>USD</t>
  </si>
  <si>
    <t>ASSETS</t>
  </si>
  <si>
    <t>Cash and equivalents</t>
  </si>
  <si>
    <t>Accounts Receivable</t>
  </si>
  <si>
    <t>Prepaid Expenses</t>
  </si>
  <si>
    <t>Inventory</t>
  </si>
  <si>
    <t>Investments</t>
  </si>
  <si>
    <t>Other</t>
  </si>
  <si>
    <t>Total Current Assets</t>
  </si>
  <si>
    <t>Net PPE</t>
  </si>
  <si>
    <t>Goodwill</t>
  </si>
  <si>
    <t>Intangibles</t>
  </si>
  <si>
    <t>Total Non Current Assets</t>
  </si>
  <si>
    <t>Total Assets</t>
  </si>
  <si>
    <t>LIABILITIES</t>
  </si>
  <si>
    <t>Accounts Payable</t>
  </si>
  <si>
    <t>Accrued Interest</t>
  </si>
  <si>
    <t>Short term Borrowing</t>
  </si>
  <si>
    <t>Current Portion of Long Term Debt</t>
  </si>
  <si>
    <t>Total Current Liabilities</t>
  </si>
  <si>
    <t>Long Term Debt</t>
  </si>
  <si>
    <t>Deferred income taxes</t>
  </si>
  <si>
    <t>Total Non Current Liabilities</t>
  </si>
  <si>
    <t>Total Liabilities</t>
  </si>
  <si>
    <t>EQUITY</t>
  </si>
  <si>
    <t>Common Stock</t>
  </si>
  <si>
    <t>Retained Earnings</t>
  </si>
  <si>
    <t>Paid in Capital</t>
  </si>
  <si>
    <t>Total Equity</t>
  </si>
  <si>
    <t>Total Liabilities and Equity</t>
  </si>
  <si>
    <t>check</t>
  </si>
  <si>
    <t>INCOME STATEMENT</t>
  </si>
  <si>
    <t>Revenue</t>
  </si>
  <si>
    <t>Operating Expenses</t>
  </si>
  <si>
    <t>Operating Income</t>
  </si>
  <si>
    <t>Depreciation (-)</t>
  </si>
  <si>
    <t>Amortization (-)</t>
  </si>
  <si>
    <t>Asses gain(loss) impairments</t>
  </si>
  <si>
    <t>Interest Expense (-)</t>
  </si>
  <si>
    <t>Interest Income (+)</t>
  </si>
  <si>
    <t>Other income(expenses)</t>
  </si>
  <si>
    <t>Income Before Taxes</t>
  </si>
  <si>
    <t>Tax expense</t>
  </si>
  <si>
    <t>Net Income</t>
  </si>
  <si>
    <t>STATEMENT OF CASH FLOW</t>
  </si>
  <si>
    <t>Operating Activities</t>
  </si>
  <si>
    <t>Changes in noncash items</t>
  </si>
  <si>
    <t>Changes in Asses and Liabilities</t>
  </si>
  <si>
    <t>Net Cash from(used) Operating Activities</t>
  </si>
  <si>
    <t>Investing Activities</t>
  </si>
  <si>
    <t>CapEx</t>
  </si>
  <si>
    <t>Proceeds from asset sales</t>
  </si>
  <si>
    <t>Others</t>
  </si>
  <si>
    <t xml:space="preserve">Net cash from(used) for investing </t>
  </si>
  <si>
    <t>Financing Activities</t>
  </si>
  <si>
    <t>Issuance of Debt (long+short term)</t>
  </si>
  <si>
    <t>Retirement of Debt (long+short term)</t>
  </si>
  <si>
    <t>Issuance of Stock</t>
  </si>
  <si>
    <t>Dividends Paid</t>
  </si>
  <si>
    <t>Net cash from(used) for financing</t>
  </si>
  <si>
    <t>Net change in Cash</t>
  </si>
  <si>
    <t>Starting Cash</t>
  </si>
  <si>
    <t>Ending Cash</t>
  </si>
  <si>
    <t>Company overview:</t>
  </si>
  <si>
    <t>Electricity</t>
  </si>
  <si>
    <t>Gas</t>
  </si>
  <si>
    <t>EUR</t>
  </si>
  <si>
    <t>Comments on credit risk:</t>
  </si>
  <si>
    <t>Attention points:</t>
  </si>
  <si>
    <t>Current</t>
  </si>
  <si>
    <t>Non current</t>
  </si>
  <si>
    <t>Equity</t>
  </si>
  <si>
    <t>TOTAL</t>
  </si>
  <si>
    <t>TOTAL ASSETS</t>
  </si>
  <si>
    <t>TOTAL EQUITY + LIAB</t>
  </si>
  <si>
    <t>Balance sheet composition FY22</t>
  </si>
  <si>
    <t>Balance sheet composition FY21</t>
  </si>
  <si>
    <t>Amounts in  EUR</t>
  </si>
  <si>
    <t>Yearly delta</t>
  </si>
  <si>
    <t>Assets</t>
  </si>
  <si>
    <t>BALANCE SHEET ANALYSIS</t>
  </si>
  <si>
    <t>Non-current</t>
  </si>
  <si>
    <t>Asset compositions:</t>
  </si>
  <si>
    <t>Liab + equity</t>
  </si>
  <si>
    <t>Non-current liabilities</t>
  </si>
  <si>
    <t>Current liabilities</t>
  </si>
  <si>
    <t>Financing side:</t>
  </si>
  <si>
    <t>Balance sheet check</t>
  </si>
  <si>
    <t>Total debt</t>
  </si>
  <si>
    <t>Cash and other liquid items</t>
  </si>
  <si>
    <t>Net debt</t>
  </si>
  <si>
    <t>EBIT</t>
  </si>
  <si>
    <t>D&amp;A</t>
  </si>
  <si>
    <t>EBITDA</t>
  </si>
  <si>
    <t>Interest expense</t>
  </si>
  <si>
    <t>Quick assets</t>
  </si>
  <si>
    <t>Quick assets / ST liabilities</t>
  </si>
  <si>
    <t>TNW</t>
  </si>
  <si>
    <t>TNW / assets</t>
  </si>
  <si>
    <t>Material off-balance sheet items (Y/N)</t>
  </si>
  <si>
    <t>N</t>
  </si>
  <si>
    <t>Flagged items due to evolution</t>
  </si>
  <si>
    <t>Key indicators (mln)</t>
  </si>
  <si>
    <t xml:space="preserve">5Y </t>
  </si>
  <si>
    <t>FY22/FY21</t>
  </si>
  <si>
    <t>CAGR</t>
  </si>
  <si>
    <t>Financial performance</t>
  </si>
  <si>
    <t>Sales</t>
  </si>
  <si>
    <t>Due in 2022</t>
  </si>
  <si>
    <t>Between 1 and 2 y</t>
  </si>
  <si>
    <t>Business solutions</t>
  </si>
  <si>
    <t>Marketing</t>
  </si>
  <si>
    <t>Upstream</t>
  </si>
  <si>
    <t>Gross profit</t>
  </si>
  <si>
    <t>Between 2 and 5 y</t>
  </si>
  <si>
    <t>Gross profit margin</t>
  </si>
  <si>
    <t>More than 5 y</t>
  </si>
  <si>
    <t>TOTAL in EUR mln</t>
  </si>
  <si>
    <t>EBITDA margin</t>
  </si>
  <si>
    <t>EBIT margin</t>
  </si>
  <si>
    <t>Net profit</t>
  </si>
  <si>
    <t>Net margin</t>
  </si>
  <si>
    <t>Structure and financing</t>
  </si>
  <si>
    <t>Total assets</t>
  </si>
  <si>
    <t>Current liquidity + access to commited lines</t>
  </si>
  <si>
    <t>Current assets</t>
  </si>
  <si>
    <t>Outlfow in a year</t>
  </si>
  <si>
    <t>Current liab</t>
  </si>
  <si>
    <t>Cover</t>
  </si>
  <si>
    <t>Capitalization ratio</t>
  </si>
  <si>
    <t>TNW/assets</t>
  </si>
  <si>
    <t>Page 27 of annual report</t>
  </si>
  <si>
    <t>Net leverage</t>
  </si>
  <si>
    <t>Net gearing</t>
  </si>
  <si>
    <t>Cover ratio</t>
  </si>
  <si>
    <t>Cash flows</t>
  </si>
  <si>
    <t>GOCF</t>
  </si>
  <si>
    <t>Delta NWC</t>
  </si>
  <si>
    <t>NOCF</t>
  </si>
  <si>
    <t>Capex</t>
  </si>
  <si>
    <t>Debt repayment</t>
  </si>
  <si>
    <t>FCF after debt service</t>
  </si>
  <si>
    <t>Disposals of assets</t>
  </si>
  <si>
    <t>Loans granted</t>
  </si>
  <si>
    <t>Acquisitions</t>
  </si>
  <si>
    <t>Addition of debt</t>
  </si>
  <si>
    <t>Yearly change in liquidity</t>
  </si>
  <si>
    <t>Liquidity</t>
  </si>
  <si>
    <t>Cash and equivalent (incl. overdraft)</t>
  </si>
  <si>
    <t>Current ratio</t>
  </si>
  <si>
    <t>Quick ratio</t>
  </si>
  <si>
    <t>Cash ratio</t>
  </si>
  <si>
    <t>NWC / Sales</t>
  </si>
  <si>
    <t>Miscellaneous</t>
  </si>
  <si>
    <t>Capex / D&amp;A</t>
  </si>
  <si>
    <t>Net debt / NOCF</t>
  </si>
  <si>
    <r>
      <t xml:space="preserve">Comments: 
</t>
    </r>
    <r>
      <rPr>
        <sz val="11"/>
        <color rgb="FFFF0000"/>
        <rFont val="Calibri"/>
        <family val="2"/>
      </rPr>
      <t xml:space="preserve">1. </t>
    </r>
    <r>
      <rPr>
        <b/>
        <sz val="11"/>
        <color rgb="FFFF0000"/>
        <rFont val="Calibri"/>
        <family val="2"/>
      </rPr>
      <t>Bolstered NOCF fueled by (i)</t>
    </r>
    <r>
      <rPr>
        <sz val="11"/>
        <color rgb="FFFF0000"/>
        <rFont val="Calibri"/>
        <family val="2"/>
      </rPr>
      <t xml:space="preserve"> better operational results and </t>
    </r>
    <r>
      <rPr>
        <b/>
        <sz val="11"/>
        <color rgb="FFFF0000"/>
        <rFont val="Calibri"/>
        <family val="2"/>
      </rPr>
      <t>(ii)</t>
    </r>
    <r>
      <rPr>
        <sz val="11"/>
        <color rgb="FFFF0000"/>
        <rFont val="Calibri"/>
        <family val="2"/>
      </rPr>
      <t xml:space="preserve"> non cash items, expenses on derivatives).</t>
    </r>
    <r>
      <rPr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
2.</t>
    </r>
    <r>
      <rPr>
        <b/>
        <sz val="11"/>
        <color rgb="FFFF0000"/>
        <rFont val="Calibri"/>
        <family val="2"/>
      </rPr>
      <t xml:space="preserve"> Historically, NOCF not sufficient to cover debt repayment and capex: chronic negative FCF with significant volatility. </t>
    </r>
    <r>
      <rPr>
        <sz val="11"/>
        <color rgb="FFFF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 xml:space="preserve">
3. Increase in liquidity </t>
    </r>
    <r>
      <rPr>
        <sz val="11"/>
        <color rgb="FFFF0000"/>
        <rFont val="Calibri"/>
        <family val="2"/>
      </rPr>
      <t xml:space="preserve">fueled by </t>
    </r>
    <r>
      <rPr>
        <b/>
        <sz val="11"/>
        <color rgb="FFFF0000"/>
        <rFont val="Calibri"/>
        <family val="2"/>
      </rPr>
      <t>(i)</t>
    </r>
    <r>
      <rPr>
        <sz val="11"/>
        <color rgb="FFFF0000"/>
        <rFont val="Calibri"/>
        <family val="2"/>
      </rPr>
      <t xml:space="preserve"> improvement of operational performance, but mainly </t>
    </r>
    <r>
      <rPr>
        <b/>
        <sz val="11"/>
        <color rgb="FFFF0000"/>
        <rFont val="Calibri"/>
        <family val="2"/>
      </rPr>
      <t>(ii)</t>
    </r>
    <r>
      <rPr>
        <sz val="11"/>
        <color rgb="FFFF0000"/>
        <rFont val="Calibri"/>
        <family val="2"/>
      </rPr>
      <t xml:space="preserve"> debt issuance of EUR 16.5 Bn.</t>
    </r>
    <r>
      <rPr>
        <sz val="11"/>
        <color rgb="FFFF0000"/>
        <rFont val="Calibri"/>
        <family val="2"/>
      </rPr>
      <t xml:space="preserve">
</t>
    </r>
    <r>
      <rPr>
        <b/>
        <u/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>4. For reminder, we recall that comapany proceeded with a EUR 14 Bn repayment of debt FY19</t>
    </r>
    <r>
      <rPr>
        <b/>
        <sz val="11"/>
        <color rgb="FFFF0000"/>
        <rFont val="Calibri"/>
        <family val="2"/>
      </rPr>
      <t xml:space="preserve"> (related to deconsolidation).</t>
    </r>
  </si>
  <si>
    <r>
      <t xml:space="preserve">Comments:
</t>
    </r>
    <r>
      <rPr>
        <sz val="11"/>
        <color rgb="FFFF0000"/>
        <rFont val="Calibri"/>
        <family val="2"/>
      </rPr>
      <t xml:space="preserve">1. Cash amount on the rise to EUR 5.8 Bn aided by debt issuance. Though, </t>
    </r>
    <r>
      <rPr>
        <b/>
        <sz val="11"/>
        <color rgb="FFFF0000"/>
        <rFont val="Calibri"/>
        <family val="2"/>
      </rPr>
      <t>decline in cash ratio</t>
    </r>
    <r>
      <rPr>
        <sz val="11"/>
        <color rgb="FFFF0000"/>
        <rFont val="Calibri"/>
        <family val="2"/>
      </rPr>
      <t xml:space="preserve"> due to  growing ST liabilities caused by</t>
    </r>
    <r>
      <rPr>
        <b/>
        <sz val="11"/>
        <color rgb="FFFF0000"/>
        <rFont val="Calibri"/>
        <family val="2"/>
      </rPr>
      <t xml:space="preserve"> (i)</t>
    </r>
    <r>
      <rPr>
        <sz val="11"/>
        <color rgb="FFFF0000"/>
        <rFont val="Calibri"/>
        <family val="2"/>
      </rPr>
      <t xml:space="preserve"> derivatives and </t>
    </r>
    <r>
      <rPr>
        <b/>
        <sz val="11"/>
        <color rgb="FFFF0000"/>
        <rFont val="Calibri"/>
        <family val="2"/>
      </rPr>
      <t xml:space="preserve">(ii) </t>
    </r>
    <r>
      <rPr>
        <sz val="11"/>
        <color rgb="FFFF0000"/>
        <rFont val="Calibri"/>
        <family val="2"/>
      </rPr>
      <t>ST financial debt.</t>
    </r>
    <r>
      <rPr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 xml:space="preserve">
</t>
    </r>
  </si>
  <si>
    <t>Return on TNW</t>
  </si>
  <si>
    <t>FCF/net debt</t>
  </si>
  <si>
    <t>Net debt/NOCF</t>
  </si>
  <si>
    <t>Payout ratio</t>
  </si>
  <si>
    <t>Sources and Uses of cash</t>
  </si>
  <si>
    <t>ST +</t>
  </si>
  <si>
    <t>Available funds + ST inflows</t>
  </si>
  <si>
    <t>Cash bridge</t>
  </si>
  <si>
    <t>ST -</t>
  </si>
  <si>
    <t>Payment in less than a year</t>
  </si>
  <si>
    <t>FY20 closing</t>
  </si>
  <si>
    <t>Coverage of inflow / outflow</t>
  </si>
  <si>
    <t>ST financial (need) or surplus</t>
  </si>
  <si>
    <t>Repayment of debt and other financial obligations</t>
  </si>
  <si>
    <t>New debt raised</t>
  </si>
  <si>
    <t>Acquisition</t>
  </si>
  <si>
    <t>Other items</t>
  </si>
  <si>
    <t>FY21 closing</t>
  </si>
  <si>
    <t>Company name</t>
  </si>
  <si>
    <t>Closing</t>
  </si>
  <si>
    <t>Currency</t>
  </si>
  <si>
    <t>Company Overview</t>
  </si>
  <si>
    <t>Score</t>
  </si>
  <si>
    <t>Weight</t>
  </si>
  <si>
    <t>Weighted Score</t>
  </si>
  <si>
    <t>Years in Business</t>
  </si>
  <si>
    <t>10-20 years</t>
  </si>
  <si>
    <t>Equity Base</t>
  </si>
  <si>
    <t>100-500M</t>
  </si>
  <si>
    <t>Operating Risk</t>
  </si>
  <si>
    <t>Moderate</t>
  </si>
  <si>
    <t>Liquidity/Outlook</t>
  </si>
  <si>
    <t>Access to Liquidity</t>
  </si>
  <si>
    <t>Strong</t>
  </si>
  <si>
    <t>Industry Outlook</t>
  </si>
  <si>
    <t>Capex/D&amp;A</t>
  </si>
  <si>
    <t>Capitalization</t>
  </si>
  <si>
    <t>Repayment capacity</t>
  </si>
  <si>
    <t>FCF/ net debt</t>
  </si>
  <si>
    <t>Net margin (net income/sales)</t>
  </si>
  <si>
    <t>NWC/Sales</t>
  </si>
  <si>
    <t>Implied Rating</t>
  </si>
  <si>
    <t>1 Highest
20 Lowest</t>
  </si>
  <si>
    <t>Check</t>
  </si>
  <si>
    <t>Support / collateral and volatility index</t>
  </si>
  <si>
    <t>Government support</t>
  </si>
  <si>
    <t>Shareholder Support and Quality</t>
  </si>
  <si>
    <t>Y</t>
  </si>
  <si>
    <t>Country Risk</t>
  </si>
  <si>
    <t>Existence of collateral</t>
  </si>
  <si>
    <t>Access to committed lines</t>
  </si>
  <si>
    <t>Off balance sheet risk?</t>
  </si>
  <si>
    <t>Breach of covenant?</t>
  </si>
  <si>
    <t>Stress on maturity of debt vs. net leverage</t>
  </si>
  <si>
    <t>Volatility factor</t>
  </si>
  <si>
    <t>Analyst adjustment in notch</t>
  </si>
  <si>
    <t>Comment on adjustment</t>
  </si>
  <si>
    <t>FINAL RATING</t>
  </si>
  <si>
    <t>FINAL CREDIT LIMIT IN mln</t>
  </si>
  <si>
    <t>Limit based on equity</t>
  </si>
  <si>
    <t>Share of equity</t>
  </si>
  <si>
    <t>Limit based on max USD 30 mln expo.</t>
  </si>
  <si>
    <t>ST liquid capacity in EUR mln</t>
  </si>
  <si>
    <t>INTERNAL CREDIT RATING MODEL</t>
  </si>
  <si>
    <t>EXTERNAL CREDIT RATING</t>
  </si>
  <si>
    <t>PD output</t>
  </si>
  <si>
    <t>Credit limit validity*</t>
  </si>
  <si>
    <t>Rating</t>
  </si>
  <si>
    <t>Description</t>
  </si>
  <si>
    <t>Risk indicator equivalent</t>
  </si>
  <si>
    <t>Classification</t>
  </si>
  <si>
    <t>% of equity</t>
  </si>
  <si>
    <t>in EUR mln</t>
  </si>
  <si>
    <t>2Y</t>
  </si>
  <si>
    <t>AAA</t>
  </si>
  <si>
    <t>Highest credit quality</t>
  </si>
  <si>
    <t>Investment grade</t>
  </si>
  <si>
    <t>AA+</t>
  </si>
  <si>
    <t>Very high quality</t>
  </si>
  <si>
    <t>AA</t>
  </si>
  <si>
    <t>AA-</t>
  </si>
  <si>
    <t>A+</t>
  </si>
  <si>
    <t>High credit quality</t>
  </si>
  <si>
    <t>A</t>
  </si>
  <si>
    <t>A-</t>
  </si>
  <si>
    <t>1Y</t>
  </si>
  <si>
    <t>BBB+</t>
  </si>
  <si>
    <t>Good credit quality</t>
  </si>
  <si>
    <t>BBB</t>
  </si>
  <si>
    <t>BBB-</t>
  </si>
  <si>
    <t>BB+</t>
  </si>
  <si>
    <t>Speculative</t>
  </si>
  <si>
    <t>Non-investment grade</t>
  </si>
  <si>
    <t>BB</t>
  </si>
  <si>
    <t>BB-</t>
  </si>
  <si>
    <t>B+</t>
  </si>
  <si>
    <t>Highly speculative</t>
  </si>
  <si>
    <t>B</t>
  </si>
  <si>
    <t>B-</t>
  </si>
  <si>
    <t>CCC+</t>
  </si>
  <si>
    <t>High default risk</t>
  </si>
  <si>
    <t>CCC</t>
  </si>
  <si>
    <t>CCC-</t>
  </si>
  <si>
    <t>OK</t>
  </si>
  <si>
    <t>Profitability</t>
  </si>
  <si>
    <t>D&amp;B Failure Score</t>
  </si>
  <si>
    <t>PD</t>
  </si>
  <si>
    <t>&lt;1 year</t>
  </si>
  <si>
    <t>Net debt/Equity (net gearing)</t>
  </si>
  <si>
    <t>EBIT Margin</t>
  </si>
  <si>
    <t>Notch</t>
  </si>
  <si>
    <t>1-2 years</t>
  </si>
  <si>
    <t>3-5 years</t>
  </si>
  <si>
    <t>6-10 years</t>
  </si>
  <si>
    <t>&gt;20 years</t>
  </si>
  <si>
    <t>Trade up to</t>
  </si>
  <si>
    <t>-</t>
  </si>
  <si>
    <t>&gt;50 billion</t>
  </si>
  <si>
    <t>EBIT/Interest (cover)</t>
  </si>
  <si>
    <t>10-50 billion</t>
  </si>
  <si>
    <t>1-10 billion</t>
  </si>
  <si>
    <t>500M-1B</t>
  </si>
  <si>
    <t>25M-100M</t>
  </si>
  <si>
    <t>Return on Tangible Assets</t>
  </si>
  <si>
    <t>&lt;25M</t>
  </si>
  <si>
    <t>Exceptional</t>
  </si>
  <si>
    <t>Good</t>
  </si>
  <si>
    <t>Moderately Aggressive</t>
  </si>
  <si>
    <t>Aggressive</t>
  </si>
  <si>
    <t>Access to Liquiditiy</t>
  </si>
  <si>
    <t>Moderately Constrained</t>
  </si>
  <si>
    <t>FFO/Debt</t>
  </si>
  <si>
    <t>Constrained</t>
  </si>
  <si>
    <t>Moderately Challenged</t>
  </si>
  <si>
    <t>Challenged</t>
  </si>
  <si>
    <t>Absolute</t>
  </si>
  <si>
    <t>Weak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</si>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</sst>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%"/>
    <numFmt numFmtId="165" formatCode="&quot; &quot;* #,##0.00&quot; &quot;;&quot; &quot;* &quot;(&quot;#,##0.00&quot;)&quot;;&quot; &quot;* &quot;-&quot;#&quot; &quot;;&quot; &quot;@&quot; &quot;"/>
    <numFmt numFmtId="166" formatCode="&quot; &quot;* #,##0.0&quot; &quot;;&quot; &quot;* &quot;(&quot;#,##0.0&quot;)&quot;;&quot; &quot;* &quot;-&quot;#&quot; &quot;;&quot; &quot;@&quot; &quot;"/>
    <numFmt numFmtId="167" formatCode="&quot; &quot;* #,##0&quot; &quot;;&quot; &quot;* &quot;(&quot;#,##0&quot;)&quot;;&quot; &quot;* &quot;-&quot;#&quot; &quot;;&quot; &quot;@&quot; &quot;"/>
    <numFmt numFmtId="168" formatCode="&quot; &quot;* #,##0.00&quot; &quot;;&quot; &quot;* &quot;(&quot;#,##0.00&quot;)&quot;;&quot; &quot;* &quot;-&quot;#.0&quot; &quot;;&quot; &quot;@&quot; &quot;"/>
    <numFmt numFmtId="169" formatCode="&quot; &quot;* #,##0.000&quot; &quot;;&quot; &quot;* &quot;(&quot;#,##0.000&quot;)&quot;;&quot; &quot;* &quot;-&quot;#.0&quot; &quot;;&quot; &quot;@&quot; &quot;"/>
    <numFmt numFmtId="170" formatCode="&quot; &quot;* #,##0.0000&quot; &quot;;&quot; &quot;* &quot;(&quot;#,##0.0000&quot;)&quot;;&quot; &quot;* &quot;-&quot;#.00&quot; &quot;;&quot; &quot;@&quot; &quot;"/>
    <numFmt numFmtId="171" formatCode="&quot; &quot;* #,##0.0&quot; &quot;;&quot; &quot;* &quot;(&quot;#,##0.0&quot;)&quot;;&quot; &quot;* &quot;-&quot;#.0&quot; &quot;;&quot; &quot;@&quot; &quot;"/>
    <numFmt numFmtId="172" formatCode="&quot; &quot;* #,##0.00&quot; &quot;;&quot; &quot;* &quot;-&quot;#,##0.00&quot; &quot;;&quot; &quot;* &quot;-&quot;#&quot; &quot;;&quot; &quot;@&quot; &quot;"/>
    <numFmt numFmtId="173" formatCode="_(* #,##0_);_(* \(#,##0\);_(* &quot;-&quot;??_);_(@_)"/>
    <numFmt numFmtId="174" formatCode="0.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1"/>
      <color rgb="FF14DB6E"/>
      <name val="Calibri"/>
      <family val="2"/>
    </font>
    <font>
      <sz val="7"/>
      <color rgb="FF000000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7" tint="-0.249977111117893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99"/>
        <bgColor rgb="FF00FF99"/>
      </patternFill>
    </fill>
    <fill>
      <patternFill patternType="solid">
        <fgColor rgb="FFFFD966"/>
        <bgColor rgb="FFFFD966"/>
      </patternFill>
    </fill>
    <fill>
      <patternFill patternType="solid">
        <fgColor rgb="FFC6E0B4"/>
        <bgColor rgb="FFC6E0B4"/>
      </patternFill>
    </fill>
    <fill>
      <patternFill patternType="solid">
        <fgColor rgb="FFED7D31"/>
        <bgColor rgb="FFED7D31"/>
      </patternFill>
    </fill>
    <fill>
      <patternFill patternType="solid">
        <fgColor rgb="FF00FF00"/>
        <bgColor rgb="FF00FF00"/>
      </patternFill>
    </fill>
    <fill>
      <patternFill patternType="solid">
        <fgColor rgb="FFF4B084"/>
        <bgColor rgb="FFF4B084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99"/>
        <bgColor rgb="FFFFFF99"/>
      </patternFill>
    </fill>
    <fill>
      <patternFill patternType="solid">
        <fgColor rgb="FF9BC2E6"/>
        <bgColor rgb="FF9BC2E6"/>
      </patternFill>
    </fill>
    <fill>
      <patternFill patternType="solid">
        <fgColor rgb="FFFF99FF"/>
        <bgColor rgb="FFFF99FF"/>
      </patternFill>
    </fill>
    <fill>
      <patternFill patternType="solid">
        <fgColor rgb="FF66FF33"/>
        <bgColor rgb="FF66FF33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C65911"/>
        <bgColor rgb="FFC65911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 applyNumberFormat="0" applyFont="0" applyBorder="0" applyProtection="0"/>
    <xf numFmtId="9" fontId="1" fillId="0" borderId="0" applyFont="0" applyFill="0" applyBorder="0" applyAlignment="0" applyProtection="0"/>
  </cellStyleXfs>
  <cellXfs count="502">
    <xf numFmtId="0" fontId="0" fillId="0" borderId="0" xfId="0"/>
    <xf numFmtId="0" fontId="2" fillId="2" borderId="1" xfId="0" applyFont="1" applyFill="1" applyBorder="1"/>
    <xf numFmtId="0" fontId="3" fillId="0" borderId="0" xfId="2" applyFont="1" applyAlignment="1">
      <alignment horizontal="center"/>
    </xf>
    <xf numFmtId="0" fontId="0" fillId="0" borderId="0" xfId="2" applyFont="1"/>
    <xf numFmtId="0" fontId="2" fillId="3" borderId="1" xfId="2" applyFont="1" applyFill="1" applyBorder="1"/>
    <xf numFmtId="0" fontId="2" fillId="2" borderId="2" xfId="0" applyFont="1" applyFill="1" applyBorder="1"/>
    <xf numFmtId="0" fontId="0" fillId="0" borderId="1" xfId="2" applyFont="1" applyBorder="1"/>
    <xf numFmtId="2" fontId="0" fillId="0" borderId="1" xfId="2" applyNumberFormat="1" applyFont="1" applyBorder="1"/>
    <xf numFmtId="9" fontId="0" fillId="0" borderId="1" xfId="2" applyNumberFormat="1" applyFont="1" applyBorder="1"/>
    <xf numFmtId="9" fontId="0" fillId="0" borderId="1" xfId="3" applyFont="1" applyBorder="1"/>
    <xf numFmtId="164" fontId="1" fillId="0" borderId="1" xfId="3" applyNumberFormat="1" applyBorder="1"/>
    <xf numFmtId="0" fontId="0" fillId="0" borderId="1" xfId="2" applyFont="1" applyBorder="1" applyAlignment="1">
      <alignment horizontal="center"/>
    </xf>
    <xf numFmtId="165" fontId="1" fillId="0" borderId="1" xfId="1" applyFill="1" applyBorder="1" applyAlignment="1"/>
    <xf numFmtId="2" fontId="0" fillId="0" borderId="0" xfId="2" applyNumberFormat="1" applyFont="1"/>
    <xf numFmtId="0" fontId="0" fillId="0" borderId="1" xfId="3" applyNumberFormat="1" applyFont="1" applyBorder="1"/>
    <xf numFmtId="9" fontId="1" fillId="0" borderId="1" xfId="3" applyBorder="1" applyAlignment="1">
      <alignment horizontal="center"/>
    </xf>
    <xf numFmtId="0" fontId="0" fillId="4" borderId="1" xfId="2" applyFont="1" applyFill="1" applyBorder="1"/>
    <xf numFmtId="164" fontId="0" fillId="0" borderId="1" xfId="3" applyNumberFormat="1" applyFont="1" applyBorder="1"/>
    <xf numFmtId="165" fontId="1" fillId="0" borderId="1" xfId="1" applyBorder="1"/>
    <xf numFmtId="165" fontId="1" fillId="0" borderId="0" xfId="1" applyFill="1" applyAlignment="1"/>
    <xf numFmtId="0" fontId="2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1" fillId="0" borderId="1" xfId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65" fontId="1" fillId="0" borderId="0" xfId="1" applyAlignment="1">
      <alignment vertical="center"/>
    </xf>
    <xf numFmtId="165" fontId="1" fillId="0" borderId="0" xfId="1"/>
    <xf numFmtId="165" fontId="2" fillId="0" borderId="1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1" xfId="0" applyFont="1" applyBorder="1"/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6" xfId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165" fontId="2" fillId="0" borderId="1" xfId="1" applyFont="1" applyBorder="1" applyAlignment="1">
      <alignment horizontal="center"/>
    </xf>
    <xf numFmtId="9" fontId="2" fillId="0" borderId="1" xfId="3" applyFont="1" applyBorder="1"/>
    <xf numFmtId="0" fontId="5" fillId="0" borderId="0" xfId="0" applyFont="1"/>
    <xf numFmtId="165" fontId="1" fillId="0" borderId="1" xfId="1" applyBorder="1" applyAlignment="1">
      <alignment horizontal="center"/>
    </xf>
    <xf numFmtId="0" fontId="5" fillId="0" borderId="0" xfId="0" applyFont="1" applyAlignment="1">
      <alignment horizontal="left"/>
    </xf>
    <xf numFmtId="9" fontId="2" fillId="0" borderId="1" xfId="0" applyNumberFormat="1" applyFont="1" applyBorder="1" applyAlignment="1">
      <alignment horizontal="center"/>
    </xf>
    <xf numFmtId="165" fontId="2" fillId="12" borderId="12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0" xfId="0" applyFont="1"/>
    <xf numFmtId="0" fontId="2" fillId="7" borderId="13" xfId="0" applyFont="1" applyFill="1" applyBorder="1" applyAlignment="1">
      <alignment horizontal="center"/>
    </xf>
    <xf numFmtId="165" fontId="1" fillId="0" borderId="15" xfId="1" applyBorder="1" applyAlignment="1">
      <alignment horizontal="right"/>
    </xf>
    <xf numFmtId="165" fontId="1" fillId="0" borderId="17" xfId="1" applyBorder="1" applyAlignment="1">
      <alignment horizontal="right"/>
    </xf>
    <xf numFmtId="165" fontId="2" fillId="0" borderId="19" xfId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5" fontId="1" fillId="0" borderId="19" xfId="1" applyBorder="1" applyAlignment="1">
      <alignment horizontal="right"/>
    </xf>
    <xf numFmtId="0" fontId="0" fillId="16" borderId="0" xfId="0" applyFill="1" applyAlignment="1">
      <alignment horizontal="center"/>
    </xf>
    <xf numFmtId="0" fontId="0" fillId="16" borderId="24" xfId="0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/>
    <xf numFmtId="0" fontId="2" fillId="17" borderId="26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0" fontId="2" fillId="19" borderId="28" xfId="0" applyFont="1" applyFill="1" applyBorder="1" applyAlignment="1">
      <alignment horizontal="center"/>
    </xf>
    <xf numFmtId="0" fontId="2" fillId="21" borderId="29" xfId="0" applyFont="1" applyFill="1" applyBorder="1"/>
    <xf numFmtId="9" fontId="2" fillId="14" borderId="25" xfId="3" applyFont="1" applyFill="1" applyBorder="1" applyAlignment="1">
      <alignment horizontal="center"/>
    </xf>
    <xf numFmtId="167" fontId="1" fillId="16" borderId="1" xfId="1" applyNumberFormat="1" applyFill="1" applyBorder="1" applyAlignment="1">
      <alignment horizontal="center"/>
    </xf>
    <xf numFmtId="9" fontId="1" fillId="16" borderId="17" xfId="3" applyFill="1" applyBorder="1" applyAlignment="1">
      <alignment horizontal="center"/>
    </xf>
    <xf numFmtId="0" fontId="0" fillId="21" borderId="31" xfId="0" applyFill="1" applyBorder="1" applyAlignment="1">
      <alignment horizontal="right"/>
    </xf>
    <xf numFmtId="9" fontId="1" fillId="14" borderId="34" xfId="3" applyFill="1" applyBorder="1" applyAlignment="1">
      <alignment horizontal="center"/>
    </xf>
    <xf numFmtId="0" fontId="2" fillId="21" borderId="31" xfId="0" applyFont="1" applyFill="1" applyBorder="1"/>
    <xf numFmtId="167" fontId="1" fillId="14" borderId="32" xfId="1" applyNumberFormat="1" applyFill="1" applyBorder="1" applyAlignment="1">
      <alignment horizontal="right"/>
    </xf>
    <xf numFmtId="9" fontId="1" fillId="14" borderId="32" xfId="3" applyFill="1" applyBorder="1" applyAlignment="1">
      <alignment horizontal="center"/>
    </xf>
    <xf numFmtId="9" fontId="2" fillId="14" borderId="32" xfId="3" applyFont="1" applyFill="1" applyBorder="1" applyAlignment="1">
      <alignment horizontal="center"/>
    </xf>
    <xf numFmtId="0" fontId="8" fillId="21" borderId="35" xfId="0" applyFont="1" applyFill="1" applyBorder="1" applyAlignment="1">
      <alignment horizontal="right"/>
    </xf>
    <xf numFmtId="164" fontId="2" fillId="0" borderId="35" xfId="3" applyNumberFormat="1" applyFont="1" applyBorder="1" applyAlignment="1">
      <alignment horizontal="right"/>
    </xf>
    <xf numFmtId="164" fontId="2" fillId="14" borderId="32" xfId="3" applyNumberFormat="1" applyFont="1" applyFill="1" applyBorder="1" applyAlignment="1">
      <alignment horizontal="right"/>
    </xf>
    <xf numFmtId="0" fontId="0" fillId="21" borderId="35" xfId="0" applyFill="1" applyBorder="1" applyAlignment="1">
      <alignment horizontal="left"/>
    </xf>
    <xf numFmtId="167" fontId="2" fillId="16" borderId="1" xfId="1" applyNumberFormat="1" applyFont="1" applyFill="1" applyBorder="1" applyAlignment="1">
      <alignment horizontal="center"/>
    </xf>
    <xf numFmtId="9" fontId="2" fillId="16" borderId="17" xfId="3" applyFont="1" applyFill="1" applyBorder="1" applyAlignment="1">
      <alignment horizontal="center"/>
    </xf>
    <xf numFmtId="0" fontId="9" fillId="21" borderId="35" xfId="0" applyFont="1" applyFill="1" applyBorder="1" applyAlignment="1">
      <alignment horizontal="right"/>
    </xf>
    <xf numFmtId="164" fontId="1" fillId="14" borderId="32" xfId="3" applyNumberFormat="1" applyFill="1" applyBorder="1" applyAlignment="1">
      <alignment horizontal="right"/>
    </xf>
    <xf numFmtId="0" fontId="0" fillId="21" borderId="35" xfId="0" applyFill="1" applyBorder="1" applyAlignment="1">
      <alignment horizontal="right"/>
    </xf>
    <xf numFmtId="167" fontId="1" fillId="0" borderId="32" xfId="1" applyNumberFormat="1" applyFill="1" applyBorder="1" applyAlignment="1">
      <alignment horizontal="right"/>
    </xf>
    <xf numFmtId="167" fontId="1" fillId="0" borderId="36" xfId="1" applyNumberFormat="1" applyFill="1" applyBorder="1" applyAlignment="1">
      <alignment horizontal="right"/>
    </xf>
    <xf numFmtId="0" fontId="2" fillId="21" borderId="35" xfId="0" applyFont="1" applyFill="1" applyBorder="1" applyAlignment="1">
      <alignment horizontal="left"/>
    </xf>
    <xf numFmtId="167" fontId="2" fillId="0" borderId="32" xfId="1" applyNumberFormat="1" applyFont="1" applyBorder="1" applyAlignment="1">
      <alignment horizontal="right"/>
    </xf>
    <xf numFmtId="167" fontId="2" fillId="0" borderId="35" xfId="1" applyNumberFormat="1" applyFont="1" applyBorder="1" applyAlignment="1">
      <alignment horizontal="right"/>
    </xf>
    <xf numFmtId="167" fontId="2" fillId="14" borderId="32" xfId="1" applyNumberFormat="1" applyFont="1" applyFill="1" applyBorder="1" applyAlignment="1">
      <alignment horizontal="right"/>
    </xf>
    <xf numFmtId="0" fontId="9" fillId="21" borderId="37" xfId="0" applyFont="1" applyFill="1" applyBorder="1" applyAlignment="1">
      <alignment horizontal="right"/>
    </xf>
    <xf numFmtId="164" fontId="1" fillId="0" borderId="37" xfId="3" applyNumberFormat="1" applyBorder="1" applyAlignment="1">
      <alignment horizontal="right"/>
    </xf>
    <xf numFmtId="164" fontId="1" fillId="14" borderId="38" xfId="3" applyNumberFormat="1" applyFill="1" applyBorder="1" applyAlignment="1">
      <alignment horizontal="right"/>
    </xf>
    <xf numFmtId="9" fontId="1" fillId="14" borderId="38" xfId="3" applyFill="1" applyBorder="1" applyAlignment="1">
      <alignment horizontal="center"/>
    </xf>
    <xf numFmtId="0" fontId="0" fillId="21" borderId="29" xfId="0" applyFill="1" applyBorder="1" applyAlignment="1">
      <alignment horizontal="left"/>
    </xf>
    <xf numFmtId="167" fontId="1" fillId="14" borderId="25" xfId="1" applyNumberFormat="1" applyFill="1" applyBorder="1" applyAlignment="1">
      <alignment horizontal="right"/>
    </xf>
    <xf numFmtId="9" fontId="1" fillId="14" borderId="25" xfId="3" applyFill="1" applyBorder="1" applyAlignment="1">
      <alignment horizontal="center"/>
    </xf>
    <xf numFmtId="0" fontId="0" fillId="21" borderId="31" xfId="0" applyFill="1" applyBorder="1" applyAlignment="1">
      <alignment horizontal="left"/>
    </xf>
    <xf numFmtId="166" fontId="1" fillId="14" borderId="32" xfId="1" applyNumberFormat="1" applyFill="1" applyBorder="1" applyAlignment="1">
      <alignment horizontal="right"/>
    </xf>
    <xf numFmtId="166" fontId="2" fillId="14" borderId="32" xfId="1" applyNumberFormat="1" applyFont="1" applyFill="1" applyBorder="1" applyAlignment="1">
      <alignment horizontal="right"/>
    </xf>
    <xf numFmtId="0" fontId="0" fillId="21" borderId="37" xfId="0" applyFill="1" applyBorder="1" applyAlignment="1">
      <alignment horizontal="left"/>
    </xf>
    <xf numFmtId="166" fontId="1" fillId="14" borderId="38" xfId="1" applyNumberFormat="1" applyFill="1" applyBorder="1" applyAlignment="1">
      <alignment horizontal="right"/>
    </xf>
    <xf numFmtId="0" fontId="0" fillId="21" borderId="41" xfId="0" applyFill="1" applyBorder="1" applyAlignment="1">
      <alignment horizontal="left"/>
    </xf>
    <xf numFmtId="166" fontId="1" fillId="0" borderId="43" xfId="1" applyNumberFormat="1" applyBorder="1" applyAlignment="1">
      <alignment horizontal="right"/>
    </xf>
    <xf numFmtId="166" fontId="1" fillId="14" borderId="42" xfId="1" applyNumberFormat="1" applyFill="1" applyBorder="1" applyAlignment="1">
      <alignment horizontal="right"/>
    </xf>
    <xf numFmtId="9" fontId="1" fillId="14" borderId="42" xfId="3" applyFill="1" applyBorder="1" applyAlignment="1">
      <alignment horizontal="center"/>
    </xf>
    <xf numFmtId="166" fontId="1" fillId="14" borderId="25" xfId="1" applyNumberFormat="1" applyFill="1" applyBorder="1" applyAlignment="1">
      <alignment horizontal="right"/>
    </xf>
    <xf numFmtId="9" fontId="1" fillId="14" borderId="30" xfId="3" applyFill="1" applyBorder="1" applyAlignment="1">
      <alignment horizontal="center"/>
    </xf>
    <xf numFmtId="167" fontId="1" fillId="0" borderId="31" xfId="1" applyNumberFormat="1" applyBorder="1" applyAlignment="1">
      <alignment horizontal="right"/>
    </xf>
    <xf numFmtId="166" fontId="1" fillId="14" borderId="34" xfId="1" applyNumberFormat="1" applyFill="1" applyBorder="1" applyAlignment="1">
      <alignment horizontal="right"/>
    </xf>
    <xf numFmtId="9" fontId="1" fillId="14" borderId="33" xfId="3" applyFill="1" applyBorder="1" applyAlignment="1">
      <alignment horizontal="center"/>
    </xf>
    <xf numFmtId="0" fontId="2" fillId="21" borderId="31" xfId="0" applyFont="1" applyFill="1" applyBorder="1" applyAlignment="1">
      <alignment horizontal="left"/>
    </xf>
    <xf numFmtId="9" fontId="2" fillId="14" borderId="33" xfId="3" applyFont="1" applyFill="1" applyBorder="1" applyAlignment="1">
      <alignment horizontal="center"/>
    </xf>
    <xf numFmtId="9" fontId="1" fillId="14" borderId="39" xfId="3" applyFill="1" applyBorder="1" applyAlignment="1">
      <alignment horizontal="center"/>
    </xf>
    <xf numFmtId="9" fontId="2" fillId="14" borderId="39" xfId="3" applyFont="1" applyFill="1" applyBorder="1" applyAlignment="1">
      <alignment horizontal="center"/>
    </xf>
    <xf numFmtId="166" fontId="1" fillId="0" borderId="7" xfId="1" applyNumberFormat="1" applyFill="1" applyBorder="1" applyAlignment="1">
      <alignment horizontal="right"/>
    </xf>
    <xf numFmtId="9" fontId="1" fillId="14" borderId="36" xfId="3" applyFill="1" applyBorder="1" applyAlignment="1">
      <alignment horizontal="center"/>
    </xf>
    <xf numFmtId="0" fontId="0" fillId="21" borderId="23" xfId="0" applyFill="1" applyBorder="1" applyAlignment="1">
      <alignment horizontal="left"/>
    </xf>
    <xf numFmtId="9" fontId="1" fillId="14" borderId="24" xfId="3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166" fontId="2" fillId="0" borderId="15" xfId="1" applyNumberFormat="1" applyFont="1" applyBorder="1"/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left"/>
    </xf>
    <xf numFmtId="166" fontId="1" fillId="0" borderId="17" xfId="1" applyNumberFormat="1" applyBorder="1"/>
    <xf numFmtId="0" fontId="0" fillId="0" borderId="32" xfId="0" applyBorder="1" applyAlignment="1">
      <alignment horizontal="center"/>
    </xf>
    <xf numFmtId="9" fontId="1" fillId="0" borderId="0" xfId="3" applyAlignment="1">
      <alignment horizontal="center"/>
    </xf>
    <xf numFmtId="0" fontId="0" fillId="25" borderId="16" xfId="0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166" fontId="2" fillId="0" borderId="19" xfId="1" applyNumberFormat="1" applyFont="1" applyBorder="1"/>
    <xf numFmtId="166" fontId="0" fillId="0" borderId="0" xfId="0" applyNumberFormat="1" applyAlignment="1">
      <alignment horizontal="center"/>
    </xf>
    <xf numFmtId="0" fontId="0" fillId="0" borderId="0" xfId="2" applyFont="1" applyAlignment="1">
      <alignment horizontal="center"/>
    </xf>
    <xf numFmtId="0" fontId="0" fillId="0" borderId="14" xfId="2" applyFont="1" applyBorder="1"/>
    <xf numFmtId="0" fontId="0" fillId="0" borderId="15" xfId="2" applyFont="1" applyBorder="1" applyAlignment="1">
      <alignment horizontal="center"/>
    </xf>
    <xf numFmtId="0" fontId="0" fillId="0" borderId="16" xfId="2" applyFont="1" applyBorder="1"/>
    <xf numFmtId="16" fontId="0" fillId="0" borderId="17" xfId="2" applyNumberFormat="1" applyFont="1" applyBorder="1" applyAlignment="1">
      <alignment horizontal="center"/>
    </xf>
    <xf numFmtId="0" fontId="0" fillId="0" borderId="18" xfId="2" applyFont="1" applyBorder="1"/>
    <xf numFmtId="0" fontId="0" fillId="0" borderId="19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0" fillId="26" borderId="1" xfId="0" applyFill="1" applyBorder="1" applyAlignment="1">
      <alignment horizontal="center"/>
    </xf>
    <xf numFmtId="164" fontId="0" fillId="0" borderId="1" xfId="3" applyNumberFormat="1" applyFont="1" applyBorder="1" applyAlignment="1">
      <alignment horizontal="center"/>
    </xf>
    <xf numFmtId="0" fontId="0" fillId="26" borderId="1" xfId="2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2" fontId="0" fillId="26" borderId="1" xfId="2" applyNumberFormat="1" applyFont="1" applyFill="1" applyBorder="1" applyAlignment="1">
      <alignment horizontal="center"/>
    </xf>
    <xf numFmtId="164" fontId="0" fillId="0" borderId="0" xfId="3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5" fontId="1" fillId="0" borderId="0" xfId="1" applyFill="1" applyAlignment="1">
      <alignment horizontal="center"/>
    </xf>
    <xf numFmtId="9" fontId="1" fillId="0" borderId="0" xfId="3" applyFill="1" applyAlignment="1">
      <alignment horizontal="center" vertical="center"/>
    </xf>
    <xf numFmtId="2" fontId="0" fillId="26" borderId="1" xfId="3" applyNumberFormat="1" applyFont="1" applyFill="1" applyBorder="1" applyAlignment="1">
      <alignment horizontal="center"/>
    </xf>
    <xf numFmtId="9" fontId="0" fillId="26" borderId="1" xfId="3" applyFont="1" applyFill="1" applyBorder="1" applyAlignment="1">
      <alignment horizontal="center"/>
    </xf>
    <xf numFmtId="9" fontId="1" fillId="0" borderId="1" xfId="3" applyBorder="1" applyAlignment="1">
      <alignment horizontal="center" vertical="center"/>
    </xf>
    <xf numFmtId="0" fontId="2" fillId="10" borderId="1" xfId="2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/>
    </xf>
    <xf numFmtId="0" fontId="0" fillId="0" borderId="1" xfId="2" applyFont="1" applyBorder="1" applyAlignment="1">
      <alignment vertical="center"/>
    </xf>
    <xf numFmtId="0" fontId="0" fillId="0" borderId="28" xfId="2" applyFont="1" applyBorder="1"/>
    <xf numFmtId="165" fontId="1" fillId="0" borderId="28" xfId="1" applyFill="1" applyBorder="1" applyAlignment="1">
      <alignment horizontal="center"/>
    </xf>
    <xf numFmtId="9" fontId="1" fillId="0" borderId="0" xfId="3" applyFill="1" applyAlignment="1"/>
    <xf numFmtId="165" fontId="1" fillId="0" borderId="1" xfId="1" applyFill="1" applyBorder="1" applyAlignment="1">
      <alignment horizontal="righ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9" fontId="4" fillId="0" borderId="0" xfId="3" applyFont="1"/>
    <xf numFmtId="9" fontId="1" fillId="0" borderId="1" xfId="3" applyBorder="1" applyAlignment="1">
      <alignment vertical="center"/>
    </xf>
    <xf numFmtId="165" fontId="4" fillId="0" borderId="1" xfId="1" applyFont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textRotation="90" wrapText="1"/>
    </xf>
    <xf numFmtId="165" fontId="4" fillId="0" borderId="0" xfId="0" applyNumberFormat="1" applyFont="1"/>
    <xf numFmtId="0" fontId="2" fillId="0" borderId="9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/>
    <xf numFmtId="0" fontId="2" fillId="0" borderId="10" xfId="0" applyFont="1" applyBorder="1"/>
    <xf numFmtId="0" fontId="2" fillId="8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/>
    <xf numFmtId="9" fontId="6" fillId="0" borderId="0" xfId="3" applyFont="1"/>
    <xf numFmtId="0" fontId="2" fillId="9" borderId="8" xfId="0" applyFont="1" applyFill="1" applyBorder="1" applyAlignment="1">
      <alignment horizontal="right"/>
    </xf>
    <xf numFmtId="0" fontId="2" fillId="10" borderId="8" xfId="0" applyFont="1" applyFill="1" applyBorder="1" applyAlignment="1">
      <alignment horizontal="right"/>
    </xf>
    <xf numFmtId="165" fontId="2" fillId="0" borderId="12" xfId="1" applyFont="1" applyBorder="1" applyAlignment="1">
      <alignment horizontal="center"/>
    </xf>
    <xf numFmtId="9" fontId="2" fillId="0" borderId="8" xfId="3" applyFont="1" applyBorder="1"/>
    <xf numFmtId="0" fontId="2" fillId="11" borderId="8" xfId="0" applyFont="1" applyFill="1" applyBorder="1" applyAlignment="1">
      <alignment horizontal="right"/>
    </xf>
    <xf numFmtId="9" fontId="1" fillId="0" borderId="6" xfId="3" applyBorder="1" applyAlignment="1">
      <alignment horizontal="center"/>
    </xf>
    <xf numFmtId="165" fontId="6" fillId="0" borderId="0" xfId="1" applyFont="1"/>
    <xf numFmtId="165" fontId="4" fillId="0" borderId="0" xfId="1" applyFont="1"/>
    <xf numFmtId="165" fontId="2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52" xfId="0" applyBorder="1" applyAlignment="1">
      <alignment horizontal="center"/>
    </xf>
    <xf numFmtId="0" fontId="0" fillId="0" borderId="50" xfId="0" applyBorder="1"/>
    <xf numFmtId="165" fontId="1" fillId="0" borderId="15" xfId="1" applyBorder="1" applyAlignment="1">
      <alignment horizontal="center"/>
    </xf>
    <xf numFmtId="165" fontId="4" fillId="0" borderId="0" xfId="1" applyFont="1" applyAlignment="1">
      <alignment horizontal="center"/>
    </xf>
    <xf numFmtId="9" fontId="4" fillId="0" borderId="0" xfId="3" applyFont="1" applyAlignment="1">
      <alignment horizontal="left"/>
    </xf>
    <xf numFmtId="0" fontId="0" fillId="0" borderId="8" xfId="0" applyBorder="1"/>
    <xf numFmtId="165" fontId="1" fillId="0" borderId="17" xfId="1" applyBorder="1" applyAlignment="1">
      <alignment horizontal="center"/>
    </xf>
    <xf numFmtId="0" fontId="2" fillId="0" borderId="51" xfId="0" applyFont="1" applyBorder="1"/>
    <xf numFmtId="0" fontId="4" fillId="0" borderId="0" xfId="0" applyFont="1" applyAlignment="1">
      <alignment horizontal="right"/>
    </xf>
    <xf numFmtId="170" fontId="4" fillId="0" borderId="0" xfId="1" applyNumberFormat="1" applyFont="1"/>
    <xf numFmtId="165" fontId="1" fillId="0" borderId="50" xfId="1" applyBorder="1"/>
    <xf numFmtId="165" fontId="1" fillId="0" borderId="8" xfId="1" applyBorder="1"/>
    <xf numFmtId="165" fontId="2" fillId="0" borderId="51" xfId="1" applyFont="1" applyBorder="1"/>
    <xf numFmtId="0" fontId="6" fillId="0" borderId="0" xfId="0" applyFont="1"/>
    <xf numFmtId="165" fontId="1" fillId="0" borderId="51" xfId="1" applyBorder="1"/>
    <xf numFmtId="9" fontId="1" fillId="0" borderId="17" xfId="3" applyBorder="1" applyAlignment="1">
      <alignment horizontal="right"/>
    </xf>
    <xf numFmtId="0" fontId="0" fillId="0" borderId="51" xfId="0" applyBorder="1"/>
    <xf numFmtId="165" fontId="6" fillId="20" borderId="19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6" fillId="4" borderId="0" xfId="0" applyFont="1" applyFill="1" applyAlignment="1">
      <alignment horizontal="center"/>
    </xf>
    <xf numFmtId="0" fontId="2" fillId="2" borderId="20" xfId="0" applyFont="1" applyFill="1" applyBorder="1"/>
    <xf numFmtId="0" fontId="2" fillId="7" borderId="28" xfId="0" applyFont="1" applyFill="1" applyBorder="1" applyAlignment="1">
      <alignment horizontal="center"/>
    </xf>
    <xf numFmtId="0" fontId="4" fillId="14" borderId="20" xfId="0" applyFont="1" applyFill="1" applyBorder="1"/>
    <xf numFmtId="0" fontId="4" fillId="14" borderId="21" xfId="0" applyFont="1" applyFill="1" applyBorder="1"/>
    <xf numFmtId="0" fontId="4" fillId="14" borderId="22" xfId="0" applyFont="1" applyFill="1" applyBorder="1"/>
    <xf numFmtId="0" fontId="4" fillId="15" borderId="20" xfId="0" applyFont="1" applyFill="1" applyBorder="1"/>
    <xf numFmtId="0" fontId="4" fillId="15" borderId="21" xfId="0" applyFont="1" applyFill="1" applyBorder="1"/>
    <xf numFmtId="0" fontId="4" fillId="16" borderId="20" xfId="0" applyFont="1" applyFill="1" applyBorder="1"/>
    <xf numFmtId="0" fontId="4" fillId="16" borderId="21" xfId="0" applyFont="1" applyFill="1" applyBorder="1"/>
    <xf numFmtId="0" fontId="4" fillId="16" borderId="22" xfId="0" applyFont="1" applyFill="1" applyBorder="1"/>
    <xf numFmtId="167" fontId="2" fillId="0" borderId="25" xfId="1" applyNumberFormat="1" applyFont="1" applyFill="1" applyBorder="1" applyAlignment="1">
      <alignment horizontal="center"/>
    </xf>
    <xf numFmtId="0" fontId="4" fillId="14" borderId="23" xfId="0" applyFont="1" applyFill="1" applyBorder="1" applyAlignment="1">
      <alignment horizontal="center"/>
    </xf>
    <xf numFmtId="0" fontId="4" fillId="14" borderId="0" xfId="0" applyFont="1" applyFill="1"/>
    <xf numFmtId="0" fontId="4" fillId="14" borderId="0" xfId="0" applyFont="1" applyFill="1" applyAlignment="1">
      <alignment horizontal="center"/>
    </xf>
    <xf numFmtId="0" fontId="4" fillId="14" borderId="24" xfId="0" applyFont="1" applyFill="1" applyBorder="1" applyAlignment="1">
      <alignment horizontal="center"/>
    </xf>
    <xf numFmtId="0" fontId="4" fillId="15" borderId="23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6" borderId="23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6" borderId="24" xfId="0" applyFont="1" applyFill="1" applyBorder="1" applyAlignment="1">
      <alignment horizontal="center"/>
    </xf>
    <xf numFmtId="166" fontId="1" fillId="0" borderId="34" xfId="1" applyNumberFormat="1" applyFill="1" applyBorder="1" applyAlignment="1">
      <alignment horizontal="center"/>
    </xf>
    <xf numFmtId="0" fontId="6" fillId="14" borderId="23" xfId="0" applyFont="1" applyFill="1" applyBorder="1"/>
    <xf numFmtId="0" fontId="4" fillId="14" borderId="23" xfId="0" applyFont="1" applyFill="1" applyBorder="1"/>
    <xf numFmtId="0" fontId="0" fillId="16" borderId="12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1" xfId="0" applyFill="1" applyBorder="1" applyAlignment="1">
      <alignment horizontal="left"/>
    </xf>
    <xf numFmtId="9" fontId="1" fillId="0" borderId="34" xfId="3" applyFill="1" applyBorder="1" applyAlignment="1">
      <alignment horizontal="right"/>
    </xf>
    <xf numFmtId="9" fontId="1" fillId="14" borderId="32" xfId="3" applyFill="1" applyBorder="1" applyAlignment="1">
      <alignment horizontal="right"/>
    </xf>
    <xf numFmtId="164" fontId="1" fillId="14" borderId="32" xfId="3" applyNumberFormat="1" applyFill="1" applyBorder="1" applyAlignment="1">
      <alignment horizontal="center"/>
    </xf>
    <xf numFmtId="0" fontId="0" fillId="16" borderId="0" xfId="0" applyFill="1" applyAlignment="1">
      <alignment horizontal="left"/>
    </xf>
    <xf numFmtId="0" fontId="4" fillId="16" borderId="0" xfId="0" applyFont="1" applyFill="1" applyAlignment="1">
      <alignment horizontal="left"/>
    </xf>
    <xf numFmtId="10" fontId="1" fillId="0" borderId="35" xfId="3" applyNumberFormat="1" applyBorder="1" applyAlignment="1">
      <alignment horizontal="right"/>
    </xf>
    <xf numFmtId="171" fontId="1" fillId="0" borderId="32" xfId="1" applyNumberFormat="1" applyFill="1" applyBorder="1" applyAlignment="1">
      <alignment horizontal="right"/>
    </xf>
    <xf numFmtId="167" fontId="2" fillId="0" borderId="32" xfId="1" applyNumberFormat="1" applyFont="1" applyFill="1" applyBorder="1" applyAlignment="1">
      <alignment horizontal="right"/>
    </xf>
    <xf numFmtId="167" fontId="4" fillId="16" borderId="0" xfId="1" applyNumberFormat="1" applyFont="1" applyFill="1" applyAlignment="1">
      <alignment horizontal="center"/>
    </xf>
    <xf numFmtId="167" fontId="1" fillId="0" borderId="30" xfId="1" applyNumberFormat="1" applyFill="1" applyBorder="1" applyAlignment="1">
      <alignment horizontal="right"/>
    </xf>
    <xf numFmtId="167" fontId="1" fillId="16" borderId="1" xfId="1" applyNumberFormat="1" applyFill="1" applyBorder="1" applyAlignment="1">
      <alignment horizontal="right"/>
    </xf>
    <xf numFmtId="167" fontId="1" fillId="0" borderId="33" xfId="1" applyNumberFormat="1" applyFill="1" applyBorder="1" applyAlignment="1">
      <alignment horizontal="right"/>
    </xf>
    <xf numFmtId="9" fontId="1" fillId="16" borderId="1" xfId="3" applyFill="1" applyBorder="1" applyAlignment="1">
      <alignment horizontal="right"/>
    </xf>
    <xf numFmtId="0" fontId="6" fillId="16" borderId="0" xfId="0" applyFont="1" applyFill="1" applyAlignment="1">
      <alignment horizontal="center"/>
    </xf>
    <xf numFmtId="9" fontId="4" fillId="16" borderId="0" xfId="3" applyFont="1" applyFill="1" applyAlignment="1">
      <alignment horizontal="center"/>
    </xf>
    <xf numFmtId="164" fontId="2" fillId="0" borderId="36" xfId="3" applyNumberFormat="1" applyFont="1" applyFill="1" applyBorder="1" applyAlignment="1">
      <alignment horizontal="right"/>
    </xf>
    <xf numFmtId="165" fontId="1" fillId="0" borderId="36" xfId="1" applyFill="1" applyBorder="1" applyAlignment="1">
      <alignment horizontal="center"/>
    </xf>
    <xf numFmtId="10" fontId="1" fillId="0" borderId="36" xfId="3" applyNumberFormat="1" applyFill="1" applyBorder="1" applyAlignment="1">
      <alignment horizontal="right"/>
    </xf>
    <xf numFmtId="166" fontId="1" fillId="0" borderId="36" xfId="1" applyNumberFormat="1" applyFill="1" applyBorder="1" applyAlignment="1">
      <alignment horizontal="right"/>
    </xf>
    <xf numFmtId="165" fontId="1" fillId="14" borderId="32" xfId="1" applyFill="1" applyBorder="1" applyAlignment="1">
      <alignment horizontal="center"/>
    </xf>
    <xf numFmtId="166" fontId="2" fillId="0" borderId="36" xfId="1" applyNumberFormat="1" applyFont="1" applyFill="1" applyBorder="1" applyAlignment="1">
      <alignment horizontal="right"/>
    </xf>
    <xf numFmtId="166" fontId="1" fillId="0" borderId="39" xfId="1" applyNumberFormat="1" applyFill="1" applyBorder="1" applyAlignment="1">
      <alignment horizontal="right"/>
    </xf>
    <xf numFmtId="166" fontId="1" fillId="14" borderId="30" xfId="1" applyNumberFormat="1" applyFill="1" applyBorder="1" applyAlignment="1">
      <alignment horizontal="right"/>
    </xf>
    <xf numFmtId="166" fontId="1" fillId="14" borderId="33" xfId="1" applyNumberFormat="1" applyFill="1" applyBorder="1" applyAlignment="1">
      <alignment horizontal="right"/>
    </xf>
    <xf numFmtId="166" fontId="2" fillId="14" borderId="33" xfId="1" applyNumberFormat="1" applyFont="1" applyFill="1" applyBorder="1" applyAlignment="1">
      <alignment horizontal="right"/>
    </xf>
    <xf numFmtId="166" fontId="1" fillId="14" borderId="39" xfId="1" applyNumberFormat="1" applyFill="1" applyBorder="1" applyAlignment="1">
      <alignment horizontal="right"/>
    </xf>
    <xf numFmtId="166" fontId="2" fillId="14" borderId="39" xfId="1" applyNumberFormat="1" applyFont="1" applyFill="1" applyBorder="1" applyAlignment="1">
      <alignment horizontal="right"/>
    </xf>
    <xf numFmtId="166" fontId="1" fillId="14" borderId="36" xfId="1" applyNumberFormat="1" applyFill="1" applyBorder="1" applyAlignment="1">
      <alignment horizontal="right"/>
    </xf>
    <xf numFmtId="171" fontId="1" fillId="0" borderId="42" xfId="1" applyNumberFormat="1" applyFill="1" applyBorder="1" applyAlignment="1">
      <alignment horizontal="right"/>
    </xf>
    <xf numFmtId="166" fontId="1" fillId="14" borderId="24" xfId="1" applyNumberFormat="1" applyFill="1" applyBorder="1" applyAlignment="1">
      <alignment horizontal="right"/>
    </xf>
    <xf numFmtId="171" fontId="1" fillId="0" borderId="31" xfId="1" applyNumberFormat="1" applyFill="1" applyBorder="1" applyAlignment="1">
      <alignment horizontal="right"/>
    </xf>
    <xf numFmtId="168" fontId="1" fillId="0" borderId="35" xfId="1" applyNumberFormat="1" applyFill="1" applyBorder="1" applyAlignment="1">
      <alignment horizontal="right"/>
    </xf>
    <xf numFmtId="165" fontId="1" fillId="14" borderId="33" xfId="1" applyFill="1" applyBorder="1" applyAlignment="1">
      <alignment horizontal="center"/>
    </xf>
    <xf numFmtId="9" fontId="4" fillId="14" borderId="32" xfId="3" applyFont="1" applyFill="1" applyBorder="1" applyAlignment="1">
      <alignment horizontal="center"/>
    </xf>
    <xf numFmtId="9" fontId="1" fillId="0" borderId="35" xfId="3" applyFill="1" applyBorder="1" applyAlignment="1">
      <alignment horizontal="right"/>
    </xf>
    <xf numFmtId="164" fontId="1" fillId="0" borderId="23" xfId="3" applyNumberFormat="1" applyFill="1" applyBorder="1" applyAlignment="1">
      <alignment horizontal="right"/>
    </xf>
    <xf numFmtId="9" fontId="1" fillId="14" borderId="46" xfId="3" applyFill="1" applyBorder="1" applyAlignment="1">
      <alignment horizontal="right"/>
    </xf>
    <xf numFmtId="9" fontId="4" fillId="14" borderId="46" xfId="3" applyFont="1" applyFill="1" applyBorder="1" applyAlignment="1">
      <alignment horizontal="center"/>
    </xf>
    <xf numFmtId="0" fontId="4" fillId="14" borderId="47" xfId="0" applyFont="1" applyFill="1" applyBorder="1"/>
    <xf numFmtId="0" fontId="4" fillId="14" borderId="48" xfId="0" applyFont="1" applyFill="1" applyBorder="1"/>
    <xf numFmtId="0" fontId="4" fillId="14" borderId="48" xfId="0" applyFont="1" applyFill="1" applyBorder="1" applyAlignment="1">
      <alignment horizontal="center"/>
    </xf>
    <xf numFmtId="0" fontId="4" fillId="14" borderId="49" xfId="0" applyFont="1" applyFill="1" applyBorder="1" applyAlignment="1">
      <alignment horizontal="center"/>
    </xf>
    <xf numFmtId="0" fontId="4" fillId="15" borderId="47" xfId="0" applyFont="1" applyFill="1" applyBorder="1" applyAlignment="1">
      <alignment horizontal="center"/>
    </xf>
    <xf numFmtId="0" fontId="4" fillId="15" borderId="48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16" borderId="49" xfId="0" applyFont="1" applyFill="1" applyBorder="1" applyAlignment="1">
      <alignment horizontal="center"/>
    </xf>
    <xf numFmtId="9" fontId="1" fillId="0" borderId="29" xfId="3" applyFill="1" applyBorder="1" applyAlignment="1">
      <alignment horizontal="right"/>
    </xf>
    <xf numFmtId="0" fontId="4" fillId="22" borderId="20" xfId="0" applyFont="1" applyFill="1" applyBorder="1"/>
    <xf numFmtId="0" fontId="4" fillId="22" borderId="21" xfId="0" applyFont="1" applyFill="1" applyBorder="1"/>
    <xf numFmtId="0" fontId="4" fillId="22" borderId="21" xfId="0" applyFont="1" applyFill="1" applyBorder="1" applyAlignment="1">
      <alignment horizontal="center"/>
    </xf>
    <xf numFmtId="0" fontId="4" fillId="22" borderId="40" xfId="0" applyFont="1" applyFill="1" applyBorder="1" applyAlignment="1">
      <alignment horizontal="center"/>
    </xf>
    <xf numFmtId="0" fontId="4" fillId="22" borderId="30" xfId="0" applyFont="1" applyFill="1" applyBorder="1" applyAlignment="1">
      <alignment horizontal="center"/>
    </xf>
    <xf numFmtId="0" fontId="4" fillId="13" borderId="21" xfId="0" applyFont="1" applyFill="1" applyBorder="1" applyAlignment="1">
      <alignment horizontal="center"/>
    </xf>
    <xf numFmtId="0" fontId="4" fillId="13" borderId="40" xfId="0" applyFont="1" applyFill="1" applyBorder="1" applyAlignment="1">
      <alignment horizontal="center"/>
    </xf>
    <xf numFmtId="0" fontId="4" fillId="13" borderId="30" xfId="0" applyFont="1" applyFill="1" applyBorder="1" applyAlignment="1">
      <alignment horizontal="center"/>
    </xf>
    <xf numFmtId="0" fontId="4" fillId="23" borderId="23" xfId="0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0" fontId="4" fillId="23" borderId="45" xfId="0" applyFont="1" applyFill="1" applyBorder="1" applyAlignment="1">
      <alignment horizontal="center"/>
    </xf>
    <xf numFmtId="0" fontId="4" fillId="23" borderId="33" xfId="0" applyFont="1" applyFill="1" applyBorder="1" applyAlignment="1">
      <alignment horizontal="center"/>
    </xf>
    <xf numFmtId="165" fontId="1" fillId="0" borderId="7" xfId="1" applyFill="1" applyBorder="1" applyAlignment="1">
      <alignment horizontal="right"/>
    </xf>
    <xf numFmtId="0" fontId="4" fillId="22" borderId="23" xfId="0" applyFont="1" applyFill="1" applyBorder="1"/>
    <xf numFmtId="0" fontId="4" fillId="22" borderId="0" xfId="0" applyFont="1" applyFill="1"/>
    <xf numFmtId="0" fontId="4" fillId="22" borderId="0" xfId="0" applyFont="1" applyFill="1" applyAlignment="1">
      <alignment horizontal="center"/>
    </xf>
    <xf numFmtId="0" fontId="7" fillId="22" borderId="9" xfId="0" applyFont="1" applyFill="1" applyBorder="1" applyAlignment="1">
      <alignment vertical="top" wrapText="1"/>
    </xf>
    <xf numFmtId="0" fontId="7" fillId="22" borderId="3" xfId="0" applyFont="1" applyFill="1" applyBorder="1" applyAlignment="1">
      <alignment vertical="top" wrapText="1"/>
    </xf>
    <xf numFmtId="0" fontId="7" fillId="22" borderId="39" xfId="0" applyFont="1" applyFill="1" applyBorder="1" applyAlignment="1">
      <alignment vertical="top" wrapText="1"/>
    </xf>
    <xf numFmtId="0" fontId="4" fillId="13" borderId="0" xfId="0" applyFont="1" applyFill="1" applyAlignment="1">
      <alignment horizontal="center"/>
    </xf>
    <xf numFmtId="0" fontId="7" fillId="13" borderId="5" xfId="0" applyFont="1" applyFill="1" applyBorder="1" applyAlignment="1">
      <alignment vertical="top" wrapText="1"/>
    </xf>
    <xf numFmtId="0" fontId="7" fillId="13" borderId="53" xfId="0" applyFont="1" applyFill="1" applyBorder="1" applyAlignment="1">
      <alignment vertical="top" wrapText="1"/>
    </xf>
    <xf numFmtId="165" fontId="1" fillId="14" borderId="32" xfId="1" applyFill="1" applyBorder="1" applyAlignment="1">
      <alignment horizontal="right"/>
    </xf>
    <xf numFmtId="169" fontId="1" fillId="0" borderId="7" xfId="1" applyNumberFormat="1" applyFill="1" applyBorder="1" applyAlignment="1">
      <alignment horizontal="right"/>
    </xf>
    <xf numFmtId="169" fontId="1" fillId="0" borderId="37" xfId="1" applyNumberFormat="1" applyFill="1" applyBorder="1" applyAlignment="1">
      <alignment horizontal="right"/>
    </xf>
    <xf numFmtId="9" fontId="4" fillId="14" borderId="38" xfId="3" applyFont="1" applyFill="1" applyBorder="1" applyAlignment="1">
      <alignment horizontal="center"/>
    </xf>
    <xf numFmtId="165" fontId="1" fillId="0" borderId="44" xfId="1" applyFill="1" applyBorder="1" applyAlignment="1">
      <alignment horizontal="right"/>
    </xf>
    <xf numFmtId="9" fontId="1" fillId="14" borderId="42" xfId="3" applyFill="1" applyBorder="1" applyAlignment="1">
      <alignment horizontal="right"/>
    </xf>
    <xf numFmtId="9" fontId="4" fillId="14" borderId="42" xfId="3" applyFont="1" applyFill="1" applyBorder="1" applyAlignment="1">
      <alignment horizontal="center"/>
    </xf>
    <xf numFmtId="0" fontId="2" fillId="2" borderId="21" xfId="0" applyFont="1" applyFill="1" applyBorder="1"/>
    <xf numFmtId="0" fontId="0" fillId="24" borderId="40" xfId="0" applyFill="1" applyBorder="1"/>
    <xf numFmtId="165" fontId="0" fillId="24" borderId="25" xfId="0" applyNumberFormat="1" applyFill="1" applyBorder="1"/>
    <xf numFmtId="167" fontId="4" fillId="0" borderId="0" xfId="1" applyNumberFormat="1" applyFont="1"/>
    <xf numFmtId="0" fontId="0" fillId="24" borderId="7" xfId="0" applyFill="1" applyBorder="1"/>
    <xf numFmtId="165" fontId="0" fillId="24" borderId="32" xfId="0" applyNumberFormat="1" applyFill="1" applyBorder="1"/>
    <xf numFmtId="167" fontId="4" fillId="0" borderId="0" xfId="1" applyNumberFormat="1" applyFont="1" applyAlignment="1">
      <alignment horizontal="center"/>
    </xf>
    <xf numFmtId="0" fontId="0" fillId="20" borderId="3" xfId="0" applyFill="1" applyBorder="1"/>
    <xf numFmtId="165" fontId="0" fillId="20" borderId="38" xfId="0" applyNumberFormat="1" applyFill="1" applyBorder="1"/>
    <xf numFmtId="0" fontId="0" fillId="20" borderId="44" xfId="0" applyFill="1" applyBorder="1"/>
    <xf numFmtId="165" fontId="0" fillId="20" borderId="42" xfId="0" applyNumberFormat="1" applyFill="1" applyBorder="1"/>
    <xf numFmtId="167" fontId="6" fillId="0" borderId="0" xfId="0" applyNumberFormat="1" applyFont="1" applyAlignment="1">
      <alignment horizontal="center"/>
    </xf>
    <xf numFmtId="165" fontId="4" fillId="0" borderId="0" xfId="1" applyFont="1" applyAlignment="1"/>
    <xf numFmtId="9" fontId="1" fillId="0" borderId="0" xfId="3" applyAlignment="1">
      <alignment horizontal="right"/>
    </xf>
    <xf numFmtId="0" fontId="4" fillId="13" borderId="0" xfId="0" applyFont="1" applyFill="1"/>
    <xf numFmtId="0" fontId="4" fillId="23" borderId="23" xfId="0" applyFont="1" applyFill="1" applyBorder="1"/>
    <xf numFmtId="0" fontId="4" fillId="23" borderId="0" xfId="0" applyFont="1" applyFill="1"/>
    <xf numFmtId="0" fontId="4" fillId="22" borderId="47" xfId="0" applyFont="1" applyFill="1" applyBorder="1"/>
    <xf numFmtId="0" fontId="4" fillId="22" borderId="48" xfId="0" applyFont="1" applyFill="1" applyBorder="1"/>
    <xf numFmtId="0" fontId="7" fillId="22" borderId="48" xfId="0" applyFont="1" applyFill="1" applyBorder="1" applyAlignment="1">
      <alignment vertical="top" wrapText="1"/>
    </xf>
    <xf numFmtId="0" fontId="7" fillId="22" borderId="49" xfId="0" applyFont="1" applyFill="1" applyBorder="1" applyAlignment="1">
      <alignment vertical="top" wrapText="1"/>
    </xf>
    <xf numFmtId="0" fontId="4" fillId="13" borderId="48" xfId="0" applyFont="1" applyFill="1" applyBorder="1"/>
    <xf numFmtId="0" fontId="7" fillId="13" borderId="48" xfId="0" applyFont="1" applyFill="1" applyBorder="1" applyAlignment="1">
      <alignment vertical="top" wrapText="1"/>
    </xf>
    <xf numFmtId="0" fontId="7" fillId="13" borderId="49" xfId="0" applyFont="1" applyFill="1" applyBorder="1" applyAlignment="1">
      <alignment vertical="top" wrapText="1"/>
    </xf>
    <xf numFmtId="0" fontId="4" fillId="23" borderId="47" xfId="0" applyFont="1" applyFill="1" applyBorder="1"/>
    <xf numFmtId="0" fontId="4" fillId="23" borderId="48" xfId="0" applyFont="1" applyFill="1" applyBorder="1"/>
    <xf numFmtId="0" fontId="4" fillId="0" borderId="0" xfId="2" applyFont="1"/>
    <xf numFmtId="0" fontId="4" fillId="0" borderId="0" xfId="2" applyFont="1" applyAlignment="1">
      <alignment horizontal="center"/>
    </xf>
    <xf numFmtId="165" fontId="1" fillId="0" borderId="1" xfId="1" applyBorder="1" applyAlignment="1"/>
    <xf numFmtId="165" fontId="1" fillId="0" borderId="0" xfId="1" applyAlignment="1"/>
    <xf numFmtId="2" fontId="4" fillId="0" borderId="0" xfId="2" applyNumberFormat="1" applyFont="1"/>
    <xf numFmtId="164" fontId="4" fillId="0" borderId="0" xfId="3" applyNumberFormat="1" applyFont="1" applyAlignment="1">
      <alignment horizontal="center"/>
    </xf>
    <xf numFmtId="9" fontId="4" fillId="0" borderId="0" xfId="3" applyFont="1" applyAlignment="1">
      <alignment horizontal="center"/>
    </xf>
    <xf numFmtId="9" fontId="1" fillId="26" borderId="1" xfId="3" applyFill="1" applyBorder="1" applyAlignment="1">
      <alignment horizontal="center"/>
    </xf>
    <xf numFmtId="165" fontId="1" fillId="0" borderId="12" xfId="1" applyFill="1" applyBorder="1" applyAlignment="1">
      <alignment vertical="center"/>
    </xf>
    <xf numFmtId="164" fontId="0" fillId="0" borderId="1" xfId="2" applyNumberFormat="1" applyFont="1" applyBorder="1" applyAlignment="1">
      <alignment horizontal="right"/>
    </xf>
    <xf numFmtId="0" fontId="2" fillId="26" borderId="12" xfId="2" applyFont="1" applyFill="1" applyBorder="1" applyAlignment="1">
      <alignment horizontal="center"/>
    </xf>
    <xf numFmtId="167" fontId="1" fillId="0" borderId="1" xfId="1" applyNumberFormat="1" applyFill="1" applyBorder="1" applyAlignment="1">
      <alignment vertical="center"/>
    </xf>
    <xf numFmtId="166" fontId="2" fillId="0" borderId="1" xfId="1" applyNumberFormat="1" applyFont="1" applyBorder="1" applyAlignment="1"/>
    <xf numFmtId="0" fontId="2" fillId="7" borderId="14" xfId="2" applyFont="1" applyFill="1" applyBorder="1"/>
    <xf numFmtId="165" fontId="2" fillId="7" borderId="15" xfId="2" applyNumberFormat="1" applyFont="1" applyFill="1" applyBorder="1"/>
    <xf numFmtId="0" fontId="0" fillId="0" borderId="2" xfId="2" applyFont="1" applyBorder="1"/>
    <xf numFmtId="0" fontId="9" fillId="0" borderId="16" xfId="2" applyFont="1" applyBorder="1" applyAlignment="1">
      <alignment horizontal="right"/>
    </xf>
    <xf numFmtId="172" fontId="0" fillId="0" borderId="0" xfId="2" applyNumberFormat="1" applyFont="1"/>
    <xf numFmtId="0" fontId="9" fillId="0" borderId="18" xfId="2" applyFont="1" applyBorder="1" applyAlignment="1">
      <alignment horizontal="right"/>
    </xf>
    <xf numFmtId="165" fontId="2" fillId="0" borderId="19" xfId="2" applyNumberFormat="1" applyFont="1" applyBorder="1"/>
    <xf numFmtId="165" fontId="0" fillId="0" borderId="0" xfId="2" applyNumberFormat="1" applyFont="1" applyAlignment="1">
      <alignment horizontal="center"/>
    </xf>
    <xf numFmtId="167" fontId="2" fillId="14" borderId="25" xfId="1" applyNumberFormat="1" applyFont="1" applyFill="1" applyBorder="1" applyAlignment="1">
      <alignment horizontal="right"/>
    </xf>
    <xf numFmtId="16" fontId="0" fillId="0" borderId="0" xfId="0" applyNumberFormat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173" fontId="0" fillId="0" borderId="0" xfId="1" applyNumberFormat="1" applyFont="1" applyBorder="1"/>
    <xf numFmtId="173" fontId="0" fillId="0" borderId="60" xfId="1" applyNumberFormat="1" applyFont="1" applyBorder="1"/>
    <xf numFmtId="173" fontId="0" fillId="0" borderId="0" xfId="1" applyNumberFormat="1" applyFont="1" applyFill="1" applyBorder="1"/>
    <xf numFmtId="173" fontId="0" fillId="0" borderId="61" xfId="1" applyNumberFormat="1" applyFont="1" applyBorder="1"/>
    <xf numFmtId="173" fontId="0" fillId="0" borderId="62" xfId="1" applyNumberFormat="1" applyFont="1" applyBorder="1"/>
    <xf numFmtId="0" fontId="0" fillId="27" borderId="59" xfId="0" applyFill="1" applyBorder="1"/>
    <xf numFmtId="173" fontId="0" fillId="27" borderId="0" xfId="1" applyNumberFormat="1" applyFont="1" applyFill="1" applyBorder="1"/>
    <xf numFmtId="173" fontId="0" fillId="27" borderId="60" xfId="1" applyNumberFormat="1" applyFont="1" applyFill="1" applyBorder="1"/>
    <xf numFmtId="173" fontId="0" fillId="0" borderId="63" xfId="1" applyNumberFormat="1" applyFont="1" applyBorder="1"/>
    <xf numFmtId="173" fontId="0" fillId="0" borderId="64" xfId="1" applyNumberFormat="1" applyFont="1" applyBorder="1"/>
    <xf numFmtId="0" fontId="0" fillId="0" borderId="65" xfId="0" applyBorder="1"/>
    <xf numFmtId="173" fontId="0" fillId="0" borderId="0" xfId="1" applyNumberFormat="1" applyFont="1"/>
    <xf numFmtId="0" fontId="0" fillId="0" borderId="66" xfId="0" applyBorder="1"/>
    <xf numFmtId="173" fontId="0" fillId="0" borderId="67" xfId="1" applyNumberFormat="1" applyFont="1" applyBorder="1"/>
    <xf numFmtId="173" fontId="0" fillId="0" borderId="68" xfId="1" applyNumberFormat="1" applyFont="1" applyBorder="1"/>
    <xf numFmtId="0" fontId="11" fillId="0" borderId="0" xfId="0" applyFont="1" applyAlignment="1">
      <alignment horizontal="right"/>
    </xf>
    <xf numFmtId="173" fontId="0" fillId="0" borderId="69" xfId="1" applyNumberFormat="1" applyFont="1" applyBorder="1"/>
    <xf numFmtId="167" fontId="1" fillId="0" borderId="70" xfId="1" applyNumberFormat="1" applyBorder="1" applyAlignment="1">
      <alignment horizontal="right"/>
    </xf>
    <xf numFmtId="167" fontId="1" fillId="0" borderId="71" xfId="1" applyNumberFormat="1" applyBorder="1" applyAlignment="1">
      <alignment horizontal="right"/>
    </xf>
    <xf numFmtId="167" fontId="1" fillId="27" borderId="32" xfId="1" applyNumberFormat="1" applyFill="1" applyBorder="1" applyAlignment="1">
      <alignment horizontal="right"/>
    </xf>
    <xf numFmtId="43" fontId="0" fillId="0" borderId="0" xfId="2" applyNumberFormat="1" applyFont="1" applyAlignment="1">
      <alignment horizontal="center"/>
    </xf>
    <xf numFmtId="9" fontId="1" fillId="0" borderId="1" xfId="3" applyFill="1" applyBorder="1" applyAlignment="1"/>
    <xf numFmtId="165" fontId="1" fillId="14" borderId="25" xfId="3" applyNumberFormat="1" applyFill="1" applyBorder="1" applyAlignment="1">
      <alignment horizontal="right"/>
    </xf>
    <xf numFmtId="174" fontId="0" fillId="0" borderId="1" xfId="2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2" fillId="18" borderId="27" xfId="0" applyFont="1" applyFill="1" applyBorder="1" applyAlignment="1">
      <alignment horizontal="center"/>
    </xf>
    <xf numFmtId="0" fontId="2" fillId="7" borderId="73" xfId="0" applyFont="1" applyFill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0" fillId="28" borderId="12" xfId="2" applyFont="1" applyFill="1" applyBorder="1" applyAlignment="1">
      <alignment horizontal="center"/>
    </xf>
    <xf numFmtId="0" fontId="0" fillId="29" borderId="12" xfId="2" applyFont="1" applyFill="1" applyBorder="1" applyAlignment="1">
      <alignment horizontal="center"/>
    </xf>
    <xf numFmtId="0" fontId="12" fillId="28" borderId="54" xfId="2" applyFont="1" applyFill="1" applyBorder="1" applyAlignment="1">
      <alignment horizontal="center"/>
    </xf>
    <xf numFmtId="0" fontId="0" fillId="28" borderId="54" xfId="2" applyFont="1" applyFill="1" applyBorder="1" applyAlignment="1">
      <alignment horizontal="center"/>
    </xf>
    <xf numFmtId="0" fontId="3" fillId="28" borderId="54" xfId="2" applyFont="1" applyFill="1" applyBorder="1" applyAlignment="1">
      <alignment horizontal="center"/>
    </xf>
    <xf numFmtId="0" fontId="0" fillId="28" borderId="9" xfId="2" applyFont="1" applyFill="1" applyBorder="1" applyAlignment="1">
      <alignment horizontal="center"/>
    </xf>
    <xf numFmtId="0" fontId="14" fillId="29" borderId="12" xfId="2" applyFont="1" applyFill="1" applyBorder="1" applyAlignment="1">
      <alignment horizontal="center"/>
    </xf>
    <xf numFmtId="0" fontId="15" fillId="29" borderId="12" xfId="2" applyFont="1" applyFill="1" applyBorder="1" applyAlignment="1">
      <alignment horizontal="center"/>
    </xf>
    <xf numFmtId="0" fontId="6" fillId="29" borderId="12" xfId="2" applyFont="1" applyFill="1" applyBorder="1" applyAlignment="1">
      <alignment horizontal="center"/>
    </xf>
    <xf numFmtId="0" fontId="2" fillId="29" borderId="12" xfId="2" applyFont="1" applyFill="1" applyBorder="1" applyAlignment="1">
      <alignment horizontal="center"/>
    </xf>
    <xf numFmtId="164" fontId="0" fillId="0" borderId="0" xfId="0" applyNumberFormat="1"/>
    <xf numFmtId="0" fontId="2" fillId="0" borderId="76" xfId="2" applyFont="1" applyBorder="1" applyAlignment="1">
      <alignment horizontal="center"/>
    </xf>
    <xf numFmtId="0" fontId="2" fillId="0" borderId="74" xfId="2" applyFont="1" applyBorder="1" applyAlignment="1">
      <alignment horizontal="center"/>
    </xf>
    <xf numFmtId="0" fontId="2" fillId="0" borderId="77" xfId="2" applyFont="1" applyBorder="1" applyAlignment="1">
      <alignment horizontal="center"/>
    </xf>
    <xf numFmtId="0" fontId="2" fillId="0" borderId="75" xfId="2" applyFont="1" applyBorder="1" applyAlignment="1">
      <alignment horizontal="center"/>
    </xf>
    <xf numFmtId="0" fontId="0" fillId="28" borderId="31" xfId="2" applyFont="1" applyFill="1" applyBorder="1" applyAlignment="1">
      <alignment horizontal="center"/>
    </xf>
    <xf numFmtId="0" fontId="0" fillId="28" borderId="6" xfId="2" applyFont="1" applyFill="1" applyBorder="1" applyAlignment="1">
      <alignment horizontal="center"/>
    </xf>
    <xf numFmtId="0" fontId="0" fillId="28" borderId="33" xfId="2" applyFont="1" applyFill="1" applyBorder="1" applyAlignment="1">
      <alignment horizontal="center"/>
    </xf>
    <xf numFmtId="9" fontId="0" fillId="28" borderId="45" xfId="2" applyNumberFormat="1" applyFont="1" applyFill="1" applyBorder="1" applyAlignment="1">
      <alignment horizontal="center"/>
    </xf>
    <xf numFmtId="0" fontId="13" fillId="0" borderId="29" xfId="2" applyFon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0" xfId="0" applyNumberFormat="1"/>
    <xf numFmtId="0" fontId="0" fillId="28" borderId="35" xfId="2" applyFont="1" applyFill="1" applyBorder="1" applyAlignment="1">
      <alignment horizontal="center"/>
    </xf>
    <xf numFmtId="0" fontId="0" fillId="28" borderId="1" xfId="2" applyFont="1" applyFill="1" applyBorder="1" applyAlignment="1">
      <alignment horizontal="center"/>
    </xf>
    <xf numFmtId="0" fontId="0" fillId="28" borderId="36" xfId="2" applyFont="1" applyFill="1" applyBorder="1" applyAlignment="1">
      <alignment horizontal="center"/>
    </xf>
    <xf numFmtId="164" fontId="1" fillId="28" borderId="7" xfId="3" applyNumberFormat="1" applyFill="1" applyBorder="1" applyAlignment="1">
      <alignment horizontal="center"/>
    </xf>
    <xf numFmtId="0" fontId="0" fillId="0" borderId="35" xfId="2" applyFon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0" xfId="2" applyNumberFormat="1" applyFont="1"/>
    <xf numFmtId="0" fontId="0" fillId="31" borderId="1" xfId="2" applyFont="1" applyFill="1" applyBorder="1" applyAlignment="1">
      <alignment horizontal="center"/>
    </xf>
    <xf numFmtId="0" fontId="0" fillId="28" borderId="37" xfId="2" applyFont="1" applyFill="1" applyBorder="1" applyAlignment="1">
      <alignment horizontal="center"/>
    </xf>
    <xf numFmtId="0" fontId="3" fillId="28" borderId="10" xfId="2" applyFont="1" applyFill="1" applyBorder="1" applyAlignment="1">
      <alignment horizontal="center"/>
    </xf>
    <xf numFmtId="0" fontId="0" fillId="31" borderId="2" xfId="2" applyFont="1" applyFill="1" applyBorder="1" applyAlignment="1">
      <alignment horizontal="center"/>
    </xf>
    <xf numFmtId="0" fontId="0" fillId="28" borderId="39" xfId="2" applyFont="1" applyFill="1" applyBorder="1" applyAlignment="1">
      <alignment horizontal="center"/>
    </xf>
    <xf numFmtId="164" fontId="1" fillId="28" borderId="3" xfId="3" applyNumberFormat="1" applyFill="1" applyBorder="1" applyAlignment="1">
      <alignment horizontal="center"/>
    </xf>
    <xf numFmtId="164" fontId="0" fillId="0" borderId="0" xfId="2" applyNumberFormat="1" applyFont="1"/>
    <xf numFmtId="0" fontId="0" fillId="29" borderId="29" xfId="2" applyFont="1" applyFill="1" applyBorder="1" applyAlignment="1">
      <alignment horizontal="center"/>
    </xf>
    <xf numFmtId="0" fontId="14" fillId="29" borderId="79" xfId="2" applyFont="1" applyFill="1" applyBorder="1" applyAlignment="1">
      <alignment horizontal="center"/>
    </xf>
    <xf numFmtId="0" fontId="0" fillId="31" borderId="80" xfId="2" applyFont="1" applyFill="1" applyBorder="1" applyAlignment="1">
      <alignment horizontal="center"/>
    </xf>
    <xf numFmtId="0" fontId="0" fillId="28" borderId="30" xfId="2" applyFont="1" applyFill="1" applyBorder="1" applyAlignment="1">
      <alignment horizontal="center"/>
    </xf>
    <xf numFmtId="164" fontId="1" fillId="29" borderId="40" xfId="3" applyNumberFormat="1" applyFill="1" applyBorder="1" applyAlignment="1">
      <alignment horizontal="center"/>
    </xf>
    <xf numFmtId="0" fontId="0" fillId="29" borderId="79" xfId="2" applyFont="1" applyFill="1" applyBorder="1" applyAlignment="1">
      <alignment horizontal="center"/>
    </xf>
    <xf numFmtId="0" fontId="0" fillId="29" borderId="35" xfId="2" applyFont="1" applyFill="1" applyBorder="1" applyAlignment="1">
      <alignment horizontal="center"/>
    </xf>
    <xf numFmtId="164" fontId="1" fillId="29" borderId="7" xfId="3" applyNumberFormat="1" applyFill="1" applyBorder="1" applyAlignment="1">
      <alignment horizontal="center"/>
    </xf>
    <xf numFmtId="0" fontId="0" fillId="32" borderId="1" xfId="2" applyFont="1" applyFill="1" applyBorder="1" applyAlignment="1">
      <alignment horizontal="center"/>
    </xf>
    <xf numFmtId="0" fontId="0" fillId="29" borderId="36" xfId="2" applyFont="1" applyFill="1" applyBorder="1" applyAlignment="1">
      <alignment horizontal="center"/>
    </xf>
    <xf numFmtId="0" fontId="0" fillId="33" borderId="1" xfId="2" applyFont="1" applyFill="1" applyBorder="1" applyAlignment="1">
      <alignment horizontal="center"/>
    </xf>
    <xf numFmtId="0" fontId="0" fillId="29" borderId="41" xfId="2" applyFont="1" applyFill="1" applyBorder="1" applyAlignment="1">
      <alignment horizontal="center"/>
    </xf>
    <xf numFmtId="0" fontId="2" fillId="29" borderId="81" xfId="2" applyFont="1" applyFill="1" applyBorder="1" applyAlignment="1">
      <alignment horizontal="center"/>
    </xf>
    <xf numFmtId="0" fontId="0" fillId="33" borderId="82" xfId="2" applyFont="1" applyFill="1" applyBorder="1" applyAlignment="1">
      <alignment horizontal="center"/>
    </xf>
    <xf numFmtId="0" fontId="0" fillId="29" borderId="43" xfId="2" applyFont="1" applyFill="1" applyBorder="1" applyAlignment="1">
      <alignment horizontal="center"/>
    </xf>
    <xf numFmtId="164" fontId="1" fillId="29" borderId="44" xfId="3" applyNumberFormat="1" applyFill="1" applyBorder="1" applyAlignment="1">
      <alignment horizontal="center"/>
    </xf>
    <xf numFmtId="0" fontId="0" fillId="29" borderId="81" xfId="2" applyFont="1" applyFill="1" applyBorder="1" applyAlignment="1">
      <alignment horizontal="center"/>
    </xf>
    <xf numFmtId="0" fontId="0" fillId="0" borderId="41" xfId="2" applyFon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43" fontId="2" fillId="0" borderId="17" xfId="2" applyNumberFormat="1" applyFont="1" applyBorder="1"/>
    <xf numFmtId="173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20" borderId="28" xfId="0" applyFont="1" applyFill="1" applyBorder="1" applyAlignment="1">
      <alignment horizontal="center" vertical="center" wrapText="1"/>
    </xf>
    <xf numFmtId="0" fontId="2" fillId="14" borderId="17" xfId="0" applyFont="1" applyFill="1" applyBorder="1" applyAlignment="1">
      <alignment vertical="top" wrapText="1"/>
    </xf>
    <xf numFmtId="0" fontId="0" fillId="16" borderId="1" xfId="0" applyFill="1" applyBorder="1" applyAlignment="1">
      <alignment horizontal="left"/>
    </xf>
    <xf numFmtId="0" fontId="2" fillId="16" borderId="1" xfId="0" applyFont="1" applyFill="1" applyBorder="1" applyAlignment="1">
      <alignment horizontal="left"/>
    </xf>
    <xf numFmtId="0" fontId="0" fillId="16" borderId="24" xfId="0" applyFill="1" applyBorder="1" applyAlignment="1">
      <alignment horizontal="left" vertical="top" wrapText="1"/>
    </xf>
    <xf numFmtId="0" fontId="2" fillId="31" borderId="20" xfId="2" applyFont="1" applyFill="1" applyBorder="1" applyAlignment="1">
      <alignment horizontal="center" vertical="center"/>
    </xf>
    <xf numFmtId="0" fontId="2" fillId="31" borderId="23" xfId="2" applyFont="1" applyFill="1" applyBorder="1" applyAlignment="1">
      <alignment horizontal="center" vertical="center"/>
    </xf>
    <xf numFmtId="0" fontId="2" fillId="31" borderId="25" xfId="2" applyFont="1" applyFill="1" applyBorder="1" applyAlignment="1">
      <alignment horizontal="center" vertical="center"/>
    </xf>
    <xf numFmtId="0" fontId="2" fillId="31" borderId="38" xfId="2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0" borderId="1" xfId="2" applyFont="1" applyBorder="1" applyAlignment="1">
      <alignment horizontal="left"/>
    </xf>
    <xf numFmtId="0" fontId="0" fillId="0" borderId="1" xfId="2" applyFont="1" applyBorder="1" applyAlignment="1">
      <alignment horizontal="center"/>
    </xf>
    <xf numFmtId="9" fontId="0" fillId="0" borderId="1" xfId="2" applyNumberFormat="1" applyFont="1" applyBorder="1" applyAlignment="1">
      <alignment horizontal="center" vertical="center"/>
    </xf>
    <xf numFmtId="9" fontId="1" fillId="0" borderId="1" xfId="3" applyFill="1" applyBorder="1" applyAlignment="1">
      <alignment horizontal="center" vertical="center"/>
    </xf>
    <xf numFmtId="0" fontId="0" fillId="28" borderId="78" xfId="2" applyFont="1" applyFill="1" applyBorder="1" applyAlignment="1">
      <alignment horizontal="center" vertical="center"/>
    </xf>
    <xf numFmtId="0" fontId="0" fillId="29" borderId="20" xfId="2" applyFont="1" applyFill="1" applyBorder="1" applyAlignment="1">
      <alignment horizontal="center" vertical="center"/>
    </xf>
    <xf numFmtId="0" fontId="0" fillId="29" borderId="23" xfId="2" applyFont="1" applyFill="1" applyBorder="1" applyAlignment="1">
      <alignment horizontal="center" vertical="center"/>
    </xf>
    <xf numFmtId="0" fontId="0" fillId="29" borderId="47" xfId="2" applyFont="1" applyFill="1" applyBorder="1" applyAlignment="1">
      <alignment horizontal="center" vertical="center"/>
    </xf>
    <xf numFmtId="0" fontId="2" fillId="30" borderId="20" xfId="2" applyFont="1" applyFill="1" applyBorder="1" applyAlignment="1">
      <alignment horizontal="center"/>
    </xf>
    <xf numFmtId="0" fontId="2" fillId="30" borderId="21" xfId="2" applyFont="1" applyFill="1" applyBorder="1" applyAlignment="1">
      <alignment horizontal="center"/>
    </xf>
    <xf numFmtId="0" fontId="2" fillId="30" borderId="22" xfId="2" applyFont="1" applyFill="1" applyBorder="1" applyAlignment="1">
      <alignment horizontal="center"/>
    </xf>
    <xf numFmtId="0" fontId="0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2" fillId="3" borderId="1" xfId="0" applyFont="1" applyFill="1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0" fontId="0" fillId="0" borderId="0" xfId="0" applyAlignment="1"/>
    <xf numFmtId="0" fontId="0" fillId="0" borderId="23" xfId="0" applyBorder="1" applyAlignment="1"/>
    <xf numFmtId="0" fontId="0" fillId="15" borderId="17" xfId="0" applyFill="1" applyBorder="1" applyAlignment="1"/>
    <xf numFmtId="0" fontId="0" fillId="23" borderId="19" xfId="0" applyFill="1" applyBorder="1" applyAlignment="1"/>
    <xf numFmtId="0" fontId="0" fillId="22" borderId="17" xfId="0" applyFill="1" applyBorder="1" applyAlignment="1"/>
    <xf numFmtId="0" fontId="0" fillId="13" borderId="17" xfId="0" applyFill="1" applyBorder="1" applyAlignment="1"/>
    <xf numFmtId="0" fontId="0" fillId="0" borderId="42" xfId="0" applyBorder="1" applyAlignment="1"/>
  </cellXfs>
  <cellStyles count="4">
    <cellStyle name="Comma" xfId="1" builtinId="3"/>
    <cellStyle name="Normal" xfId="0" builtinId="0"/>
    <cellStyle name="Normal 2" xfId="2" xr:uid="{1CAAEE5B-A4EE-4132-B152-4C1C6E244E6E}"/>
    <cellStyle name="Percent 2" xfId="3" xr:uid="{A04A5652-C374-434B-ABD1-D4E54CEF0A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0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Details!$D$32:$D$33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5-4493-9494-A8BF615CA3D8}"/>
            </c:ext>
          </c:extLst>
        </c:ser>
        <c:ser>
          <c:idx val="1"/>
          <c:order val="1"/>
          <c:spPr>
            <a:solidFill>
              <a:srgbClr val="FFD9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Details!$E$32:$E$33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5-4493-9494-A8BF615CA3D8}"/>
            </c:ext>
          </c:extLst>
        </c:ser>
        <c:ser>
          <c:idx val="2"/>
          <c:order val="2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Details!$F$32:$F$33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5-4493-9494-A8BF615CA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53631"/>
        <c:axId val="2040657375"/>
      </c:barChart>
      <c:valAx>
        <c:axId val="2040657375"/>
        <c:scaling>
          <c:orientation val="minMax"/>
          <c:max val="1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3631"/>
        <c:crosses val="autoZero"/>
        <c:crossBetween val="between"/>
      </c:valAx>
      <c:catAx>
        <c:axId val="204065363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65737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0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Details!$D$36:$D$37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4CE7-BF2A-B05B6D46D52B}"/>
            </c:ext>
          </c:extLst>
        </c:ser>
        <c:ser>
          <c:idx val="1"/>
          <c:order val="1"/>
          <c:spPr>
            <a:solidFill>
              <a:srgbClr val="FFD9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Details!$E$36:$E$37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C-4CE7-BF2A-B05B6D46D52B}"/>
            </c:ext>
          </c:extLst>
        </c:ser>
        <c:ser>
          <c:idx val="2"/>
          <c:order val="2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Details!$F$36:$F$37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C-4CE7-BF2A-B05B6D46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55711"/>
        <c:axId val="2040656959"/>
      </c:barChart>
      <c:valAx>
        <c:axId val="2040656959"/>
        <c:scaling>
          <c:orientation val="minMax"/>
          <c:max val="1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5711"/>
        <c:crosses val="autoZero"/>
        <c:crossBetween val="between"/>
      </c:valAx>
      <c:catAx>
        <c:axId val="20406557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656959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4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4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Sales shares by product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Details!$AY$4</c:f>
              <c:strCache>
                <c:ptCount val="1"/>
                <c:pt idx="0">
                  <c:v> Electricity 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05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Details!$AZ$3:$BB$3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Details!$AZ$4:$BB$4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8-420D-99AB-67EAF45D05C1}"/>
            </c:ext>
          </c:extLst>
        </c:ser>
        <c:ser>
          <c:idx val="1"/>
          <c:order val="1"/>
          <c:tx>
            <c:strRef>
              <c:f>Details!$AY$5</c:f>
              <c:strCache>
                <c:ptCount val="1"/>
                <c:pt idx="0">
                  <c:v> Gas </c:v>
                </c:pt>
              </c:strCache>
            </c:strRef>
          </c:tx>
          <c:spPr>
            <a:solidFill>
              <a:srgbClr val="E2F0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05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Details!$AZ$3:$BB$3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Details!$AZ$5:$BB$5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8-420D-99AB-67EAF45D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58623"/>
        <c:axId val="2040656543"/>
      </c:barChart>
      <c:valAx>
        <c:axId val="2040656543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8623"/>
        <c:crosses val="autoZero"/>
        <c:crossBetween val="between"/>
      </c:valAx>
      <c:catAx>
        <c:axId val="20406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654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05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Sales (EUR mln); operating and final performance evolution (%)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Details!$C$79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A81-4618-818E-26E4651DA160}"/>
              </c:ext>
            </c:extLst>
          </c:dPt>
          <c:dLbls>
            <c:dLbl>
              <c:idx val="0"/>
              <c:layout>
                <c:manualLayout>
                  <c:x val="-1.7926503839127417E-3"/>
                  <c:y val="3.1493728601911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Details!$F$79:$H$79</c:f>
              <c:numCache>
                <c:formatCode>" "* #,##0" ";" "* "("#,##0")";"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1-4618-818E-26E4651DA160}"/>
            </c:ext>
          </c:extLst>
        </c:ser>
        <c:ser>
          <c:idx val="1"/>
          <c:order val="1"/>
          <c:tx>
            <c:strRef>
              <c:f>Details!$C$88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Details!$F$88:$H$88</c:f>
              <c:numCache>
                <c:formatCode>" "* #,##0" ";" "* "("#,##0")";"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1-4618-818E-26E4651D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659455"/>
        <c:axId val="2040659039"/>
      </c:barChart>
      <c:lineChart>
        <c:grouping val="standard"/>
        <c:varyColors val="0"/>
        <c:ser>
          <c:idx val="2"/>
          <c:order val="2"/>
          <c:tx>
            <c:strRef>
              <c:f>Details!$C$87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19046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7A81-4618-818E-26E4651DA16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7A81-4618-818E-26E4651DA1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7A81-4618-818E-26E4651DA160}"/>
              </c:ext>
            </c:extLst>
          </c:dPt>
          <c:dLbls>
            <c:dLbl>
              <c:idx val="0"/>
              <c:layout>
                <c:manualLayout>
                  <c:x val="-4.1862304793267302E-2"/>
                  <c:y val="6.40270632421691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81-4618-818E-26E4651DA160}"/>
                </c:ext>
              </c:extLst>
            </c:dLbl>
            <c:dLbl>
              <c:idx val="1"/>
              <c:layout>
                <c:manualLayout>
                  <c:x val="-2.6787891135105935E-2"/>
                  <c:y val="-1.80925894919994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A81-4618-818E-26E4651DA160}"/>
                </c:ext>
              </c:extLst>
            </c:dLbl>
            <c:dLbl>
              <c:idx val="2"/>
              <c:layout>
                <c:manualLayout>
                  <c:x val="-6.473329837651165E-2"/>
                  <c:y val="2.6346398038496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00B05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Details!$F$87:$H$87</c:f>
              <c:numCache>
                <c:formatCode>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1-4618-818E-26E4651DA160}"/>
            </c:ext>
          </c:extLst>
        </c:ser>
        <c:ser>
          <c:idx val="3"/>
          <c:order val="3"/>
          <c:tx>
            <c:strRef>
              <c:f>Details!$C$89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7-7A81-4618-818E-26E4651DA16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7A81-4618-818E-26E4651DA1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7A81-4618-818E-26E4651DA160}"/>
              </c:ext>
            </c:extLst>
          </c:dPt>
          <c:dLbls>
            <c:dLbl>
              <c:idx val="0"/>
              <c:layout>
                <c:manualLayout>
                  <c:x val="-3.152423829356002E-2"/>
                  <c:y val="-2.31911971518365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C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A81-4618-818E-26E4651DA160}"/>
                </c:ext>
              </c:extLst>
            </c:dLbl>
            <c:dLbl>
              <c:idx val="1"/>
              <c:layout>
                <c:manualLayout>
                  <c:x val="2.0189115132788895E-2"/>
                  <c:y val="-2.52788318392701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C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7A81-4618-818E-26E4651DA160}"/>
                </c:ext>
              </c:extLst>
            </c:dLbl>
            <c:dLbl>
              <c:idx val="2"/>
              <c:layout>
                <c:manualLayout>
                  <c:x val="-1.6835097157858834E-3"/>
                  <c:y val="-7.853014997135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C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Details!$F$89:$H$89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81-4618-818E-26E4651DA160}"/>
            </c:ext>
          </c:extLst>
        </c:ser>
        <c:ser>
          <c:idx val="4"/>
          <c:order val="4"/>
          <c:tx>
            <c:strRef>
              <c:f>Details!$C$95</c:f>
              <c:strCache>
                <c:ptCount val="1"/>
                <c:pt idx="0">
                  <c:v>Net margin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B-7A81-4618-818E-26E4651DA16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7A81-4618-818E-26E4651DA1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D-7A81-4618-818E-26E4651DA160}"/>
              </c:ext>
            </c:extLst>
          </c:dPt>
          <c:dLbls>
            <c:dLbl>
              <c:idx val="0"/>
              <c:layout>
                <c:manualLayout>
                  <c:x val="2.6221194616776661E-2"/>
                  <c:y val="4.5849238236415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ED7D31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A81-4618-818E-26E4651DA160}"/>
                </c:ext>
              </c:extLst>
            </c:dLbl>
            <c:dLbl>
              <c:idx val="1"/>
              <c:layout>
                <c:manualLayout>
                  <c:x val="6.1779582130797994E-3"/>
                  <c:y val="8.43019480268809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ED7D31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A81-4618-818E-26E4651DA160}"/>
                </c:ext>
              </c:extLst>
            </c:dLbl>
            <c:dLbl>
              <c:idx val="2"/>
              <c:layout>
                <c:manualLayout>
                  <c:x val="2.3657760629108293E-2"/>
                  <c:y val="3.9963174038687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ED7D31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ED7D31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Details!$F$95:$H$95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81-4618-818E-26E4651D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652383"/>
        <c:axId val="2040651967"/>
      </c:lineChart>
      <c:valAx>
        <c:axId val="2040659039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9455"/>
        <c:crosses val="autoZero"/>
        <c:crossBetween val="between"/>
      </c:valAx>
      <c:catAx>
        <c:axId val="20406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9039"/>
        <c:crosses val="autoZero"/>
        <c:auto val="1"/>
        <c:lblAlgn val="ctr"/>
        <c:lblOffset val="100"/>
        <c:noMultiLvlLbl val="0"/>
      </c:catAx>
      <c:valAx>
        <c:axId val="204065196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2383"/>
        <c:crosses val="max"/>
        <c:crossBetween val="between"/>
      </c:valAx>
      <c:catAx>
        <c:axId val="2040652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651967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Structure and and repayment capacity (assets 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Details!$C$96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E8E-49AC-AFC4-4C6AC3DD8623}"/>
              </c:ext>
            </c:extLst>
          </c:dPt>
          <c:dLbls>
            <c:dLbl>
              <c:idx val="2"/>
              <c:layout>
                <c:manualLayout>
                  <c:x val="1.0592736664380431E-2"/>
                  <c:y val="-5.94691353576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Details!$F$96:$H$96</c:f>
              <c:numCache>
                <c:formatCode>" "* #,##0" ";" "* "("#,##0")";"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E-49AC-AFC4-4C6AC3D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6116943"/>
        <c:axId val="2040654879"/>
      </c:barChart>
      <c:lineChart>
        <c:grouping val="standard"/>
        <c:varyColors val="0"/>
        <c:ser>
          <c:idx val="1"/>
          <c:order val="1"/>
          <c:tx>
            <c:strRef>
              <c:f>Details!$C$104</c:f>
              <c:strCache>
                <c:ptCount val="1"/>
                <c:pt idx="0">
                  <c:v>Net leverage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7E8E-49AC-AFC4-4C6AC3DD8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7E8E-49AC-AFC4-4C6AC3DD8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7E8E-49AC-AFC4-4C6AC3DD8623}"/>
              </c:ext>
            </c:extLst>
          </c:dPt>
          <c:dLbls>
            <c:dLbl>
              <c:idx val="0"/>
              <c:layout>
                <c:manualLayout>
                  <c:x val="2.7768789374582881E-3"/>
                  <c:y val="1.36699145642247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7E8E-49AC-AFC4-4C6AC3DD8623}"/>
                </c:ext>
              </c:extLst>
            </c:dLbl>
            <c:dLbl>
              <c:idx val="1"/>
              <c:layout>
                <c:manualLayout>
                  <c:x val="-4.1243618923026082E-2"/>
                  <c:y val="3.93910282554185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E8E-49AC-AFC4-4C6AC3DD8623}"/>
                </c:ext>
              </c:extLst>
            </c:dLbl>
            <c:dLbl>
              <c:idx val="2"/>
              <c:layout>
                <c:manualLayout>
                  <c:x val="-1.7469237327922937E-2"/>
                  <c:y val="4.12642258669604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Details!$F$104:$H$104</c:f>
              <c:numCache>
                <c:formatCode>" "* #,##0.0" ";" "* "("#,##0.0")";"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E-49AC-AFC4-4C6AC3DD8623}"/>
            </c:ext>
          </c:extLst>
        </c:ser>
        <c:ser>
          <c:idx val="2"/>
          <c:order val="2"/>
          <c:tx>
            <c:strRef>
              <c:f>Details!$C$100</c:f>
              <c:strCache>
                <c:ptCount val="1"/>
                <c:pt idx="0">
                  <c:v>Capitalization ratio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6-7E8E-49AC-AFC4-4C6AC3DD8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7E8E-49AC-AFC4-4C6AC3DD8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7E8E-49AC-AFC4-4C6AC3DD8623}"/>
              </c:ext>
            </c:extLst>
          </c:dPt>
          <c:dLbls>
            <c:dLbl>
              <c:idx val="0"/>
              <c:layout>
                <c:manualLayout>
                  <c:x val="-7.9161087515174117E-2"/>
                  <c:y val="1.37685006151726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7E8E-49AC-AFC4-4C6AC3DD8623}"/>
                </c:ext>
              </c:extLst>
            </c:dLbl>
            <c:dLbl>
              <c:idx val="1"/>
              <c:layout>
                <c:manualLayout>
                  <c:x val="-3.6079822645018966E-2"/>
                  <c:y val="-4.6865800819445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E8E-49AC-AFC4-4C6AC3DD8623}"/>
                </c:ext>
              </c:extLst>
            </c:dLbl>
            <c:dLbl>
              <c:idx val="2"/>
              <c:layout>
                <c:manualLayout>
                  <c:x val="-2.1531637138935134E-3"/>
                  <c:y val="-8.73157184459583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00B05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Details!$F$100:$H$100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8E-49AC-AFC4-4C6AC3DD8623}"/>
            </c:ext>
          </c:extLst>
        </c:ser>
        <c:ser>
          <c:idx val="3"/>
          <c:order val="3"/>
          <c:tx>
            <c:strRef>
              <c:f>Details!$C$106</c:f>
              <c:strCache>
                <c:ptCount val="1"/>
                <c:pt idx="0">
                  <c:v>Cover ratio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A-7E8E-49AC-AFC4-4C6AC3DD8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B-7E8E-49AC-AFC4-4C6AC3DD8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C-7E8E-49AC-AFC4-4C6AC3DD8623}"/>
              </c:ext>
            </c:extLst>
          </c:dPt>
          <c:dLbls>
            <c:dLbl>
              <c:idx val="0"/>
              <c:layout>
                <c:manualLayout>
                  <c:x val="-2.7161948085850596E-2"/>
                  <c:y val="2.27903757870847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BF9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E8E-49AC-AFC4-4C6AC3DD8623}"/>
                </c:ext>
              </c:extLst>
            </c:dLbl>
            <c:dLbl>
              <c:idx val="1"/>
              <c:layout>
                <c:manualLayout>
                  <c:x val="-3.7720936880565159E-2"/>
                  <c:y val="2.58100704781508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BF9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E8E-49AC-AFC4-4C6AC3DD8623}"/>
                </c:ext>
              </c:extLst>
            </c:dLbl>
            <c:dLbl>
              <c:idx val="2"/>
              <c:layout>
                <c:manualLayout>
                  <c:x val="-3.8379144412097332E-2"/>
                  <c:y val="3.00308511742162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BF9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BF9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Details!$F$106:$H$106</c:f>
              <c:numCache>
                <c:formatCode>" "* #,##0.0" ";" "* "("#,##0.0")";"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8E-49AC-AFC4-4C6AC3D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508463"/>
        <c:axId val="2041510543"/>
      </c:lineChart>
      <c:valAx>
        <c:axId val="2040654879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36116943"/>
        <c:crosses val="autoZero"/>
        <c:crossBetween val="between"/>
      </c:valAx>
      <c:catAx>
        <c:axId val="20361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4879"/>
        <c:crosses val="autoZero"/>
        <c:auto val="1"/>
        <c:lblAlgn val="ctr"/>
        <c:lblOffset val="100"/>
        <c:noMultiLvlLbl val="0"/>
      </c:catAx>
      <c:valAx>
        <c:axId val="2041510543"/>
        <c:scaling>
          <c:orientation val="minMax"/>
        </c:scaling>
        <c:delete val="0"/>
        <c:axPos val="r"/>
        <c:numFmt formatCode="&quot; &quot;* #,##0.0&quot; &quot;;&quot; &quot;* &quot;(&quot;#,##0.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08463"/>
        <c:crosses val="max"/>
        <c:crossBetween val="between"/>
      </c:valAx>
      <c:catAx>
        <c:axId val="204150846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151054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Cash flows and liquidity evolution (in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7.0785178244006557E-3"/>
          <c:y val="7.6648143477270281E-2"/>
          <c:w val="0.98584284507177977"/>
          <c:h val="0.85847709441099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Details!$C$109</c:f>
              <c:strCache>
                <c:ptCount val="1"/>
                <c:pt idx="0">
                  <c:v>NOCF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F09-4340-A72C-AA86A4FDDFEE}"/>
              </c:ext>
            </c:extLst>
          </c:dPt>
          <c:dLbls>
            <c:dLbl>
              <c:idx val="0"/>
              <c:layout>
                <c:manualLayout>
                  <c:x val="-6.1397887990900513E-3"/>
                  <c:y val="-4.9533432327140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09-4340-A72C-AA86A4FDDF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Details!$E$78:$H$78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Details!$E$109:$H$109</c:f>
              <c:numCache>
                <c:formatCode>" "* #,##0" ";" "* "("#,##0")";" "* "-"#" ";" "@" "</c:formatCode>
                <c:ptCount val="4"/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9-4340-A72C-AA86A4FDDFEE}"/>
            </c:ext>
          </c:extLst>
        </c:ser>
        <c:ser>
          <c:idx val="1"/>
          <c:order val="1"/>
          <c:tx>
            <c:strRef>
              <c:f>Details!$C$112</c:f>
              <c:strCache>
                <c:ptCount val="1"/>
                <c:pt idx="0">
                  <c:v>FCF after debt service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F09-4340-A72C-AA86A4FDDFE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F09-4340-A72C-AA86A4FDDFE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F09-4340-A72C-AA86A4FDDFEE}"/>
              </c:ext>
            </c:extLst>
          </c:dPt>
          <c:dLbls>
            <c:dLbl>
              <c:idx val="0"/>
              <c:layout>
                <c:manualLayout>
                  <c:x val="-5.2961254704976812E-3"/>
                  <c:y val="-1.741217510697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09-4340-A72C-AA86A4FDDFEE}"/>
                </c:ext>
              </c:extLst>
            </c:dLbl>
            <c:dLbl>
              <c:idx val="1"/>
              <c:layout>
                <c:manualLayout>
                  <c:x val="-1.0979431934154016E-2"/>
                  <c:y val="-7.32838152196527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09-4340-A72C-AA86A4FDDFEE}"/>
                </c:ext>
              </c:extLst>
            </c:dLbl>
            <c:dLbl>
              <c:idx val="2"/>
              <c:layout>
                <c:manualLayout>
                  <c:x val="1.298714311001592E-3"/>
                  <c:y val="-3.2384089841740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09-4340-A72C-AA86A4FDDF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Details!$E$78:$H$78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Details!$E$112:$H$112</c:f>
              <c:numCache>
                <c:formatCode>" "* #,##0" ";" "* "("#,##0")";" "* "-"#" ";" "@" "</c:formatCode>
                <c:ptCount val="4"/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9-4340-A72C-AA86A4FD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10127"/>
        <c:axId val="2041513455"/>
      </c:barChart>
      <c:valAx>
        <c:axId val="2041513455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0127"/>
        <c:crosses val="autoZero"/>
        <c:crossBetween val="between"/>
      </c:valAx>
      <c:catAx>
        <c:axId val="20415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345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5963140751145441"/>
          <c:y val="0.93059345202102728"/>
          <c:w val="0.68073670785941631"/>
          <c:h val="5.14478507025867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Liquidity overview (cash 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5757277380688873E-3"/>
          <c:y val="7.5343275279473473E-2"/>
          <c:w val="0.98424272261931112"/>
          <c:h val="0.84843904981671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Details!$C$118</c:f>
              <c:strCache>
                <c:ptCount val="1"/>
                <c:pt idx="0">
                  <c:v>Cash and equivalent (incl. overdraft)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Details!$F$118:$H$118</c:f>
              <c:numCache>
                <c:formatCode>" "* #,##0.0" ";" "* "("#,##0.0")";" "* "-"#.0"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0-46FA-97C3-C6C66987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1513039"/>
        <c:axId val="2041508047"/>
      </c:barChart>
      <c:lineChart>
        <c:grouping val="standard"/>
        <c:varyColors val="0"/>
        <c:ser>
          <c:idx val="1"/>
          <c:order val="1"/>
          <c:tx>
            <c:strRef>
              <c:f>Details!$C$119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CA0-46FA-97C3-C6C6698733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CA0-46FA-97C3-C6C6698733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CCA0-46FA-97C3-C6C66987339A}"/>
              </c:ext>
            </c:extLst>
          </c:dPt>
          <c:dLbls>
            <c:dLbl>
              <c:idx val="0"/>
              <c:layout>
                <c:manualLayout>
                  <c:x val="3.0032998468442318E-2"/>
                  <c:y val="-4.0979299270083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A0-46FA-97C3-C6C66987339A}"/>
                </c:ext>
              </c:extLst>
            </c:dLbl>
            <c:dLbl>
              <c:idx val="1"/>
              <c:layout>
                <c:manualLayout>
                  <c:x val="-3.3745512277772782E-2"/>
                  <c:y val="-3.3302028104640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A0-46FA-97C3-C6C66987339A}"/>
                </c:ext>
              </c:extLst>
            </c:dLbl>
            <c:dLbl>
              <c:idx val="2"/>
              <c:layout>
                <c:manualLayout>
                  <c:x val="-3.9529177514787017E-2"/>
                  <c:y val="-0.51659165325224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A0-46FA-97C3-C6C66987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Details!$F$119:$H$119</c:f>
              <c:numCache>
                <c:formatCode>" "* #,##0.00" ";" "* "("#,##0.00")";" "* "-"#.0"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0-46FA-97C3-C6C66987339A}"/>
            </c:ext>
          </c:extLst>
        </c:ser>
        <c:ser>
          <c:idx val="2"/>
          <c:order val="2"/>
          <c:tx>
            <c:strRef>
              <c:f>Details!$C$121</c:f>
              <c:strCache>
                <c:ptCount val="1"/>
                <c:pt idx="0">
                  <c:v>Cash ratio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5-CCA0-46FA-97C3-C6C6698733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CCA0-46FA-97C3-C6C6698733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7-CCA0-46FA-97C3-C6C66987339A}"/>
              </c:ext>
            </c:extLst>
          </c:dPt>
          <c:dLbls>
            <c:dLbl>
              <c:idx val="0"/>
              <c:layout>
                <c:manualLayout>
                  <c:x val="-2.1966016887831008E-2"/>
                  <c:y val="1.188436834623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A0-46FA-97C3-C6C66987339A}"/>
                </c:ext>
              </c:extLst>
            </c:dLbl>
            <c:dLbl>
              <c:idx val="1"/>
              <c:layout>
                <c:manualLayout>
                  <c:x val="-2.2521988225963741E-2"/>
                  <c:y val="-3.0387598599969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A0-46FA-97C3-C6C66987339A}"/>
                </c:ext>
              </c:extLst>
            </c:dLbl>
            <c:dLbl>
              <c:idx val="2"/>
              <c:layout>
                <c:manualLayout>
                  <c:x val="-2.9540924751183861E-2"/>
                  <c:y val="-0.16135380133824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A0-46FA-97C3-C6C66987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ED7D31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Details!$F$121:$H$121</c:f>
              <c:numCache>
                <c:formatCode>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A0-46FA-97C3-C6C66987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510959"/>
        <c:axId val="2041512623"/>
      </c:lineChart>
      <c:valAx>
        <c:axId val="2041508047"/>
        <c:scaling>
          <c:orientation val="minMax"/>
        </c:scaling>
        <c:delete val="0"/>
        <c:axPos val="l"/>
        <c:numFmt formatCode="&quot; &quot;* #,##0.0&quot; &quot;;&quot; &quot;* &quot;(&quot;#,##0.0&quot;)&quot;;&quot; &quot;* &quot;-&quot;#.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3039"/>
        <c:crosses val="autoZero"/>
        <c:crossBetween val="between"/>
      </c:valAx>
      <c:catAx>
        <c:axId val="20415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08047"/>
        <c:crosses val="autoZero"/>
        <c:auto val="1"/>
        <c:lblAlgn val="ctr"/>
        <c:lblOffset val="100"/>
        <c:noMultiLvlLbl val="0"/>
      </c:catAx>
      <c:valAx>
        <c:axId val="2041512623"/>
        <c:scaling>
          <c:orientation val="minMax"/>
        </c:scaling>
        <c:delete val="0"/>
        <c:axPos val="r"/>
        <c:numFmt formatCode="&quot; &quot;* #,##0.00&quot; &quot;;&quot; &quot;* &quot;(&quot;#,##0.00&quot;)&quot;;&quot; &quot;* &quot;-&quot;#.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0959"/>
        <c:crosses val="max"/>
        <c:crossBetween val="between"/>
      </c:valAx>
      <c:catAx>
        <c:axId val="204151095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151262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Cash bridge for FY21 (in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E52-48F0-8748-3F763F29A99F}"/>
              </c:ext>
            </c:extLst>
          </c:dPt>
          <c:dPt>
            <c:idx val="3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E52-48F0-8748-3F763F29A99F}"/>
              </c:ext>
            </c:extLst>
          </c:dPt>
          <c:dPt>
            <c:idx val="5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E52-48F0-8748-3F763F29A99F}"/>
              </c:ext>
            </c:extLst>
          </c:dPt>
          <c:dPt>
            <c:idx val="6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E52-48F0-8748-3F763F29A99F}"/>
              </c:ext>
            </c:extLst>
          </c:dPt>
          <c:dPt>
            <c:idx val="7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E52-48F0-8748-3F763F29A9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0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Details!$BU$134:$BU$142</c:f>
              <c:strCache>
                <c:ptCount val="9"/>
                <c:pt idx="0">
                  <c:v>FY20 closing</c:v>
                </c:pt>
                <c:pt idx="1">
                  <c:v>NOCF</c:v>
                </c:pt>
                <c:pt idx="2">
                  <c:v>Capex</c:v>
                </c:pt>
                <c:pt idx="3">
                  <c:v>Repayment of debt and other financial obligations</c:v>
                </c:pt>
                <c:pt idx="4">
                  <c:v>New debt raised</c:v>
                </c:pt>
                <c:pt idx="5">
                  <c:v>Loans granted</c:v>
                </c:pt>
                <c:pt idx="6">
                  <c:v>Acquisition</c:v>
                </c:pt>
                <c:pt idx="7">
                  <c:v>Other items</c:v>
                </c:pt>
                <c:pt idx="8">
                  <c:v>FY21 closing</c:v>
                </c:pt>
              </c:strCache>
            </c:strRef>
          </c:cat>
          <c:val>
            <c:numRef>
              <c:f>Details!$BV$134:$BV$142</c:f>
              <c:numCache>
                <c:formatCode>" "* #,##0.0" ";" "* "("#,##0.0")";" "* "-"#" ";" "@" 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52-48F0-8748-3F763F29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08879"/>
        <c:axId val="2041515535"/>
      </c:barChart>
      <c:valAx>
        <c:axId val="2041515535"/>
        <c:scaling>
          <c:orientation val="minMax"/>
        </c:scaling>
        <c:delete val="1"/>
        <c:axPos val="l"/>
        <c:numFmt formatCode="&quot; &quot;* #,##0.0&quot; &quot;;&quot; &quot;* &quot;(&quot;#,##0.0&quot;)&quot;;&quot; &quot;* &quot;-&quot;#&quot; &quot;;&quot; &quot;@&quot; &quot;" sourceLinked="1"/>
        <c:majorTickMark val="none"/>
        <c:minorTickMark val="none"/>
        <c:tickLblPos val="nextTo"/>
        <c:crossAx val="2041508879"/>
        <c:crosses val="autoZero"/>
        <c:crossBetween val="between"/>
      </c:valAx>
      <c:catAx>
        <c:axId val="2041508879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204151553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0070C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Debt maturity profile (incl. lease obligation) in EUR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6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Details!$BN$80:$BN$87</c:f>
              <c:strCache>
                <c:ptCount val="4"/>
                <c:pt idx="0">
                  <c:v>Due in 2022</c:v>
                </c:pt>
                <c:pt idx="1">
                  <c:v>Between 1 and 2 y</c:v>
                </c:pt>
                <c:pt idx="2">
                  <c:v>Between 2 and 5 y</c:v>
                </c:pt>
                <c:pt idx="3">
                  <c:v>More than 5 y</c:v>
                </c:pt>
              </c:strCache>
            </c:strRef>
          </c:cat>
          <c:val>
            <c:numRef>
              <c:f>Details!$BQ$80:$BQ$87</c:f>
              <c:numCache>
                <c:formatCode>" "* #,##0" ";" "* "("#,##0")";" "* "-"#" ";" "@" "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52C-4CBA-9CE2-39AC1F2A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11375"/>
        <c:axId val="2041511791"/>
      </c:barChart>
      <c:valAx>
        <c:axId val="2041511791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1375"/>
        <c:crosses val="autoZero"/>
        <c:crossBetween val="between"/>
      </c:valAx>
      <c:catAx>
        <c:axId val="20415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1791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458544</xdr:colOff>
      <xdr:row>35</xdr:row>
      <xdr:rowOff>168267</xdr:rowOff>
    </xdr:from>
    <xdr:ext cx="4848221" cy="45624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E1941-C3B8-4402-A752-06AE3119C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492111</xdr:colOff>
      <xdr:row>35</xdr:row>
      <xdr:rowOff>169858</xdr:rowOff>
    </xdr:from>
    <xdr:ext cx="4848221" cy="4562471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6AD39-62B3-4005-A674-2651BD059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16</xdr:col>
      <xdr:colOff>229669</xdr:colOff>
      <xdr:row>2</xdr:row>
      <xdr:rowOff>1591</xdr:rowOff>
    </xdr:from>
    <xdr:ext cx="4787898" cy="3108612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AD3A839-96CD-49E4-9230-29F715DB6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192718</xdr:colOff>
      <xdr:row>79</xdr:row>
      <xdr:rowOff>14410</xdr:rowOff>
    </xdr:from>
    <xdr:ext cx="8383676" cy="5828513"/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1131100-CA2C-49F9-A070-4FFC4AE8F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29</xdr:col>
      <xdr:colOff>419096</xdr:colOff>
      <xdr:row>79</xdr:row>
      <xdr:rowOff>4041</xdr:rowOff>
    </xdr:from>
    <xdr:ext cx="8059768" cy="5801849"/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47BAB826-92AC-41A7-BA82-605BEA41C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12</xdr:col>
      <xdr:colOff>71496</xdr:colOff>
      <xdr:row>122</xdr:row>
      <xdr:rowOff>131646</xdr:rowOff>
    </xdr:from>
    <xdr:ext cx="8383676" cy="5657593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A17715-1699-47F6-A659-48459C65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29</xdr:col>
      <xdr:colOff>435007</xdr:colOff>
      <xdr:row>123</xdr:row>
      <xdr:rowOff>0</xdr:rowOff>
    </xdr:from>
    <xdr:ext cx="8059768" cy="5651878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F4B252-9821-43F1-B34D-D42D0134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51</xdr:col>
      <xdr:colOff>166996</xdr:colOff>
      <xdr:row>123</xdr:row>
      <xdr:rowOff>0</xdr:rowOff>
    </xdr:from>
    <xdr:ext cx="8845759" cy="5494812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B9E352-D833-4242-8A33-60B91950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51</xdr:col>
      <xdr:colOff>155859</xdr:colOff>
      <xdr:row>79</xdr:row>
      <xdr:rowOff>4041</xdr:rowOff>
    </xdr:from>
    <xdr:ext cx="8136267" cy="5713664"/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FAD155B4-555C-41EF-8CBE-B03DBAD6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0F75-D459-4BDC-9C9F-3C7DABFC939A}">
  <dimension ref="A1:H47"/>
  <sheetViews>
    <sheetView tabSelected="1" workbookViewId="0">
      <selection activeCell="B7" sqref="B7"/>
    </sheetView>
  </sheetViews>
  <sheetFormatPr defaultRowHeight="15"/>
  <cols>
    <col min="1" max="1" width="40.140625" customWidth="1"/>
    <col min="2" max="2" width="14.5703125" customWidth="1"/>
    <col min="3" max="3" width="14" customWidth="1"/>
    <col min="4" max="6" width="13.85546875" customWidth="1"/>
    <col min="8" max="8" width="12.5703125" bestFit="1" customWidth="1"/>
  </cols>
  <sheetData>
    <row r="1" spans="1:6">
      <c r="A1" t="s">
        <v>0</v>
      </c>
      <c r="B1" t="s">
        <v>1</v>
      </c>
    </row>
    <row r="2" spans="1:6">
      <c r="A2" t="s">
        <v>2</v>
      </c>
      <c r="B2" s="368">
        <v>45657</v>
      </c>
    </row>
    <row r="3" spans="1:6">
      <c r="A3" t="s">
        <v>3</v>
      </c>
      <c r="B3" s="368" t="s">
        <v>4</v>
      </c>
    </row>
    <row r="4" spans="1:6">
      <c r="A4" t="s">
        <v>5</v>
      </c>
      <c r="B4" t="s">
        <v>6</v>
      </c>
    </row>
    <row r="6" spans="1:6">
      <c r="A6" s="369" t="s">
        <v>7</v>
      </c>
      <c r="B6" s="370">
        <v>2020</v>
      </c>
      <c r="C6" s="371">
        <f>B6+1</f>
        <v>2021</v>
      </c>
      <c r="D6" s="372">
        <f>C6+1</f>
        <v>2022</v>
      </c>
      <c r="E6" s="372">
        <f>D6+1</f>
        <v>2023</v>
      </c>
      <c r="F6" s="372">
        <f>E6+1</f>
        <v>2024</v>
      </c>
    </row>
    <row r="7" spans="1:6">
      <c r="A7" s="373" t="s">
        <v>8</v>
      </c>
      <c r="B7" s="374"/>
      <c r="C7" s="374"/>
      <c r="D7" s="375"/>
      <c r="E7" s="375"/>
      <c r="F7" s="375"/>
    </row>
    <row r="8" spans="1:6">
      <c r="A8" s="373" t="s">
        <v>9</v>
      </c>
      <c r="B8" s="374"/>
      <c r="C8" s="374"/>
      <c r="D8" s="375"/>
      <c r="E8" s="375"/>
      <c r="F8" s="375"/>
    </row>
    <row r="9" spans="1:6">
      <c r="A9" s="373" t="s">
        <v>10</v>
      </c>
      <c r="B9" s="374"/>
      <c r="C9" s="374"/>
      <c r="D9" s="375"/>
      <c r="E9" s="375"/>
      <c r="F9" s="375"/>
    </row>
    <row r="10" spans="1:6">
      <c r="A10" s="373" t="s">
        <v>11</v>
      </c>
      <c r="B10" s="374"/>
      <c r="C10" s="374"/>
      <c r="D10" s="375"/>
      <c r="E10" s="375"/>
      <c r="F10" s="375"/>
    </row>
    <row r="11" spans="1:6">
      <c r="A11" s="373" t="s">
        <v>12</v>
      </c>
      <c r="B11" s="376"/>
      <c r="C11" s="376"/>
      <c r="D11" s="375"/>
      <c r="E11" s="375"/>
      <c r="F11" s="375"/>
    </row>
    <row r="12" spans="1:6">
      <c r="A12" s="373" t="s">
        <v>13</v>
      </c>
      <c r="B12" s="377"/>
      <c r="C12" s="377"/>
      <c r="D12" s="378"/>
      <c r="E12" s="378"/>
      <c r="F12" s="378"/>
    </row>
    <row r="13" spans="1:6">
      <c r="A13" s="373" t="s">
        <v>14</v>
      </c>
      <c r="B13" s="374">
        <f>SUM(B7:B12)</f>
        <v>0</v>
      </c>
      <c r="C13" s="374">
        <f t="shared" ref="C13:D13" si="0">SUM(C7:C12)</f>
        <v>0</v>
      </c>
      <c r="D13" s="375">
        <f t="shared" si="0"/>
        <v>0</v>
      </c>
      <c r="E13" s="375">
        <f t="shared" ref="E13:F13" si="1">SUM(E7:E12)</f>
        <v>0</v>
      </c>
      <c r="F13" s="375">
        <f t="shared" si="1"/>
        <v>0</v>
      </c>
    </row>
    <row r="14" spans="1:6">
      <c r="A14" s="379"/>
      <c r="B14" s="380"/>
      <c r="C14" s="380"/>
      <c r="D14" s="381"/>
      <c r="E14" s="381"/>
      <c r="F14" s="381"/>
    </row>
    <row r="15" spans="1:6">
      <c r="A15" s="373" t="s">
        <v>15</v>
      </c>
      <c r="B15" s="374"/>
      <c r="C15" s="374"/>
      <c r="D15" s="375"/>
      <c r="E15" s="375"/>
      <c r="F15" s="375"/>
    </row>
    <row r="16" spans="1:6">
      <c r="A16" s="373" t="s">
        <v>16</v>
      </c>
      <c r="B16" s="374"/>
      <c r="C16" s="374"/>
      <c r="D16" s="375"/>
      <c r="E16" s="375"/>
      <c r="F16" s="375"/>
    </row>
    <row r="17" spans="1:8">
      <c r="A17" s="373" t="s">
        <v>17</v>
      </c>
      <c r="B17" s="374"/>
      <c r="C17" s="374"/>
      <c r="D17" s="375"/>
      <c r="E17" s="375"/>
      <c r="F17" s="375"/>
    </row>
    <row r="18" spans="1:8">
      <c r="A18" s="373" t="s">
        <v>13</v>
      </c>
      <c r="B18" s="374"/>
      <c r="C18" s="374"/>
      <c r="D18" s="375"/>
      <c r="E18" s="375"/>
      <c r="F18" s="375"/>
    </row>
    <row r="19" spans="1:8" ht="15.75" thickBot="1">
      <c r="A19" s="373"/>
      <c r="B19" s="382"/>
      <c r="C19" s="382"/>
      <c r="D19" s="383"/>
      <c r="E19" s="383"/>
      <c r="F19" s="383"/>
    </row>
    <row r="20" spans="1:8" ht="15.75" thickTop="1">
      <c r="A20" s="373" t="s">
        <v>18</v>
      </c>
      <c r="B20" s="374">
        <f>SUM(B15:B19)</f>
        <v>0</v>
      </c>
      <c r="C20" s="374">
        <f t="shared" ref="C20:D20" si="2">SUM(C15:C19)</f>
        <v>0</v>
      </c>
      <c r="D20" s="390">
        <f t="shared" si="2"/>
        <v>0</v>
      </c>
      <c r="E20" s="390">
        <f t="shared" ref="E20:F20" si="3">SUM(E15:E19)</f>
        <v>0</v>
      </c>
      <c r="F20" s="390">
        <f t="shared" si="3"/>
        <v>0</v>
      </c>
    </row>
    <row r="21" spans="1:8">
      <c r="A21" s="384" t="s">
        <v>19</v>
      </c>
      <c r="B21" s="377">
        <f>B20+B13</f>
        <v>0</v>
      </c>
      <c r="C21" s="377">
        <f t="shared" ref="C21:D21" si="4">C20+C13</f>
        <v>0</v>
      </c>
      <c r="D21" s="378">
        <f t="shared" si="4"/>
        <v>0</v>
      </c>
      <c r="E21" s="378">
        <f t="shared" ref="E21:F21" si="5">E20+E13</f>
        <v>0</v>
      </c>
      <c r="F21" s="378">
        <f t="shared" si="5"/>
        <v>0</v>
      </c>
      <c r="H21" s="459"/>
    </row>
    <row r="22" spans="1:8">
      <c r="B22" s="385"/>
      <c r="C22" s="385"/>
      <c r="D22" s="385"/>
      <c r="E22" s="385"/>
      <c r="F22" s="385"/>
      <c r="H22" s="459"/>
    </row>
    <row r="23" spans="1:8">
      <c r="A23" s="386" t="s">
        <v>20</v>
      </c>
      <c r="B23" s="370">
        <f>B6</f>
        <v>2020</v>
      </c>
      <c r="C23" s="371">
        <f>C6</f>
        <v>2021</v>
      </c>
      <c r="D23" s="372">
        <f>D6</f>
        <v>2022</v>
      </c>
      <c r="E23" s="372">
        <f>E6</f>
        <v>2023</v>
      </c>
      <c r="F23" s="372">
        <f>F6</f>
        <v>2024</v>
      </c>
    </row>
    <row r="24" spans="1:8">
      <c r="A24" s="373" t="s">
        <v>21</v>
      </c>
      <c r="B24" s="374"/>
      <c r="C24" s="374"/>
      <c r="D24" s="375"/>
      <c r="E24" s="375"/>
      <c r="F24" s="375"/>
    </row>
    <row r="25" spans="1:8">
      <c r="A25" s="373" t="s">
        <v>22</v>
      </c>
      <c r="B25" s="374"/>
      <c r="C25" s="374"/>
      <c r="D25" s="375"/>
      <c r="E25" s="375"/>
      <c r="F25" s="375"/>
    </row>
    <row r="26" spans="1:8">
      <c r="A26" s="373" t="s">
        <v>23</v>
      </c>
      <c r="B26" s="374"/>
      <c r="C26" s="374"/>
      <c r="D26" s="375"/>
      <c r="E26" s="375"/>
      <c r="F26" s="375"/>
    </row>
    <row r="27" spans="1:8">
      <c r="A27" s="373" t="s">
        <v>24</v>
      </c>
      <c r="B27" s="376"/>
      <c r="C27" s="376"/>
      <c r="D27" s="375"/>
      <c r="E27" s="375"/>
      <c r="F27" s="375"/>
    </row>
    <row r="28" spans="1:8">
      <c r="A28" s="373" t="s">
        <v>13</v>
      </c>
      <c r="B28" s="377"/>
      <c r="C28" s="377"/>
      <c r="D28" s="378"/>
      <c r="E28" s="378"/>
      <c r="F28" s="378"/>
    </row>
    <row r="29" spans="1:8">
      <c r="A29" s="373" t="s">
        <v>25</v>
      </c>
      <c r="B29" s="374">
        <f>SUM(B24:B28)</f>
        <v>0</v>
      </c>
      <c r="C29" s="374">
        <f t="shared" ref="C29:D29" si="6">SUM(C24:C28)</f>
        <v>0</v>
      </c>
      <c r="D29" s="375">
        <f t="shared" si="6"/>
        <v>0</v>
      </c>
      <c r="E29" s="375">
        <f t="shared" ref="E29:F29" si="7">SUM(E24:E28)</f>
        <v>0</v>
      </c>
      <c r="F29" s="375">
        <f t="shared" si="7"/>
        <v>0</v>
      </c>
    </row>
    <row r="30" spans="1:8">
      <c r="A30" s="379"/>
      <c r="B30" s="380"/>
      <c r="C30" s="380"/>
      <c r="D30" s="381"/>
      <c r="E30" s="381"/>
      <c r="F30" s="381"/>
    </row>
    <row r="31" spans="1:8">
      <c r="A31" s="373" t="s">
        <v>26</v>
      </c>
      <c r="B31" s="376"/>
      <c r="C31" s="376"/>
      <c r="D31" s="375"/>
      <c r="E31" s="375"/>
      <c r="F31" s="375"/>
    </row>
    <row r="32" spans="1:8">
      <c r="A32" s="373" t="s">
        <v>27</v>
      </c>
      <c r="B32" s="374"/>
      <c r="C32" s="374"/>
      <c r="D32" s="375"/>
      <c r="E32" s="375"/>
      <c r="F32" s="375"/>
    </row>
    <row r="33" spans="1:6">
      <c r="A33" s="373" t="s">
        <v>13</v>
      </c>
      <c r="B33" s="374"/>
      <c r="C33" s="374"/>
      <c r="D33" s="375"/>
      <c r="E33" s="375"/>
      <c r="F33" s="375"/>
    </row>
    <row r="34" spans="1:6" ht="15.75" thickBot="1">
      <c r="A34" s="373"/>
      <c r="B34" s="382"/>
      <c r="C34" s="382"/>
      <c r="D34" s="383"/>
      <c r="E34" s="383"/>
      <c r="F34" s="383"/>
    </row>
    <row r="35" spans="1:6" ht="15.75" thickTop="1">
      <c r="A35" s="373" t="s">
        <v>28</v>
      </c>
      <c r="B35" s="374">
        <f>SUM(B31:B34)</f>
        <v>0</v>
      </c>
      <c r="C35" s="374">
        <f t="shared" ref="C35:D35" si="8">SUM(C31:C34)</f>
        <v>0</v>
      </c>
      <c r="D35" s="390">
        <f t="shared" si="8"/>
        <v>0</v>
      </c>
      <c r="E35" s="390">
        <f t="shared" ref="E35:F35" si="9">SUM(E31:E34)</f>
        <v>0</v>
      </c>
      <c r="F35" s="390">
        <f t="shared" si="9"/>
        <v>0</v>
      </c>
    </row>
    <row r="36" spans="1:6">
      <c r="A36" s="384" t="s">
        <v>29</v>
      </c>
      <c r="B36" s="377">
        <f>B35+B29</f>
        <v>0</v>
      </c>
      <c r="C36" s="377">
        <f t="shared" ref="C36:D36" si="10">C35+C29</f>
        <v>0</v>
      </c>
      <c r="D36" s="378">
        <f t="shared" si="10"/>
        <v>0</v>
      </c>
      <c r="E36" s="378">
        <f t="shared" ref="E36:F36" si="11">E35+E29</f>
        <v>0</v>
      </c>
      <c r="F36" s="378">
        <f t="shared" si="11"/>
        <v>0</v>
      </c>
    </row>
    <row r="37" spans="1:6">
      <c r="B37" s="385"/>
      <c r="C37" s="385"/>
      <c r="D37" s="385"/>
      <c r="E37" s="385"/>
      <c r="F37" s="385"/>
    </row>
    <row r="38" spans="1:6">
      <c r="A38" s="386" t="s">
        <v>30</v>
      </c>
      <c r="B38" s="387"/>
      <c r="C38" s="387"/>
      <c r="D38" s="388"/>
      <c r="E38" s="388"/>
      <c r="F38" s="388"/>
    </row>
    <row r="39" spans="1:6">
      <c r="A39" s="373" t="s">
        <v>31</v>
      </c>
      <c r="B39" s="374"/>
      <c r="C39" s="374"/>
      <c r="D39" s="375"/>
      <c r="E39" s="375"/>
      <c r="F39" s="375"/>
    </row>
    <row r="40" spans="1:6">
      <c r="A40" s="373" t="s">
        <v>32</v>
      </c>
      <c r="B40" s="374"/>
      <c r="C40" s="374"/>
      <c r="D40" s="375"/>
      <c r="E40" s="375"/>
      <c r="F40" s="375"/>
    </row>
    <row r="41" spans="1:6">
      <c r="A41" s="373" t="s">
        <v>33</v>
      </c>
      <c r="B41" s="374"/>
      <c r="C41" s="374"/>
      <c r="D41" s="375"/>
      <c r="E41" s="375"/>
      <c r="F41" s="375"/>
    </row>
    <row r="42" spans="1:6" ht="15.75" thickBot="1">
      <c r="A42" s="373" t="s">
        <v>13</v>
      </c>
      <c r="B42" s="382"/>
      <c r="C42" s="382"/>
      <c r="D42" s="383"/>
      <c r="E42" s="383"/>
      <c r="F42" s="383"/>
    </row>
    <row r="43" spans="1:6" ht="15.75" thickTop="1">
      <c r="A43" s="384" t="s">
        <v>34</v>
      </c>
      <c r="B43" s="377">
        <f>SUM(B39:B42)</f>
        <v>0</v>
      </c>
      <c r="C43" s="377">
        <f t="shared" ref="C43:D43" si="12">SUM(C39:C42)</f>
        <v>0</v>
      </c>
      <c r="D43" s="378">
        <f t="shared" si="12"/>
        <v>0</v>
      </c>
      <c r="E43" s="378">
        <f t="shared" ref="E43:F43" si="13">SUM(E39:E42)</f>
        <v>0</v>
      </c>
      <c r="F43" s="378">
        <f t="shared" si="13"/>
        <v>0</v>
      </c>
    </row>
    <row r="44" spans="1:6">
      <c r="B44" s="385"/>
      <c r="C44" s="385"/>
      <c r="D44" s="385"/>
      <c r="E44" s="385"/>
      <c r="F44" s="385"/>
    </row>
    <row r="45" spans="1:6">
      <c r="A45" t="s">
        <v>35</v>
      </c>
      <c r="B45" s="385">
        <f>B43+B36</f>
        <v>0</v>
      </c>
      <c r="C45" s="385">
        <f t="shared" ref="C45:D45" si="14">C43+C36</f>
        <v>0</v>
      </c>
      <c r="D45" s="385">
        <f t="shared" si="14"/>
        <v>0</v>
      </c>
      <c r="E45" s="385">
        <f t="shared" ref="E45:F45" si="15">E43+E36</f>
        <v>0</v>
      </c>
      <c r="F45" s="385">
        <f t="shared" si="15"/>
        <v>0</v>
      </c>
    </row>
    <row r="47" spans="1:6">
      <c r="A47" s="389" t="s">
        <v>36</v>
      </c>
      <c r="B47" s="389" t="str">
        <f>IF(B45=B21,"ok","error")</f>
        <v>ok</v>
      </c>
      <c r="C47" s="389" t="str">
        <f t="shared" ref="C47:D47" si="16">IF(C45=C21,"ok","error")</f>
        <v>ok</v>
      </c>
      <c r="D47" s="389" t="str">
        <f t="shared" si="16"/>
        <v>ok</v>
      </c>
      <c r="E47" s="389" t="str">
        <f t="shared" ref="E47:F47" si="17">IF(E45=E21,"ok","error")</f>
        <v>ok</v>
      </c>
      <c r="F47" s="389" t="str">
        <f t="shared" si="17"/>
        <v>ok</v>
      </c>
    </row>
  </sheetData>
  <pageMargins left="0.7" right="0.7" top="0.75" bottom="0.75" header="0.3" footer="0.3"/>
  <pageSetup orientation="portrait" horizontalDpi="4294967295" verticalDpi="4294967295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D9D9-B2B1-4E8B-BBC3-9160C88A8531}">
  <dimension ref="A1:F45"/>
  <sheetViews>
    <sheetView workbookViewId="0"/>
  </sheetViews>
  <sheetFormatPr defaultRowHeight="15"/>
  <cols>
    <col min="1" max="1" width="41.85546875" customWidth="1"/>
    <col min="2" max="2" width="14.140625" customWidth="1"/>
    <col min="3" max="3" width="13.42578125" bestFit="1" customWidth="1"/>
    <col min="4" max="6" width="14.42578125" customWidth="1"/>
  </cols>
  <sheetData>
    <row r="1" spans="1:6">
      <c r="A1" t="str">
        <f>BS!A1</f>
        <v>Company Name</v>
      </c>
      <c r="B1" t="str">
        <f>BS!B1</f>
        <v>New Wave Energy Holding Company, Inc.</v>
      </c>
    </row>
    <row r="2" spans="1:6">
      <c r="A2" t="str">
        <f>BS!A2</f>
        <v>Fiscal Year Ending</v>
      </c>
      <c r="B2" s="368">
        <f>BS!B2</f>
        <v>45657</v>
      </c>
    </row>
    <row r="3" spans="1:6">
      <c r="A3" t="str">
        <f>BS!A4</f>
        <v>Currency (in millions, thousands, etc.)</v>
      </c>
      <c r="B3" t="str">
        <f>BS!B4</f>
        <v>USD</v>
      </c>
    </row>
    <row r="5" spans="1:6">
      <c r="A5" s="369" t="s">
        <v>37</v>
      </c>
      <c r="B5" s="370">
        <f>BS!B6</f>
        <v>2020</v>
      </c>
      <c r="C5" s="371">
        <f>BS!C6</f>
        <v>2021</v>
      </c>
      <c r="D5" s="372">
        <f>BS!D6</f>
        <v>2022</v>
      </c>
      <c r="E5" s="372">
        <f>BS!E6</f>
        <v>2023</v>
      </c>
      <c r="F5" s="372">
        <f>BS!F6</f>
        <v>2024</v>
      </c>
    </row>
    <row r="6" spans="1:6">
      <c r="A6" s="373" t="s">
        <v>38</v>
      </c>
      <c r="B6" s="374"/>
      <c r="C6" s="374"/>
      <c r="D6" s="375"/>
      <c r="E6" s="375"/>
      <c r="F6" s="375"/>
    </row>
    <row r="7" spans="1:6" ht="15.75" thickBot="1">
      <c r="A7" s="373" t="s">
        <v>39</v>
      </c>
      <c r="B7" s="382"/>
      <c r="C7" s="382"/>
      <c r="D7" s="383"/>
      <c r="E7" s="383"/>
      <c r="F7" s="383"/>
    </row>
    <row r="8" spans="1:6" ht="15.75" thickTop="1">
      <c r="A8" s="373" t="s">
        <v>40</v>
      </c>
      <c r="B8" s="374">
        <f>B6+B7</f>
        <v>0</v>
      </c>
      <c r="C8" s="374">
        <f t="shared" ref="C8:D8" si="0">C6+C7</f>
        <v>0</v>
      </c>
      <c r="D8" s="375">
        <f t="shared" si="0"/>
        <v>0</v>
      </c>
      <c r="E8" s="375">
        <f t="shared" ref="E8:F8" si="1">E6+E7</f>
        <v>0</v>
      </c>
      <c r="F8" s="375">
        <f t="shared" si="1"/>
        <v>0</v>
      </c>
    </row>
    <row r="9" spans="1:6">
      <c r="A9" s="379"/>
      <c r="B9" s="380"/>
      <c r="C9" s="380"/>
      <c r="D9" s="381"/>
      <c r="E9" s="381"/>
      <c r="F9" s="381"/>
    </row>
    <row r="10" spans="1:6">
      <c r="A10" s="373" t="s">
        <v>41</v>
      </c>
      <c r="B10" s="376"/>
      <c r="C10" s="376"/>
      <c r="D10" s="375"/>
      <c r="E10" s="375"/>
      <c r="F10" s="375"/>
    </row>
    <row r="11" spans="1:6">
      <c r="A11" s="373" t="s">
        <v>42</v>
      </c>
      <c r="B11" s="374"/>
      <c r="C11" s="374"/>
      <c r="D11" s="375"/>
      <c r="E11" s="375"/>
      <c r="F11" s="375"/>
    </row>
    <row r="12" spans="1:6">
      <c r="A12" s="373" t="s">
        <v>43</v>
      </c>
      <c r="B12" s="374"/>
      <c r="C12" s="374"/>
      <c r="D12" s="375"/>
      <c r="E12" s="375"/>
      <c r="F12" s="375"/>
    </row>
    <row r="13" spans="1:6">
      <c r="A13" s="373" t="s">
        <v>44</v>
      </c>
      <c r="B13" s="374"/>
      <c r="C13" s="374"/>
      <c r="D13" s="375"/>
      <c r="E13" s="375"/>
      <c r="F13" s="375"/>
    </row>
    <row r="14" spans="1:6">
      <c r="A14" s="373" t="s">
        <v>45</v>
      </c>
      <c r="B14" s="374"/>
      <c r="C14" s="374"/>
      <c r="D14" s="375"/>
      <c r="E14" s="375"/>
      <c r="F14" s="375"/>
    </row>
    <row r="15" spans="1:6">
      <c r="A15" s="373" t="s">
        <v>46</v>
      </c>
      <c r="B15" s="376"/>
      <c r="C15" s="376"/>
      <c r="D15" s="375"/>
      <c r="E15" s="375"/>
      <c r="F15" s="375"/>
    </row>
    <row r="16" spans="1:6">
      <c r="A16" s="379"/>
      <c r="B16" s="380"/>
      <c r="C16" s="380"/>
      <c r="D16" s="381"/>
      <c r="E16" s="381"/>
      <c r="F16" s="381"/>
    </row>
    <row r="17" spans="1:6">
      <c r="A17" s="373" t="s">
        <v>47</v>
      </c>
      <c r="B17" s="374">
        <f>SUM(B8:B15)</f>
        <v>0</v>
      </c>
      <c r="C17" s="374">
        <f t="shared" ref="C17:D17" si="2">SUM(C8:C15)</f>
        <v>0</v>
      </c>
      <c r="D17" s="375">
        <f t="shared" si="2"/>
        <v>0</v>
      </c>
      <c r="E17" s="375">
        <f t="shared" ref="E17:F17" si="3">SUM(E8:E15)</f>
        <v>0</v>
      </c>
      <c r="F17" s="375">
        <f t="shared" si="3"/>
        <v>0</v>
      </c>
    </row>
    <row r="18" spans="1:6">
      <c r="A18" s="373" t="s">
        <v>48</v>
      </c>
      <c r="B18" s="374"/>
      <c r="C18" s="374"/>
      <c r="D18" s="375"/>
      <c r="E18" s="375"/>
      <c r="F18" s="375"/>
    </row>
    <row r="19" spans="1:6" ht="15.75" thickBot="1">
      <c r="A19" s="373" t="s">
        <v>13</v>
      </c>
      <c r="B19" s="382"/>
      <c r="C19" s="382"/>
      <c r="D19" s="383"/>
      <c r="E19" s="383"/>
      <c r="F19" s="383"/>
    </row>
    <row r="20" spans="1:6" ht="15.75" thickTop="1">
      <c r="A20" s="384" t="s">
        <v>49</v>
      </c>
      <c r="B20" s="377">
        <f>SUM(B17:B19)</f>
        <v>0</v>
      </c>
      <c r="C20" s="377">
        <f>SUM(C17:C19)</f>
        <v>0</v>
      </c>
      <c r="D20" s="378">
        <f>SUM(D17:D19)</f>
        <v>0</v>
      </c>
      <c r="E20" s="378">
        <f>SUM(E17:E19)</f>
        <v>0</v>
      </c>
      <c r="F20" s="378">
        <f>SUM(F17:F19)</f>
        <v>0</v>
      </c>
    </row>
    <row r="21" spans="1:6">
      <c r="B21" s="385"/>
      <c r="C21" s="385"/>
      <c r="D21" s="385"/>
      <c r="E21" s="385"/>
      <c r="F21" s="385"/>
    </row>
    <row r="22" spans="1:6">
      <c r="A22" s="386" t="s">
        <v>50</v>
      </c>
      <c r="B22" s="370">
        <f>B5</f>
        <v>2020</v>
      </c>
      <c r="C22" s="371">
        <f>C5</f>
        <v>2021</v>
      </c>
      <c r="D22" s="372">
        <f>D5</f>
        <v>2022</v>
      </c>
      <c r="E22" s="372">
        <f>E5</f>
        <v>2023</v>
      </c>
      <c r="F22" s="372">
        <f>F5</f>
        <v>2024</v>
      </c>
    </row>
    <row r="23" spans="1:6">
      <c r="A23" s="373" t="s">
        <v>51</v>
      </c>
      <c r="B23" s="374"/>
      <c r="C23" s="374"/>
      <c r="D23" s="375"/>
      <c r="E23" s="375"/>
      <c r="F23" s="375"/>
    </row>
    <row r="24" spans="1:6">
      <c r="A24" s="373" t="s">
        <v>49</v>
      </c>
      <c r="B24" s="374">
        <f>B20</f>
        <v>0</v>
      </c>
      <c r="C24" s="374">
        <f t="shared" ref="C24:D24" si="4">C20</f>
        <v>0</v>
      </c>
      <c r="D24" s="375">
        <f t="shared" si="4"/>
        <v>0</v>
      </c>
      <c r="E24" s="375">
        <f t="shared" ref="E24:F24" si="5">E20</f>
        <v>0</v>
      </c>
      <c r="F24" s="375">
        <f t="shared" si="5"/>
        <v>0</v>
      </c>
    </row>
    <row r="25" spans="1:6">
      <c r="A25" s="373" t="s">
        <v>52</v>
      </c>
      <c r="B25" s="374"/>
      <c r="C25" s="374"/>
      <c r="D25" s="375"/>
      <c r="E25" s="375"/>
      <c r="F25" s="375"/>
    </row>
    <row r="26" spans="1:6" ht="15.75" thickBot="1">
      <c r="A26" s="373" t="s">
        <v>53</v>
      </c>
      <c r="B26" s="382"/>
      <c r="C26" s="382"/>
      <c r="D26" s="383"/>
      <c r="E26" s="383"/>
      <c r="F26" s="383"/>
    </row>
    <row r="27" spans="1:6" ht="15.75" thickTop="1">
      <c r="A27" s="373" t="s">
        <v>54</v>
      </c>
      <c r="B27" s="374">
        <f>SUM(B24:B26)</f>
        <v>0</v>
      </c>
      <c r="C27" s="374">
        <f t="shared" ref="C27:D27" si="6">SUM(C24:C26)</f>
        <v>0</v>
      </c>
      <c r="D27" s="375">
        <f t="shared" si="6"/>
        <v>0</v>
      </c>
      <c r="E27" s="375">
        <f t="shared" ref="E27:F27" si="7">SUM(E24:E26)</f>
        <v>0</v>
      </c>
      <c r="F27" s="375">
        <f t="shared" si="7"/>
        <v>0</v>
      </c>
    </row>
    <row r="28" spans="1:6">
      <c r="A28" s="379"/>
      <c r="B28" s="380"/>
      <c r="C28" s="380"/>
      <c r="D28" s="381"/>
      <c r="E28" s="381"/>
      <c r="F28" s="381"/>
    </row>
    <row r="29" spans="1:6">
      <c r="A29" s="373" t="s">
        <v>55</v>
      </c>
      <c r="B29" s="374"/>
      <c r="C29" s="374"/>
      <c r="D29" s="375"/>
      <c r="E29" s="375"/>
      <c r="F29" s="375"/>
    </row>
    <row r="30" spans="1:6">
      <c r="A30" s="373" t="s">
        <v>56</v>
      </c>
      <c r="B30" s="374"/>
      <c r="C30" s="374"/>
      <c r="D30" s="375"/>
      <c r="E30" s="375"/>
      <c r="F30" s="375"/>
    </row>
    <row r="31" spans="1:6">
      <c r="A31" s="373" t="s">
        <v>57</v>
      </c>
      <c r="B31" s="374"/>
      <c r="C31" s="374"/>
      <c r="D31" s="375"/>
      <c r="E31" s="375"/>
      <c r="F31" s="375"/>
    </row>
    <row r="32" spans="1:6" ht="15.75" thickBot="1">
      <c r="A32" s="373" t="s">
        <v>58</v>
      </c>
      <c r="B32" s="382"/>
      <c r="C32" s="382"/>
      <c r="D32" s="383"/>
      <c r="E32" s="383"/>
      <c r="F32" s="383"/>
    </row>
    <row r="33" spans="1:6" ht="15.75" thickTop="1">
      <c r="A33" s="373" t="s">
        <v>59</v>
      </c>
      <c r="B33" s="374">
        <f>SUM(B30:B32)</f>
        <v>0</v>
      </c>
      <c r="C33" s="374">
        <f t="shared" ref="C33:D33" si="8">SUM(C30:C32)</f>
        <v>0</v>
      </c>
      <c r="D33" s="375">
        <f t="shared" si="8"/>
        <v>0</v>
      </c>
      <c r="E33" s="375">
        <f t="shared" ref="E33:F33" si="9">SUM(E30:E32)</f>
        <v>0</v>
      </c>
      <c r="F33" s="375">
        <f t="shared" si="9"/>
        <v>0</v>
      </c>
    </row>
    <row r="34" spans="1:6">
      <c r="A34" s="379"/>
      <c r="B34" s="380"/>
      <c r="C34" s="380"/>
      <c r="D34" s="381"/>
      <c r="E34" s="381"/>
      <c r="F34" s="381"/>
    </row>
    <row r="35" spans="1:6">
      <c r="A35" s="373" t="s">
        <v>60</v>
      </c>
      <c r="B35" s="374"/>
      <c r="C35" s="374"/>
      <c r="D35" s="375"/>
      <c r="E35" s="375"/>
      <c r="F35" s="375"/>
    </row>
    <row r="36" spans="1:6">
      <c r="A36" s="373" t="s">
        <v>61</v>
      </c>
      <c r="B36" s="374"/>
      <c r="C36" s="374"/>
      <c r="D36" s="375"/>
      <c r="E36" s="375"/>
      <c r="F36" s="375"/>
    </row>
    <row r="37" spans="1:6">
      <c r="A37" s="373" t="s">
        <v>62</v>
      </c>
      <c r="B37" s="374"/>
      <c r="C37" s="374"/>
      <c r="D37" s="375"/>
      <c r="E37" s="375"/>
      <c r="F37" s="375"/>
    </row>
    <row r="38" spans="1:6">
      <c r="A38" s="373" t="s">
        <v>63</v>
      </c>
      <c r="B38" s="374"/>
      <c r="C38" s="374"/>
      <c r="D38" s="375"/>
      <c r="E38" s="375"/>
      <c r="F38" s="375"/>
    </row>
    <row r="39" spans="1:6">
      <c r="A39" s="373" t="s">
        <v>64</v>
      </c>
      <c r="B39" s="374"/>
      <c r="C39" s="374"/>
      <c r="D39" s="375"/>
      <c r="E39" s="375"/>
      <c r="F39" s="375"/>
    </row>
    <row r="40" spans="1:6" ht="15.75" thickBot="1">
      <c r="A40" s="373" t="s">
        <v>13</v>
      </c>
      <c r="B40" s="382"/>
      <c r="C40" s="382"/>
      <c r="D40" s="383"/>
      <c r="E40" s="383"/>
      <c r="F40" s="383"/>
    </row>
    <row r="41" spans="1:6" ht="15.75" thickTop="1">
      <c r="A41" s="373" t="s">
        <v>65</v>
      </c>
      <c r="B41" s="374">
        <f>SUM(B36:B40)</f>
        <v>0</v>
      </c>
      <c r="C41" s="374">
        <f t="shared" ref="C41:D41" si="10">SUM(C36:C40)</f>
        <v>0</v>
      </c>
      <c r="D41" s="375">
        <f t="shared" si="10"/>
        <v>0</v>
      </c>
      <c r="E41" s="375">
        <f t="shared" ref="E41:F41" si="11">SUM(E36:E40)</f>
        <v>0</v>
      </c>
      <c r="F41" s="375">
        <f t="shared" si="11"/>
        <v>0</v>
      </c>
    </row>
    <row r="42" spans="1:6">
      <c r="A42" s="379"/>
      <c r="B42" s="380"/>
      <c r="C42" s="380"/>
      <c r="D42" s="381"/>
      <c r="E42" s="381"/>
      <c r="F42" s="381"/>
    </row>
    <row r="43" spans="1:6">
      <c r="A43" s="373" t="s">
        <v>66</v>
      </c>
      <c r="B43" s="374">
        <f>B41+B33+B27</f>
        <v>0</v>
      </c>
      <c r="C43" s="374">
        <f t="shared" ref="C43:D43" si="12">C41+C33+C27</f>
        <v>0</v>
      </c>
      <c r="D43" s="375">
        <f t="shared" si="12"/>
        <v>0</v>
      </c>
      <c r="E43" s="375">
        <f t="shared" ref="E43:F43" si="13">E41+E33+E27</f>
        <v>0</v>
      </c>
      <c r="F43" s="375">
        <f t="shared" si="13"/>
        <v>0</v>
      </c>
    </row>
    <row r="44" spans="1:6">
      <c r="A44" s="373" t="s">
        <v>67</v>
      </c>
      <c r="B44" s="374"/>
      <c r="C44" s="374">
        <f>B45</f>
        <v>0</v>
      </c>
      <c r="D44" s="375">
        <f>C45</f>
        <v>0</v>
      </c>
      <c r="E44" s="375">
        <f>D45</f>
        <v>0</v>
      </c>
      <c r="F44" s="375">
        <f>E45</f>
        <v>0</v>
      </c>
    </row>
    <row r="45" spans="1:6">
      <c r="A45" s="384" t="s">
        <v>68</v>
      </c>
      <c r="B45" s="377">
        <f>B43+B44</f>
        <v>0</v>
      </c>
      <c r="C45" s="377">
        <f>C43+C44</f>
        <v>0</v>
      </c>
      <c r="D45" s="378">
        <f>D43+D44</f>
        <v>0</v>
      </c>
      <c r="E45" s="378">
        <f>E43+E44</f>
        <v>0</v>
      </c>
      <c r="F45" s="378">
        <f>F43+F44</f>
        <v>0</v>
      </c>
    </row>
  </sheetData>
  <pageMargins left="0.7" right="0.7" top="0.75" bottom="0.75" header="0.3" footer="0.3"/>
  <pageSetup orientation="portrait" horizontalDpi="4294967295" verticalDpi="4294967295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774D-DF28-4EC5-BD73-467353FE01CC}">
  <sheetPr>
    <tabColor rgb="FF7030A0"/>
  </sheetPr>
  <dimension ref="B1:BX163"/>
  <sheetViews>
    <sheetView topLeftCell="A78" zoomScale="60" zoomScaleNormal="60" workbookViewId="0">
      <selection activeCell="G79" sqref="G79"/>
    </sheetView>
  </sheetViews>
  <sheetFormatPr defaultRowHeight="15"/>
  <cols>
    <col min="1" max="1" width="2.140625" style="34" customWidth="1"/>
    <col min="2" max="2" width="18.85546875" style="34" customWidth="1"/>
    <col min="3" max="3" width="39" style="34" customWidth="1"/>
    <col min="4" max="4" width="21.85546875" style="33" bestFit="1" customWidth="1"/>
    <col min="5" max="5" width="17.42578125" style="33" customWidth="1"/>
    <col min="6" max="6" width="21.85546875" style="33" bestFit="1" customWidth="1"/>
    <col min="7" max="7" width="17.7109375" style="33" bestFit="1" customWidth="1"/>
    <col min="8" max="8" width="17.140625" style="34" customWidth="1"/>
    <col min="9" max="9" width="19.140625" style="34" customWidth="1"/>
    <col min="10" max="11" width="15" style="34" customWidth="1"/>
    <col min="12" max="12" width="7.140625" style="34" customWidth="1"/>
    <col min="13" max="14" width="15" style="34" customWidth="1"/>
    <col min="15" max="15" width="12.5703125" style="34" customWidth="1"/>
    <col min="16" max="20" width="9.140625" style="34" customWidth="1"/>
    <col min="21" max="21" width="17.42578125" style="34" customWidth="1"/>
    <col min="22" max="26" width="15.7109375" style="34" customWidth="1"/>
    <col min="27" max="33" width="9.140625" style="34" customWidth="1"/>
    <col min="34" max="35" width="10" style="34" bestFit="1" customWidth="1"/>
    <col min="36" max="36" width="11" style="34" bestFit="1" customWidth="1"/>
    <col min="37" max="46" width="9.140625" style="34" customWidth="1"/>
    <col min="47" max="47" width="21.42578125" style="34" bestFit="1" customWidth="1"/>
    <col min="48" max="49" width="12.7109375" style="34" bestFit="1" customWidth="1"/>
    <col min="50" max="50" width="13.85546875" style="34" customWidth="1"/>
    <col min="51" max="68" width="9.140625" style="34" customWidth="1"/>
    <col min="69" max="69" width="14.28515625" style="34" customWidth="1"/>
    <col min="70" max="70" width="10.140625" style="34" bestFit="1" customWidth="1"/>
    <col min="71" max="72" width="9.140625" style="34" customWidth="1"/>
    <col min="73" max="73" width="51.140625" style="34" bestFit="1" customWidth="1"/>
    <col min="74" max="74" width="20.5703125" style="34" customWidth="1"/>
    <col min="75" max="75" width="9.140625" style="34" customWidth="1"/>
    <col min="76" max="76" width="10.7109375" style="34" bestFit="1" customWidth="1"/>
    <col min="77" max="77" width="9.140625" style="34" customWidth="1"/>
    <col min="78" max="16384" width="9.140625" style="34"/>
  </cols>
  <sheetData>
    <row r="1" spans="2:57" s="160" customFormat="1">
      <c r="D1" s="161"/>
      <c r="E1" s="161"/>
      <c r="F1" s="161"/>
      <c r="G1" s="161"/>
    </row>
    <row r="2" spans="2:57" s="162" customFormat="1">
      <c r="D2" s="163"/>
      <c r="E2" s="163"/>
      <c r="F2" s="163"/>
      <c r="G2" s="163"/>
    </row>
    <row r="3" spans="2:57">
      <c r="B3" s="460" t="str">
        <f>BS!B1</f>
        <v>New Wave Energy Holding Company, Inc.</v>
      </c>
      <c r="C3" s="20" t="s">
        <v>69</v>
      </c>
      <c r="D3" s="21"/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3"/>
      <c r="AM3" s="164">
        <v>2017</v>
      </c>
      <c r="AN3" s="164">
        <v>2018</v>
      </c>
      <c r="AO3" s="164">
        <v>2019</v>
      </c>
      <c r="AP3" s="164">
        <v>2020</v>
      </c>
      <c r="AQ3" s="164">
        <v>2021</v>
      </c>
      <c r="AR3" s="164">
        <v>2022</v>
      </c>
      <c r="AU3"/>
      <c r="AV3" s="25">
        <v>2019</v>
      </c>
      <c r="AW3" s="25">
        <v>2020</v>
      </c>
      <c r="AX3" s="25">
        <v>2021</v>
      </c>
      <c r="AY3" s="25"/>
      <c r="AZ3" s="25">
        <v>2019</v>
      </c>
      <c r="BA3" s="25">
        <v>2020</v>
      </c>
      <c r="BB3" s="25">
        <v>2021</v>
      </c>
    </row>
    <row r="4" spans="2:57" ht="45" customHeight="1">
      <c r="B4" s="460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AM4" s="165"/>
      <c r="AN4" s="165"/>
      <c r="AO4" s="165"/>
      <c r="AP4" s="165"/>
      <c r="AQ4" s="165"/>
      <c r="AR4" s="165"/>
      <c r="AS4" s="166" t="e">
        <f>(AQ4/AM4)^(1/4)-1</f>
        <v>#DIV/0!</v>
      </c>
      <c r="AU4" s="27" t="s">
        <v>70</v>
      </c>
      <c r="AV4" s="27">
        <f t="shared" ref="AV4:AX5" si="0">F80</f>
        <v>0</v>
      </c>
      <c r="AW4" s="27">
        <f t="shared" si="0"/>
        <v>0</v>
      </c>
      <c r="AX4" s="27">
        <f t="shared" si="0"/>
        <v>0</v>
      </c>
      <c r="AY4" s="27" t="str">
        <f>+AU4</f>
        <v>Electricity</v>
      </c>
      <c r="AZ4" s="167" t="e">
        <f>+AV4/$AV$12</f>
        <v>#DIV/0!</v>
      </c>
      <c r="BA4" s="167" t="e">
        <f>+AW4/$AW$12</f>
        <v>#DIV/0!</v>
      </c>
      <c r="BB4" s="167" t="e">
        <f>+AX4/$AX$12</f>
        <v>#DIV/0!</v>
      </c>
      <c r="BE4" s="168"/>
    </row>
    <row r="5" spans="2:57" ht="27.75" customHeight="1">
      <c r="B5" s="460"/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AM5" s="165"/>
      <c r="AN5" s="165"/>
      <c r="AO5" s="165"/>
      <c r="AP5" s="165"/>
      <c r="AQ5" s="165"/>
      <c r="AR5" s="165"/>
      <c r="AU5" s="27" t="s">
        <v>71</v>
      </c>
      <c r="AV5" s="27">
        <f t="shared" si="0"/>
        <v>0</v>
      </c>
      <c r="AW5" s="27">
        <f t="shared" si="0"/>
        <v>0</v>
      </c>
      <c r="AX5" s="27">
        <f t="shared" si="0"/>
        <v>0</v>
      </c>
      <c r="AY5" s="27" t="str">
        <f>+AU5</f>
        <v>Gas</v>
      </c>
      <c r="AZ5" s="167" t="e">
        <f>+AV5/$AV$12</f>
        <v>#DIV/0!</v>
      </c>
      <c r="BA5" s="167" t="e">
        <f>+AW5/$AW$12</f>
        <v>#DIV/0!</v>
      </c>
      <c r="BB5" s="167" t="e">
        <f>+AX5/$AX$12</f>
        <v>#DIV/0!</v>
      </c>
      <c r="BE5" s="168"/>
    </row>
    <row r="6" spans="2:57" ht="24" customHeight="1">
      <c r="B6" s="460"/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AU6" s="27"/>
      <c r="AV6" s="27"/>
      <c r="AW6" s="27"/>
      <c r="AX6" s="27"/>
      <c r="AY6" s="27">
        <f>+AU6</f>
        <v>0</v>
      </c>
      <c r="AZ6" s="167" t="e">
        <f>+AV6/$AV$12</f>
        <v>#DIV/0!</v>
      </c>
      <c r="BA6" s="167" t="e">
        <f>+AW6/$AW$12</f>
        <v>#DIV/0!</v>
      </c>
      <c r="BB6" s="167" t="e">
        <f>+AX6/$AX$12</f>
        <v>#DIV/0!</v>
      </c>
      <c r="BE6" s="168"/>
    </row>
    <row r="7" spans="2:57" ht="24" customHeight="1">
      <c r="B7" s="29" t="s">
        <v>72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AU7" s="27"/>
      <c r="AV7" s="27"/>
      <c r="AW7" s="27"/>
      <c r="AX7" s="27"/>
      <c r="AY7" s="27">
        <f>+AU7</f>
        <v>0</v>
      </c>
      <c r="AZ7" s="167" t="e">
        <f>+AV7/$AV$12</f>
        <v>#DIV/0!</v>
      </c>
      <c r="BA7" s="167" t="e">
        <f>+AW7/$AW$12</f>
        <v>#DIV/0!</v>
      </c>
      <c r="BB7" s="167" t="e">
        <f>+AX7/$AX$12</f>
        <v>#DIV/0!</v>
      </c>
      <c r="BE7" s="168"/>
    </row>
    <row r="8" spans="2:57" ht="24" customHeight="1"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70"/>
      <c r="O8" s="171"/>
      <c r="P8" s="172"/>
      <c r="AU8" s="27"/>
      <c r="AV8" s="27"/>
      <c r="AW8" s="27"/>
      <c r="AX8" s="27"/>
      <c r="AY8" s="27">
        <f>+AU8</f>
        <v>0</v>
      </c>
      <c r="AZ8" s="167" t="e">
        <f>+AV8/$AV$12</f>
        <v>#DIV/0!</v>
      </c>
      <c r="BA8" s="167" t="e">
        <f>+AW8/$AW$12</f>
        <v>#DIV/0!</v>
      </c>
      <c r="BB8" s="167" t="e">
        <f>+AX8/$AX$12</f>
        <v>#DIV/0!</v>
      </c>
      <c r="BE8" s="168"/>
    </row>
    <row r="9" spans="2:57" ht="24" customHeight="1">
      <c r="B9" s="173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AU9" s="27"/>
      <c r="AV9" s="27"/>
      <c r="AW9" s="27"/>
      <c r="AX9" s="27"/>
      <c r="AY9" s="27"/>
      <c r="AZ9" s="28"/>
      <c r="BA9" s="28"/>
      <c r="BB9" s="28"/>
      <c r="BE9" s="168"/>
    </row>
    <row r="10" spans="2:57" ht="24" customHeight="1">
      <c r="B10" s="173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AU10" s="30"/>
      <c r="AV10" s="27"/>
      <c r="AW10" s="27"/>
      <c r="AX10" s="27"/>
      <c r="AY10" s="30"/>
      <c r="AZ10" s="28"/>
      <c r="BA10" s="28"/>
      <c r="BB10" s="28"/>
    </row>
    <row r="11" spans="2:57" ht="24" customHeight="1">
      <c r="B11" s="173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AU11" s="30"/>
      <c r="AV11" s="27"/>
      <c r="AW11" s="27"/>
      <c r="AX11" s="27"/>
      <c r="AY11" s="30"/>
      <c r="AZ11" s="28"/>
      <c r="BA11" s="28"/>
      <c r="BB11" s="28"/>
    </row>
    <row r="12" spans="2:57">
      <c r="B12" s="174"/>
      <c r="AU12" s="31"/>
      <c r="AV12" s="32">
        <f>+SUM(AV4:AV9)</f>
        <v>0</v>
      </c>
      <c r="AW12" s="32">
        <f>+SUM(AW4:AW9)</f>
        <v>0</v>
      </c>
      <c r="AX12" s="32">
        <f>+SUM(AX4:AX11)</f>
        <v>0</v>
      </c>
      <c r="AY12"/>
      <c r="AZ12" s="44" t="e">
        <f>+SUM(AZ4:AZ9)</f>
        <v>#DIV/0!</v>
      </c>
      <c r="BA12" s="44" t="e">
        <f>+SUM(BA4:BA9)</f>
        <v>#DIV/0!</v>
      </c>
      <c r="BB12" s="44" t="e">
        <f>+SUM(BB4:BB11)</f>
        <v>#DIV/0!</v>
      </c>
    </row>
    <row r="13" spans="2:57" s="160" customFormat="1">
      <c r="D13" s="161"/>
      <c r="E13" s="161"/>
      <c r="F13" s="161"/>
      <c r="G13" s="161"/>
    </row>
    <row r="15" spans="2:57">
      <c r="C15" s="175" t="s">
        <v>73</v>
      </c>
      <c r="D15" s="176"/>
      <c r="E15" s="176"/>
      <c r="F15" s="176"/>
      <c r="G15" s="176"/>
      <c r="H15" s="177"/>
      <c r="I15" s="177"/>
      <c r="J15" s="177"/>
      <c r="K15" s="177"/>
      <c r="L15" s="177"/>
      <c r="M15" s="177"/>
      <c r="N15" s="177"/>
      <c r="O15" s="177"/>
      <c r="P15" s="178"/>
    </row>
    <row r="16" spans="2:57">
      <c r="C16" s="461"/>
      <c r="D16" s="461"/>
      <c r="E16" s="461"/>
      <c r="F16" s="461"/>
      <c r="G16" s="461"/>
      <c r="H16" s="461"/>
      <c r="I16" s="461"/>
      <c r="J16" s="461"/>
      <c r="K16" s="461"/>
      <c r="L16" s="461"/>
      <c r="M16" s="461"/>
      <c r="N16" s="461"/>
      <c r="O16" s="461"/>
      <c r="P16" s="461"/>
    </row>
    <row r="17" spans="2:76">
      <c r="C17" s="462"/>
      <c r="D17" s="462"/>
      <c r="E17" s="462"/>
      <c r="F17" s="462"/>
      <c r="G17" s="462"/>
      <c r="H17" s="462"/>
      <c r="I17" s="462"/>
      <c r="J17" s="462"/>
      <c r="K17" s="462"/>
      <c r="L17" s="462"/>
      <c r="M17" s="462"/>
      <c r="N17" s="462"/>
      <c r="O17" s="462"/>
      <c r="P17" s="462"/>
    </row>
    <row r="18" spans="2:76" ht="15" customHeight="1">
      <c r="C18" s="461"/>
      <c r="D18" s="461"/>
      <c r="E18" s="461"/>
      <c r="F18" s="461"/>
      <c r="G18" s="461"/>
      <c r="H18" s="461"/>
      <c r="I18" s="461"/>
      <c r="J18" s="461"/>
      <c r="K18" s="461"/>
      <c r="L18" s="461"/>
      <c r="M18" s="461"/>
      <c r="N18" s="461"/>
      <c r="O18" s="461"/>
      <c r="P18" s="461"/>
    </row>
    <row r="19" spans="2:76">
      <c r="C19" s="179"/>
      <c r="P19" s="35"/>
    </row>
    <row r="20" spans="2:76">
      <c r="C20" s="180" t="s">
        <v>74</v>
      </c>
      <c r="P20" s="35"/>
    </row>
    <row r="21" spans="2:76" customFormat="1">
      <c r="B21" s="34"/>
      <c r="C21" s="493"/>
      <c r="D21" s="493"/>
      <c r="E21" s="493"/>
      <c r="F21" s="493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</row>
    <row r="22" spans="2:76" customFormat="1" ht="15" customHeight="1">
      <c r="B22" s="34"/>
      <c r="C22" s="493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</row>
    <row r="23" spans="2:76" customFormat="1">
      <c r="B23" s="34"/>
      <c r="C23" s="493"/>
      <c r="D23" s="493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</row>
    <row r="24" spans="2:76" customFormat="1" ht="15" customHeight="1">
      <c r="B24" s="34"/>
      <c r="C24" s="494"/>
      <c r="D24" s="494"/>
      <c r="E24" s="494"/>
      <c r="F24" s="494"/>
      <c r="G24" s="494"/>
      <c r="H24" s="494"/>
      <c r="I24" s="494"/>
      <c r="J24" s="494"/>
      <c r="K24" s="494"/>
      <c r="L24" s="494"/>
      <c r="M24" s="494"/>
      <c r="N24" s="494"/>
      <c r="O24" s="494"/>
      <c r="P24" s="49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</row>
    <row r="27" spans="2:76" customFormat="1">
      <c r="B27" s="34"/>
      <c r="C27" s="495"/>
      <c r="D27" s="495"/>
      <c r="E27" s="495"/>
      <c r="F27" s="495"/>
      <c r="G27" s="495"/>
      <c r="H27" s="495"/>
      <c r="I27" s="495"/>
      <c r="J27" s="495"/>
      <c r="K27" s="495"/>
      <c r="L27" s="495"/>
      <c r="M27" s="495"/>
      <c r="N27" s="495"/>
      <c r="O27" s="495"/>
      <c r="P27" s="495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9" spans="2:76" s="160" customFormat="1">
      <c r="D29" s="161"/>
      <c r="E29" s="161"/>
      <c r="F29" s="161"/>
      <c r="G29" s="161"/>
    </row>
    <row r="31" spans="2:76" customFormat="1">
      <c r="B31" s="34"/>
      <c r="C31" s="36" t="str">
        <f>H78</f>
        <v>FY24</v>
      </c>
      <c r="D31" s="24" t="s">
        <v>75</v>
      </c>
      <c r="E31" s="24" t="s">
        <v>76</v>
      </c>
      <c r="F31" s="24" t="s">
        <v>77</v>
      </c>
      <c r="G31" s="37" t="s">
        <v>78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</row>
    <row r="32" spans="2:76" customFormat="1">
      <c r="B32" s="34"/>
      <c r="C32" s="26" t="s">
        <v>79</v>
      </c>
      <c r="D32" s="38" t="e">
        <f>E42</f>
        <v>#DIV/0!</v>
      </c>
      <c r="E32" s="38" t="e">
        <f>E41</f>
        <v>#DIV/0!</v>
      </c>
      <c r="F32" s="24"/>
      <c r="G32" s="38" t="e">
        <f>SUM(D32:F32)</f>
        <v>#DIV/0!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</row>
    <row r="33" spans="2:76" customFormat="1">
      <c r="B33" s="34"/>
      <c r="C33" s="26" t="s">
        <v>80</v>
      </c>
      <c r="D33" s="38" t="e">
        <f>+E48</f>
        <v>#DIV/0!</v>
      </c>
      <c r="E33" s="38" t="e">
        <f>+E47</f>
        <v>#DIV/0!</v>
      </c>
      <c r="F33" s="38" t="e">
        <f>+E46</f>
        <v>#DIV/0!</v>
      </c>
      <c r="G33" s="38" t="e">
        <f>SUM(D33:F33)</f>
        <v>#DIV/0!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</row>
    <row r="34" spans="2:76" customFormat="1">
      <c r="B34" s="34"/>
      <c r="D34" s="25"/>
      <c r="E34" s="25"/>
      <c r="F34" s="25"/>
      <c r="G34" s="25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</row>
    <row r="35" spans="2:76" customFormat="1">
      <c r="B35" s="34"/>
      <c r="C35" s="181" t="str">
        <f>G78</f>
        <v>FY23</v>
      </c>
      <c r="D35" s="24" t="s">
        <v>75</v>
      </c>
      <c r="E35" s="24" t="s">
        <v>76</v>
      </c>
      <c r="F35" s="24" t="s">
        <v>77</v>
      </c>
      <c r="G35" s="37" t="s">
        <v>78</v>
      </c>
      <c r="H35" s="34"/>
      <c r="I35" s="34"/>
      <c r="J35" s="34"/>
      <c r="K35" s="34"/>
      <c r="L35" s="34"/>
      <c r="M35" s="463" t="s">
        <v>81</v>
      </c>
      <c r="N35" s="463"/>
      <c r="O35" s="463"/>
      <c r="P35" s="463"/>
      <c r="Q35" s="34"/>
      <c r="R35" s="34"/>
      <c r="S35" s="34"/>
      <c r="T35" s="34"/>
      <c r="U35" s="464" t="s">
        <v>82</v>
      </c>
      <c r="V35" s="464"/>
      <c r="W35" s="46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</row>
    <row r="36" spans="2:76" customFormat="1">
      <c r="B36" s="34"/>
      <c r="C36" s="26" t="s">
        <v>79</v>
      </c>
      <c r="D36" s="38" t="e">
        <f>G42</f>
        <v>#DIV/0!</v>
      </c>
      <c r="E36" s="38" t="e">
        <f>G41</f>
        <v>#DIV/0!</v>
      </c>
      <c r="F36" s="24"/>
      <c r="G36" s="38" t="e">
        <f>SUM(D36:F36)</f>
        <v>#DIV/0!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</row>
    <row r="37" spans="2:76" customFormat="1">
      <c r="B37" s="34"/>
      <c r="C37" s="26" t="s">
        <v>80</v>
      </c>
      <c r="D37" s="38" t="e">
        <f>+G48</f>
        <v>#DIV/0!</v>
      </c>
      <c r="E37" s="38" t="e">
        <f>+G47</f>
        <v>#DIV/0!</v>
      </c>
      <c r="F37" s="38" t="e">
        <f>+G46</f>
        <v>#DIV/0!</v>
      </c>
      <c r="G37" s="38" t="e">
        <f>SUM(D37:F37)</f>
        <v>#DIV/0!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</row>
    <row r="38" spans="2:76" customFormat="1">
      <c r="B38" s="34"/>
      <c r="D38" s="25"/>
      <c r="E38" s="25"/>
      <c r="F38" s="25"/>
      <c r="G38" s="25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</row>
    <row r="39" spans="2:76" s="33" customFormat="1">
      <c r="B39" s="460" t="s">
        <v>83</v>
      </c>
      <c r="C39" s="182" t="str">
        <f>+B7</f>
        <v>EUR</v>
      </c>
      <c r="D39" s="465" t="str">
        <f>H78</f>
        <v>FY24</v>
      </c>
      <c r="E39" s="465"/>
      <c r="F39" s="466" t="str">
        <f>G78</f>
        <v>FY23</v>
      </c>
      <c r="G39" s="467"/>
      <c r="H39" s="39" t="s">
        <v>84</v>
      </c>
      <c r="I39" s="18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X39" s="34"/>
      <c r="Y39" s="34"/>
      <c r="BC39" s="34"/>
    </row>
    <row r="40" spans="2:76" s="33" customFormat="1">
      <c r="B40" s="460"/>
      <c r="C40" s="184" t="s">
        <v>85</v>
      </c>
      <c r="D40" s="41">
        <f>+SUM(D41:D42)</f>
        <v>0</v>
      </c>
      <c r="E40" s="42" t="e">
        <f>+SUM(E41:E42)</f>
        <v>#DIV/0!</v>
      </c>
      <c r="F40" s="43">
        <f>+SUM(F41:F42)</f>
        <v>0</v>
      </c>
      <c r="G40" s="42" t="e">
        <f>+SUM(G41:G42)</f>
        <v>#DIV/0!</v>
      </c>
      <c r="H40" s="44">
        <f>IFERROR((D40-F40)/F40,0)</f>
        <v>0</v>
      </c>
      <c r="I40" s="185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V40" s="34"/>
      <c r="X40" s="34"/>
      <c r="Y40" s="51" t="s">
        <v>86</v>
      </c>
      <c r="BC40" s="34"/>
    </row>
    <row r="41" spans="2:76" s="33" customFormat="1">
      <c r="B41" s="460"/>
      <c r="C41" s="186" t="s">
        <v>87</v>
      </c>
      <c r="D41" s="46">
        <f>BS!F20</f>
        <v>0</v>
      </c>
      <c r="E41" s="15" t="e">
        <f>+D41/D40</f>
        <v>#DIV/0!</v>
      </c>
      <c r="F41" s="46">
        <f>BS!E20</f>
        <v>0</v>
      </c>
      <c r="G41" s="15" t="e">
        <f>+F41/$F$40</f>
        <v>#DIV/0!</v>
      </c>
      <c r="H41" s="44">
        <f>IFERROR((D41-F41)/F41,0)</f>
        <v>0</v>
      </c>
      <c r="I41" s="185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V41" s="34"/>
      <c r="X41" s="34"/>
      <c r="BC41" s="34"/>
    </row>
    <row r="42" spans="2:76" s="33" customFormat="1">
      <c r="B42" s="460"/>
      <c r="C42" s="187" t="s">
        <v>75</v>
      </c>
      <c r="D42" s="46">
        <f>BS!F13</f>
        <v>0</v>
      </c>
      <c r="E42" s="15" t="e">
        <f>+D42/D40</f>
        <v>#DIV/0!</v>
      </c>
      <c r="F42" s="46">
        <f>BS!E13</f>
        <v>0</v>
      </c>
      <c r="G42" s="15" t="e">
        <f>+F42/$F$40</f>
        <v>#DIV/0!</v>
      </c>
      <c r="H42" s="44">
        <f>IFERROR((D42-F42)/F42,0)</f>
        <v>0</v>
      </c>
      <c r="I42" s="185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V42" s="34"/>
      <c r="X42" s="34"/>
      <c r="Y42" s="47" t="s">
        <v>88</v>
      </c>
      <c r="BC42" s="34"/>
    </row>
    <row r="43" spans="2:76" customFormat="1">
      <c r="B43" s="460"/>
      <c r="D43" s="25"/>
      <c r="E43" s="25"/>
      <c r="F43" s="25"/>
      <c r="G43" s="25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</row>
    <row r="44" spans="2:76" customFormat="1">
      <c r="B44" s="460"/>
      <c r="D44" s="25"/>
      <c r="E44" s="25"/>
      <c r="F44" s="25"/>
      <c r="G44" s="25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</row>
    <row r="45" spans="2:76" s="33" customFormat="1">
      <c r="B45" s="460"/>
      <c r="C45" s="184" t="s">
        <v>89</v>
      </c>
      <c r="D45" s="43">
        <f>+SUM(D46:D48)</f>
        <v>0</v>
      </c>
      <c r="E45" s="48" t="e">
        <f>+SUM(E46:E48)</f>
        <v>#DIV/0!</v>
      </c>
      <c r="F45" s="188">
        <f>+SUM(F46:F48)</f>
        <v>0</v>
      </c>
      <c r="G45" s="48" t="e">
        <f>+SUM(G46:G48)</f>
        <v>#DIV/0!</v>
      </c>
      <c r="H45" s="189" t="e">
        <f>(D45-F45)/F45</f>
        <v>#DIV/0!</v>
      </c>
      <c r="I45" s="185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V45" s="34"/>
      <c r="X45" s="34"/>
      <c r="Y45" s="51"/>
      <c r="BC45" s="34"/>
    </row>
    <row r="46" spans="2:76" s="33" customFormat="1">
      <c r="B46" s="460"/>
      <c r="C46" s="190" t="s">
        <v>77</v>
      </c>
      <c r="D46" s="46">
        <f>BS!F43</f>
        <v>0</v>
      </c>
      <c r="E46" s="15" t="e">
        <f>+D46/$D$45</f>
        <v>#DIV/0!</v>
      </c>
      <c r="F46" s="46">
        <f>BS!E43</f>
        <v>0</v>
      </c>
      <c r="G46" s="191" t="e">
        <f>+F46/$F$40</f>
        <v>#DIV/0!</v>
      </c>
      <c r="H46" s="44">
        <f>IFERROR((D46-F46)/F46,0)</f>
        <v>0</v>
      </c>
      <c r="I46" s="192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V46" s="34"/>
      <c r="X46" s="34"/>
      <c r="Y46" s="51"/>
      <c r="BC46" s="34"/>
    </row>
    <row r="47" spans="2:76" s="33" customFormat="1">
      <c r="B47" s="460"/>
      <c r="C47" s="186" t="s">
        <v>90</v>
      </c>
      <c r="D47" s="46">
        <f>BS!F35</f>
        <v>0</v>
      </c>
      <c r="E47" s="15" t="e">
        <f>+D47/$D$45</f>
        <v>#DIV/0!</v>
      </c>
      <c r="F47" s="46">
        <f>BS!E35</f>
        <v>0</v>
      </c>
      <c r="G47" s="15" t="e">
        <f>+F47/$F$40</f>
        <v>#DIV/0!</v>
      </c>
      <c r="H47" s="44">
        <f>IFERROR((D47-F47)/F47,0)</f>
        <v>0</v>
      </c>
      <c r="I47" s="185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V47" s="34"/>
      <c r="X47" s="34"/>
      <c r="BC47" s="34"/>
    </row>
    <row r="48" spans="2:76" s="33" customFormat="1">
      <c r="B48" s="460"/>
      <c r="C48" s="187" t="s">
        <v>91</v>
      </c>
      <c r="D48" s="46">
        <f>BS!F29</f>
        <v>0</v>
      </c>
      <c r="E48" s="15" t="e">
        <f>+D48/$D$45</f>
        <v>#DIV/0!</v>
      </c>
      <c r="F48" s="46">
        <f>BS!E29</f>
        <v>0</v>
      </c>
      <c r="G48" s="15" t="e">
        <f>+F48/$F$40</f>
        <v>#DIV/0!</v>
      </c>
      <c r="H48" s="44">
        <f>IFERROR((D48-F48)/F48,0)</f>
        <v>0</v>
      </c>
      <c r="I48" s="185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V48" s="34"/>
      <c r="X48" s="34"/>
      <c r="Y48" s="45" t="s">
        <v>92</v>
      </c>
      <c r="BC48" s="34"/>
    </row>
    <row r="49" spans="2:76" customFormat="1">
      <c r="B49" s="460"/>
      <c r="C49" s="34"/>
      <c r="D49" s="33"/>
      <c r="E49" s="33"/>
      <c r="F49" s="25"/>
      <c r="G49" s="25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</row>
    <row r="50" spans="2:76" customFormat="1">
      <c r="B50" s="460"/>
      <c r="C50" s="34"/>
      <c r="D50" s="33"/>
      <c r="E50" s="33"/>
      <c r="F50" s="25"/>
      <c r="G50" s="25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193"/>
      <c r="W50" s="34"/>
      <c r="X50" s="193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</row>
    <row r="51" spans="2:76" s="33" customFormat="1">
      <c r="B51" s="460"/>
      <c r="C51" s="184" t="s">
        <v>93</v>
      </c>
      <c r="D51" s="49" t="b">
        <f>D45=D40</f>
        <v>1</v>
      </c>
      <c r="E51" s="194">
        <f>+D40-D45</f>
        <v>0</v>
      </c>
      <c r="F51" s="49" t="b">
        <f>F45=F40</f>
        <v>1</v>
      </c>
      <c r="G51" s="50">
        <f>+F40-F45</f>
        <v>0</v>
      </c>
      <c r="H51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V51" s="193"/>
      <c r="X51" s="193"/>
      <c r="Y51"/>
      <c r="BC51" s="34"/>
    </row>
    <row r="52" spans="2:76" customFormat="1" ht="15.75" thickBot="1">
      <c r="B52" s="460"/>
      <c r="C52" s="34"/>
      <c r="D52" s="33"/>
      <c r="E52" s="33"/>
      <c r="F52" s="33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195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</row>
    <row r="53" spans="2:76" customFormat="1" ht="15.75" thickBot="1">
      <c r="B53" s="460"/>
      <c r="C53" s="196" t="str">
        <f>+C39</f>
        <v>EUR</v>
      </c>
      <c r="D53" s="52" t="str">
        <f>H78</f>
        <v>FY24</v>
      </c>
      <c r="E53" s="33"/>
      <c r="F53" s="33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</row>
    <row r="54" spans="2:76" customFormat="1">
      <c r="B54" s="460"/>
      <c r="C54" s="197" t="s">
        <v>94</v>
      </c>
      <c r="D54" s="198">
        <f>BS!F26+BS!F27+BS!F31</f>
        <v>0</v>
      </c>
      <c r="E54" s="33"/>
      <c r="F54" s="33"/>
      <c r="G54" s="199"/>
      <c r="H54" s="34"/>
      <c r="I54" s="193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200"/>
      <c r="X54" s="200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</row>
    <row r="55" spans="2:76" customFormat="1">
      <c r="B55" s="460"/>
      <c r="C55" s="201" t="s">
        <v>95</v>
      </c>
      <c r="D55" s="202">
        <f>H118</f>
        <v>0</v>
      </c>
      <c r="E55" s="33"/>
      <c r="F55" s="33"/>
      <c r="G55" s="199"/>
      <c r="H55" s="34"/>
      <c r="I55" s="193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200"/>
      <c r="X55" s="200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</row>
    <row r="56" spans="2:76" customFormat="1" ht="15.75" thickBot="1">
      <c r="B56" s="460"/>
      <c r="C56" s="203" t="s">
        <v>96</v>
      </c>
      <c r="D56" s="55">
        <f>+D54-D55</f>
        <v>0</v>
      </c>
      <c r="E56" s="33"/>
      <c r="F56" s="199"/>
      <c r="G56" s="19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200"/>
      <c r="X56" s="200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</row>
    <row r="57" spans="2:76" customFormat="1" ht="15.75" thickBot="1">
      <c r="B57" s="460"/>
      <c r="C57" s="34"/>
      <c r="D57" s="204"/>
      <c r="E57" s="33"/>
      <c r="F57" s="199"/>
      <c r="G57" s="199"/>
      <c r="H57" s="34"/>
      <c r="I57" s="205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</row>
    <row r="58" spans="2:76" customFormat="1">
      <c r="B58" s="460"/>
      <c r="C58" s="206" t="s">
        <v>97</v>
      </c>
      <c r="D58" s="53">
        <f>IS.CF!F20-IS.CF!F18-IS.CF!F13</f>
        <v>0</v>
      </c>
      <c r="E58" s="33"/>
      <c r="F58" s="199"/>
      <c r="G58" s="199"/>
      <c r="H58" s="34"/>
      <c r="I58" s="193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</row>
    <row r="59" spans="2:76" customFormat="1">
      <c r="B59" s="460"/>
      <c r="C59" s="207" t="s">
        <v>98</v>
      </c>
      <c r="D59" s="54">
        <f>(IS.CF!F11+IS.CF!F10)*-1</f>
        <v>0</v>
      </c>
      <c r="E59" s="33"/>
      <c r="F59" s="199"/>
      <c r="G59" s="19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</row>
    <row r="60" spans="2:76" customFormat="1" ht="15.75" thickBot="1">
      <c r="B60" s="460"/>
      <c r="C60" s="208" t="s">
        <v>99</v>
      </c>
      <c r="D60" s="55">
        <f>+D58+D59</f>
        <v>0</v>
      </c>
      <c r="E60" s="33"/>
      <c r="F60" s="199"/>
      <c r="G60" s="19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</row>
    <row r="61" spans="2:76" customFormat="1" ht="15.75" thickBot="1">
      <c r="B61" s="460"/>
      <c r="D61" s="56"/>
      <c r="E61" s="33"/>
      <c r="F61" s="199"/>
      <c r="G61" s="19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</row>
    <row r="62" spans="2:76" customFormat="1">
      <c r="B62" s="460"/>
      <c r="C62" s="206" t="s">
        <v>100</v>
      </c>
      <c r="D62" s="53">
        <f>H93</f>
        <v>0</v>
      </c>
      <c r="E62" s="33"/>
      <c r="F62" s="33"/>
      <c r="G62" s="199"/>
      <c r="H62" s="34"/>
      <c r="I62" s="34"/>
      <c r="J62" s="209"/>
      <c r="K62" s="34"/>
      <c r="L62" s="34"/>
      <c r="M62" s="40" t="s">
        <v>85</v>
      </c>
      <c r="O62" s="40" t="s">
        <v>89</v>
      </c>
      <c r="Q62" s="34"/>
      <c r="R62" s="34"/>
      <c r="S62" s="34"/>
      <c r="T62" s="34"/>
      <c r="U62" s="40" t="s">
        <v>85</v>
      </c>
      <c r="W62" s="57" t="s">
        <v>89</v>
      </c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</row>
    <row r="63" spans="2:76" customFormat="1" ht="15.75" thickBot="1">
      <c r="B63" s="460"/>
      <c r="C63" s="210" t="s">
        <v>97</v>
      </c>
      <c r="D63" s="58">
        <f>+D58</f>
        <v>0</v>
      </c>
      <c r="E63" s="33"/>
      <c r="F63" s="33"/>
      <c r="G63" s="199"/>
      <c r="H63" s="34"/>
      <c r="I63" s="34"/>
      <c r="J63" s="34"/>
      <c r="K63" s="34"/>
      <c r="L63" s="34"/>
      <c r="M63" s="398">
        <f>D40</f>
        <v>0</v>
      </c>
      <c r="O63" s="398">
        <f>D45</f>
        <v>0</v>
      </c>
      <c r="Q63" s="34"/>
      <c r="R63" s="34"/>
      <c r="S63" s="34"/>
      <c r="T63" s="34"/>
      <c r="U63" s="398">
        <f>F40</f>
        <v>0</v>
      </c>
      <c r="W63" s="399">
        <f>F45</f>
        <v>0</v>
      </c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</row>
    <row r="64" spans="2:76" customFormat="1" ht="15.75" thickBot="1">
      <c r="B64" s="460"/>
      <c r="D64" s="56"/>
      <c r="E64" s="33"/>
      <c r="F64" s="33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</row>
    <row r="65" spans="2:76" customFormat="1">
      <c r="B65" s="460"/>
      <c r="C65" s="197" t="s">
        <v>101</v>
      </c>
      <c r="D65" s="53"/>
      <c r="E65" s="33"/>
      <c r="F65" s="33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</row>
    <row r="66" spans="2:76" customFormat="1">
      <c r="B66" s="460"/>
      <c r="C66" s="201" t="s">
        <v>102</v>
      </c>
      <c r="D66" s="211" t="e">
        <f>D65/D48</f>
        <v>#DIV/0!</v>
      </c>
      <c r="E66" s="33"/>
      <c r="F66" s="33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</row>
    <row r="67" spans="2:76" customFormat="1">
      <c r="B67" s="460"/>
      <c r="C67" s="201" t="s">
        <v>103</v>
      </c>
      <c r="D67" s="54">
        <f>H101</f>
        <v>0</v>
      </c>
      <c r="E67" s="33"/>
      <c r="F67" s="33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</row>
    <row r="68" spans="2:76" customFormat="1">
      <c r="B68" s="460"/>
      <c r="C68" s="201" t="s">
        <v>104</v>
      </c>
      <c r="D68" s="54" t="e">
        <f>H102</f>
        <v>#DIV/0!</v>
      </c>
      <c r="E68" s="33"/>
      <c r="F68" s="33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</row>
    <row r="69" spans="2:76" customFormat="1" ht="15.75" thickBot="1">
      <c r="B69" s="460"/>
      <c r="C69" s="212" t="s">
        <v>105</v>
      </c>
      <c r="D69" s="213" t="s">
        <v>106</v>
      </c>
      <c r="E69" s="496"/>
      <c r="F69" s="496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</row>
    <row r="70" spans="2:76" customFormat="1">
      <c r="B70" s="34"/>
      <c r="F70" s="214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</row>
    <row r="71" spans="2:76" customFormat="1">
      <c r="B71" s="34"/>
      <c r="F71" s="214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</row>
    <row r="72" spans="2:76" customFormat="1">
      <c r="B72" s="34"/>
      <c r="C72" s="34"/>
      <c r="D72" s="34"/>
      <c r="E72" s="34"/>
      <c r="F72" s="214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</row>
    <row r="73" spans="2:76" customFormat="1">
      <c r="B73" s="34"/>
      <c r="C73" s="34"/>
      <c r="D73" s="199"/>
      <c r="E73" s="33"/>
      <c r="F73" s="33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</row>
    <row r="74" spans="2:76" s="160" customFormat="1">
      <c r="D74" s="161"/>
      <c r="E74" s="161"/>
      <c r="F74" s="161"/>
      <c r="G74" s="161"/>
    </row>
    <row r="75" spans="2:76" s="162" customFormat="1">
      <c r="D75" s="163"/>
      <c r="E75" s="163"/>
      <c r="F75" s="163"/>
      <c r="G75" s="163"/>
    </row>
    <row r="76" spans="2:76" s="162" customFormat="1">
      <c r="C76" s="215" t="s">
        <v>107</v>
      </c>
      <c r="D76" s="163"/>
      <c r="E76" s="163"/>
      <c r="F76" s="163"/>
      <c r="G76" s="163"/>
    </row>
    <row r="77" spans="2:76" customFormat="1" ht="15.75" thickBot="1">
      <c r="B77" s="34"/>
      <c r="C77" s="34"/>
      <c r="D77" s="34"/>
      <c r="E77" s="34"/>
      <c r="F77" s="34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</row>
    <row r="78" spans="2:76" customFormat="1" ht="15.75" thickBot="1">
      <c r="B78" s="61" t="str">
        <f>B7</f>
        <v>EUR</v>
      </c>
      <c r="C78" s="216" t="s">
        <v>108</v>
      </c>
      <c r="D78" s="63" t="str">
        <f>_xlfn.CONCAT("FY",RIGHT(BS!B6,2))</f>
        <v>FY20</v>
      </c>
      <c r="E78" s="64" t="str">
        <f>_xlfn.CONCAT("FY",RIGHT(BS!C6,2))</f>
        <v>FY21</v>
      </c>
      <c r="F78" s="400" t="str">
        <f>_xlfn.CONCAT("FY",RIGHT(BS!D6,2))</f>
        <v>FY22</v>
      </c>
      <c r="G78" s="402" t="str">
        <f>_xlfn.CONCAT("FY",RIGHT(BS!E6,2))</f>
        <v>FY23</v>
      </c>
      <c r="H78" s="401" t="str">
        <f>_xlfn.CONCAT("FY",RIGHT(BS!F6,2))</f>
        <v>FY24</v>
      </c>
      <c r="I78" s="65" t="s">
        <v>109</v>
      </c>
      <c r="J78" s="65" t="s">
        <v>110</v>
      </c>
      <c r="K78" s="65" t="s">
        <v>111</v>
      </c>
      <c r="L78" s="34"/>
      <c r="M78" s="218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20"/>
      <c r="AD78" s="221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3"/>
      <c r="BA78" s="224"/>
      <c r="BB78" s="224"/>
      <c r="BC78" s="224"/>
      <c r="BD78" s="224"/>
      <c r="BE78" s="224"/>
      <c r="BF78" s="224"/>
      <c r="BG78" s="224"/>
      <c r="BH78" s="224"/>
      <c r="BI78" s="224"/>
      <c r="BJ78" s="224"/>
      <c r="BK78" s="224"/>
      <c r="BL78" s="224"/>
      <c r="BM78" s="224"/>
      <c r="BN78" s="224"/>
      <c r="BO78" s="224"/>
      <c r="BP78" s="224"/>
      <c r="BQ78" s="224"/>
      <c r="BR78" s="225"/>
      <c r="BS78" s="34"/>
      <c r="BT78" s="34"/>
      <c r="BU78" s="34"/>
      <c r="BV78" s="34"/>
      <c r="BW78" s="34"/>
      <c r="BX78" s="34"/>
    </row>
    <row r="79" spans="2:76" s="33" customFormat="1" ht="15.75" thickBot="1">
      <c r="B79" s="468" t="s">
        <v>112</v>
      </c>
      <c r="C79" s="66" t="s">
        <v>113</v>
      </c>
      <c r="D79" s="226"/>
      <c r="E79" s="226"/>
      <c r="F79" s="226"/>
      <c r="G79" s="226">
        <f>IS.CF!E6</f>
        <v>0</v>
      </c>
      <c r="H79" s="226">
        <f>IS.CF!F6</f>
        <v>0</v>
      </c>
      <c r="I79" s="367">
        <f>+AVERAGE(D79:H79)</f>
        <v>0</v>
      </c>
      <c r="J79" s="67" t="e">
        <f>+(H79-G79)/G79</f>
        <v>#DIV/0!</v>
      </c>
      <c r="K79" s="67" t="e">
        <f>(H79/D79)^(1/4)-1</f>
        <v>#DIV/0!</v>
      </c>
      <c r="M79" s="227"/>
      <c r="N79" s="228"/>
      <c r="O79" s="228"/>
      <c r="P79" s="228"/>
      <c r="Q79" s="228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30"/>
      <c r="AD79" s="231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  <c r="AX79" s="232"/>
      <c r="AY79" s="232"/>
      <c r="AZ79" s="233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4"/>
      <c r="BM79" s="234"/>
      <c r="BN79" s="234"/>
      <c r="BO79" s="234"/>
      <c r="BP79" s="234"/>
      <c r="BQ79" s="234"/>
      <c r="BR79" s="235"/>
    </row>
    <row r="80" spans="2:76" s="33" customFormat="1" ht="15.75" thickBot="1">
      <c r="B80" s="468"/>
      <c r="C80" s="70"/>
      <c r="D80" s="236"/>
      <c r="E80" s="236"/>
      <c r="F80" s="236"/>
      <c r="G80" s="236"/>
      <c r="H80" s="236"/>
      <c r="I80" s="110"/>
      <c r="J80" s="71"/>
      <c r="K80" s="71"/>
      <c r="M80" s="237"/>
      <c r="N80" s="228"/>
      <c r="O80" s="228"/>
      <c r="P80" s="228"/>
      <c r="Q80" s="228"/>
      <c r="R80" s="229"/>
      <c r="S80" s="229"/>
      <c r="T80" s="229"/>
      <c r="U80" s="229"/>
      <c r="V80" s="229"/>
      <c r="W80" s="229"/>
      <c r="X80" s="469"/>
      <c r="Y80" s="469"/>
      <c r="Z80" s="469"/>
      <c r="AA80" s="469"/>
      <c r="AB80" s="469"/>
      <c r="AC80" s="469"/>
      <c r="AD80" s="231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497"/>
      <c r="AS80" s="497"/>
      <c r="AT80" s="497"/>
      <c r="AU80" s="497"/>
      <c r="AV80" s="497"/>
      <c r="AW80" s="497"/>
      <c r="AX80" s="497"/>
      <c r="AY80" s="497"/>
      <c r="AZ80" s="233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4"/>
      <c r="BM80" s="234"/>
      <c r="BN80" s="470" t="s">
        <v>114</v>
      </c>
      <c r="BO80" s="470"/>
      <c r="BP80" s="470"/>
      <c r="BQ80" s="68"/>
      <c r="BR80" s="69" t="e">
        <f t="shared" ref="BR80:BR87" si="1">+BQ80/$BQ$88</f>
        <v>#DIV/0!</v>
      </c>
    </row>
    <row r="81" spans="2:70" s="33" customFormat="1" ht="15.75" customHeight="1" thickBot="1">
      <c r="B81" s="468"/>
      <c r="C81" s="70"/>
      <c r="D81" s="236"/>
      <c r="E81" s="236"/>
      <c r="F81" s="236"/>
      <c r="G81" s="236"/>
      <c r="H81" s="236"/>
      <c r="I81" s="110"/>
      <c r="J81" s="71"/>
      <c r="K81" s="71"/>
      <c r="M81" s="238"/>
      <c r="N81" s="228"/>
      <c r="O81" s="228"/>
      <c r="P81" s="228"/>
      <c r="Q81" s="228"/>
      <c r="R81" s="229"/>
      <c r="S81" s="229"/>
      <c r="T81" s="229"/>
      <c r="U81" s="229"/>
      <c r="V81" s="229"/>
      <c r="W81" s="229"/>
      <c r="X81" s="469"/>
      <c r="Y81" s="469"/>
      <c r="Z81" s="469"/>
      <c r="AA81" s="469"/>
      <c r="AB81" s="469"/>
      <c r="AC81" s="469"/>
      <c r="AD81" s="231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497"/>
      <c r="AS81" s="497"/>
      <c r="AT81" s="497"/>
      <c r="AU81" s="497"/>
      <c r="AV81" s="497"/>
      <c r="AW81" s="497"/>
      <c r="AX81" s="497"/>
      <c r="AY81" s="497"/>
      <c r="AZ81" s="233"/>
      <c r="BA81" s="234"/>
      <c r="BB81" s="234"/>
      <c r="BC81" s="234"/>
      <c r="BD81" s="234"/>
      <c r="BE81" s="234"/>
      <c r="BF81" s="234"/>
      <c r="BG81" s="234"/>
      <c r="BH81" s="234"/>
      <c r="BI81" s="234"/>
      <c r="BJ81" s="234"/>
      <c r="BK81" s="234"/>
      <c r="BL81" s="234"/>
      <c r="BM81" s="234"/>
      <c r="BN81" s="239" t="s">
        <v>115</v>
      </c>
      <c r="BO81" s="240"/>
      <c r="BP81" s="241"/>
      <c r="BQ81" s="68"/>
      <c r="BR81" s="69" t="e">
        <f t="shared" si="1"/>
        <v>#DIV/0!</v>
      </c>
    </row>
    <row r="82" spans="2:70" s="33" customFormat="1" ht="15.75" hidden="1" customHeight="1">
      <c r="B82" s="468"/>
      <c r="C82" s="70" t="s">
        <v>116</v>
      </c>
      <c r="D82" s="236"/>
      <c r="E82" s="236"/>
      <c r="F82" s="236"/>
      <c r="G82" s="236"/>
      <c r="H82" s="236"/>
      <c r="I82" s="110" t="e">
        <f t="shared" ref="I82:I92" si="2">+AVERAGE(D82:H82)</f>
        <v>#DIV/0!</v>
      </c>
      <c r="J82" s="71" t="e">
        <f t="shared" ref="J82:J90" si="3">+(H82-G82)/G82</f>
        <v>#DIV/0!</v>
      </c>
      <c r="K82" s="71"/>
      <c r="M82" s="238"/>
      <c r="N82" s="228"/>
      <c r="O82" s="228"/>
      <c r="P82" s="228"/>
      <c r="Q82" s="228"/>
      <c r="R82" s="229"/>
      <c r="S82" s="229"/>
      <c r="T82" s="229"/>
      <c r="U82" s="229"/>
      <c r="V82" s="229"/>
      <c r="W82" s="229"/>
      <c r="X82" s="469"/>
      <c r="Y82" s="469"/>
      <c r="Z82" s="469"/>
      <c r="AA82" s="469"/>
      <c r="AB82" s="469"/>
      <c r="AC82" s="469"/>
      <c r="AD82" s="231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497"/>
      <c r="AS82" s="497"/>
      <c r="AT82" s="497"/>
      <c r="AU82" s="497"/>
      <c r="AV82" s="497"/>
      <c r="AW82" s="497"/>
      <c r="AX82" s="497"/>
      <c r="AY82" s="497"/>
      <c r="AZ82" s="233"/>
      <c r="BA82" s="234"/>
      <c r="BB82" s="234"/>
      <c r="BC82" s="234"/>
      <c r="BD82" s="234"/>
      <c r="BE82" s="234"/>
      <c r="BF82" s="234"/>
      <c r="BG82" s="234"/>
      <c r="BH82" s="234"/>
      <c r="BI82" s="234"/>
      <c r="BJ82" s="234"/>
      <c r="BK82" s="234"/>
      <c r="BL82" s="234"/>
      <c r="BM82" s="234"/>
      <c r="BN82" s="242"/>
      <c r="BO82" s="242"/>
      <c r="BP82" s="242"/>
      <c r="BQ82" s="68"/>
      <c r="BR82" s="69" t="e">
        <f t="shared" si="1"/>
        <v>#DIV/0!</v>
      </c>
    </row>
    <row r="83" spans="2:70" s="33" customFormat="1" ht="15.75" hidden="1" customHeight="1">
      <c r="B83" s="468"/>
      <c r="C83" s="70" t="s">
        <v>117</v>
      </c>
      <c r="D83" s="236"/>
      <c r="E83" s="236"/>
      <c r="F83" s="236"/>
      <c r="G83" s="236"/>
      <c r="H83" s="236"/>
      <c r="I83" s="110" t="e">
        <f t="shared" si="2"/>
        <v>#DIV/0!</v>
      </c>
      <c r="J83" s="71" t="e">
        <f t="shared" si="3"/>
        <v>#DIV/0!</v>
      </c>
      <c r="K83" s="71"/>
      <c r="M83" s="238"/>
      <c r="N83" s="228"/>
      <c r="O83" s="228"/>
      <c r="P83" s="228"/>
      <c r="Q83" s="228"/>
      <c r="R83" s="229"/>
      <c r="S83" s="229"/>
      <c r="T83" s="229"/>
      <c r="U83" s="229"/>
      <c r="V83" s="229"/>
      <c r="W83" s="229"/>
      <c r="X83" s="469"/>
      <c r="Y83" s="469"/>
      <c r="Z83" s="469"/>
      <c r="AA83" s="469"/>
      <c r="AB83" s="469"/>
      <c r="AC83" s="469"/>
      <c r="AD83" s="231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497"/>
      <c r="AS83" s="497"/>
      <c r="AT83" s="497"/>
      <c r="AU83" s="497"/>
      <c r="AV83" s="497"/>
      <c r="AW83" s="497"/>
      <c r="AX83" s="497"/>
      <c r="AY83" s="497"/>
      <c r="AZ83" s="233"/>
      <c r="BA83" s="234"/>
      <c r="BB83" s="234"/>
      <c r="BC83" s="234"/>
      <c r="BD83" s="234"/>
      <c r="BE83" s="234"/>
      <c r="BF83" s="234"/>
      <c r="BG83" s="234"/>
      <c r="BH83" s="234"/>
      <c r="BI83" s="234"/>
      <c r="BJ83" s="234"/>
      <c r="BK83" s="234"/>
      <c r="BL83" s="234"/>
      <c r="BM83" s="234"/>
      <c r="BN83" s="242"/>
      <c r="BO83" s="242"/>
      <c r="BP83" s="242"/>
      <c r="BQ83" s="68"/>
      <c r="BR83" s="69" t="e">
        <f t="shared" si="1"/>
        <v>#DIV/0!</v>
      </c>
    </row>
    <row r="84" spans="2:70" s="33" customFormat="1" ht="15.75" hidden="1" customHeight="1">
      <c r="B84" s="468"/>
      <c r="C84" s="70" t="s">
        <v>118</v>
      </c>
      <c r="D84" s="236"/>
      <c r="E84" s="236"/>
      <c r="F84" s="236"/>
      <c r="G84" s="236"/>
      <c r="H84" s="236"/>
      <c r="I84" s="110" t="e">
        <f t="shared" si="2"/>
        <v>#DIV/0!</v>
      </c>
      <c r="J84" s="71" t="e">
        <f t="shared" si="3"/>
        <v>#DIV/0!</v>
      </c>
      <c r="K84" s="71"/>
      <c r="M84" s="238"/>
      <c r="N84" s="228"/>
      <c r="O84" s="228"/>
      <c r="P84" s="228"/>
      <c r="Q84" s="228"/>
      <c r="R84" s="229"/>
      <c r="S84" s="229"/>
      <c r="T84" s="229"/>
      <c r="U84" s="229"/>
      <c r="V84" s="229"/>
      <c r="W84" s="229"/>
      <c r="X84" s="469"/>
      <c r="Y84" s="469"/>
      <c r="Z84" s="469"/>
      <c r="AA84" s="469"/>
      <c r="AB84" s="469"/>
      <c r="AC84" s="469"/>
      <c r="AD84" s="231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497"/>
      <c r="AS84" s="497"/>
      <c r="AT84" s="497"/>
      <c r="AU84" s="497"/>
      <c r="AV84" s="497"/>
      <c r="AW84" s="497"/>
      <c r="AX84" s="497"/>
      <c r="AY84" s="497"/>
      <c r="AZ84" s="233"/>
      <c r="BA84" s="234"/>
      <c r="BB84" s="234"/>
      <c r="BC84" s="234"/>
      <c r="BD84" s="234"/>
      <c r="BE84" s="234"/>
      <c r="BF84" s="234"/>
      <c r="BG84" s="234"/>
      <c r="BH84" s="234"/>
      <c r="BI84" s="234"/>
      <c r="BJ84" s="234"/>
      <c r="BK84" s="234"/>
      <c r="BL84" s="234"/>
      <c r="BM84" s="234"/>
      <c r="BN84" s="242"/>
      <c r="BO84" s="242"/>
      <c r="BP84" s="242"/>
      <c r="BQ84" s="68"/>
      <c r="BR84" s="69" t="e">
        <f t="shared" si="1"/>
        <v>#DIV/0!</v>
      </c>
    </row>
    <row r="85" spans="2:70" s="33" customFormat="1" ht="15.75" hidden="1" customHeight="1">
      <c r="B85" s="468"/>
      <c r="C85" s="70" t="s">
        <v>13</v>
      </c>
      <c r="D85" s="236"/>
      <c r="E85" s="236"/>
      <c r="F85" s="236"/>
      <c r="G85" s="236"/>
      <c r="H85" s="236"/>
      <c r="I85" s="110" t="e">
        <f t="shared" si="2"/>
        <v>#DIV/0!</v>
      </c>
      <c r="J85" s="71" t="e">
        <f t="shared" si="3"/>
        <v>#DIV/0!</v>
      </c>
      <c r="K85" s="71"/>
      <c r="M85" s="238"/>
      <c r="N85" s="228"/>
      <c r="O85" s="228"/>
      <c r="P85" s="228"/>
      <c r="Q85" s="228"/>
      <c r="R85" s="229"/>
      <c r="S85" s="229"/>
      <c r="T85" s="229"/>
      <c r="U85" s="229"/>
      <c r="V85" s="229"/>
      <c r="W85" s="229"/>
      <c r="X85" s="469"/>
      <c r="Y85" s="469"/>
      <c r="Z85" s="469"/>
      <c r="AA85" s="469"/>
      <c r="AB85" s="469"/>
      <c r="AC85" s="469"/>
      <c r="AD85" s="231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2"/>
      <c r="AQ85" s="232"/>
      <c r="AR85" s="497"/>
      <c r="AS85" s="497"/>
      <c r="AT85" s="497"/>
      <c r="AU85" s="497"/>
      <c r="AV85" s="497"/>
      <c r="AW85" s="497"/>
      <c r="AX85" s="497"/>
      <c r="AY85" s="497"/>
      <c r="AZ85" s="233"/>
      <c r="BA85" s="234"/>
      <c r="BB85" s="234"/>
      <c r="BC85" s="234"/>
      <c r="BD85" s="234"/>
      <c r="BE85" s="234"/>
      <c r="BF85" s="234"/>
      <c r="BG85" s="234"/>
      <c r="BH85" s="234"/>
      <c r="BI85" s="234"/>
      <c r="BJ85" s="234"/>
      <c r="BK85" s="234"/>
      <c r="BL85" s="234"/>
      <c r="BM85" s="234"/>
      <c r="BN85" s="242"/>
      <c r="BO85" s="242"/>
      <c r="BP85" s="242"/>
      <c r="BQ85" s="68"/>
      <c r="BR85" s="69" t="e">
        <f t="shared" si="1"/>
        <v>#DIV/0!</v>
      </c>
    </row>
    <row r="86" spans="2:70" s="33" customFormat="1" ht="15.75" customHeight="1" thickBot="1">
      <c r="B86" s="468"/>
      <c r="C86" s="79" t="s">
        <v>119</v>
      </c>
      <c r="D86" s="236"/>
      <c r="E86" s="236"/>
      <c r="F86" s="236"/>
      <c r="G86" s="236">
        <f>IS.CF!E8</f>
        <v>0</v>
      </c>
      <c r="H86" s="236">
        <f>IS.CF!F8</f>
        <v>0</v>
      </c>
      <c r="I86" s="73">
        <f t="shared" si="2"/>
        <v>0</v>
      </c>
      <c r="J86" s="74" t="e">
        <f t="shared" si="3"/>
        <v>#DIV/0!</v>
      </c>
      <c r="K86" s="71"/>
      <c r="M86" s="238"/>
      <c r="N86" s="228"/>
      <c r="O86" s="228"/>
      <c r="P86" s="228"/>
      <c r="Q86" s="228"/>
      <c r="R86" s="229"/>
      <c r="S86" s="229"/>
      <c r="T86" s="229"/>
      <c r="U86" s="229"/>
      <c r="V86" s="229"/>
      <c r="W86" s="229"/>
      <c r="X86" s="469"/>
      <c r="Y86" s="469"/>
      <c r="Z86" s="469"/>
      <c r="AA86" s="469"/>
      <c r="AB86" s="469"/>
      <c r="AC86" s="469"/>
      <c r="AD86" s="231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497"/>
      <c r="AS86" s="497"/>
      <c r="AT86" s="497"/>
      <c r="AU86" s="497"/>
      <c r="AV86" s="497"/>
      <c r="AW86" s="497"/>
      <c r="AX86" s="497"/>
      <c r="AY86" s="497"/>
      <c r="AZ86" s="233"/>
      <c r="BA86" s="234"/>
      <c r="BB86" s="234"/>
      <c r="BC86" s="234"/>
      <c r="BD86" s="234"/>
      <c r="BE86" s="234"/>
      <c r="BF86" s="234"/>
      <c r="BG86" s="234"/>
      <c r="BH86" s="234"/>
      <c r="BI86" s="234"/>
      <c r="BJ86" s="234"/>
      <c r="BK86" s="234"/>
      <c r="BL86" s="234"/>
      <c r="BM86" s="234"/>
      <c r="BN86" s="239" t="s">
        <v>120</v>
      </c>
      <c r="BO86" s="240"/>
      <c r="BP86" s="241"/>
      <c r="BQ86" s="68"/>
      <c r="BR86" s="69" t="e">
        <f t="shared" si="1"/>
        <v>#DIV/0!</v>
      </c>
    </row>
    <row r="87" spans="2:70" s="33" customFormat="1" ht="15.75" customHeight="1" thickBot="1">
      <c r="B87" s="468"/>
      <c r="C87" s="82" t="s">
        <v>121</v>
      </c>
      <c r="D87" s="243"/>
      <c r="E87" s="243"/>
      <c r="F87" s="243"/>
      <c r="G87" s="243" t="e">
        <f>+G86/G79</f>
        <v>#DIV/0!</v>
      </c>
      <c r="H87" s="243" t="e">
        <f>+H86/H79</f>
        <v>#DIV/0!</v>
      </c>
      <c r="I87" s="244" t="e">
        <f t="shared" si="2"/>
        <v>#DIV/0!</v>
      </c>
      <c r="J87" s="74" t="e">
        <f t="shared" si="3"/>
        <v>#DIV/0!</v>
      </c>
      <c r="K87" s="245" t="e">
        <f>(H87/D87)^(1/4)-1</f>
        <v>#DIV/0!</v>
      </c>
      <c r="M87" s="238"/>
      <c r="N87" s="228"/>
      <c r="O87" s="228"/>
      <c r="P87" s="228"/>
      <c r="Q87" s="228"/>
      <c r="R87" s="229"/>
      <c r="S87" s="229"/>
      <c r="T87" s="229"/>
      <c r="U87" s="229"/>
      <c r="V87" s="229"/>
      <c r="W87" s="229"/>
      <c r="X87" s="469"/>
      <c r="Y87" s="469"/>
      <c r="Z87" s="469"/>
      <c r="AA87" s="469"/>
      <c r="AB87" s="469"/>
      <c r="AC87" s="469"/>
      <c r="AD87" s="231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497"/>
      <c r="AS87" s="497"/>
      <c r="AT87" s="497"/>
      <c r="AU87" s="497"/>
      <c r="AV87" s="497"/>
      <c r="AW87" s="497"/>
      <c r="AX87" s="497"/>
      <c r="AY87" s="497"/>
      <c r="AZ87" s="233"/>
      <c r="BA87" s="234"/>
      <c r="BB87" s="234"/>
      <c r="BC87" s="234"/>
      <c r="BD87" s="234"/>
      <c r="BE87" s="234"/>
      <c r="BF87" s="234"/>
      <c r="BG87" s="234"/>
      <c r="BH87" s="234"/>
      <c r="BI87" s="234"/>
      <c r="BJ87" s="234"/>
      <c r="BK87" s="234"/>
      <c r="BL87" s="234"/>
      <c r="BM87" s="234"/>
      <c r="BN87" s="239" t="s">
        <v>122</v>
      </c>
      <c r="BO87" s="240"/>
      <c r="BP87" s="241"/>
      <c r="BQ87" s="68"/>
      <c r="BR87" s="69" t="e">
        <f t="shared" si="1"/>
        <v>#DIV/0!</v>
      </c>
    </row>
    <row r="88" spans="2:70" s="33" customFormat="1" ht="15.75" thickBot="1">
      <c r="B88" s="468"/>
      <c r="C88" s="72" t="s">
        <v>99</v>
      </c>
      <c r="D88" s="109"/>
      <c r="E88" s="109"/>
      <c r="F88" s="109"/>
      <c r="G88" s="109">
        <f>G91+G90</f>
        <v>0</v>
      </c>
      <c r="H88" s="109">
        <f>H91+H90</f>
        <v>0</v>
      </c>
      <c r="I88" s="73">
        <f t="shared" si="2"/>
        <v>0</v>
      </c>
      <c r="J88" s="74" t="e">
        <f t="shared" si="3"/>
        <v>#DIV/0!</v>
      </c>
      <c r="K88" s="75" t="e">
        <f>(H88/D88)^(1/4)-1</f>
        <v>#DIV/0!</v>
      </c>
      <c r="M88" s="238"/>
      <c r="N88" s="228"/>
      <c r="O88" s="228"/>
      <c r="P88" s="228"/>
      <c r="Q88" s="228"/>
      <c r="R88" s="229"/>
      <c r="S88" s="229"/>
      <c r="T88" s="229"/>
      <c r="U88" s="229"/>
      <c r="V88" s="229"/>
      <c r="W88" s="229"/>
      <c r="X88" s="469"/>
      <c r="Y88" s="469"/>
      <c r="Z88" s="469"/>
      <c r="AA88" s="469"/>
      <c r="AB88" s="469"/>
      <c r="AC88" s="469"/>
      <c r="AD88" s="231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497"/>
      <c r="AS88" s="497"/>
      <c r="AT88" s="497"/>
      <c r="AU88" s="497"/>
      <c r="AV88" s="497"/>
      <c r="AW88" s="497"/>
      <c r="AX88" s="497"/>
      <c r="AY88" s="497"/>
      <c r="AZ88" s="233"/>
      <c r="BA88" s="234"/>
      <c r="BB88" s="234"/>
      <c r="BC88" s="234"/>
      <c r="BD88" s="234"/>
      <c r="BE88" s="234"/>
      <c r="BF88" s="234"/>
      <c r="BG88" s="234"/>
      <c r="BH88" s="234"/>
      <c r="BI88" s="234"/>
      <c r="BJ88" s="234"/>
      <c r="BK88" s="234"/>
      <c r="BL88" s="234"/>
      <c r="BM88" s="234"/>
      <c r="BN88" s="471" t="s">
        <v>123</v>
      </c>
      <c r="BO88" s="471"/>
      <c r="BP88" s="471"/>
      <c r="BQ88" s="80">
        <f>+SUM(BQ80:BQ86)</f>
        <v>0</v>
      </c>
      <c r="BR88" s="81" t="e">
        <f>+SUM(BR80:BR87)</f>
        <v>#DIV/0!</v>
      </c>
    </row>
    <row r="89" spans="2:70" s="33" customFormat="1" ht="15.75" thickBot="1">
      <c r="B89" s="468"/>
      <c r="C89" s="76" t="s">
        <v>124</v>
      </c>
      <c r="D89" s="77"/>
      <c r="E89" s="77"/>
      <c r="F89" s="77"/>
      <c r="G89" s="77" t="e">
        <f>G88/G79</f>
        <v>#DIV/0!</v>
      </c>
      <c r="H89" s="77" t="e">
        <f>H88/H79</f>
        <v>#DIV/0!</v>
      </c>
      <c r="I89" s="78" t="e">
        <f t="shared" si="2"/>
        <v>#DIV/0!</v>
      </c>
      <c r="J89" s="74" t="e">
        <f t="shared" si="3"/>
        <v>#DIV/0!</v>
      </c>
      <c r="K89" s="75"/>
      <c r="M89" s="238"/>
      <c r="N89" s="228"/>
      <c r="O89" s="228"/>
      <c r="P89" s="228"/>
      <c r="Q89" s="228"/>
      <c r="R89" s="229"/>
      <c r="S89" s="229"/>
      <c r="T89" s="229"/>
      <c r="U89" s="229"/>
      <c r="V89" s="229"/>
      <c r="W89" s="229"/>
      <c r="X89" s="469"/>
      <c r="Y89" s="469"/>
      <c r="Z89" s="469"/>
      <c r="AA89" s="469"/>
      <c r="AB89" s="469"/>
      <c r="AC89" s="469"/>
      <c r="AD89" s="231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497"/>
      <c r="AS89" s="497"/>
      <c r="AT89" s="497"/>
      <c r="AU89" s="497"/>
      <c r="AV89" s="497"/>
      <c r="AW89" s="497"/>
      <c r="AX89" s="497"/>
      <c r="AY89" s="497"/>
      <c r="AZ89" s="233"/>
      <c r="BA89" s="234"/>
      <c r="BB89" s="234"/>
      <c r="BC89" s="234"/>
      <c r="BD89" s="234"/>
      <c r="BE89" s="234"/>
      <c r="BF89" s="234"/>
      <c r="BG89" s="234"/>
      <c r="BH89" s="234"/>
      <c r="BI89" s="234"/>
      <c r="BJ89" s="234"/>
      <c r="BK89" s="234"/>
      <c r="BL89" s="234"/>
      <c r="BM89" s="234"/>
      <c r="BN89" s="246"/>
      <c r="BO89" s="246"/>
      <c r="BP89" s="246"/>
      <c r="BQ89" s="59"/>
      <c r="BR89" s="60"/>
    </row>
    <row r="90" spans="2:70" s="33" customFormat="1" ht="15.75" thickBot="1">
      <c r="B90" s="468"/>
      <c r="C90" s="79" t="s">
        <v>98</v>
      </c>
      <c r="D90" s="85"/>
      <c r="E90" s="85"/>
      <c r="F90" s="85"/>
      <c r="G90" s="85">
        <f>ABS(IS.CF!E10)+ABS(IS.CF!E11)</f>
        <v>0</v>
      </c>
      <c r="H90" s="85">
        <f>ABS(IS.CF!F10)+ABS(IS.CF!F11)</f>
        <v>0</v>
      </c>
      <c r="I90" s="73">
        <f t="shared" si="2"/>
        <v>0</v>
      </c>
      <c r="J90" s="74" t="e">
        <f t="shared" si="3"/>
        <v>#DIV/0!</v>
      </c>
      <c r="K90" s="74"/>
      <c r="M90" s="238"/>
      <c r="N90" s="228"/>
      <c r="O90" s="228"/>
      <c r="P90" s="228"/>
      <c r="Q90" s="228"/>
      <c r="R90" s="229"/>
      <c r="S90" s="229"/>
      <c r="T90" s="229"/>
      <c r="U90" s="229"/>
      <c r="V90" s="229"/>
      <c r="W90" s="229"/>
      <c r="X90" s="469"/>
      <c r="Y90" s="469"/>
      <c r="Z90" s="469"/>
      <c r="AA90" s="469"/>
      <c r="AB90" s="469"/>
      <c r="AC90" s="469"/>
      <c r="AD90" s="231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497"/>
      <c r="AS90" s="497"/>
      <c r="AT90" s="497"/>
      <c r="AU90" s="497"/>
      <c r="AV90" s="497"/>
      <c r="AW90" s="497"/>
      <c r="AX90" s="497"/>
      <c r="AY90" s="497"/>
      <c r="AZ90" s="233"/>
      <c r="BA90" s="234"/>
      <c r="BB90" s="234"/>
      <c r="BC90" s="234"/>
      <c r="BD90" s="234"/>
      <c r="BE90" s="234"/>
      <c r="BF90" s="234"/>
      <c r="BG90" s="234"/>
      <c r="BH90" s="234"/>
      <c r="BI90" s="234"/>
      <c r="BJ90" s="234"/>
      <c r="BK90" s="234"/>
      <c r="BL90" s="234"/>
      <c r="BM90" s="234"/>
      <c r="BN90" s="247"/>
      <c r="BO90" s="247"/>
      <c r="BP90" s="247"/>
      <c r="BQ90" s="234"/>
      <c r="BR90" s="235"/>
    </row>
    <row r="91" spans="2:70" s="33" customFormat="1" ht="15.75" thickBot="1">
      <c r="B91" s="468"/>
      <c r="C91" s="79" t="s">
        <v>97</v>
      </c>
      <c r="D91" s="88"/>
      <c r="E91" s="88"/>
      <c r="F91" s="88"/>
      <c r="G91" s="88">
        <f>IS.CF!E20-IS.CF!E18-IS.CF!E13</f>
        <v>0</v>
      </c>
      <c r="H91" s="88">
        <f>IS.CF!F20-IS.CF!F18-IS.CF!F13</f>
        <v>0</v>
      </c>
      <c r="I91" s="73">
        <f t="shared" si="2"/>
        <v>0</v>
      </c>
      <c r="J91" s="74" t="e">
        <f>+(H90-G90)/G90</f>
        <v>#DIV/0!</v>
      </c>
      <c r="K91" s="74"/>
      <c r="M91" s="238"/>
      <c r="N91" s="228"/>
      <c r="O91" s="228"/>
      <c r="P91" s="228"/>
      <c r="Q91" s="228"/>
      <c r="R91" s="229"/>
      <c r="S91" s="229"/>
      <c r="T91" s="229"/>
      <c r="U91" s="229"/>
      <c r="V91" s="229"/>
      <c r="W91" s="229"/>
      <c r="X91" s="469"/>
      <c r="Y91" s="469"/>
      <c r="Z91" s="469"/>
      <c r="AA91" s="469"/>
      <c r="AB91" s="469"/>
      <c r="AC91" s="469"/>
      <c r="AD91" s="231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497"/>
      <c r="AS91" s="497"/>
      <c r="AT91" s="497"/>
      <c r="AU91" s="497"/>
      <c r="AV91" s="497"/>
      <c r="AW91" s="497"/>
      <c r="AX91" s="497"/>
      <c r="AY91" s="497"/>
      <c r="AZ91" s="233"/>
      <c r="BA91" s="234"/>
      <c r="BB91" s="234"/>
      <c r="BC91" s="234"/>
      <c r="BD91" s="234"/>
      <c r="BE91" s="234"/>
      <c r="BF91" s="234"/>
      <c r="BG91" s="234"/>
      <c r="BH91" s="234"/>
      <c r="BI91" s="234"/>
      <c r="BJ91" s="234"/>
      <c r="BK91" s="234"/>
      <c r="BL91" s="234"/>
      <c r="BM91" s="234"/>
      <c r="BN91" s="247"/>
      <c r="BO91" s="247"/>
      <c r="BP91" s="247"/>
      <c r="BQ91" s="234"/>
      <c r="BR91" s="235"/>
    </row>
    <row r="92" spans="2:70" s="33" customFormat="1" ht="15.75" thickBot="1">
      <c r="B92" s="468"/>
      <c r="C92" s="82" t="s">
        <v>125</v>
      </c>
      <c r="D92" s="248"/>
      <c r="E92" s="248"/>
      <c r="F92" s="248"/>
      <c r="G92" s="248" t="e">
        <f>+G91/G79</f>
        <v>#DIV/0!</v>
      </c>
      <c r="H92" s="248" t="e">
        <f>+H91/H79</f>
        <v>#DIV/0!</v>
      </c>
      <c r="I92" s="83" t="e">
        <f t="shared" si="2"/>
        <v>#DIV/0!</v>
      </c>
      <c r="J92" s="74" t="e">
        <f>+(H91-G91)/G91</f>
        <v>#DIV/0!</v>
      </c>
      <c r="K92" s="74"/>
      <c r="M92" s="238"/>
      <c r="N92" s="228"/>
      <c r="O92" s="228"/>
      <c r="P92" s="228"/>
      <c r="Q92" s="228"/>
      <c r="R92" s="229"/>
      <c r="S92" s="229"/>
      <c r="T92" s="229"/>
      <c r="U92" s="229"/>
      <c r="V92" s="229"/>
      <c r="W92" s="229"/>
      <c r="X92" s="469"/>
      <c r="Y92" s="469"/>
      <c r="Z92" s="469"/>
      <c r="AA92" s="469"/>
      <c r="AB92" s="469"/>
      <c r="AC92" s="469"/>
      <c r="AD92" s="231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2"/>
      <c r="AQ92" s="232"/>
      <c r="AR92" s="497"/>
      <c r="AS92" s="497"/>
      <c r="AT92" s="497"/>
      <c r="AU92" s="497"/>
      <c r="AV92" s="497"/>
      <c r="AW92" s="497"/>
      <c r="AX92" s="497"/>
      <c r="AY92" s="497"/>
      <c r="AZ92" s="233"/>
      <c r="BA92" s="234"/>
      <c r="BB92" s="234"/>
      <c r="BC92" s="234"/>
      <c r="BD92" s="234"/>
      <c r="BE92" s="234"/>
      <c r="BF92" s="234"/>
      <c r="BG92" s="234"/>
      <c r="BH92" s="234"/>
      <c r="BI92" s="234"/>
      <c r="BJ92" s="234"/>
      <c r="BK92" s="234"/>
      <c r="BL92" s="234"/>
      <c r="BM92" s="234"/>
      <c r="BN92" s="247"/>
      <c r="BO92" s="247"/>
      <c r="BP92" s="247"/>
      <c r="BQ92" s="234"/>
      <c r="BR92" s="235"/>
    </row>
    <row r="93" spans="2:70" s="33" customFormat="1" ht="15.75" thickBot="1">
      <c r="B93" s="468"/>
      <c r="C93" s="84" t="s">
        <v>100</v>
      </c>
      <c r="D93" s="249"/>
      <c r="E93" s="249"/>
      <c r="F93" s="249"/>
      <c r="G93" s="249">
        <f>IS.CF!E13</f>
        <v>0</v>
      </c>
      <c r="H93" s="249">
        <f>IS.CF!F13</f>
        <v>0</v>
      </c>
      <c r="I93" s="73">
        <f t="shared" ref="I93:I99" si="4">+AVERAGE(D93:H93)</f>
        <v>0</v>
      </c>
      <c r="J93" s="74" t="e">
        <f>+(H93-G93)/G93</f>
        <v>#DIV/0!</v>
      </c>
      <c r="K93" s="74"/>
      <c r="M93" s="238"/>
      <c r="N93" s="228"/>
      <c r="O93" s="228"/>
      <c r="P93" s="228"/>
      <c r="Q93" s="228"/>
      <c r="R93" s="229"/>
      <c r="S93" s="229"/>
      <c r="T93" s="229"/>
      <c r="U93" s="229"/>
      <c r="V93" s="229"/>
      <c r="W93" s="229"/>
      <c r="X93" s="469"/>
      <c r="Y93" s="469"/>
      <c r="Z93" s="469"/>
      <c r="AA93" s="469"/>
      <c r="AB93" s="469"/>
      <c r="AC93" s="469"/>
      <c r="AD93" s="231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2"/>
      <c r="AQ93" s="232"/>
      <c r="AR93" s="497"/>
      <c r="AS93" s="497"/>
      <c r="AT93" s="497"/>
      <c r="AU93" s="497"/>
      <c r="AV93" s="497"/>
      <c r="AW93" s="497"/>
      <c r="AX93" s="497"/>
      <c r="AY93" s="497"/>
      <c r="AZ93" s="233"/>
      <c r="BA93" s="234"/>
      <c r="BB93" s="234"/>
      <c r="BC93" s="234"/>
      <c r="BD93" s="234"/>
      <c r="BE93" s="234"/>
      <c r="BF93" s="234"/>
      <c r="BG93" s="234"/>
      <c r="BH93" s="234"/>
      <c r="BI93" s="234"/>
      <c r="BJ93" s="234"/>
      <c r="BK93" s="234"/>
      <c r="BL93" s="234"/>
      <c r="BM93" s="234"/>
      <c r="BN93" s="247"/>
      <c r="BO93" s="247"/>
      <c r="BP93" s="247"/>
      <c r="BQ93" s="234"/>
      <c r="BR93" s="235"/>
    </row>
    <row r="94" spans="2:70" s="33" customFormat="1" ht="15.75" thickBot="1">
      <c r="B94" s="468"/>
      <c r="C94" s="87" t="s">
        <v>126</v>
      </c>
      <c r="D94" s="89"/>
      <c r="E94" s="89"/>
      <c r="F94" s="89"/>
      <c r="G94" s="89">
        <f>IS.CF!E20</f>
        <v>0</v>
      </c>
      <c r="H94" s="89">
        <f>IS.CF!F20</f>
        <v>0</v>
      </c>
      <c r="I94" s="90">
        <f t="shared" si="4"/>
        <v>0</v>
      </c>
      <c r="J94" s="75" t="e">
        <f>+(H94-G94)/G94</f>
        <v>#DIV/0!</v>
      </c>
      <c r="K94" s="75" t="e">
        <f>(H94/D94)^(1/4)-1</f>
        <v>#DIV/0!</v>
      </c>
      <c r="M94" s="238"/>
      <c r="N94" s="228"/>
      <c r="O94" s="228"/>
      <c r="P94" s="228"/>
      <c r="Q94" s="228"/>
      <c r="R94" s="229"/>
      <c r="S94" s="229"/>
      <c r="T94" s="229"/>
      <c r="U94" s="229"/>
      <c r="V94" s="229"/>
      <c r="W94" s="229"/>
      <c r="X94" s="469"/>
      <c r="Y94" s="469"/>
      <c r="Z94" s="469"/>
      <c r="AA94" s="469"/>
      <c r="AB94" s="469"/>
      <c r="AC94" s="469"/>
      <c r="AD94" s="231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497"/>
      <c r="AS94" s="497"/>
      <c r="AT94" s="497"/>
      <c r="AU94" s="497"/>
      <c r="AV94" s="497"/>
      <c r="AW94" s="497"/>
      <c r="AX94" s="497"/>
      <c r="AY94" s="497"/>
      <c r="AZ94" s="233"/>
      <c r="BA94" s="234"/>
      <c r="BB94" s="234"/>
      <c r="BC94" s="234"/>
      <c r="BD94" s="234"/>
      <c r="BE94" s="234"/>
      <c r="BF94" s="234"/>
      <c r="BG94" s="234"/>
      <c r="BH94" s="234"/>
      <c r="BI94" s="234"/>
      <c r="BJ94" s="234"/>
      <c r="BK94" s="234"/>
      <c r="BL94" s="234"/>
      <c r="BM94" s="234"/>
      <c r="BN94" s="247"/>
      <c r="BO94" s="247"/>
      <c r="BP94" s="247"/>
      <c r="BQ94" s="251"/>
      <c r="BR94" s="235"/>
    </row>
    <row r="95" spans="2:70" s="33" customFormat="1" ht="15.75" thickBot="1">
      <c r="B95" s="468"/>
      <c r="C95" s="91" t="s">
        <v>127</v>
      </c>
      <c r="D95" s="92"/>
      <c r="E95" s="92"/>
      <c r="F95" s="92"/>
      <c r="G95" s="92" t="e">
        <f>+G94/G79</f>
        <v>#DIV/0!</v>
      </c>
      <c r="H95" s="92" t="e">
        <f>+H94/H79</f>
        <v>#DIV/0!</v>
      </c>
      <c r="I95" s="93" t="e">
        <f t="shared" si="4"/>
        <v>#DIV/0!</v>
      </c>
      <c r="J95" s="94"/>
      <c r="K95" s="94"/>
      <c r="M95" s="238"/>
      <c r="N95" s="228"/>
      <c r="O95" s="228"/>
      <c r="P95" s="228"/>
      <c r="Q95" s="228"/>
      <c r="R95" s="229"/>
      <c r="S95" s="229"/>
      <c r="T95" s="229"/>
      <c r="U95" s="229"/>
      <c r="V95" s="229"/>
      <c r="W95" s="229"/>
      <c r="X95" s="469"/>
      <c r="Y95" s="469"/>
      <c r="Z95" s="469"/>
      <c r="AA95" s="469"/>
      <c r="AB95" s="469"/>
      <c r="AC95" s="469"/>
      <c r="AD95" s="231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497"/>
      <c r="AS95" s="497"/>
      <c r="AT95" s="497"/>
      <c r="AU95" s="497"/>
      <c r="AV95" s="497"/>
      <c r="AW95" s="497"/>
      <c r="AX95" s="497"/>
      <c r="AY95" s="497"/>
      <c r="AZ95" s="233"/>
      <c r="BA95" s="234"/>
      <c r="BB95" s="234"/>
      <c r="BC95" s="234"/>
      <c r="BD95" s="234"/>
      <c r="BE95" s="234"/>
      <c r="BF95" s="234"/>
      <c r="BG95" s="234"/>
      <c r="BH95" s="234"/>
      <c r="BI95" s="234"/>
      <c r="BJ95" s="234"/>
      <c r="BK95" s="234"/>
      <c r="BL95" s="234"/>
      <c r="BM95" s="234"/>
      <c r="BN95" s="247"/>
      <c r="BO95" s="247"/>
      <c r="BP95" s="247"/>
      <c r="BQ95" s="251"/>
      <c r="BR95" s="235"/>
    </row>
    <row r="96" spans="2:70" s="33" customFormat="1" ht="15.75" thickBot="1">
      <c r="B96" s="468" t="s">
        <v>128</v>
      </c>
      <c r="C96" s="95" t="s">
        <v>129</v>
      </c>
      <c r="D96" s="252"/>
      <c r="E96" s="252"/>
      <c r="F96" s="252"/>
      <c r="G96" s="252">
        <f>BS!E21</f>
        <v>0</v>
      </c>
      <c r="H96" s="252">
        <f>BS!F21</f>
        <v>0</v>
      </c>
      <c r="I96" s="96">
        <f t="shared" si="4"/>
        <v>0</v>
      </c>
      <c r="J96" s="97" t="e">
        <f t="shared" ref="J96:J105" si="5">+(H96-G96)/G96</f>
        <v>#DIV/0!</v>
      </c>
      <c r="K96" s="97" t="e">
        <f>(H96/D96)^(1/4)-1</f>
        <v>#DIV/0!</v>
      </c>
      <c r="M96" s="238"/>
      <c r="N96" s="228"/>
      <c r="O96" s="228"/>
      <c r="P96" s="228"/>
      <c r="Q96" s="228"/>
      <c r="R96" s="229"/>
      <c r="S96" s="229"/>
      <c r="T96" s="229"/>
      <c r="U96" s="229"/>
      <c r="V96" s="229"/>
      <c r="W96" s="229"/>
      <c r="X96" s="469"/>
      <c r="Y96" s="469"/>
      <c r="Z96" s="469"/>
      <c r="AA96" s="469"/>
      <c r="AB96" s="469"/>
      <c r="AC96" s="469"/>
      <c r="AD96" s="231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497"/>
      <c r="AS96" s="497"/>
      <c r="AT96" s="497"/>
      <c r="AU96" s="497"/>
      <c r="AV96" s="497"/>
      <c r="AW96" s="497"/>
      <c r="AX96" s="497"/>
      <c r="AY96" s="497"/>
      <c r="AZ96" s="233"/>
      <c r="BA96" s="234"/>
      <c r="BB96" s="234"/>
      <c r="BC96" s="234"/>
      <c r="BD96" s="234"/>
      <c r="BE96" s="234"/>
      <c r="BF96" s="234"/>
      <c r="BG96" s="234"/>
      <c r="BH96" s="234"/>
      <c r="BI96" s="234"/>
      <c r="BJ96" s="234"/>
      <c r="BK96" s="234"/>
      <c r="BL96" s="234"/>
      <c r="BM96" s="234"/>
      <c r="BN96" s="471" t="s">
        <v>130</v>
      </c>
      <c r="BO96" s="471"/>
      <c r="BP96" s="471"/>
      <c r="BQ96" s="253">
        <f>H118</f>
        <v>0</v>
      </c>
      <c r="BR96" s="235"/>
    </row>
    <row r="97" spans="2:70" s="33" customFormat="1" ht="15.75" thickBot="1">
      <c r="B97" s="468"/>
      <c r="C97" s="98" t="s">
        <v>131</v>
      </c>
      <c r="D97" s="254"/>
      <c r="E97" s="254"/>
      <c r="F97" s="254"/>
      <c r="G97" s="254">
        <f>BS!E13</f>
        <v>0</v>
      </c>
      <c r="H97" s="254">
        <f>BS!F13</f>
        <v>0</v>
      </c>
      <c r="I97" s="99">
        <f t="shared" si="4"/>
        <v>0</v>
      </c>
      <c r="J97" s="74" t="e">
        <f t="shared" si="5"/>
        <v>#DIV/0!</v>
      </c>
      <c r="K97" s="71"/>
      <c r="M97" s="238"/>
      <c r="N97" s="228"/>
      <c r="O97" s="228"/>
      <c r="P97" s="228"/>
      <c r="Q97" s="228"/>
      <c r="R97" s="229"/>
      <c r="S97" s="229"/>
      <c r="T97" s="229"/>
      <c r="U97" s="229"/>
      <c r="V97" s="229"/>
      <c r="W97" s="229"/>
      <c r="X97" s="469"/>
      <c r="Y97" s="469"/>
      <c r="Z97" s="469"/>
      <c r="AA97" s="469"/>
      <c r="AB97" s="469"/>
      <c r="AC97" s="469"/>
      <c r="AD97" s="231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497"/>
      <c r="AS97" s="497"/>
      <c r="AT97" s="497"/>
      <c r="AU97" s="497"/>
      <c r="AV97" s="497"/>
      <c r="AW97" s="497"/>
      <c r="AX97" s="497"/>
      <c r="AY97" s="497"/>
      <c r="AZ97" s="233"/>
      <c r="BA97" s="234"/>
      <c r="BB97" s="234"/>
      <c r="BC97" s="234"/>
      <c r="BD97" s="234"/>
      <c r="BE97" s="234"/>
      <c r="BF97" s="234"/>
      <c r="BG97" s="234"/>
      <c r="BH97" s="234"/>
      <c r="BI97" s="234"/>
      <c r="BJ97" s="234"/>
      <c r="BK97" s="234"/>
      <c r="BL97" s="234"/>
      <c r="BM97" s="234"/>
      <c r="BN97" s="471" t="s">
        <v>132</v>
      </c>
      <c r="BO97" s="471"/>
      <c r="BP97" s="471"/>
      <c r="BQ97" s="253">
        <f>BQ80</f>
        <v>0</v>
      </c>
      <c r="BR97" s="235"/>
    </row>
    <row r="98" spans="2:70" s="33" customFormat="1" ht="15" customHeight="1" thickBot="1">
      <c r="B98" s="468"/>
      <c r="C98" s="98" t="s">
        <v>133</v>
      </c>
      <c r="D98" s="254"/>
      <c r="E98" s="254"/>
      <c r="F98" s="254"/>
      <c r="G98" s="254">
        <f>BS!E29</f>
        <v>0</v>
      </c>
      <c r="H98" s="254">
        <f>BS!F29</f>
        <v>0</v>
      </c>
      <c r="I98" s="99">
        <f t="shared" si="4"/>
        <v>0</v>
      </c>
      <c r="J98" s="74" t="e">
        <f t="shared" si="5"/>
        <v>#DIV/0!</v>
      </c>
      <c r="K98" s="71"/>
      <c r="M98" s="238"/>
      <c r="N98" s="228"/>
      <c r="O98" s="228"/>
      <c r="P98" s="228"/>
      <c r="Q98" s="228"/>
      <c r="R98" s="229"/>
      <c r="S98" s="229"/>
      <c r="T98" s="229"/>
      <c r="U98" s="229"/>
      <c r="V98" s="229"/>
      <c r="W98" s="229"/>
      <c r="X98" s="469"/>
      <c r="Y98" s="469"/>
      <c r="Z98" s="469"/>
      <c r="AA98" s="469"/>
      <c r="AB98" s="469"/>
      <c r="AC98" s="469"/>
      <c r="AD98" s="231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2"/>
      <c r="AQ98" s="232"/>
      <c r="AR98" s="497"/>
      <c r="AS98" s="497"/>
      <c r="AT98" s="497"/>
      <c r="AU98" s="497"/>
      <c r="AV98" s="497"/>
      <c r="AW98" s="497"/>
      <c r="AX98" s="497"/>
      <c r="AY98" s="497"/>
      <c r="AZ98" s="233"/>
      <c r="BA98" s="234"/>
      <c r="BB98" s="234"/>
      <c r="BC98" s="234"/>
      <c r="BD98" s="234"/>
      <c r="BE98" s="234"/>
      <c r="BF98" s="234"/>
      <c r="BG98" s="234"/>
      <c r="BH98" s="234"/>
      <c r="BI98" s="234"/>
      <c r="BJ98" s="234"/>
      <c r="BK98" s="234"/>
      <c r="BL98" s="234"/>
      <c r="BM98" s="234"/>
      <c r="BN98" s="471" t="s">
        <v>134</v>
      </c>
      <c r="BO98" s="471"/>
      <c r="BP98" s="471"/>
      <c r="BQ98" s="255" t="e">
        <f>+BQ96/BQ97</f>
        <v>#DIV/0!</v>
      </c>
      <c r="BR98" s="235"/>
    </row>
    <row r="99" spans="2:70" s="33" customFormat="1" ht="15" customHeight="1" thickBot="1">
      <c r="B99" s="468"/>
      <c r="C99" s="98" t="s">
        <v>77</v>
      </c>
      <c r="D99" s="86"/>
      <c r="E99" s="86"/>
      <c r="F99" s="86"/>
      <c r="G99" s="86">
        <f>BS!E43</f>
        <v>0</v>
      </c>
      <c r="H99" s="86">
        <f>BS!F43</f>
        <v>0</v>
      </c>
      <c r="I99" s="99">
        <f t="shared" si="4"/>
        <v>0</v>
      </c>
      <c r="J99" s="74" t="e">
        <f t="shared" si="5"/>
        <v>#DIV/0!</v>
      </c>
      <c r="K99" s="74" t="e">
        <f>(H99/D99)^(1/4)-1</f>
        <v>#DIV/0!</v>
      </c>
      <c r="M99" s="238"/>
      <c r="N99" s="228"/>
      <c r="O99" s="228"/>
      <c r="P99" s="228"/>
      <c r="Q99" s="228"/>
      <c r="R99" s="229"/>
      <c r="S99" s="229"/>
      <c r="T99" s="229"/>
      <c r="U99" s="229"/>
      <c r="V99" s="229"/>
      <c r="W99" s="229"/>
      <c r="X99" s="469"/>
      <c r="Y99" s="469"/>
      <c r="Z99" s="469"/>
      <c r="AA99" s="469"/>
      <c r="AB99" s="469"/>
      <c r="AC99" s="469"/>
      <c r="AD99" s="231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497"/>
      <c r="AS99" s="497"/>
      <c r="AT99" s="497"/>
      <c r="AU99" s="497"/>
      <c r="AV99" s="497"/>
      <c r="AW99" s="497"/>
      <c r="AX99" s="497"/>
      <c r="AY99" s="497"/>
      <c r="AZ99" s="233"/>
      <c r="BA99" s="234"/>
      <c r="BB99" s="234"/>
      <c r="BC99" s="234"/>
      <c r="BD99" s="234"/>
      <c r="BE99" s="234"/>
      <c r="BF99" s="234"/>
      <c r="BG99" s="234"/>
      <c r="BH99" s="234"/>
      <c r="BI99" s="234"/>
      <c r="BJ99" s="234"/>
      <c r="BK99" s="234"/>
      <c r="BL99" s="234"/>
      <c r="BM99" s="234"/>
      <c r="BN99" s="256"/>
      <c r="BO99" s="256"/>
      <c r="BP99" s="256"/>
      <c r="BQ99" s="257"/>
      <c r="BR99" s="235"/>
    </row>
    <row r="100" spans="2:70" s="33" customFormat="1" ht="15" customHeight="1" thickBot="1">
      <c r="B100" s="468"/>
      <c r="C100" s="87" t="s">
        <v>135</v>
      </c>
      <c r="D100" s="258"/>
      <c r="E100" s="258"/>
      <c r="F100" s="258"/>
      <c r="G100" s="258" t="e">
        <f>+G99/G96</f>
        <v>#DIV/0!</v>
      </c>
      <c r="H100" s="258" t="e">
        <f>+H99/H96</f>
        <v>#DIV/0!</v>
      </c>
      <c r="I100" s="78" t="e">
        <f>+AVERAGE(D100:H100)</f>
        <v>#DIV/0!</v>
      </c>
      <c r="J100" s="74" t="e">
        <f t="shared" si="5"/>
        <v>#DIV/0!</v>
      </c>
      <c r="K100" s="75"/>
      <c r="M100" s="238"/>
      <c r="N100" s="228"/>
      <c r="O100" s="228"/>
      <c r="P100" s="228"/>
      <c r="Q100" s="228"/>
      <c r="R100" s="229"/>
      <c r="S100" s="229"/>
      <c r="T100" s="229"/>
      <c r="U100" s="229"/>
      <c r="V100" s="229"/>
      <c r="W100" s="229"/>
      <c r="X100" s="469"/>
      <c r="Y100" s="469"/>
      <c r="Z100" s="469"/>
      <c r="AA100" s="469"/>
      <c r="AB100" s="469"/>
      <c r="AC100" s="469"/>
      <c r="AD100" s="231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497"/>
      <c r="AS100" s="497"/>
      <c r="AT100" s="497"/>
      <c r="AU100" s="497"/>
      <c r="AV100" s="497"/>
      <c r="AW100" s="497"/>
      <c r="AX100" s="497"/>
      <c r="AY100" s="497"/>
      <c r="AZ100" s="233"/>
      <c r="BA100" s="234"/>
      <c r="BB100" s="234"/>
      <c r="BC100" s="234"/>
      <c r="BD100" s="234"/>
      <c r="BE100" s="234"/>
      <c r="BF100" s="234"/>
      <c r="BG100" s="234"/>
      <c r="BH100" s="234"/>
      <c r="BI100" s="234"/>
      <c r="BJ100" s="234"/>
      <c r="BK100" s="234"/>
      <c r="BL100" s="234"/>
      <c r="BM100" s="234"/>
      <c r="BN100" s="256"/>
      <c r="BO100" s="256"/>
      <c r="BP100" s="256"/>
      <c r="BQ100" s="257"/>
      <c r="BR100" s="235"/>
    </row>
    <row r="101" spans="2:70" s="33" customFormat="1" ht="15" customHeight="1" thickBot="1">
      <c r="B101" s="468"/>
      <c r="C101" s="79" t="s">
        <v>103</v>
      </c>
      <c r="D101" s="259"/>
      <c r="E101" s="259"/>
      <c r="F101" s="259"/>
      <c r="G101" s="259">
        <f>BS!E21-BS!E17-BS!E36</f>
        <v>0</v>
      </c>
      <c r="H101" s="259">
        <f>BS!F21-BS!F17-BS!F36</f>
        <v>0</v>
      </c>
      <c r="I101" s="73">
        <f>+AVERAGE(D101:H101)</f>
        <v>0</v>
      </c>
      <c r="J101" s="74" t="e">
        <f t="shared" si="5"/>
        <v>#DIV/0!</v>
      </c>
      <c r="K101" s="74"/>
      <c r="M101" s="238"/>
      <c r="N101" s="228"/>
      <c r="O101" s="228"/>
      <c r="P101" s="228"/>
      <c r="Q101" s="228"/>
      <c r="R101" s="229"/>
      <c r="S101" s="229"/>
      <c r="T101" s="229"/>
      <c r="U101" s="229"/>
      <c r="V101" s="229"/>
      <c r="W101" s="229"/>
      <c r="X101" s="469"/>
      <c r="Y101" s="469"/>
      <c r="Z101" s="469"/>
      <c r="AA101" s="469"/>
      <c r="AB101" s="469"/>
      <c r="AC101" s="469"/>
      <c r="AD101" s="231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497"/>
      <c r="AS101" s="497"/>
      <c r="AT101" s="497"/>
      <c r="AU101" s="497"/>
      <c r="AV101" s="497"/>
      <c r="AW101" s="497"/>
      <c r="AX101" s="497"/>
      <c r="AY101" s="497"/>
      <c r="AZ101" s="233"/>
      <c r="BA101" s="234"/>
      <c r="BB101" s="234"/>
      <c r="BC101" s="234"/>
      <c r="BD101" s="234"/>
      <c r="BE101" s="234"/>
      <c r="BF101" s="234"/>
      <c r="BG101" s="234"/>
      <c r="BH101" s="234"/>
      <c r="BI101" s="234"/>
      <c r="BJ101" s="234"/>
      <c r="BK101" s="234"/>
      <c r="BL101" s="234"/>
      <c r="BM101" s="234"/>
      <c r="BN101" s="234"/>
      <c r="BO101" s="234"/>
      <c r="BP101" s="234"/>
      <c r="BQ101" s="234"/>
      <c r="BR101" s="235"/>
    </row>
    <row r="102" spans="2:70" s="33" customFormat="1" ht="15.75" thickBot="1">
      <c r="B102" s="468"/>
      <c r="C102" s="79" t="s">
        <v>136</v>
      </c>
      <c r="D102" s="260"/>
      <c r="E102" s="260"/>
      <c r="F102" s="260"/>
      <c r="G102" s="260" t="e">
        <f>+G101/G96</f>
        <v>#DIV/0!</v>
      </c>
      <c r="H102" s="260" t="e">
        <f>+H101/H96</f>
        <v>#DIV/0!</v>
      </c>
      <c r="I102" s="83" t="e">
        <f>+AVERAGE(D102:H102)</f>
        <v>#DIV/0!</v>
      </c>
      <c r="J102" s="74" t="e">
        <f t="shared" si="5"/>
        <v>#DIV/0!</v>
      </c>
      <c r="K102" s="74"/>
      <c r="M102" s="238"/>
      <c r="N102" s="228"/>
      <c r="O102" s="228"/>
      <c r="P102" s="228"/>
      <c r="Q102" s="228"/>
      <c r="R102" s="229"/>
      <c r="S102" s="229"/>
      <c r="T102" s="229"/>
      <c r="U102" s="229"/>
      <c r="V102" s="229"/>
      <c r="W102" s="229"/>
      <c r="X102" s="469"/>
      <c r="Y102" s="469"/>
      <c r="Z102" s="469"/>
      <c r="AA102" s="469"/>
      <c r="AB102" s="469"/>
      <c r="AC102" s="469"/>
      <c r="AD102" s="231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497"/>
      <c r="AS102" s="497"/>
      <c r="AT102" s="497"/>
      <c r="AU102" s="497"/>
      <c r="AV102" s="497"/>
      <c r="AW102" s="497"/>
      <c r="AX102" s="497"/>
      <c r="AY102" s="497"/>
      <c r="AZ102" s="233"/>
      <c r="BA102" s="234"/>
      <c r="BB102" s="234"/>
      <c r="BC102" s="234"/>
      <c r="BD102" s="234"/>
      <c r="BE102" s="234"/>
      <c r="BF102" s="234"/>
      <c r="BG102" s="234"/>
      <c r="BH102" s="234"/>
      <c r="BI102" s="234"/>
      <c r="BJ102" s="234"/>
      <c r="BK102" s="234"/>
      <c r="BL102" s="234"/>
      <c r="BM102" s="234"/>
      <c r="BN102" s="472" t="s">
        <v>137</v>
      </c>
      <c r="BO102" s="472"/>
      <c r="BP102" s="472"/>
      <c r="BQ102" s="472"/>
      <c r="BR102" s="472"/>
    </row>
    <row r="103" spans="2:70" s="33" customFormat="1" ht="15.75" thickBot="1">
      <c r="B103" s="468"/>
      <c r="C103" s="79" t="s">
        <v>96</v>
      </c>
      <c r="D103" s="261"/>
      <c r="E103" s="261"/>
      <c r="F103" s="261"/>
      <c r="G103" s="261">
        <f>BS!E31+BS!E27+BS!E26-BS!E7</f>
        <v>0</v>
      </c>
      <c r="H103" s="261">
        <f>BS!F31+BS!F27+BS!F26-BS!F7</f>
        <v>0</v>
      </c>
      <c r="I103" s="73">
        <f t="shared" ref="I103:I115" si="6">+AVERAGE(D103:H103)</f>
        <v>0</v>
      </c>
      <c r="J103" s="74" t="e">
        <f t="shared" si="5"/>
        <v>#DIV/0!</v>
      </c>
      <c r="K103" s="262"/>
      <c r="M103" s="238"/>
      <c r="N103" s="228"/>
      <c r="O103" s="228"/>
      <c r="P103" s="228"/>
      <c r="Q103" s="228"/>
      <c r="R103" s="229"/>
      <c r="S103" s="229"/>
      <c r="T103" s="229"/>
      <c r="U103" s="229"/>
      <c r="V103" s="229"/>
      <c r="W103" s="229"/>
      <c r="X103" s="469"/>
      <c r="Y103" s="469"/>
      <c r="Z103" s="469"/>
      <c r="AA103" s="469"/>
      <c r="AB103" s="469"/>
      <c r="AC103" s="469"/>
      <c r="AD103" s="231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497"/>
      <c r="AS103" s="497"/>
      <c r="AT103" s="497"/>
      <c r="AU103" s="497"/>
      <c r="AV103" s="497"/>
      <c r="AW103" s="497"/>
      <c r="AX103" s="497"/>
      <c r="AY103" s="497"/>
      <c r="AZ103" s="233"/>
      <c r="BA103" s="234"/>
      <c r="BB103" s="234"/>
      <c r="BC103" s="234"/>
      <c r="BD103" s="234"/>
      <c r="BE103" s="234"/>
      <c r="BF103" s="234"/>
      <c r="BG103" s="234"/>
      <c r="BH103" s="234"/>
      <c r="BI103" s="234"/>
      <c r="BJ103" s="234"/>
      <c r="BK103" s="234"/>
      <c r="BL103" s="234"/>
      <c r="BM103" s="234"/>
      <c r="BN103" s="472"/>
      <c r="BO103" s="472"/>
      <c r="BP103" s="472"/>
      <c r="BQ103" s="472"/>
      <c r="BR103" s="472"/>
    </row>
    <row r="104" spans="2:70" s="33" customFormat="1" ht="15.75" thickBot="1">
      <c r="B104" s="468"/>
      <c r="C104" s="87" t="s">
        <v>138</v>
      </c>
      <c r="D104" s="263"/>
      <c r="E104" s="263"/>
      <c r="F104" s="263"/>
      <c r="G104" s="263" t="e">
        <f>+G103/G88</f>
        <v>#DIV/0!</v>
      </c>
      <c r="H104" s="263" t="e">
        <f>+H103/H88</f>
        <v>#DIV/0!</v>
      </c>
      <c r="I104" s="100" t="e">
        <f t="shared" si="6"/>
        <v>#DIV/0!</v>
      </c>
      <c r="J104" s="74" t="e">
        <f t="shared" si="5"/>
        <v>#DIV/0!</v>
      </c>
      <c r="K104" s="75"/>
      <c r="M104" s="238"/>
      <c r="N104" s="228"/>
      <c r="O104" s="228"/>
      <c r="P104" s="228"/>
      <c r="Q104" s="228"/>
      <c r="R104" s="229"/>
      <c r="S104" s="229"/>
      <c r="T104" s="229"/>
      <c r="U104" s="229"/>
      <c r="V104" s="229"/>
      <c r="W104" s="229"/>
      <c r="X104" s="469"/>
      <c r="Y104" s="469"/>
      <c r="Z104" s="469"/>
      <c r="AA104" s="469"/>
      <c r="AB104" s="469"/>
      <c r="AC104" s="469"/>
      <c r="AD104" s="231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497"/>
      <c r="AS104" s="497"/>
      <c r="AT104" s="497"/>
      <c r="AU104" s="497"/>
      <c r="AV104" s="497"/>
      <c r="AW104" s="497"/>
      <c r="AX104" s="497"/>
      <c r="AY104" s="497"/>
      <c r="AZ104" s="233"/>
      <c r="BA104" s="234"/>
      <c r="BB104" s="234"/>
      <c r="BC104" s="234"/>
      <c r="BD104" s="234"/>
      <c r="BE104" s="234"/>
      <c r="BF104" s="234"/>
      <c r="BG104" s="234"/>
      <c r="BH104" s="234"/>
      <c r="BI104" s="234"/>
      <c r="BJ104" s="234"/>
      <c r="BK104" s="234"/>
      <c r="BL104" s="234"/>
      <c r="BM104" s="234"/>
      <c r="BN104" s="234"/>
      <c r="BO104" s="234"/>
      <c r="BP104" s="234"/>
      <c r="BQ104" s="234"/>
      <c r="BR104" s="235"/>
    </row>
    <row r="105" spans="2:70" s="33" customFormat="1" ht="15.75" thickBot="1">
      <c r="B105" s="468"/>
      <c r="C105" s="101" t="s">
        <v>139</v>
      </c>
      <c r="D105" s="264"/>
      <c r="E105" s="264"/>
      <c r="F105" s="264"/>
      <c r="G105" s="264" t="e">
        <f>+G103/G99</f>
        <v>#DIV/0!</v>
      </c>
      <c r="H105" s="264" t="e">
        <f>+H103/H99</f>
        <v>#DIV/0!</v>
      </c>
      <c r="I105" s="102" t="e">
        <f>+AVERAGE(D105:H105)</f>
        <v>#DIV/0!</v>
      </c>
      <c r="J105" s="74" t="e">
        <f t="shared" si="5"/>
        <v>#DIV/0!</v>
      </c>
      <c r="K105" s="94"/>
      <c r="M105" s="238"/>
      <c r="N105" s="228"/>
      <c r="O105" s="228"/>
      <c r="P105" s="228"/>
      <c r="Q105" s="228"/>
      <c r="R105" s="229"/>
      <c r="S105" s="229"/>
      <c r="T105" s="229"/>
      <c r="U105" s="229"/>
      <c r="V105" s="229"/>
      <c r="W105" s="229"/>
      <c r="X105" s="469"/>
      <c r="Y105" s="469"/>
      <c r="Z105" s="469"/>
      <c r="AA105" s="469"/>
      <c r="AB105" s="469"/>
      <c r="AC105" s="469"/>
      <c r="AD105" s="231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497"/>
      <c r="AS105" s="497"/>
      <c r="AT105" s="497"/>
      <c r="AU105" s="497"/>
      <c r="AV105" s="497"/>
      <c r="AW105" s="497"/>
      <c r="AX105" s="497"/>
      <c r="AY105" s="497"/>
      <c r="AZ105" s="233"/>
      <c r="BA105" s="234"/>
      <c r="BB105" s="234"/>
      <c r="BC105" s="234"/>
      <c r="BD105" s="234"/>
      <c r="BE105" s="234"/>
      <c r="BF105" s="234"/>
      <c r="BG105" s="234"/>
      <c r="BH105" s="234"/>
      <c r="BI105" s="234"/>
      <c r="BJ105" s="234"/>
      <c r="BK105" s="234"/>
      <c r="BL105" s="234"/>
      <c r="BM105" s="234"/>
      <c r="BN105" s="247"/>
      <c r="BO105" s="234"/>
      <c r="BP105" s="234"/>
      <c r="BQ105" s="234"/>
      <c r="BR105" s="235"/>
    </row>
    <row r="106" spans="2:70" s="33" customFormat="1" ht="15.75" thickBot="1">
      <c r="B106" s="468"/>
      <c r="C106" s="103" t="s">
        <v>140</v>
      </c>
      <c r="D106" s="104"/>
      <c r="E106" s="104"/>
      <c r="F106" s="104"/>
      <c r="G106" s="104" t="e">
        <f>+G91/-G93</f>
        <v>#DIV/0!</v>
      </c>
      <c r="H106" s="104" t="e">
        <f>+H91/-H93</f>
        <v>#DIV/0!</v>
      </c>
      <c r="I106" s="105" t="e">
        <f t="shared" si="6"/>
        <v>#DIV/0!</v>
      </c>
      <c r="J106" s="106"/>
      <c r="K106" s="106"/>
      <c r="M106" s="238"/>
      <c r="N106" s="228"/>
      <c r="O106" s="228"/>
      <c r="P106" s="228"/>
      <c r="Q106" s="228"/>
      <c r="R106" s="229"/>
      <c r="S106" s="229"/>
      <c r="T106" s="229"/>
      <c r="U106" s="229"/>
      <c r="V106" s="229"/>
      <c r="W106" s="229"/>
      <c r="X106" s="469"/>
      <c r="Y106" s="469"/>
      <c r="Z106" s="469"/>
      <c r="AA106" s="469"/>
      <c r="AB106" s="469"/>
      <c r="AC106" s="469"/>
      <c r="AD106" s="231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497"/>
      <c r="AS106" s="497"/>
      <c r="AT106" s="497"/>
      <c r="AU106" s="497"/>
      <c r="AV106" s="497"/>
      <c r="AW106" s="497"/>
      <c r="AX106" s="497"/>
      <c r="AY106" s="497"/>
      <c r="AZ106" s="233"/>
      <c r="BA106" s="234"/>
      <c r="BB106" s="234"/>
      <c r="BC106" s="234"/>
      <c r="BD106" s="234"/>
      <c r="BE106" s="234"/>
      <c r="BF106" s="234"/>
      <c r="BG106" s="234"/>
      <c r="BH106" s="234"/>
      <c r="BI106" s="234"/>
      <c r="BJ106" s="234"/>
      <c r="BK106" s="234"/>
      <c r="BL106" s="234"/>
      <c r="BM106" s="234"/>
      <c r="BN106" s="234"/>
      <c r="BO106" s="234"/>
      <c r="BP106" s="234"/>
      <c r="BQ106" s="234"/>
      <c r="BR106" s="235"/>
    </row>
    <row r="107" spans="2:70" s="33" customFormat="1" ht="15.75" thickBot="1">
      <c r="B107" s="468" t="s">
        <v>141</v>
      </c>
      <c r="C107" s="98" t="s">
        <v>142</v>
      </c>
      <c r="D107" s="391"/>
      <c r="E107" s="391"/>
      <c r="F107" s="391"/>
      <c r="G107" s="391">
        <f>IS.CF!E25+IS.CF!E24</f>
        <v>0</v>
      </c>
      <c r="H107" s="391">
        <f>IS.CF!F25+IS.CF!F24</f>
        <v>0</v>
      </c>
      <c r="I107" s="265">
        <f t="shared" si="6"/>
        <v>0</v>
      </c>
      <c r="J107" s="108" t="e">
        <f t="shared" ref="J107:J112" si="7">+(H107-G107)/G107</f>
        <v>#DIV/0!</v>
      </c>
      <c r="K107" s="108">
        <f>IFERROR((H107/D107)^(1/4)-1,0)</f>
        <v>0</v>
      </c>
      <c r="M107" s="238"/>
      <c r="N107" s="228"/>
      <c r="O107" s="228"/>
      <c r="P107" s="228"/>
      <c r="Q107" s="228"/>
      <c r="R107" s="229"/>
      <c r="S107" s="229"/>
      <c r="T107" s="229"/>
      <c r="U107" s="229"/>
      <c r="V107" s="229"/>
      <c r="W107" s="229"/>
      <c r="X107" s="469"/>
      <c r="Y107" s="469"/>
      <c r="Z107" s="469"/>
      <c r="AA107" s="469"/>
      <c r="AB107" s="469"/>
      <c r="AC107" s="469"/>
      <c r="AD107" s="231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497"/>
      <c r="AS107" s="497"/>
      <c r="AT107" s="497"/>
      <c r="AU107" s="497"/>
      <c r="AV107" s="497"/>
      <c r="AW107" s="497"/>
      <c r="AX107" s="497"/>
      <c r="AY107" s="497"/>
      <c r="AZ107" s="233"/>
      <c r="BA107" s="234"/>
      <c r="BB107" s="234"/>
      <c r="BC107" s="234"/>
      <c r="BD107" s="234"/>
      <c r="BE107" s="234"/>
      <c r="BF107" s="234"/>
      <c r="BG107" s="234"/>
      <c r="BH107" s="234"/>
      <c r="BI107" s="234"/>
      <c r="BJ107" s="234"/>
      <c r="BK107" s="234"/>
      <c r="BL107" s="234"/>
      <c r="BM107" s="234"/>
      <c r="BN107" s="234"/>
      <c r="BO107" s="234"/>
      <c r="BP107" s="234"/>
      <c r="BQ107" s="234"/>
      <c r="BR107" s="235"/>
    </row>
    <row r="108" spans="2:70" s="33" customFormat="1" ht="15.75" thickBot="1">
      <c r="B108" s="468"/>
      <c r="C108" s="98" t="s">
        <v>143</v>
      </c>
      <c r="D108" s="392"/>
      <c r="E108" s="392"/>
      <c r="F108" s="392"/>
      <c r="G108" s="392">
        <f>IS.CF!E26</f>
        <v>0</v>
      </c>
      <c r="H108" s="392">
        <f>IS.CF!F26</f>
        <v>0</v>
      </c>
      <c r="I108" s="266">
        <f t="shared" si="6"/>
        <v>0</v>
      </c>
      <c r="J108" s="111" t="e">
        <f t="shared" si="7"/>
        <v>#DIV/0!</v>
      </c>
      <c r="K108" s="111"/>
      <c r="M108" s="238"/>
      <c r="N108" s="228"/>
      <c r="O108" s="228"/>
      <c r="P108" s="228"/>
      <c r="Q108" s="228"/>
      <c r="R108" s="229"/>
      <c r="S108" s="229"/>
      <c r="T108" s="229"/>
      <c r="U108" s="229"/>
      <c r="V108" s="229"/>
      <c r="W108" s="229"/>
      <c r="X108" s="469"/>
      <c r="Y108" s="469"/>
      <c r="Z108" s="469"/>
      <c r="AA108" s="469"/>
      <c r="AB108" s="469"/>
      <c r="AC108" s="469"/>
      <c r="AD108" s="231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497"/>
      <c r="AS108" s="497"/>
      <c r="AT108" s="497"/>
      <c r="AU108" s="497"/>
      <c r="AV108" s="497"/>
      <c r="AW108" s="497"/>
      <c r="AX108" s="497"/>
      <c r="AY108" s="497"/>
      <c r="AZ108" s="233"/>
      <c r="BA108" s="234"/>
      <c r="BB108" s="234"/>
      <c r="BC108" s="234"/>
      <c r="BD108" s="234"/>
      <c r="BE108" s="234"/>
      <c r="BF108" s="234"/>
      <c r="BG108" s="234"/>
      <c r="BH108" s="234"/>
      <c r="BI108" s="234"/>
      <c r="BJ108" s="234"/>
      <c r="BK108" s="234"/>
      <c r="BL108" s="234"/>
      <c r="BM108" s="234"/>
      <c r="BN108" s="234"/>
      <c r="BO108" s="234"/>
      <c r="BP108" s="234"/>
      <c r="BQ108" s="234"/>
      <c r="BR108" s="235"/>
    </row>
    <row r="109" spans="2:70" s="33" customFormat="1" ht="15.75" thickBot="1">
      <c r="B109" s="468"/>
      <c r="C109" s="112" t="s">
        <v>144</v>
      </c>
      <c r="D109" s="250"/>
      <c r="E109" s="250"/>
      <c r="F109" s="250"/>
      <c r="G109" s="250">
        <f>+G107+G108</f>
        <v>0</v>
      </c>
      <c r="H109" s="250">
        <f>+H107+H108</f>
        <v>0</v>
      </c>
      <c r="I109" s="267">
        <f t="shared" si="6"/>
        <v>0</v>
      </c>
      <c r="J109" s="113" t="e">
        <f t="shared" si="7"/>
        <v>#DIV/0!</v>
      </c>
      <c r="K109" s="113">
        <f>IFERROR((H109/D109)^(1/4)-1,0)</f>
        <v>0</v>
      </c>
      <c r="M109" s="238"/>
      <c r="N109" s="228"/>
      <c r="O109" s="228"/>
      <c r="P109" s="228"/>
      <c r="Q109" s="228"/>
      <c r="R109" s="229"/>
      <c r="S109" s="229"/>
      <c r="T109" s="229"/>
      <c r="U109" s="229"/>
      <c r="V109" s="229"/>
      <c r="W109" s="229"/>
      <c r="X109" s="469"/>
      <c r="Y109" s="469"/>
      <c r="Z109" s="469"/>
      <c r="AA109" s="469"/>
      <c r="AB109" s="469"/>
      <c r="AC109" s="469"/>
      <c r="AD109" s="231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497"/>
      <c r="AS109" s="497"/>
      <c r="AT109" s="497"/>
      <c r="AU109" s="497"/>
      <c r="AV109" s="497"/>
      <c r="AW109" s="497"/>
      <c r="AX109" s="497"/>
      <c r="AY109" s="497"/>
      <c r="AZ109" s="233"/>
      <c r="BA109" s="234"/>
      <c r="BB109" s="234"/>
      <c r="BC109" s="234"/>
      <c r="BD109" s="234"/>
      <c r="BE109" s="234"/>
      <c r="BF109" s="234"/>
      <c r="BG109" s="234"/>
      <c r="BH109" s="234"/>
      <c r="BI109" s="234"/>
      <c r="BJ109" s="234"/>
      <c r="BK109" s="234"/>
      <c r="BL109" s="234"/>
      <c r="BM109" s="234"/>
      <c r="BN109" s="234"/>
      <c r="BO109" s="234"/>
      <c r="BP109" s="234"/>
      <c r="BQ109" s="234"/>
      <c r="BR109" s="235"/>
    </row>
    <row r="110" spans="2:70" s="33" customFormat="1" ht="15.75" thickBot="1">
      <c r="B110" s="468"/>
      <c r="C110" s="98" t="s">
        <v>145</v>
      </c>
      <c r="D110" s="249"/>
      <c r="E110" s="249"/>
      <c r="F110" s="249"/>
      <c r="G110" s="249">
        <f>IS.CF!E30</f>
        <v>0</v>
      </c>
      <c r="H110" s="249">
        <f>IS.CF!F30</f>
        <v>0</v>
      </c>
      <c r="I110" s="268">
        <f t="shared" si="6"/>
        <v>0</v>
      </c>
      <c r="J110" s="113" t="e">
        <f t="shared" si="7"/>
        <v>#DIV/0!</v>
      </c>
      <c r="K110" s="114"/>
      <c r="M110" s="238"/>
      <c r="N110" s="228"/>
      <c r="O110" s="228"/>
      <c r="P110" s="228"/>
      <c r="Q110" s="228"/>
      <c r="R110" s="229"/>
      <c r="S110" s="229"/>
      <c r="T110" s="229"/>
      <c r="U110" s="229"/>
      <c r="V110" s="229"/>
      <c r="W110" s="229"/>
      <c r="X110" s="469"/>
      <c r="Y110" s="469"/>
      <c r="Z110" s="469"/>
      <c r="AA110" s="469"/>
      <c r="AB110" s="469"/>
      <c r="AC110" s="469"/>
      <c r="AD110" s="231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497"/>
      <c r="AS110" s="497"/>
      <c r="AT110" s="497"/>
      <c r="AU110" s="497"/>
      <c r="AV110" s="497"/>
      <c r="AW110" s="497"/>
      <c r="AX110" s="497"/>
      <c r="AY110" s="497"/>
      <c r="AZ110" s="233"/>
      <c r="BA110" s="234"/>
      <c r="BB110" s="234"/>
      <c r="BC110" s="234"/>
      <c r="BD110" s="234"/>
      <c r="BE110" s="234"/>
      <c r="BF110" s="234"/>
      <c r="BG110" s="234"/>
      <c r="BH110" s="234"/>
      <c r="BI110" s="234"/>
      <c r="BJ110" s="234"/>
      <c r="BK110" s="234"/>
      <c r="BL110" s="234"/>
      <c r="BM110" s="234"/>
      <c r="BN110" s="234"/>
      <c r="BO110" s="234"/>
      <c r="BP110" s="234"/>
      <c r="BQ110" s="234"/>
      <c r="BR110" s="235"/>
    </row>
    <row r="111" spans="2:70" s="33" customFormat="1" ht="15.75" thickBot="1">
      <c r="B111" s="468"/>
      <c r="C111" s="98" t="s">
        <v>146</v>
      </c>
      <c r="D111" s="85"/>
      <c r="E111" s="85"/>
      <c r="F111" s="85"/>
      <c r="G111" s="85">
        <f>IS.CF!E37</f>
        <v>0</v>
      </c>
      <c r="H111" s="85">
        <f>IS.CF!F37</f>
        <v>0</v>
      </c>
      <c r="I111" s="268">
        <f t="shared" si="6"/>
        <v>0</v>
      </c>
      <c r="J111" s="114" t="e">
        <f t="shared" si="7"/>
        <v>#DIV/0!</v>
      </c>
      <c r="K111" s="114"/>
      <c r="M111" s="238"/>
      <c r="N111" s="228"/>
      <c r="O111" s="228"/>
      <c r="P111" s="228"/>
      <c r="Q111" s="228"/>
      <c r="R111" s="229"/>
      <c r="S111" s="229"/>
      <c r="T111" s="229"/>
      <c r="U111" s="229"/>
      <c r="V111" s="229"/>
      <c r="W111" s="229"/>
      <c r="X111" s="469"/>
      <c r="Y111" s="469"/>
      <c r="Z111" s="469"/>
      <c r="AA111" s="469"/>
      <c r="AB111" s="469"/>
      <c r="AC111" s="469"/>
      <c r="AD111" s="231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497"/>
      <c r="AS111" s="497"/>
      <c r="AT111" s="497"/>
      <c r="AU111" s="497"/>
      <c r="AV111" s="497"/>
      <c r="AW111" s="497"/>
      <c r="AX111" s="497"/>
      <c r="AY111" s="497"/>
      <c r="AZ111" s="233"/>
      <c r="BA111" s="234"/>
      <c r="BB111" s="234"/>
      <c r="BC111" s="234"/>
      <c r="BD111" s="234"/>
      <c r="BE111" s="234"/>
      <c r="BF111" s="234"/>
      <c r="BG111" s="234"/>
      <c r="BH111" s="234"/>
      <c r="BI111" s="234"/>
      <c r="BJ111" s="234"/>
      <c r="BK111" s="234"/>
      <c r="BL111" s="234"/>
      <c r="BM111" s="234"/>
      <c r="BN111" s="234"/>
      <c r="BO111" s="234"/>
      <c r="BP111" s="234"/>
      <c r="BQ111" s="234"/>
      <c r="BR111" s="235"/>
    </row>
    <row r="112" spans="2:70" s="33" customFormat="1" ht="15.75" thickBot="1">
      <c r="B112" s="468"/>
      <c r="C112" s="112" t="s">
        <v>147</v>
      </c>
      <c r="D112" s="250"/>
      <c r="E112" s="250"/>
      <c r="F112" s="250"/>
      <c r="G112" s="250">
        <f>+G111+G109+G110</f>
        <v>0</v>
      </c>
      <c r="H112" s="250">
        <f>+H111+H109+H110</f>
        <v>0</v>
      </c>
      <c r="I112" s="269">
        <f t="shared" si="6"/>
        <v>0</v>
      </c>
      <c r="J112" s="115" t="e">
        <f t="shared" si="7"/>
        <v>#DIV/0!</v>
      </c>
      <c r="K112" s="115"/>
      <c r="M112" s="238"/>
      <c r="N112" s="228"/>
      <c r="O112" s="228"/>
      <c r="P112" s="228"/>
      <c r="Q112" s="228"/>
      <c r="R112" s="229"/>
      <c r="S112" s="229"/>
      <c r="T112" s="229"/>
      <c r="U112" s="229"/>
      <c r="V112" s="229"/>
      <c r="W112" s="229"/>
      <c r="X112" s="469"/>
      <c r="Y112" s="469"/>
      <c r="Z112" s="469"/>
      <c r="AA112" s="469"/>
      <c r="AB112" s="469"/>
      <c r="AC112" s="469"/>
      <c r="AD112" s="231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497"/>
      <c r="AS112" s="497"/>
      <c r="AT112" s="497"/>
      <c r="AU112" s="497"/>
      <c r="AV112" s="497"/>
      <c r="AW112" s="497"/>
      <c r="AX112" s="497"/>
      <c r="AY112" s="497"/>
      <c r="AZ112" s="233"/>
      <c r="BA112" s="234"/>
      <c r="BB112" s="234"/>
      <c r="BC112" s="234"/>
      <c r="BD112" s="234"/>
      <c r="BE112" s="234"/>
      <c r="BF112" s="234"/>
      <c r="BG112" s="234"/>
      <c r="BH112" s="234"/>
      <c r="BI112" s="234"/>
      <c r="BJ112" s="234"/>
      <c r="BK112" s="234"/>
      <c r="BL112" s="234"/>
      <c r="BM112" s="234"/>
      <c r="BN112" s="234"/>
      <c r="BO112" s="234"/>
      <c r="BP112" s="234"/>
      <c r="BQ112" s="234"/>
      <c r="BR112" s="235"/>
    </row>
    <row r="113" spans="2:70" s="33" customFormat="1" ht="15.75" thickBot="1">
      <c r="B113" s="468"/>
      <c r="C113" s="98" t="s">
        <v>148</v>
      </c>
      <c r="D113" s="393"/>
      <c r="E113" s="393"/>
      <c r="F113" s="393"/>
      <c r="G113" s="393"/>
      <c r="H113" s="393"/>
      <c r="I113" s="268" t="e">
        <f t="shared" si="6"/>
        <v>#DIV/0!</v>
      </c>
      <c r="J113" s="114"/>
      <c r="K113" s="114"/>
      <c r="M113" s="238"/>
      <c r="N113" s="228"/>
      <c r="O113" s="228"/>
      <c r="P113" s="228"/>
      <c r="Q113" s="228"/>
      <c r="R113" s="229"/>
      <c r="S113" s="229"/>
      <c r="T113" s="229"/>
      <c r="U113" s="229"/>
      <c r="V113" s="229"/>
      <c r="W113" s="229"/>
      <c r="X113" s="469"/>
      <c r="Y113" s="469"/>
      <c r="Z113" s="469"/>
      <c r="AA113" s="469"/>
      <c r="AB113" s="469"/>
      <c r="AC113" s="469"/>
      <c r="AD113" s="231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497"/>
      <c r="AS113" s="497"/>
      <c r="AT113" s="497"/>
      <c r="AU113" s="497"/>
      <c r="AV113" s="497"/>
      <c r="AW113" s="497"/>
      <c r="AX113" s="497"/>
      <c r="AY113" s="497"/>
      <c r="AZ113" s="233"/>
      <c r="BA113" s="234"/>
      <c r="BB113" s="234"/>
      <c r="BC113" s="234"/>
      <c r="BD113" s="234"/>
      <c r="BE113" s="234"/>
      <c r="BF113" s="234"/>
      <c r="BG113" s="234"/>
      <c r="BH113" s="234"/>
      <c r="BI113" s="234"/>
      <c r="BJ113" s="234"/>
      <c r="BK113" s="234"/>
      <c r="BL113" s="234"/>
      <c r="BM113" s="234"/>
      <c r="BN113" s="234"/>
      <c r="BO113" s="234"/>
      <c r="BP113" s="234"/>
      <c r="BQ113" s="234"/>
      <c r="BR113" s="235"/>
    </row>
    <row r="114" spans="2:70" s="33" customFormat="1" ht="15.75" thickBot="1">
      <c r="B114" s="468"/>
      <c r="C114" s="98" t="s">
        <v>149</v>
      </c>
      <c r="D114" s="393"/>
      <c r="E114" s="393"/>
      <c r="F114" s="393"/>
      <c r="G114" s="393"/>
      <c r="H114" s="393"/>
      <c r="I114" s="268" t="e">
        <f t="shared" si="6"/>
        <v>#DIV/0!</v>
      </c>
      <c r="J114" s="114"/>
      <c r="K114" s="114"/>
      <c r="M114" s="238"/>
      <c r="N114" s="228"/>
      <c r="O114" s="228"/>
      <c r="P114" s="228"/>
      <c r="Q114" s="228"/>
      <c r="R114" s="229"/>
      <c r="S114" s="229"/>
      <c r="T114" s="229"/>
      <c r="U114" s="229"/>
      <c r="V114" s="229"/>
      <c r="W114" s="229"/>
      <c r="X114" s="469"/>
      <c r="Y114" s="469"/>
      <c r="Z114" s="469"/>
      <c r="AA114" s="469"/>
      <c r="AB114" s="469"/>
      <c r="AC114" s="469"/>
      <c r="AD114" s="231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497"/>
      <c r="AS114" s="497"/>
      <c r="AT114" s="497"/>
      <c r="AU114" s="497"/>
      <c r="AV114" s="497"/>
      <c r="AW114" s="497"/>
      <c r="AX114" s="497"/>
      <c r="AY114" s="497"/>
      <c r="AZ114" s="233"/>
      <c r="BA114" s="234"/>
      <c r="BB114" s="234"/>
      <c r="BC114" s="234"/>
      <c r="BD114" s="234"/>
      <c r="BE114" s="234"/>
      <c r="BF114" s="234"/>
      <c r="BG114" s="234"/>
      <c r="BH114" s="234"/>
      <c r="BI114" s="234"/>
      <c r="BJ114" s="234"/>
      <c r="BK114" s="234"/>
      <c r="BL114" s="234"/>
      <c r="BM114" s="234"/>
      <c r="BN114" s="234"/>
      <c r="BO114" s="234"/>
      <c r="BP114" s="234"/>
      <c r="BQ114" s="234"/>
      <c r="BR114" s="235"/>
    </row>
    <row r="115" spans="2:70" s="33" customFormat="1" ht="15.75" thickBot="1">
      <c r="B115" s="468"/>
      <c r="C115" s="98" t="s">
        <v>150</v>
      </c>
      <c r="D115" s="393"/>
      <c r="E115" s="393"/>
      <c r="F115" s="393"/>
      <c r="G115" s="393"/>
      <c r="H115" s="393"/>
      <c r="I115" s="268" t="e">
        <f t="shared" si="6"/>
        <v>#DIV/0!</v>
      </c>
      <c r="J115" s="114"/>
      <c r="K115" s="114"/>
      <c r="M115" s="238"/>
      <c r="N115" s="228"/>
      <c r="O115" s="228"/>
      <c r="P115" s="228"/>
      <c r="Q115" s="228"/>
      <c r="R115" s="229"/>
      <c r="S115" s="229"/>
      <c r="T115" s="229"/>
      <c r="U115" s="229"/>
      <c r="V115" s="229"/>
      <c r="W115" s="229"/>
      <c r="X115" s="469"/>
      <c r="Y115" s="469"/>
      <c r="Z115" s="469"/>
      <c r="AA115" s="469"/>
      <c r="AB115" s="469"/>
      <c r="AC115" s="469"/>
      <c r="AD115" s="231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497"/>
      <c r="AS115" s="497"/>
      <c r="AT115" s="497"/>
      <c r="AU115" s="497"/>
      <c r="AV115" s="497"/>
      <c r="AW115" s="497"/>
      <c r="AX115" s="497"/>
      <c r="AY115" s="497"/>
      <c r="AZ115" s="233"/>
      <c r="BA115" s="234"/>
      <c r="BB115" s="234"/>
      <c r="BC115" s="234"/>
      <c r="BD115" s="234"/>
      <c r="BE115" s="234"/>
      <c r="BF115" s="234"/>
      <c r="BG115" s="234"/>
      <c r="BH115" s="234"/>
      <c r="BI115" s="234"/>
      <c r="BJ115" s="234"/>
      <c r="BK115" s="234"/>
      <c r="BL115" s="234"/>
      <c r="BM115" s="234"/>
      <c r="BN115" s="234"/>
      <c r="BO115" s="234"/>
      <c r="BP115" s="234"/>
      <c r="BQ115" s="234"/>
      <c r="BR115" s="235"/>
    </row>
    <row r="116" spans="2:70" s="33" customFormat="1" ht="15.75" thickBot="1">
      <c r="B116" s="468"/>
      <c r="C116" s="98" t="s">
        <v>151</v>
      </c>
      <c r="D116" s="393"/>
      <c r="E116" s="393"/>
      <c r="F116" s="393"/>
      <c r="G116" s="393"/>
      <c r="H116" s="393"/>
      <c r="I116" s="270" t="e">
        <f t="shared" ref="I116:I122" si="8">+AVERAGE(D116:H116)</f>
        <v>#DIV/0!</v>
      </c>
      <c r="J116" s="117"/>
      <c r="K116" s="117"/>
      <c r="M116" s="238"/>
      <c r="N116" s="228"/>
      <c r="O116" s="228"/>
      <c r="P116" s="228"/>
      <c r="Q116" s="228"/>
      <c r="R116" s="229"/>
      <c r="S116" s="229"/>
      <c r="T116" s="229"/>
      <c r="U116" s="229"/>
      <c r="V116" s="229"/>
      <c r="W116" s="229"/>
      <c r="X116" s="469"/>
      <c r="Y116" s="469"/>
      <c r="Z116" s="469"/>
      <c r="AA116" s="469"/>
      <c r="AB116" s="469"/>
      <c r="AC116" s="469"/>
      <c r="AD116" s="231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497"/>
      <c r="AS116" s="497"/>
      <c r="AT116" s="497"/>
      <c r="AU116" s="497"/>
      <c r="AV116" s="497"/>
      <c r="AW116" s="497"/>
      <c r="AX116" s="497"/>
      <c r="AY116" s="497"/>
      <c r="AZ116" s="233"/>
      <c r="BA116" s="234"/>
      <c r="BB116" s="234"/>
      <c r="BC116" s="234"/>
      <c r="BD116" s="234"/>
      <c r="BE116" s="234"/>
      <c r="BF116" s="234"/>
      <c r="BG116" s="234"/>
      <c r="BH116" s="234"/>
      <c r="BI116" s="234"/>
      <c r="BJ116" s="234"/>
      <c r="BK116" s="234"/>
      <c r="BL116" s="234"/>
      <c r="BM116" s="234"/>
      <c r="BN116" s="234"/>
      <c r="BO116" s="234"/>
      <c r="BP116" s="234"/>
      <c r="BQ116" s="234"/>
      <c r="BR116" s="235"/>
    </row>
    <row r="117" spans="2:70" s="33" customFormat="1" ht="15.75" thickBot="1">
      <c r="B117" s="468"/>
      <c r="C117" s="118" t="s">
        <v>152</v>
      </c>
      <c r="D117" s="271"/>
      <c r="E117" s="271"/>
      <c r="F117" s="271"/>
      <c r="G117" s="271">
        <f>IS.CF!E43</f>
        <v>0</v>
      </c>
      <c r="H117" s="271">
        <f>IS.CF!F43</f>
        <v>0</v>
      </c>
      <c r="I117" s="272">
        <f t="shared" si="8"/>
        <v>0</v>
      </c>
      <c r="J117" s="119" t="e">
        <f>+(H117-G117)/G117</f>
        <v>#DIV/0!</v>
      </c>
      <c r="K117" s="119"/>
      <c r="M117" s="238"/>
      <c r="N117" s="228"/>
      <c r="O117" s="228"/>
      <c r="P117" s="228"/>
      <c r="Q117" s="228"/>
      <c r="R117" s="229"/>
      <c r="S117" s="229"/>
      <c r="T117" s="229"/>
      <c r="U117" s="229"/>
      <c r="V117" s="229"/>
      <c r="W117" s="229"/>
      <c r="X117" s="469"/>
      <c r="Y117" s="469"/>
      <c r="Z117" s="469"/>
      <c r="AA117" s="469"/>
      <c r="AB117" s="469"/>
      <c r="AC117" s="469"/>
      <c r="AD117" s="231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497"/>
      <c r="AS117" s="497"/>
      <c r="AT117" s="497"/>
      <c r="AU117" s="497"/>
      <c r="AV117" s="497"/>
      <c r="AW117" s="497"/>
      <c r="AX117" s="497"/>
      <c r="AY117" s="497"/>
      <c r="AZ117" s="233"/>
      <c r="BA117" s="234"/>
      <c r="BB117" s="234"/>
      <c r="BC117" s="234"/>
      <c r="BD117" s="234"/>
      <c r="BE117" s="234"/>
      <c r="BF117" s="234"/>
      <c r="BG117" s="234"/>
      <c r="BH117" s="234"/>
      <c r="BI117" s="234"/>
      <c r="BJ117" s="234"/>
      <c r="BK117" s="234"/>
      <c r="BL117" s="234"/>
      <c r="BM117" s="234"/>
      <c r="BN117" s="234"/>
      <c r="BO117" s="234"/>
      <c r="BP117" s="234"/>
      <c r="BQ117" s="234"/>
      <c r="BR117" s="235"/>
    </row>
    <row r="118" spans="2:70" s="33" customFormat="1" ht="15.75" thickBot="1">
      <c r="B118" s="468" t="s">
        <v>153</v>
      </c>
      <c r="C118" s="95" t="s">
        <v>154</v>
      </c>
      <c r="D118" s="273"/>
      <c r="E118" s="273"/>
      <c r="F118" s="273"/>
      <c r="G118" s="273">
        <f>BS!E7</f>
        <v>0</v>
      </c>
      <c r="H118" s="273">
        <f>BS!F7</f>
        <v>0</v>
      </c>
      <c r="I118" s="107">
        <f t="shared" si="8"/>
        <v>0</v>
      </c>
      <c r="J118" s="97" t="e">
        <f>+(H118-G118)/G118</f>
        <v>#DIV/0!</v>
      </c>
      <c r="K118" s="97" t="e">
        <f>(H118/D118)^(1/4)-1</f>
        <v>#DIV/0!</v>
      </c>
      <c r="M118" s="238"/>
      <c r="N118" s="228"/>
      <c r="O118" s="228"/>
      <c r="P118" s="228"/>
      <c r="Q118" s="228"/>
      <c r="R118" s="229"/>
      <c r="S118" s="229"/>
      <c r="T118" s="229"/>
      <c r="U118" s="229"/>
      <c r="V118" s="229"/>
      <c r="W118" s="229"/>
      <c r="X118" s="469"/>
      <c r="Y118" s="469"/>
      <c r="Z118" s="469"/>
      <c r="AA118" s="469"/>
      <c r="AB118" s="469"/>
      <c r="AC118" s="469"/>
      <c r="AD118" s="231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497"/>
      <c r="AS118" s="497"/>
      <c r="AT118" s="497"/>
      <c r="AU118" s="497"/>
      <c r="AV118" s="497"/>
      <c r="AW118" s="497"/>
      <c r="AX118" s="497"/>
      <c r="AY118" s="497"/>
      <c r="AZ118" s="233"/>
      <c r="BA118" s="234"/>
      <c r="BB118" s="234"/>
      <c r="BC118" s="234"/>
      <c r="BD118" s="234"/>
      <c r="BE118" s="234"/>
      <c r="BF118" s="234"/>
      <c r="BG118" s="234"/>
      <c r="BH118" s="234"/>
      <c r="BI118" s="234"/>
      <c r="BJ118" s="234"/>
      <c r="BK118" s="234"/>
      <c r="BL118" s="234"/>
      <c r="BM118" s="234"/>
      <c r="BN118" s="234"/>
      <c r="BO118" s="234"/>
      <c r="BP118" s="234"/>
      <c r="BQ118" s="234"/>
      <c r="BR118" s="235"/>
    </row>
    <row r="119" spans="2:70" s="33" customFormat="1" ht="15.75" thickBot="1">
      <c r="B119" s="468"/>
      <c r="C119" s="79" t="s">
        <v>155</v>
      </c>
      <c r="D119" s="274"/>
      <c r="E119" s="274"/>
      <c r="F119" s="274"/>
      <c r="G119" s="274" t="e">
        <f>+G97/G98</f>
        <v>#DIV/0!</v>
      </c>
      <c r="H119" s="274" t="e">
        <f>+H97/H98</f>
        <v>#DIV/0!</v>
      </c>
      <c r="I119" s="99" t="e">
        <f>+AVERAGE(D119:H119)</f>
        <v>#DIV/0!</v>
      </c>
      <c r="J119" s="275" t="e">
        <f>+(H119-G119)/G119</f>
        <v>#DIV/0!</v>
      </c>
      <c r="K119" s="74"/>
      <c r="M119" s="238"/>
      <c r="N119" s="228"/>
      <c r="O119" s="228"/>
      <c r="P119" s="228"/>
      <c r="Q119" s="228"/>
      <c r="R119" s="229"/>
      <c r="S119" s="229"/>
      <c r="T119" s="229"/>
      <c r="U119" s="229"/>
      <c r="V119" s="229"/>
      <c r="W119" s="229"/>
      <c r="X119" s="469"/>
      <c r="Y119" s="469"/>
      <c r="Z119" s="469"/>
      <c r="AA119" s="469"/>
      <c r="AB119" s="469"/>
      <c r="AC119" s="469"/>
      <c r="AD119" s="231"/>
      <c r="AE119" s="232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497"/>
      <c r="AS119" s="497"/>
      <c r="AT119" s="497"/>
      <c r="AU119" s="497"/>
      <c r="AV119" s="497"/>
      <c r="AW119" s="497"/>
      <c r="AX119" s="497"/>
      <c r="AY119" s="497"/>
      <c r="AZ119" s="233"/>
      <c r="BA119" s="234"/>
      <c r="BB119" s="234"/>
      <c r="BC119" s="234"/>
      <c r="BD119" s="234"/>
      <c r="BE119" s="234"/>
      <c r="BF119" s="234"/>
      <c r="BG119" s="234"/>
      <c r="BH119" s="234"/>
      <c r="BI119" s="234"/>
      <c r="BJ119" s="234"/>
      <c r="BK119" s="234"/>
      <c r="BL119" s="234"/>
      <c r="BM119" s="234"/>
      <c r="BN119" s="234"/>
      <c r="BO119" s="234"/>
      <c r="BP119" s="234"/>
      <c r="BQ119" s="234"/>
      <c r="BR119" s="235"/>
    </row>
    <row r="120" spans="2:70" s="33" customFormat="1" ht="15.75" thickBot="1">
      <c r="B120" s="468"/>
      <c r="C120" s="79" t="s">
        <v>156</v>
      </c>
      <c r="D120" s="274"/>
      <c r="E120" s="274"/>
      <c r="F120" s="274"/>
      <c r="G120" s="274" t="e">
        <f>+(G97)/G98</f>
        <v>#DIV/0!</v>
      </c>
      <c r="H120" s="274" t="e">
        <f>+(H97)/H98</f>
        <v>#DIV/0!</v>
      </c>
      <c r="I120" s="99" t="e">
        <f t="shared" si="8"/>
        <v>#DIV/0!</v>
      </c>
      <c r="J120" s="275" t="e">
        <f>+(H120-G120)/G120</f>
        <v>#DIV/0!</v>
      </c>
      <c r="K120" s="276"/>
      <c r="M120" s="238"/>
      <c r="N120" s="228"/>
      <c r="O120" s="228"/>
      <c r="P120" s="228"/>
      <c r="Q120" s="228"/>
      <c r="R120" s="229"/>
      <c r="S120" s="229"/>
      <c r="T120" s="229"/>
      <c r="U120" s="229"/>
      <c r="V120" s="229"/>
      <c r="W120" s="229"/>
      <c r="X120" s="469"/>
      <c r="Y120" s="469"/>
      <c r="Z120" s="469"/>
      <c r="AA120" s="469"/>
      <c r="AB120" s="469"/>
      <c r="AC120" s="469"/>
      <c r="AD120" s="231"/>
      <c r="AE120" s="232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497"/>
      <c r="AS120" s="497"/>
      <c r="AT120" s="497"/>
      <c r="AU120" s="497"/>
      <c r="AV120" s="497"/>
      <c r="AW120" s="497"/>
      <c r="AX120" s="497"/>
      <c r="AY120" s="497"/>
      <c r="AZ120" s="233"/>
      <c r="BA120" s="234"/>
      <c r="BB120" s="234"/>
      <c r="BC120" s="234"/>
      <c r="BD120" s="234"/>
      <c r="BE120" s="234"/>
      <c r="BF120" s="234"/>
      <c r="BG120" s="234"/>
      <c r="BH120" s="234"/>
      <c r="BI120" s="234"/>
      <c r="BJ120" s="234"/>
      <c r="BK120" s="234"/>
      <c r="BL120" s="234"/>
      <c r="BM120" s="234"/>
      <c r="BN120" s="234"/>
      <c r="BO120" s="234"/>
      <c r="BP120" s="234"/>
      <c r="BQ120" s="234"/>
      <c r="BR120" s="235"/>
    </row>
    <row r="121" spans="2:70" s="33" customFormat="1" ht="15.75" thickBot="1">
      <c r="B121" s="468"/>
      <c r="C121" s="79" t="s">
        <v>157</v>
      </c>
      <c r="D121" s="277"/>
      <c r="E121" s="277"/>
      <c r="F121" s="277"/>
      <c r="G121" s="277" t="e">
        <f>+G118/G98</f>
        <v>#DIV/0!</v>
      </c>
      <c r="H121" s="277" t="e">
        <f>+H118/H98</f>
        <v>#DIV/0!</v>
      </c>
      <c r="I121" s="244" t="e">
        <f>+AVERAGE(D121:H121)</f>
        <v>#DIV/0!</v>
      </c>
      <c r="J121" s="275" t="e">
        <f>+(H121-G121)/G121</f>
        <v>#DIV/0!</v>
      </c>
      <c r="K121" s="276"/>
      <c r="M121" s="238"/>
      <c r="N121" s="228"/>
      <c r="O121" s="228"/>
      <c r="P121" s="228"/>
      <c r="Q121" s="228"/>
      <c r="R121" s="229"/>
      <c r="S121" s="229"/>
      <c r="T121" s="229"/>
      <c r="U121" s="229"/>
      <c r="V121" s="229"/>
      <c r="W121" s="229"/>
      <c r="X121" s="469"/>
      <c r="Y121" s="469"/>
      <c r="Z121" s="469"/>
      <c r="AA121" s="469"/>
      <c r="AB121" s="469"/>
      <c r="AC121" s="469"/>
      <c r="AD121" s="231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497"/>
      <c r="AS121" s="497"/>
      <c r="AT121" s="497"/>
      <c r="AU121" s="497"/>
      <c r="AV121" s="497"/>
      <c r="AW121" s="497"/>
      <c r="AX121" s="497"/>
      <c r="AY121" s="497"/>
      <c r="AZ121" s="233"/>
      <c r="BA121" s="234"/>
      <c r="BB121" s="234"/>
      <c r="BC121" s="234"/>
      <c r="BD121" s="234"/>
      <c r="BE121" s="234"/>
      <c r="BF121" s="234"/>
      <c r="BG121" s="234"/>
      <c r="BH121" s="234"/>
      <c r="BI121" s="234"/>
      <c r="BJ121" s="234"/>
      <c r="BK121" s="234"/>
      <c r="BL121" s="234"/>
      <c r="BM121" s="234"/>
      <c r="BN121" s="234"/>
      <c r="BO121" s="234"/>
      <c r="BP121" s="234"/>
      <c r="BQ121" s="234"/>
      <c r="BR121" s="235"/>
    </row>
    <row r="122" spans="2:70" s="33" customFormat="1" ht="15.75" thickBot="1">
      <c r="B122" s="468"/>
      <c r="C122" s="101" t="s">
        <v>158</v>
      </c>
      <c r="D122" s="278"/>
      <c r="E122" s="278"/>
      <c r="F122" s="278"/>
      <c r="G122" s="278" t="e">
        <f>G108/G79</f>
        <v>#DIV/0!</v>
      </c>
      <c r="H122" s="278" t="e">
        <f>H108/H79</f>
        <v>#DIV/0!</v>
      </c>
      <c r="I122" s="279" t="e">
        <f t="shared" si="8"/>
        <v>#DIV/0!</v>
      </c>
      <c r="J122" s="280"/>
      <c r="K122" s="280"/>
      <c r="M122" s="281"/>
      <c r="N122" s="282"/>
      <c r="O122" s="282"/>
      <c r="P122" s="282"/>
      <c r="Q122" s="282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4"/>
      <c r="AD122" s="285"/>
      <c r="AE122" s="286"/>
      <c r="AF122" s="286"/>
      <c r="AG122" s="286"/>
      <c r="AH122" s="286"/>
      <c r="AI122" s="286"/>
      <c r="AJ122" s="286"/>
      <c r="AK122" s="286"/>
      <c r="AL122" s="286"/>
      <c r="AM122" s="286"/>
      <c r="AN122" s="286"/>
      <c r="AO122" s="286"/>
      <c r="AP122" s="286"/>
      <c r="AQ122" s="286"/>
      <c r="AR122" s="286"/>
      <c r="AS122" s="286"/>
      <c r="AT122" s="286"/>
      <c r="AU122" s="286"/>
      <c r="AV122" s="286"/>
      <c r="AW122" s="286"/>
      <c r="AX122" s="286"/>
      <c r="AY122" s="286"/>
      <c r="AZ122" s="287"/>
      <c r="BA122" s="288"/>
      <c r="BB122" s="288"/>
      <c r="BC122" s="288"/>
      <c r="BD122" s="288"/>
      <c r="BE122" s="288"/>
      <c r="BF122" s="288"/>
      <c r="BG122" s="288"/>
      <c r="BH122" s="288"/>
      <c r="BI122" s="288"/>
      <c r="BJ122" s="288"/>
      <c r="BK122" s="288"/>
      <c r="BL122" s="288"/>
      <c r="BM122" s="288"/>
      <c r="BN122" s="288"/>
      <c r="BO122" s="288"/>
      <c r="BP122" s="288"/>
      <c r="BQ122" s="288"/>
      <c r="BR122" s="289"/>
    </row>
    <row r="123" spans="2:70" s="33" customFormat="1" ht="15.75" thickBot="1">
      <c r="B123" s="468" t="s">
        <v>159</v>
      </c>
      <c r="C123" s="95" t="s">
        <v>160</v>
      </c>
      <c r="D123" s="290"/>
      <c r="E123" s="290"/>
      <c r="F123" s="290"/>
      <c r="G123" s="290" t="e">
        <f>G110/G90</f>
        <v>#DIV/0!</v>
      </c>
      <c r="H123" s="290" t="e">
        <f>H110/H90</f>
        <v>#DIV/0!</v>
      </c>
      <c r="I123" s="396" t="e">
        <f t="shared" ref="I123:I128" si="9">+AVERAGE(D123:H123)</f>
        <v>#DIV/0!</v>
      </c>
      <c r="J123" s="97"/>
      <c r="K123" s="97"/>
      <c r="M123" s="291"/>
      <c r="N123" s="292"/>
      <c r="O123" s="292"/>
      <c r="P123" s="292"/>
      <c r="Q123" s="292"/>
      <c r="R123" s="293"/>
      <c r="S123" s="293"/>
      <c r="T123" s="293"/>
      <c r="U123" s="293"/>
      <c r="V123" s="293"/>
      <c r="W123" s="293"/>
      <c r="X123" s="294"/>
      <c r="Y123" s="294"/>
      <c r="Z123" s="294"/>
      <c r="AA123" s="294"/>
      <c r="AB123" s="294"/>
      <c r="AC123" s="295"/>
      <c r="AD123" s="296"/>
      <c r="AE123" s="296"/>
      <c r="AF123" s="296"/>
      <c r="AG123" s="296"/>
      <c r="AH123" s="296"/>
      <c r="AI123" s="296"/>
      <c r="AJ123" s="296"/>
      <c r="AK123" s="296"/>
      <c r="AL123" s="296"/>
      <c r="AM123" s="296"/>
      <c r="AN123" s="296"/>
      <c r="AO123" s="296"/>
      <c r="AP123" s="296"/>
      <c r="AQ123" s="296"/>
      <c r="AR123" s="297"/>
      <c r="AS123" s="297"/>
      <c r="AT123" s="297"/>
      <c r="AU123" s="297"/>
      <c r="AV123" s="297"/>
      <c r="AW123" s="297"/>
      <c r="AX123" s="297"/>
      <c r="AY123" s="298"/>
      <c r="AZ123" s="299"/>
      <c r="BA123" s="300"/>
      <c r="BB123" s="300"/>
      <c r="BC123" s="300"/>
      <c r="BD123" s="300"/>
      <c r="BE123" s="300"/>
      <c r="BF123" s="300"/>
      <c r="BG123" s="300"/>
      <c r="BH123" s="300"/>
      <c r="BI123" s="300"/>
      <c r="BJ123" s="300"/>
      <c r="BK123" s="300"/>
      <c r="BL123" s="300"/>
      <c r="BM123" s="300"/>
      <c r="BN123" s="300"/>
      <c r="BO123" s="301"/>
      <c r="BP123" s="301"/>
      <c r="BQ123" s="301"/>
      <c r="BR123" s="302"/>
    </row>
    <row r="124" spans="2:70" s="33" customFormat="1" ht="15.75" customHeight="1" thickBot="1">
      <c r="B124" s="468"/>
      <c r="C124" s="79" t="s">
        <v>161</v>
      </c>
      <c r="D124" s="303"/>
      <c r="E124" s="303"/>
      <c r="F124" s="303"/>
      <c r="G124" s="303" t="e">
        <f>G103/G109</f>
        <v>#DIV/0!</v>
      </c>
      <c r="H124" s="303" t="e">
        <f>H103/H109</f>
        <v>#DIV/0!</v>
      </c>
      <c r="I124" s="99" t="e">
        <f t="shared" si="9"/>
        <v>#DIV/0!</v>
      </c>
      <c r="J124" s="276"/>
      <c r="K124" s="276"/>
      <c r="M124" s="304"/>
      <c r="N124" s="305"/>
      <c r="O124" s="305"/>
      <c r="P124" s="305"/>
      <c r="Q124" s="305"/>
      <c r="R124" s="306"/>
      <c r="S124" s="306"/>
      <c r="T124" s="306"/>
      <c r="U124" s="306"/>
      <c r="V124" s="306"/>
      <c r="W124" s="306"/>
      <c r="X124" s="307" t="s">
        <v>162</v>
      </c>
      <c r="Y124" s="308"/>
      <c r="Z124" s="308"/>
      <c r="AA124" s="308"/>
      <c r="AB124" s="308"/>
      <c r="AC124" s="309"/>
      <c r="AD124" s="310"/>
      <c r="AE124" s="310"/>
      <c r="AF124" s="310"/>
      <c r="AG124" s="310"/>
      <c r="AH124" s="310"/>
      <c r="AI124" s="310"/>
      <c r="AJ124" s="310"/>
      <c r="AK124" s="310"/>
      <c r="AL124" s="310"/>
      <c r="AM124" s="310"/>
      <c r="AN124" s="310"/>
      <c r="AO124" s="310"/>
      <c r="AP124" s="310"/>
      <c r="AQ124" s="310"/>
      <c r="AR124" s="311" t="s">
        <v>163</v>
      </c>
      <c r="AS124" s="311"/>
      <c r="AT124" s="311"/>
      <c r="AU124" s="311"/>
      <c r="AV124" s="311"/>
      <c r="AW124" s="311"/>
      <c r="AX124" s="311"/>
      <c r="AY124" s="312"/>
      <c r="AZ124" s="299"/>
      <c r="BA124" s="300"/>
      <c r="BB124" s="300"/>
      <c r="BC124" s="300"/>
      <c r="BD124" s="300"/>
      <c r="BE124" s="300"/>
      <c r="BF124" s="300"/>
      <c r="BG124" s="300"/>
      <c r="BH124" s="300"/>
      <c r="BI124" s="300"/>
      <c r="BJ124" s="300"/>
      <c r="BK124" s="300"/>
      <c r="BL124" s="300"/>
      <c r="BM124" s="300"/>
      <c r="BN124" s="300"/>
      <c r="BO124" s="498"/>
      <c r="BP124" s="498"/>
      <c r="BQ124" s="498"/>
      <c r="BR124" s="498"/>
    </row>
    <row r="125" spans="2:70" s="33" customFormat="1" ht="15.75" thickBot="1">
      <c r="B125" s="468"/>
      <c r="C125" s="79" t="s">
        <v>164</v>
      </c>
      <c r="D125" s="116"/>
      <c r="E125" s="116"/>
      <c r="F125" s="116"/>
      <c r="G125" s="116" t="e">
        <f>G94/G101</f>
        <v>#DIV/0!</v>
      </c>
      <c r="H125" s="116" t="e">
        <f>H94/H101</f>
        <v>#DIV/0!</v>
      </c>
      <c r="I125" s="313" t="e">
        <f t="shared" si="9"/>
        <v>#DIV/0!</v>
      </c>
      <c r="J125" s="276"/>
      <c r="K125" s="276"/>
      <c r="M125" s="304"/>
      <c r="N125" s="305"/>
      <c r="O125" s="305"/>
      <c r="P125" s="305"/>
      <c r="Q125" s="305"/>
      <c r="R125" s="306"/>
      <c r="S125" s="306"/>
      <c r="T125" s="306"/>
      <c r="U125" s="306"/>
      <c r="V125" s="306"/>
      <c r="W125" s="306"/>
      <c r="X125" s="499"/>
      <c r="Y125" s="499"/>
      <c r="Z125" s="499"/>
      <c r="AA125" s="499"/>
      <c r="AB125" s="499"/>
      <c r="AC125" s="499"/>
      <c r="AD125" s="310"/>
      <c r="AE125" s="310"/>
      <c r="AF125" s="310"/>
      <c r="AG125" s="310"/>
      <c r="AH125" s="310"/>
      <c r="AI125" s="310"/>
      <c r="AJ125" s="310"/>
      <c r="AK125" s="310"/>
      <c r="AL125" s="310"/>
      <c r="AM125" s="310"/>
      <c r="AN125" s="310"/>
      <c r="AO125" s="310"/>
      <c r="AP125" s="310"/>
      <c r="AQ125" s="310"/>
      <c r="AR125" s="500"/>
      <c r="AS125" s="500"/>
      <c r="AT125" s="500"/>
      <c r="AU125" s="500"/>
      <c r="AV125" s="500"/>
      <c r="AW125" s="500"/>
      <c r="AX125" s="500"/>
      <c r="AY125" s="500"/>
      <c r="AZ125" s="299"/>
      <c r="BA125" s="300"/>
      <c r="BB125" s="300"/>
      <c r="BC125" s="300"/>
      <c r="BD125" s="300"/>
      <c r="BE125" s="300"/>
      <c r="BF125" s="300"/>
      <c r="BG125" s="300"/>
      <c r="BH125" s="300"/>
      <c r="BI125" s="300"/>
      <c r="BJ125" s="300"/>
      <c r="BK125" s="300"/>
      <c r="BL125" s="300"/>
      <c r="BM125" s="300"/>
      <c r="BN125" s="300"/>
      <c r="BO125" s="498"/>
      <c r="BP125" s="498"/>
      <c r="BQ125" s="498"/>
      <c r="BR125" s="498"/>
    </row>
    <row r="126" spans="2:70" s="33" customFormat="1" ht="15.75" thickBot="1">
      <c r="B126" s="468"/>
      <c r="C126" s="79" t="s">
        <v>165</v>
      </c>
      <c r="D126" s="314"/>
      <c r="E126" s="314"/>
      <c r="F126" s="314"/>
      <c r="G126" s="314" t="e">
        <f>G112/G103</f>
        <v>#DIV/0!</v>
      </c>
      <c r="H126" s="314" t="e">
        <f>H112/H103</f>
        <v>#DIV/0!</v>
      </c>
      <c r="I126" s="313" t="e">
        <f t="shared" si="9"/>
        <v>#DIV/0!</v>
      </c>
      <c r="J126" s="276"/>
      <c r="K126" s="276"/>
      <c r="M126" s="304"/>
      <c r="N126" s="305"/>
      <c r="O126" s="305"/>
      <c r="P126" s="305"/>
      <c r="Q126" s="305"/>
      <c r="R126" s="306"/>
      <c r="S126" s="306"/>
      <c r="T126" s="306"/>
      <c r="U126" s="306"/>
      <c r="V126" s="306"/>
      <c r="W126" s="306"/>
      <c r="X126" s="499"/>
      <c r="Y126" s="499"/>
      <c r="Z126" s="499"/>
      <c r="AA126" s="499"/>
      <c r="AB126" s="499"/>
      <c r="AC126" s="499"/>
      <c r="AD126" s="310"/>
      <c r="AE126" s="310"/>
      <c r="AF126" s="310"/>
      <c r="AG126" s="310"/>
      <c r="AH126" s="310"/>
      <c r="AI126" s="310"/>
      <c r="AJ126" s="310"/>
      <c r="AK126" s="310"/>
      <c r="AL126" s="310"/>
      <c r="AM126" s="310"/>
      <c r="AN126" s="310"/>
      <c r="AO126" s="310"/>
      <c r="AP126" s="310"/>
      <c r="AQ126" s="310"/>
      <c r="AR126" s="500"/>
      <c r="AS126" s="500"/>
      <c r="AT126" s="500"/>
      <c r="AU126" s="500"/>
      <c r="AV126" s="500"/>
      <c r="AW126" s="500"/>
      <c r="AX126" s="500"/>
      <c r="AY126" s="500"/>
      <c r="AZ126" s="299"/>
      <c r="BA126" s="300"/>
      <c r="BB126" s="300"/>
      <c r="BC126" s="300"/>
      <c r="BD126" s="300"/>
      <c r="BE126" s="300"/>
      <c r="BF126" s="300"/>
      <c r="BG126" s="300"/>
      <c r="BH126" s="300"/>
      <c r="BI126" s="300"/>
      <c r="BJ126" s="300"/>
      <c r="BK126" s="300"/>
      <c r="BL126" s="300"/>
      <c r="BM126" s="300"/>
      <c r="BN126" s="300"/>
      <c r="BO126" s="498"/>
      <c r="BP126" s="498"/>
      <c r="BQ126" s="498"/>
      <c r="BR126" s="498"/>
    </row>
    <row r="127" spans="2:70" s="33" customFormat="1" ht="15.75" thickBot="1">
      <c r="B127" s="468"/>
      <c r="C127" s="101" t="s">
        <v>166</v>
      </c>
      <c r="D127" s="315"/>
      <c r="E127" s="315"/>
      <c r="F127" s="315"/>
      <c r="G127" s="315" t="e">
        <f>G103/G109</f>
        <v>#DIV/0!</v>
      </c>
      <c r="H127" s="315" t="e">
        <f>H103/H109</f>
        <v>#DIV/0!</v>
      </c>
      <c r="I127" s="313" t="e">
        <f t="shared" si="9"/>
        <v>#DIV/0!</v>
      </c>
      <c r="J127" s="316"/>
      <c r="K127" s="316"/>
      <c r="M127" s="304"/>
      <c r="N127" s="305"/>
      <c r="O127" s="305"/>
      <c r="P127" s="305"/>
      <c r="Q127" s="305"/>
      <c r="R127" s="306"/>
      <c r="S127" s="306"/>
      <c r="T127" s="306"/>
      <c r="U127" s="306"/>
      <c r="V127" s="306"/>
      <c r="W127" s="306"/>
      <c r="X127" s="499"/>
      <c r="Y127" s="499"/>
      <c r="Z127" s="499"/>
      <c r="AA127" s="499"/>
      <c r="AB127" s="499"/>
      <c r="AC127" s="499"/>
      <c r="AD127" s="310"/>
      <c r="AE127" s="310"/>
      <c r="AF127" s="310"/>
      <c r="AG127" s="310"/>
      <c r="AH127" s="310"/>
      <c r="AI127" s="310"/>
      <c r="AJ127" s="310"/>
      <c r="AK127" s="310"/>
      <c r="AL127" s="310"/>
      <c r="AM127" s="310"/>
      <c r="AN127" s="310"/>
      <c r="AO127" s="310"/>
      <c r="AP127" s="310"/>
      <c r="AQ127" s="310"/>
      <c r="AR127" s="500"/>
      <c r="AS127" s="500"/>
      <c r="AT127" s="500"/>
      <c r="AU127" s="500"/>
      <c r="AV127" s="500"/>
      <c r="AW127" s="500"/>
      <c r="AX127" s="500"/>
      <c r="AY127" s="500"/>
      <c r="AZ127" s="299"/>
      <c r="BA127" s="300"/>
      <c r="BB127" s="300"/>
      <c r="BC127" s="300"/>
      <c r="BD127" s="300"/>
      <c r="BE127" s="300"/>
      <c r="BF127" s="300"/>
      <c r="BG127" s="300"/>
      <c r="BH127" s="300"/>
      <c r="BI127" s="300"/>
      <c r="BJ127" s="300"/>
      <c r="BK127" s="300"/>
      <c r="BL127" s="300"/>
      <c r="BM127" s="300"/>
      <c r="BN127" s="300"/>
      <c r="BO127" s="498"/>
      <c r="BP127" s="498"/>
      <c r="BQ127" s="498"/>
      <c r="BR127" s="498"/>
    </row>
    <row r="128" spans="2:70" s="33" customFormat="1" ht="15.75" thickBot="1">
      <c r="B128" s="468"/>
      <c r="C128" s="103" t="s">
        <v>167</v>
      </c>
      <c r="D128" s="317"/>
      <c r="E128" s="317"/>
      <c r="F128" s="317"/>
      <c r="G128" s="317" t="e">
        <f>ABS(IS.CF!E39/IS.CF!E20)</f>
        <v>#DIV/0!</v>
      </c>
      <c r="H128" s="317" t="e">
        <f>ABS(IS.CF!F39/IS.CF!F20)</f>
        <v>#DIV/0!</v>
      </c>
      <c r="I128" s="318" t="e">
        <f t="shared" si="9"/>
        <v>#DIV/0!</v>
      </c>
      <c r="J128" s="319"/>
      <c r="K128" s="319"/>
      <c r="M128" s="304"/>
      <c r="N128" s="305"/>
      <c r="O128" s="305"/>
      <c r="P128" s="305"/>
      <c r="Q128" s="305"/>
      <c r="R128" s="306"/>
      <c r="S128" s="306"/>
      <c r="T128" s="306"/>
      <c r="U128" s="306"/>
      <c r="V128" s="306"/>
      <c r="W128" s="306"/>
      <c r="X128" s="499"/>
      <c r="Y128" s="499"/>
      <c r="Z128" s="499"/>
      <c r="AA128" s="499"/>
      <c r="AB128" s="499"/>
      <c r="AC128" s="499"/>
      <c r="AD128" s="310"/>
      <c r="AE128" s="310"/>
      <c r="AF128" s="310"/>
      <c r="AG128" s="310"/>
      <c r="AH128" s="310"/>
      <c r="AI128" s="310"/>
      <c r="AJ128" s="310"/>
      <c r="AK128" s="310"/>
      <c r="AL128" s="310"/>
      <c r="AM128" s="310"/>
      <c r="AN128" s="310"/>
      <c r="AO128" s="310"/>
      <c r="AP128" s="310"/>
      <c r="AQ128" s="310"/>
      <c r="AR128" s="500"/>
      <c r="AS128" s="500"/>
      <c r="AT128" s="500"/>
      <c r="AU128" s="500"/>
      <c r="AV128" s="500"/>
      <c r="AW128" s="500"/>
      <c r="AX128" s="500"/>
      <c r="AY128" s="500"/>
      <c r="AZ128" s="299"/>
      <c r="BA128" s="300"/>
      <c r="BB128" s="300"/>
      <c r="BC128" s="300"/>
      <c r="BD128" s="300"/>
      <c r="BE128" s="300"/>
      <c r="BF128" s="300"/>
      <c r="BG128" s="300"/>
      <c r="BH128" s="300"/>
      <c r="BI128" s="300"/>
      <c r="BJ128" s="300"/>
      <c r="BK128" s="300"/>
      <c r="BL128" s="300"/>
      <c r="BM128" s="300"/>
      <c r="BN128" s="300"/>
      <c r="BO128" s="498"/>
      <c r="BP128" s="498"/>
      <c r="BQ128" s="498"/>
      <c r="BR128" s="498"/>
    </row>
    <row r="129" spans="2:76" s="33" customFormat="1" ht="15.75" thickBot="1">
      <c r="J129" s="199"/>
      <c r="K129" s="199"/>
      <c r="M129" s="304"/>
      <c r="N129" s="305"/>
      <c r="O129" s="305"/>
      <c r="P129" s="305"/>
      <c r="Q129" s="305"/>
      <c r="R129" s="306"/>
      <c r="S129" s="306"/>
      <c r="T129" s="306"/>
      <c r="U129" s="306"/>
      <c r="V129" s="306"/>
      <c r="W129" s="306"/>
      <c r="X129" s="499"/>
      <c r="Y129" s="499"/>
      <c r="Z129" s="499"/>
      <c r="AA129" s="499"/>
      <c r="AB129" s="499"/>
      <c r="AC129" s="499"/>
      <c r="AD129" s="310"/>
      <c r="AE129" s="310"/>
      <c r="AF129" s="310"/>
      <c r="AG129" s="310"/>
      <c r="AH129" s="310"/>
      <c r="AI129" s="310"/>
      <c r="AJ129" s="310"/>
      <c r="AK129" s="310"/>
      <c r="AL129" s="310"/>
      <c r="AM129" s="310"/>
      <c r="AN129" s="310"/>
      <c r="AO129" s="310"/>
      <c r="AP129" s="310"/>
      <c r="AQ129" s="310"/>
      <c r="AR129" s="500"/>
      <c r="AS129" s="500"/>
      <c r="AT129" s="500"/>
      <c r="AU129" s="500"/>
      <c r="AV129" s="500"/>
      <c r="AW129" s="500"/>
      <c r="AX129" s="500"/>
      <c r="AY129" s="500"/>
      <c r="AZ129" s="299"/>
      <c r="BA129" s="300"/>
      <c r="BB129" s="300"/>
      <c r="BC129" s="300"/>
      <c r="BD129" s="300"/>
      <c r="BE129" s="300"/>
      <c r="BF129" s="300"/>
      <c r="BG129" s="300"/>
      <c r="BH129" s="300"/>
      <c r="BI129" s="300"/>
      <c r="BJ129" s="300"/>
      <c r="BK129" s="300"/>
      <c r="BL129" s="300"/>
      <c r="BM129" s="300"/>
      <c r="BN129" s="300"/>
      <c r="BO129" s="498"/>
      <c r="BP129" s="498"/>
      <c r="BQ129" s="498"/>
      <c r="BR129" s="498"/>
    </row>
    <row r="130" spans="2:76" s="33" customFormat="1" ht="15.75" thickBot="1">
      <c r="B130" s="34"/>
      <c r="C130" s="34"/>
      <c r="F130" s="34"/>
      <c r="I130" s="34"/>
      <c r="J130" s="34"/>
      <c r="K130" s="193"/>
      <c r="M130" s="304"/>
      <c r="N130" s="305"/>
      <c r="O130" s="305"/>
      <c r="P130" s="305"/>
      <c r="Q130" s="305"/>
      <c r="R130" s="306"/>
      <c r="S130" s="306"/>
      <c r="T130" s="306"/>
      <c r="U130" s="306"/>
      <c r="V130" s="306"/>
      <c r="W130" s="306"/>
      <c r="X130" s="499"/>
      <c r="Y130" s="499"/>
      <c r="Z130" s="499"/>
      <c r="AA130" s="499"/>
      <c r="AB130" s="499"/>
      <c r="AC130" s="499"/>
      <c r="AD130" s="310"/>
      <c r="AE130" s="310"/>
      <c r="AF130" s="310"/>
      <c r="AG130" s="310"/>
      <c r="AH130" s="310"/>
      <c r="AI130" s="310"/>
      <c r="AJ130" s="310"/>
      <c r="AK130" s="310"/>
      <c r="AL130" s="310"/>
      <c r="AM130" s="310"/>
      <c r="AN130" s="310"/>
      <c r="AO130" s="310"/>
      <c r="AP130" s="310"/>
      <c r="AQ130" s="310"/>
      <c r="AR130" s="500"/>
      <c r="AS130" s="500"/>
      <c r="AT130" s="500"/>
      <c r="AU130" s="500"/>
      <c r="AV130" s="500"/>
      <c r="AW130" s="500"/>
      <c r="AX130" s="500"/>
      <c r="AY130" s="500"/>
      <c r="AZ130" s="299"/>
      <c r="BA130" s="300"/>
      <c r="BB130" s="300"/>
      <c r="BC130" s="300"/>
      <c r="BD130" s="300"/>
      <c r="BE130" s="300"/>
      <c r="BF130" s="300"/>
      <c r="BG130" s="300"/>
      <c r="BH130" s="300"/>
      <c r="BI130" s="300"/>
      <c r="BJ130" s="300"/>
      <c r="BK130" s="300"/>
      <c r="BL130" s="300"/>
      <c r="BM130" s="300"/>
      <c r="BN130" s="300"/>
      <c r="BO130" s="498"/>
      <c r="BP130" s="498"/>
      <c r="BQ130" s="498"/>
      <c r="BR130" s="498"/>
    </row>
    <row r="131" spans="2:76" s="33" customFormat="1" ht="15.75" thickBot="1">
      <c r="B131" s="34"/>
      <c r="F131" s="34"/>
      <c r="I131" s="174"/>
      <c r="J131" s="174"/>
      <c r="K131" s="193"/>
      <c r="M131" s="304"/>
      <c r="N131" s="305"/>
      <c r="O131" s="305"/>
      <c r="P131" s="305"/>
      <c r="Q131" s="305"/>
      <c r="R131" s="306"/>
      <c r="S131" s="306"/>
      <c r="T131" s="306"/>
      <c r="U131" s="306"/>
      <c r="V131" s="306"/>
      <c r="W131" s="306"/>
      <c r="X131" s="499"/>
      <c r="Y131" s="499"/>
      <c r="Z131" s="499"/>
      <c r="AA131" s="499"/>
      <c r="AB131" s="499"/>
      <c r="AC131" s="499"/>
      <c r="AD131" s="310"/>
      <c r="AE131" s="310"/>
      <c r="AF131" s="310"/>
      <c r="AG131" s="310"/>
      <c r="AH131" s="310"/>
      <c r="AI131" s="310"/>
      <c r="AJ131" s="310"/>
      <c r="AK131" s="310"/>
      <c r="AL131" s="310"/>
      <c r="AM131" s="310"/>
      <c r="AN131" s="310"/>
      <c r="AO131" s="310"/>
      <c r="AP131" s="310"/>
      <c r="AQ131" s="310"/>
      <c r="AR131" s="500"/>
      <c r="AS131" s="500"/>
      <c r="AT131" s="500"/>
      <c r="AU131" s="500"/>
      <c r="AV131" s="500"/>
      <c r="AW131" s="500"/>
      <c r="AX131" s="500"/>
      <c r="AY131" s="500"/>
      <c r="AZ131" s="299"/>
      <c r="BA131" s="300"/>
      <c r="BB131" s="300"/>
      <c r="BC131" s="300"/>
      <c r="BD131" s="300"/>
      <c r="BE131" s="300"/>
      <c r="BF131" s="300"/>
      <c r="BG131" s="300"/>
      <c r="BH131" s="300"/>
      <c r="BI131" s="300"/>
      <c r="BJ131" s="300"/>
      <c r="BK131" s="300"/>
      <c r="BL131" s="300"/>
      <c r="BM131" s="300"/>
      <c r="BN131" s="300"/>
      <c r="BO131" s="498"/>
      <c r="BP131" s="498"/>
      <c r="BQ131" s="498"/>
      <c r="BR131" s="498"/>
    </row>
    <row r="132" spans="2:76" s="33" customFormat="1" ht="15.75" thickBot="1">
      <c r="B132" s="61" t="str">
        <f>B7</f>
        <v>EUR</v>
      </c>
      <c r="C132" s="320" t="s">
        <v>168</v>
      </c>
      <c r="D132" s="217" t="str">
        <f>H78</f>
        <v>FY24</v>
      </c>
      <c r="F132" s="34"/>
      <c r="I132" s="174"/>
      <c r="J132" s="34"/>
      <c r="K132" s="193"/>
      <c r="M132" s="304"/>
      <c r="N132" s="305"/>
      <c r="O132" s="305"/>
      <c r="P132" s="305"/>
      <c r="Q132" s="305"/>
      <c r="R132" s="306"/>
      <c r="S132" s="306"/>
      <c r="T132" s="306"/>
      <c r="U132" s="306"/>
      <c r="V132" s="306"/>
      <c r="W132" s="306"/>
      <c r="X132" s="499"/>
      <c r="Y132" s="499"/>
      <c r="Z132" s="499"/>
      <c r="AA132" s="499"/>
      <c r="AB132" s="499"/>
      <c r="AC132" s="499"/>
      <c r="AD132" s="310"/>
      <c r="AE132" s="310"/>
      <c r="AF132" s="310"/>
      <c r="AG132" s="310"/>
      <c r="AH132" s="310"/>
      <c r="AI132" s="310"/>
      <c r="AJ132" s="310"/>
      <c r="AK132" s="310"/>
      <c r="AL132" s="310"/>
      <c r="AM132" s="310"/>
      <c r="AN132" s="310"/>
      <c r="AO132" s="310"/>
      <c r="AP132" s="310"/>
      <c r="AQ132" s="310"/>
      <c r="AR132" s="500"/>
      <c r="AS132" s="500"/>
      <c r="AT132" s="500"/>
      <c r="AU132" s="500"/>
      <c r="AV132" s="500"/>
      <c r="AW132" s="500"/>
      <c r="AX132" s="500"/>
      <c r="AY132" s="500"/>
      <c r="AZ132" s="299"/>
      <c r="BA132" s="300"/>
      <c r="BB132" s="300"/>
      <c r="BC132" s="300"/>
      <c r="BD132" s="300"/>
      <c r="BE132" s="300"/>
      <c r="BF132" s="300"/>
      <c r="BG132" s="300"/>
      <c r="BH132" s="300"/>
      <c r="BI132" s="300"/>
      <c r="BJ132" s="300"/>
      <c r="BK132" s="300"/>
      <c r="BL132" s="300"/>
      <c r="BM132" s="300"/>
      <c r="BN132" s="300"/>
      <c r="BO132" s="498"/>
      <c r="BP132" s="498"/>
      <c r="BQ132" s="498"/>
      <c r="BR132" s="498"/>
    </row>
    <row r="133" spans="2:76" s="33" customFormat="1" ht="15.75" thickBot="1">
      <c r="B133" s="122" t="s">
        <v>169</v>
      </c>
      <c r="C133" s="321" t="s">
        <v>170</v>
      </c>
      <c r="D133" s="322">
        <f>D42</f>
        <v>0</v>
      </c>
      <c r="F133" s="323"/>
      <c r="I133" s="34"/>
      <c r="J133" s="174"/>
      <c r="K133" s="193"/>
      <c r="M133" s="304"/>
      <c r="N133" s="305"/>
      <c r="O133" s="305"/>
      <c r="P133" s="305"/>
      <c r="Q133" s="305"/>
      <c r="R133" s="306"/>
      <c r="S133" s="306"/>
      <c r="T133" s="306"/>
      <c r="U133" s="306"/>
      <c r="V133" s="306"/>
      <c r="W133" s="306"/>
      <c r="X133" s="499"/>
      <c r="Y133" s="499"/>
      <c r="Z133" s="499"/>
      <c r="AA133" s="499"/>
      <c r="AB133" s="499"/>
      <c r="AC133" s="499"/>
      <c r="AD133" s="310"/>
      <c r="AE133" s="310"/>
      <c r="AF133" s="310"/>
      <c r="AG133" s="310"/>
      <c r="AH133" s="310"/>
      <c r="AI133" s="310"/>
      <c r="AJ133" s="310"/>
      <c r="AK133" s="310"/>
      <c r="AL133" s="310"/>
      <c r="AM133" s="310"/>
      <c r="AN133" s="310"/>
      <c r="AO133" s="310"/>
      <c r="AP133" s="310"/>
      <c r="AQ133" s="310"/>
      <c r="AR133" s="500"/>
      <c r="AS133" s="500"/>
      <c r="AT133" s="500"/>
      <c r="AU133" s="500"/>
      <c r="AV133" s="500"/>
      <c r="AW133" s="500"/>
      <c r="AX133" s="500"/>
      <c r="AY133" s="500"/>
      <c r="AZ133" s="299"/>
      <c r="BA133" s="300"/>
      <c r="BB133" s="300"/>
      <c r="BC133" s="300"/>
      <c r="BD133" s="300"/>
      <c r="BE133" s="300"/>
      <c r="BF133" s="300"/>
      <c r="BG133" s="300"/>
      <c r="BH133" s="300"/>
      <c r="BI133" s="300"/>
      <c r="BJ133" s="300"/>
      <c r="BK133" s="300"/>
      <c r="BL133" s="300"/>
      <c r="BM133" s="300"/>
      <c r="BN133" s="300"/>
      <c r="BO133" s="498"/>
      <c r="BP133" s="498"/>
      <c r="BQ133" s="498"/>
      <c r="BR133" s="498"/>
      <c r="BU133" s="62" t="s">
        <v>171</v>
      </c>
      <c r="BV133" s="25"/>
      <c r="BW133" s="25"/>
      <c r="BX133" s="25"/>
    </row>
    <row r="134" spans="2:76" s="33" customFormat="1" ht="15.75" thickBot="1">
      <c r="B134" s="125" t="s">
        <v>172</v>
      </c>
      <c r="C134" s="324" t="s">
        <v>173</v>
      </c>
      <c r="D134" s="325">
        <f>+D48+BQ80</f>
        <v>0</v>
      </c>
      <c r="F134" s="326"/>
      <c r="G134" s="199"/>
      <c r="H134" s="199"/>
      <c r="I134" s="34"/>
      <c r="J134" s="34"/>
      <c r="K134" s="193"/>
      <c r="M134" s="304"/>
      <c r="N134" s="305"/>
      <c r="O134" s="305"/>
      <c r="P134" s="305"/>
      <c r="Q134" s="305"/>
      <c r="R134" s="306"/>
      <c r="S134" s="306"/>
      <c r="T134" s="306"/>
      <c r="U134" s="306"/>
      <c r="V134" s="306"/>
      <c r="W134" s="306"/>
      <c r="X134" s="499"/>
      <c r="Y134" s="499"/>
      <c r="Z134" s="499"/>
      <c r="AA134" s="499"/>
      <c r="AB134" s="499"/>
      <c r="AC134" s="499"/>
      <c r="AD134" s="310"/>
      <c r="AE134" s="310"/>
      <c r="AF134" s="310"/>
      <c r="AG134" s="310"/>
      <c r="AH134" s="310"/>
      <c r="AI134" s="310"/>
      <c r="AJ134" s="310"/>
      <c r="AK134" s="310"/>
      <c r="AL134" s="310"/>
      <c r="AM134" s="310"/>
      <c r="AN134" s="310"/>
      <c r="AO134" s="310"/>
      <c r="AP134" s="310"/>
      <c r="AQ134" s="310"/>
      <c r="AR134" s="500"/>
      <c r="AS134" s="500"/>
      <c r="AT134" s="500"/>
      <c r="AU134" s="500"/>
      <c r="AV134" s="500"/>
      <c r="AW134" s="500"/>
      <c r="AX134" s="500"/>
      <c r="AY134" s="500"/>
      <c r="AZ134" s="299"/>
      <c r="BA134" s="300"/>
      <c r="BB134" s="300"/>
      <c r="BC134" s="300"/>
      <c r="BD134" s="300"/>
      <c r="BE134" s="300"/>
      <c r="BF134" s="300"/>
      <c r="BG134" s="300"/>
      <c r="BH134" s="300"/>
      <c r="BI134" s="300"/>
      <c r="BJ134" s="300"/>
      <c r="BK134" s="300"/>
      <c r="BL134" s="300"/>
      <c r="BM134" s="300"/>
      <c r="BN134" s="300"/>
      <c r="BO134" s="498"/>
      <c r="BP134" s="498"/>
      <c r="BQ134" s="498"/>
      <c r="BR134" s="498"/>
      <c r="BU134" s="120" t="s">
        <v>174</v>
      </c>
      <c r="BV134" s="121">
        <f>G118</f>
        <v>0</v>
      </c>
      <c r="BW134" s="25"/>
      <c r="BX134" s="25"/>
    </row>
    <row r="135" spans="2:76" s="33" customFormat="1" ht="15.75" thickBot="1">
      <c r="B135" s="501"/>
      <c r="C135" s="327" t="s">
        <v>175</v>
      </c>
      <c r="D135" s="328" t="e">
        <f>+D133/D134</f>
        <v>#DIV/0!</v>
      </c>
      <c r="F135" s="326"/>
      <c r="I135" s="34"/>
      <c r="J135" s="34"/>
      <c r="K135" s="193"/>
      <c r="M135" s="304"/>
      <c r="N135" s="305"/>
      <c r="O135" s="305"/>
      <c r="P135" s="305"/>
      <c r="Q135" s="305"/>
      <c r="R135" s="306"/>
      <c r="S135" s="306"/>
      <c r="T135" s="306"/>
      <c r="U135" s="306"/>
      <c r="V135" s="306"/>
      <c r="W135" s="306"/>
      <c r="X135" s="499"/>
      <c r="Y135" s="499"/>
      <c r="Z135" s="499"/>
      <c r="AA135" s="499"/>
      <c r="AB135" s="499"/>
      <c r="AC135" s="499"/>
      <c r="AD135" s="310"/>
      <c r="AE135" s="310"/>
      <c r="AF135" s="310"/>
      <c r="AG135" s="310"/>
      <c r="AH135" s="310"/>
      <c r="AI135" s="310"/>
      <c r="AJ135" s="310"/>
      <c r="AK135" s="310"/>
      <c r="AL135" s="310"/>
      <c r="AM135" s="310"/>
      <c r="AN135" s="310"/>
      <c r="AO135" s="310"/>
      <c r="AP135" s="310"/>
      <c r="AQ135" s="310"/>
      <c r="AR135" s="500"/>
      <c r="AS135" s="500"/>
      <c r="AT135" s="500"/>
      <c r="AU135" s="500"/>
      <c r="AV135" s="500"/>
      <c r="AW135" s="500"/>
      <c r="AX135" s="500"/>
      <c r="AY135" s="500"/>
      <c r="AZ135" s="299"/>
      <c r="BA135" s="300"/>
      <c r="BB135" s="300"/>
      <c r="BC135" s="300"/>
      <c r="BD135" s="300"/>
      <c r="BE135" s="300"/>
      <c r="BF135" s="300"/>
      <c r="BG135" s="300"/>
      <c r="BH135" s="300"/>
      <c r="BI135" s="300"/>
      <c r="BJ135" s="300"/>
      <c r="BK135" s="300"/>
      <c r="BL135" s="300"/>
      <c r="BM135" s="300"/>
      <c r="BN135" s="300"/>
      <c r="BO135" s="498"/>
      <c r="BP135" s="498"/>
      <c r="BQ135" s="498"/>
      <c r="BR135" s="498"/>
      <c r="BU135" s="123" t="s">
        <v>144</v>
      </c>
      <c r="BV135" s="124">
        <f>H109</f>
        <v>0</v>
      </c>
      <c r="BW135" s="25"/>
      <c r="BX135" s="25"/>
    </row>
    <row r="136" spans="2:76" s="33" customFormat="1" ht="15.75" thickBot="1">
      <c r="B136" s="501"/>
      <c r="C136" s="329" t="s">
        <v>176</v>
      </c>
      <c r="D136" s="330">
        <f>+D133-D134</f>
        <v>0</v>
      </c>
      <c r="F136" s="326"/>
      <c r="I136" s="34"/>
      <c r="J136" s="34"/>
      <c r="K136" s="193"/>
      <c r="M136" s="304"/>
      <c r="N136" s="305"/>
      <c r="O136" s="305"/>
      <c r="P136" s="305"/>
      <c r="Q136" s="305"/>
      <c r="R136" s="306"/>
      <c r="S136" s="306"/>
      <c r="T136" s="306"/>
      <c r="U136" s="306"/>
      <c r="V136" s="306"/>
      <c r="W136" s="306"/>
      <c r="X136" s="499"/>
      <c r="Y136" s="499"/>
      <c r="Z136" s="499"/>
      <c r="AA136" s="499"/>
      <c r="AB136" s="499"/>
      <c r="AC136" s="499"/>
      <c r="AD136" s="310"/>
      <c r="AE136" s="310"/>
      <c r="AF136" s="310"/>
      <c r="AG136" s="310"/>
      <c r="AH136" s="310"/>
      <c r="AI136" s="310"/>
      <c r="AJ136" s="310"/>
      <c r="AK136" s="310"/>
      <c r="AL136" s="310"/>
      <c r="AM136" s="310"/>
      <c r="AN136" s="310"/>
      <c r="AO136" s="310"/>
      <c r="AP136" s="310"/>
      <c r="AQ136" s="310"/>
      <c r="AR136" s="500"/>
      <c r="AS136" s="500"/>
      <c r="AT136" s="500"/>
      <c r="AU136" s="500"/>
      <c r="AV136" s="500"/>
      <c r="AW136" s="500"/>
      <c r="AX136" s="500"/>
      <c r="AY136" s="500"/>
      <c r="AZ136" s="299"/>
      <c r="BA136" s="300"/>
      <c r="BB136" s="300"/>
      <c r="BC136" s="300"/>
      <c r="BD136" s="300"/>
      <c r="BE136" s="300"/>
      <c r="BF136" s="300"/>
      <c r="BG136" s="300"/>
      <c r="BH136" s="300"/>
      <c r="BI136" s="300"/>
      <c r="BJ136" s="300"/>
      <c r="BK136" s="300"/>
      <c r="BL136" s="300"/>
      <c r="BM136" s="300"/>
      <c r="BN136" s="300"/>
      <c r="BO136" s="498"/>
      <c r="BP136" s="498"/>
      <c r="BQ136" s="498"/>
      <c r="BR136" s="498"/>
      <c r="BU136" s="127" t="s">
        <v>145</v>
      </c>
      <c r="BV136" s="124">
        <f>H110</f>
        <v>0</v>
      </c>
      <c r="BW136" s="25"/>
      <c r="BX136" s="25"/>
    </row>
    <row r="137" spans="2:76" s="33" customFormat="1" ht="15.75" thickBot="1">
      <c r="F137" s="331"/>
      <c r="L137" s="34"/>
      <c r="M137" s="304"/>
      <c r="N137" s="305"/>
      <c r="O137" s="305"/>
      <c r="P137" s="305"/>
      <c r="Q137" s="305"/>
      <c r="R137" s="306"/>
      <c r="S137" s="306"/>
      <c r="T137" s="306"/>
      <c r="U137" s="306"/>
      <c r="V137" s="306"/>
      <c r="W137" s="306"/>
      <c r="X137" s="499"/>
      <c r="Y137" s="499"/>
      <c r="Z137" s="499"/>
      <c r="AA137" s="499"/>
      <c r="AB137" s="499"/>
      <c r="AC137" s="499"/>
      <c r="AD137" s="310"/>
      <c r="AE137" s="310"/>
      <c r="AF137" s="310"/>
      <c r="AG137" s="310"/>
      <c r="AH137" s="310"/>
      <c r="AI137" s="310"/>
      <c r="AJ137" s="310"/>
      <c r="AK137" s="310"/>
      <c r="AL137" s="310"/>
      <c r="AM137" s="310"/>
      <c r="AN137" s="310"/>
      <c r="AO137" s="310"/>
      <c r="AP137" s="310"/>
      <c r="AQ137" s="310"/>
      <c r="AR137" s="500"/>
      <c r="AS137" s="500"/>
      <c r="AT137" s="500"/>
      <c r="AU137" s="500"/>
      <c r="AV137" s="500"/>
      <c r="AW137" s="500"/>
      <c r="AX137" s="500"/>
      <c r="AY137" s="500"/>
      <c r="AZ137" s="299"/>
      <c r="BA137" s="300"/>
      <c r="BB137" s="300"/>
      <c r="BC137" s="300"/>
      <c r="BD137" s="300"/>
      <c r="BE137" s="300"/>
      <c r="BF137" s="300"/>
      <c r="BG137" s="300"/>
      <c r="BH137" s="300"/>
      <c r="BI137" s="300"/>
      <c r="BJ137" s="300"/>
      <c r="BK137" s="300"/>
      <c r="BL137" s="300"/>
      <c r="BM137" s="300"/>
      <c r="BN137" s="300"/>
      <c r="BO137" s="498"/>
      <c r="BP137" s="498"/>
      <c r="BQ137" s="498"/>
      <c r="BR137" s="498"/>
      <c r="BU137" s="127" t="s">
        <v>177</v>
      </c>
      <c r="BV137" s="124">
        <v>0</v>
      </c>
      <c r="BW137" s="25"/>
      <c r="BX137" s="25"/>
    </row>
    <row r="138" spans="2:76" s="33" customFormat="1" ht="15.75" thickBot="1">
      <c r="L138" s="34"/>
      <c r="M138" s="304"/>
      <c r="N138" s="305"/>
      <c r="O138" s="305"/>
      <c r="P138" s="305"/>
      <c r="Q138" s="305"/>
      <c r="R138" s="306"/>
      <c r="S138" s="306"/>
      <c r="T138" s="306"/>
      <c r="U138" s="306"/>
      <c r="V138" s="306"/>
      <c r="W138" s="306"/>
      <c r="X138" s="499"/>
      <c r="Y138" s="499"/>
      <c r="Z138" s="499"/>
      <c r="AA138" s="499"/>
      <c r="AB138" s="499"/>
      <c r="AC138" s="499"/>
      <c r="AD138" s="310"/>
      <c r="AE138" s="310"/>
      <c r="AF138" s="310"/>
      <c r="AG138" s="310"/>
      <c r="AH138" s="310"/>
      <c r="AI138" s="310"/>
      <c r="AJ138" s="310"/>
      <c r="AK138" s="310"/>
      <c r="AL138" s="310"/>
      <c r="AM138" s="310"/>
      <c r="AN138" s="310"/>
      <c r="AO138" s="310"/>
      <c r="AP138" s="310"/>
      <c r="AQ138" s="310"/>
      <c r="AR138" s="500"/>
      <c r="AS138" s="500"/>
      <c r="AT138" s="500"/>
      <c r="AU138" s="500"/>
      <c r="AV138" s="500"/>
      <c r="AW138" s="500"/>
      <c r="AX138" s="500"/>
      <c r="AY138" s="500"/>
      <c r="AZ138" s="299"/>
      <c r="BA138" s="300"/>
      <c r="BB138" s="300"/>
      <c r="BC138" s="300"/>
      <c r="BD138" s="300"/>
      <c r="BE138" s="300"/>
      <c r="BF138" s="300"/>
      <c r="BG138" s="300"/>
      <c r="BH138" s="300"/>
      <c r="BI138" s="300"/>
      <c r="BJ138" s="300"/>
      <c r="BK138" s="300"/>
      <c r="BL138" s="300"/>
      <c r="BM138" s="300"/>
      <c r="BN138" s="300"/>
      <c r="BO138" s="498"/>
      <c r="BP138" s="498"/>
      <c r="BQ138" s="498"/>
      <c r="BR138" s="498"/>
      <c r="BU138" s="123" t="s">
        <v>178</v>
      </c>
      <c r="BV138" s="124"/>
      <c r="BW138" s="25"/>
      <c r="BX138" s="25"/>
    </row>
    <row r="139" spans="2:76" s="33" customFormat="1" ht="15.75" thickBot="1">
      <c r="B139" s="34"/>
      <c r="C139" s="34"/>
      <c r="I139" s="34"/>
      <c r="J139" s="34"/>
      <c r="K139" s="193"/>
      <c r="L139" s="34"/>
      <c r="M139" s="304"/>
      <c r="N139" s="305"/>
      <c r="O139" s="305"/>
      <c r="P139" s="305"/>
      <c r="Q139" s="305"/>
      <c r="R139" s="306"/>
      <c r="S139" s="306"/>
      <c r="T139" s="306"/>
      <c r="U139" s="306"/>
      <c r="V139" s="306"/>
      <c r="W139" s="306"/>
      <c r="X139" s="499"/>
      <c r="Y139" s="499"/>
      <c r="Z139" s="499"/>
      <c r="AA139" s="499"/>
      <c r="AB139" s="499"/>
      <c r="AC139" s="499"/>
      <c r="AD139" s="310"/>
      <c r="AE139" s="310"/>
      <c r="AF139" s="310"/>
      <c r="AG139" s="310"/>
      <c r="AH139" s="310"/>
      <c r="AI139" s="310"/>
      <c r="AJ139" s="310"/>
      <c r="AK139" s="310"/>
      <c r="AL139" s="310"/>
      <c r="AM139" s="310"/>
      <c r="AN139" s="310"/>
      <c r="AO139" s="310"/>
      <c r="AP139" s="310"/>
      <c r="AQ139" s="310"/>
      <c r="AR139" s="500"/>
      <c r="AS139" s="500"/>
      <c r="AT139" s="500"/>
      <c r="AU139" s="500"/>
      <c r="AV139" s="500"/>
      <c r="AW139" s="500"/>
      <c r="AX139" s="500"/>
      <c r="AY139" s="500"/>
      <c r="AZ139" s="299"/>
      <c r="BA139" s="300"/>
      <c r="BB139" s="300"/>
      <c r="BC139" s="300"/>
      <c r="BD139" s="300"/>
      <c r="BE139" s="300"/>
      <c r="BF139" s="300"/>
      <c r="BG139" s="300"/>
      <c r="BH139" s="300"/>
      <c r="BI139" s="300"/>
      <c r="BJ139" s="300"/>
      <c r="BK139" s="300"/>
      <c r="BL139" s="300"/>
      <c r="BM139" s="300"/>
      <c r="BN139" s="300"/>
      <c r="BO139" s="498"/>
      <c r="BP139" s="498"/>
      <c r="BQ139" s="498"/>
      <c r="BR139" s="498"/>
      <c r="BU139" s="127" t="s">
        <v>149</v>
      </c>
      <c r="BV139" s="124">
        <v>0</v>
      </c>
      <c r="BW139" s="25"/>
      <c r="BX139" s="25"/>
    </row>
    <row r="140" spans="2:76" s="33" customFormat="1" ht="15.75" thickBot="1">
      <c r="B140" s="34"/>
      <c r="C140" s="34"/>
      <c r="D140" s="34"/>
      <c r="I140" s="34"/>
      <c r="J140" s="34"/>
      <c r="K140" s="34"/>
      <c r="L140" s="34"/>
      <c r="M140" s="304"/>
      <c r="N140" s="305"/>
      <c r="O140" s="305"/>
      <c r="P140" s="305"/>
      <c r="Q140" s="305"/>
      <c r="R140" s="306"/>
      <c r="S140" s="306"/>
      <c r="T140" s="306"/>
      <c r="U140" s="306"/>
      <c r="V140" s="306"/>
      <c r="W140" s="306"/>
      <c r="X140" s="499"/>
      <c r="Y140" s="499"/>
      <c r="Z140" s="499"/>
      <c r="AA140" s="499"/>
      <c r="AB140" s="499"/>
      <c r="AC140" s="499"/>
      <c r="AD140" s="310"/>
      <c r="AE140" s="310"/>
      <c r="AF140" s="310"/>
      <c r="AG140" s="310"/>
      <c r="AH140" s="310"/>
      <c r="AI140" s="310"/>
      <c r="AJ140" s="310"/>
      <c r="AK140" s="310"/>
      <c r="AL140" s="310"/>
      <c r="AM140" s="310"/>
      <c r="AN140" s="310"/>
      <c r="AO140" s="310"/>
      <c r="AP140" s="310"/>
      <c r="AQ140" s="310"/>
      <c r="AR140" s="500"/>
      <c r="AS140" s="500"/>
      <c r="AT140" s="500"/>
      <c r="AU140" s="500"/>
      <c r="AV140" s="500"/>
      <c r="AW140" s="500"/>
      <c r="AX140" s="500"/>
      <c r="AY140" s="500"/>
      <c r="AZ140" s="299"/>
      <c r="BA140" s="300"/>
      <c r="BB140" s="300"/>
      <c r="BC140" s="300"/>
      <c r="BD140" s="300"/>
      <c r="BE140" s="300"/>
      <c r="BF140" s="300"/>
      <c r="BG140" s="300"/>
      <c r="BH140" s="300"/>
      <c r="BI140" s="300"/>
      <c r="BJ140" s="300"/>
      <c r="BK140" s="300"/>
      <c r="BL140" s="300"/>
      <c r="BM140" s="300"/>
      <c r="BN140" s="300"/>
      <c r="BO140" s="498"/>
      <c r="BP140" s="498"/>
      <c r="BQ140" s="498"/>
      <c r="BR140" s="498"/>
      <c r="BU140" s="127" t="s">
        <v>179</v>
      </c>
      <c r="BV140" s="124">
        <f>H115</f>
        <v>0</v>
      </c>
      <c r="BW140" s="25"/>
      <c r="BX140" s="25"/>
    </row>
    <row r="141" spans="2:76" s="33" customFormat="1" ht="15.75" thickBot="1">
      <c r="B141" s="34"/>
      <c r="C141" s="34"/>
      <c r="D141" s="332"/>
      <c r="E141" s="34"/>
      <c r="I141" s="34"/>
      <c r="J141" s="34"/>
      <c r="K141" s="34"/>
      <c r="L141" s="34"/>
      <c r="M141" s="304"/>
      <c r="N141" s="305"/>
      <c r="O141" s="305"/>
      <c r="P141" s="305"/>
      <c r="Q141" s="305"/>
      <c r="R141" s="306"/>
      <c r="S141" s="306"/>
      <c r="T141" s="306"/>
      <c r="U141" s="306"/>
      <c r="V141" s="306"/>
      <c r="W141" s="306"/>
      <c r="X141" s="499"/>
      <c r="Y141" s="499"/>
      <c r="Z141" s="499"/>
      <c r="AA141" s="499"/>
      <c r="AB141" s="499"/>
      <c r="AC141" s="499"/>
      <c r="AD141" s="310"/>
      <c r="AE141" s="310"/>
      <c r="AF141" s="310"/>
      <c r="AG141" s="310"/>
      <c r="AH141" s="310"/>
      <c r="AI141" s="310"/>
      <c r="AJ141" s="310"/>
      <c r="AK141" s="310"/>
      <c r="AL141" s="310"/>
      <c r="AM141" s="310"/>
      <c r="AN141" s="310"/>
      <c r="AO141" s="310"/>
      <c r="AP141" s="310"/>
      <c r="AQ141" s="310"/>
      <c r="AR141" s="500"/>
      <c r="AS141" s="500"/>
      <c r="AT141" s="500"/>
      <c r="AU141" s="500"/>
      <c r="AV141" s="500"/>
      <c r="AW141" s="500"/>
      <c r="AX141" s="500"/>
      <c r="AY141" s="500"/>
      <c r="AZ141" s="299"/>
      <c r="BA141" s="300"/>
      <c r="BB141" s="300"/>
      <c r="BC141" s="300"/>
      <c r="BD141" s="300"/>
      <c r="BE141" s="300"/>
      <c r="BF141" s="300"/>
      <c r="BG141" s="300"/>
      <c r="BH141" s="300"/>
      <c r="BI141" s="300"/>
      <c r="BJ141" s="300"/>
      <c r="BK141" s="300"/>
      <c r="BL141" s="300"/>
      <c r="BM141" s="300"/>
      <c r="BN141" s="300"/>
      <c r="BO141" s="498"/>
      <c r="BP141" s="498"/>
      <c r="BQ141" s="498"/>
      <c r="BR141" s="498"/>
      <c r="BU141" s="127" t="s">
        <v>180</v>
      </c>
      <c r="BV141" s="124"/>
      <c r="BW141" s="25"/>
      <c r="BX141" s="25"/>
    </row>
    <row r="142" spans="2:76" s="33" customFormat="1" ht="15.75" thickBot="1">
      <c r="B142" s="34"/>
      <c r="C142" s="34"/>
      <c r="D142" s="332"/>
      <c r="E142" s="34"/>
      <c r="I142" s="34"/>
      <c r="J142" s="34"/>
      <c r="K142" s="34"/>
      <c r="L142" s="34"/>
      <c r="M142" s="304"/>
      <c r="N142" s="305"/>
      <c r="O142" s="305"/>
      <c r="P142" s="305"/>
      <c r="Q142" s="305"/>
      <c r="R142" s="306"/>
      <c r="S142" s="306"/>
      <c r="T142" s="306"/>
      <c r="U142" s="306"/>
      <c r="V142" s="306"/>
      <c r="W142" s="306"/>
      <c r="X142" s="499"/>
      <c r="Y142" s="499"/>
      <c r="Z142" s="499"/>
      <c r="AA142" s="499"/>
      <c r="AB142" s="499"/>
      <c r="AC142" s="499"/>
      <c r="AD142" s="310"/>
      <c r="AE142" s="310"/>
      <c r="AF142" s="310"/>
      <c r="AG142" s="310"/>
      <c r="AH142" s="310"/>
      <c r="AI142" s="310"/>
      <c r="AJ142" s="310"/>
      <c r="AK142" s="310"/>
      <c r="AL142" s="310"/>
      <c r="AM142" s="310"/>
      <c r="AN142" s="310"/>
      <c r="AO142" s="310"/>
      <c r="AP142" s="310"/>
      <c r="AQ142" s="310"/>
      <c r="AR142" s="500"/>
      <c r="AS142" s="500"/>
      <c r="AT142" s="500"/>
      <c r="AU142" s="500"/>
      <c r="AV142" s="500"/>
      <c r="AW142" s="500"/>
      <c r="AX142" s="500"/>
      <c r="AY142" s="500"/>
      <c r="AZ142" s="299"/>
      <c r="BA142" s="300"/>
      <c r="BB142" s="300"/>
      <c r="BC142" s="300"/>
      <c r="BD142" s="300"/>
      <c r="BE142" s="300"/>
      <c r="BF142" s="300"/>
      <c r="BG142" s="300"/>
      <c r="BH142" s="300"/>
      <c r="BI142" s="300"/>
      <c r="BJ142" s="300"/>
      <c r="BK142" s="300"/>
      <c r="BL142" s="300"/>
      <c r="BM142" s="300"/>
      <c r="BN142" s="300"/>
      <c r="BO142" s="498"/>
      <c r="BP142" s="498"/>
      <c r="BQ142" s="498"/>
      <c r="BR142" s="498"/>
      <c r="BU142" s="128" t="s">
        <v>181</v>
      </c>
      <c r="BV142" s="129">
        <f>+SUM(BV134:BV141)</f>
        <v>0</v>
      </c>
      <c r="BW142" s="130">
        <f>+H118</f>
        <v>0</v>
      </c>
      <c r="BX142" s="130">
        <f>+BV142-BW142</f>
        <v>0</v>
      </c>
    </row>
    <row r="143" spans="2:76" s="33" customFormat="1" ht="15.75" thickBot="1">
      <c r="B143" s="34"/>
      <c r="C143" s="34"/>
      <c r="D143" s="332"/>
      <c r="E143" s="34"/>
      <c r="I143" s="34"/>
      <c r="J143" s="34"/>
      <c r="K143" s="34"/>
      <c r="L143" s="34"/>
      <c r="M143" s="304"/>
      <c r="N143" s="305"/>
      <c r="O143" s="305"/>
      <c r="P143" s="305"/>
      <c r="Q143" s="305"/>
      <c r="R143" s="306"/>
      <c r="S143" s="306"/>
      <c r="T143" s="306"/>
      <c r="U143" s="306"/>
      <c r="V143" s="306"/>
      <c r="W143" s="306"/>
      <c r="X143" s="499"/>
      <c r="Y143" s="499"/>
      <c r="Z143" s="499"/>
      <c r="AA143" s="499"/>
      <c r="AB143" s="499"/>
      <c r="AC143" s="499"/>
      <c r="AD143" s="310"/>
      <c r="AE143" s="310"/>
      <c r="AF143" s="310"/>
      <c r="AG143" s="310"/>
      <c r="AH143" s="310"/>
      <c r="AI143" s="310"/>
      <c r="AJ143" s="310"/>
      <c r="AK143" s="310"/>
      <c r="AL143" s="310"/>
      <c r="AM143" s="310"/>
      <c r="AN143" s="310"/>
      <c r="AO143" s="310"/>
      <c r="AP143" s="310"/>
      <c r="AQ143" s="310"/>
      <c r="AR143" s="500"/>
      <c r="AS143" s="500"/>
      <c r="AT143" s="500"/>
      <c r="AU143" s="500"/>
      <c r="AV143" s="500"/>
      <c r="AW143" s="500"/>
      <c r="AX143" s="500"/>
      <c r="AY143" s="500"/>
      <c r="AZ143" s="299"/>
      <c r="BA143" s="300"/>
      <c r="BB143" s="300"/>
      <c r="BC143" s="300"/>
      <c r="BD143" s="300"/>
      <c r="BE143" s="300"/>
      <c r="BF143" s="300"/>
      <c r="BG143" s="300"/>
      <c r="BH143" s="300"/>
      <c r="BI143" s="300"/>
      <c r="BJ143" s="300"/>
      <c r="BK143" s="300"/>
      <c r="BL143" s="300"/>
      <c r="BM143" s="300"/>
      <c r="BN143" s="300"/>
      <c r="BO143" s="498"/>
      <c r="BP143" s="498"/>
      <c r="BQ143" s="498"/>
      <c r="BR143" s="498"/>
      <c r="BV143" s="333" t="e">
        <f>+(BV142-BV134)/BV134</f>
        <v>#DIV/0!</v>
      </c>
    </row>
    <row r="144" spans="2:76" s="33" customFormat="1" ht="15.75" thickBot="1">
      <c r="B144" s="34"/>
      <c r="C144" s="34"/>
      <c r="D144" s="332"/>
      <c r="E144" s="34"/>
      <c r="I144" s="34"/>
      <c r="J144" s="34"/>
      <c r="K144" s="34"/>
      <c r="L144" s="34"/>
      <c r="M144" s="304"/>
      <c r="N144" s="305"/>
      <c r="O144" s="305"/>
      <c r="P144" s="305"/>
      <c r="Q144" s="305"/>
      <c r="R144" s="306"/>
      <c r="S144" s="306"/>
      <c r="T144" s="306"/>
      <c r="U144" s="306"/>
      <c r="V144" s="306"/>
      <c r="W144" s="306"/>
      <c r="X144" s="499"/>
      <c r="Y144" s="499"/>
      <c r="Z144" s="499"/>
      <c r="AA144" s="499"/>
      <c r="AB144" s="499"/>
      <c r="AC144" s="499"/>
      <c r="AD144" s="310"/>
      <c r="AE144" s="310"/>
      <c r="AF144" s="310"/>
      <c r="AG144" s="310"/>
      <c r="AH144" s="310"/>
      <c r="AI144" s="310"/>
      <c r="AJ144" s="310"/>
      <c r="AK144" s="310"/>
      <c r="AL144" s="310"/>
      <c r="AM144" s="310"/>
      <c r="AN144" s="310"/>
      <c r="AO144" s="310"/>
      <c r="AP144" s="310"/>
      <c r="AQ144" s="310"/>
      <c r="AR144" s="500"/>
      <c r="AS144" s="500"/>
      <c r="AT144" s="500"/>
      <c r="AU144" s="500"/>
      <c r="AV144" s="500"/>
      <c r="AW144" s="500"/>
      <c r="AX144" s="500"/>
      <c r="AY144" s="500"/>
      <c r="AZ144" s="299"/>
      <c r="BA144" s="300"/>
      <c r="BB144" s="300"/>
      <c r="BC144" s="300"/>
      <c r="BD144" s="300"/>
      <c r="BE144" s="300"/>
      <c r="BF144" s="300"/>
      <c r="BG144" s="300"/>
      <c r="BH144" s="300"/>
      <c r="BI144" s="300"/>
      <c r="BJ144" s="300"/>
      <c r="BK144" s="300"/>
      <c r="BL144" s="300"/>
      <c r="BM144" s="300"/>
      <c r="BN144" s="300"/>
      <c r="BO144" s="498"/>
      <c r="BP144" s="498"/>
      <c r="BQ144" s="498"/>
      <c r="BR144" s="498"/>
    </row>
    <row r="145" spans="2:76" customFormat="1" ht="15.75" thickBot="1">
      <c r="B145" s="34"/>
      <c r="C145" s="34"/>
      <c r="D145" s="332"/>
      <c r="E145" s="34"/>
      <c r="F145" s="33"/>
      <c r="G145" s="33"/>
      <c r="H145" s="33"/>
      <c r="I145" s="34"/>
      <c r="J145" s="34"/>
      <c r="K145" s="34"/>
      <c r="L145" s="34"/>
      <c r="M145" s="304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499"/>
      <c r="Y145" s="499"/>
      <c r="Z145" s="499"/>
      <c r="AA145" s="499"/>
      <c r="AB145" s="499"/>
      <c r="AC145" s="499"/>
      <c r="AD145" s="334"/>
      <c r="AE145" s="334"/>
      <c r="AF145" s="334"/>
      <c r="AG145" s="334"/>
      <c r="AH145" s="334"/>
      <c r="AI145" s="334"/>
      <c r="AJ145" s="334"/>
      <c r="AK145" s="334"/>
      <c r="AL145" s="334"/>
      <c r="AM145" s="334"/>
      <c r="AN145" s="334"/>
      <c r="AO145" s="334"/>
      <c r="AP145" s="334"/>
      <c r="AQ145" s="334"/>
      <c r="AR145" s="500"/>
      <c r="AS145" s="500"/>
      <c r="AT145" s="500"/>
      <c r="AU145" s="500"/>
      <c r="AV145" s="500"/>
      <c r="AW145" s="500"/>
      <c r="AX145" s="500"/>
      <c r="AY145" s="500"/>
      <c r="AZ145" s="335"/>
      <c r="BA145" s="336"/>
      <c r="BB145" s="336"/>
      <c r="BC145" s="336"/>
      <c r="BD145" s="336"/>
      <c r="BE145" s="336"/>
      <c r="BF145" s="336"/>
      <c r="BG145" s="336"/>
      <c r="BH145" s="336"/>
      <c r="BI145" s="336"/>
      <c r="BJ145" s="336"/>
      <c r="BK145" s="336"/>
      <c r="BL145" s="336"/>
      <c r="BM145" s="336"/>
      <c r="BN145" s="336"/>
      <c r="BO145" s="498"/>
      <c r="BP145" s="498"/>
      <c r="BQ145" s="498"/>
      <c r="BR145" s="498"/>
      <c r="BS145" s="34"/>
      <c r="BT145" s="34"/>
      <c r="BU145" s="34"/>
      <c r="BV145" s="34"/>
      <c r="BW145" s="34"/>
      <c r="BX145" s="33"/>
    </row>
    <row r="146" spans="2:76" customFormat="1" ht="15.75" thickBot="1">
      <c r="B146" s="34"/>
      <c r="C146" s="34"/>
      <c r="D146" s="33"/>
      <c r="E146" s="33"/>
      <c r="F146" s="33"/>
      <c r="G146" s="33"/>
      <c r="H146" s="34"/>
      <c r="I146" s="34"/>
      <c r="J146" s="34"/>
      <c r="K146" s="34"/>
      <c r="L146" s="34"/>
      <c r="M146" s="304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499"/>
      <c r="Y146" s="499"/>
      <c r="Z146" s="499"/>
      <c r="AA146" s="499"/>
      <c r="AB146" s="499"/>
      <c r="AC146" s="499"/>
      <c r="AD146" s="334"/>
      <c r="AE146" s="334"/>
      <c r="AF146" s="334"/>
      <c r="AG146" s="334"/>
      <c r="AH146" s="334"/>
      <c r="AI146" s="334"/>
      <c r="AJ146" s="334"/>
      <c r="AK146" s="334"/>
      <c r="AL146" s="334"/>
      <c r="AM146" s="334"/>
      <c r="AN146" s="334"/>
      <c r="AO146" s="334"/>
      <c r="AP146" s="334"/>
      <c r="AQ146" s="334"/>
      <c r="AR146" s="500"/>
      <c r="AS146" s="500"/>
      <c r="AT146" s="500"/>
      <c r="AU146" s="500"/>
      <c r="AV146" s="500"/>
      <c r="AW146" s="500"/>
      <c r="AX146" s="500"/>
      <c r="AY146" s="500"/>
      <c r="AZ146" s="335"/>
      <c r="BA146" s="336"/>
      <c r="BB146" s="336"/>
      <c r="BC146" s="336"/>
      <c r="BD146" s="336"/>
      <c r="BE146" s="336"/>
      <c r="BF146" s="336"/>
      <c r="BG146" s="336"/>
      <c r="BH146" s="336"/>
      <c r="BI146" s="336"/>
      <c r="BJ146" s="336"/>
      <c r="BK146" s="336"/>
      <c r="BL146" s="336"/>
      <c r="BM146" s="336"/>
      <c r="BN146" s="336"/>
      <c r="BO146" s="498"/>
      <c r="BP146" s="498"/>
      <c r="BQ146" s="498"/>
      <c r="BR146" s="498"/>
      <c r="BS146" s="34"/>
      <c r="BT146" s="34"/>
      <c r="BU146" s="34"/>
      <c r="BV146" s="34"/>
      <c r="BW146" s="34"/>
      <c r="BX146" s="33"/>
    </row>
    <row r="147" spans="2:76" customFormat="1" ht="15.75" thickBot="1">
      <c r="B147" s="34"/>
      <c r="C147" s="34"/>
      <c r="D147" s="33"/>
      <c r="E147" s="33"/>
      <c r="F147" s="33"/>
      <c r="G147" s="33"/>
      <c r="H147" s="34"/>
      <c r="I147" s="34"/>
      <c r="J147" s="34"/>
      <c r="K147" s="34"/>
      <c r="L147" s="34"/>
      <c r="M147" s="304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499"/>
      <c r="Y147" s="499"/>
      <c r="Z147" s="499"/>
      <c r="AA147" s="499"/>
      <c r="AB147" s="499"/>
      <c r="AC147" s="499"/>
      <c r="AD147" s="334"/>
      <c r="AE147" s="334"/>
      <c r="AF147" s="334"/>
      <c r="AG147" s="334"/>
      <c r="AH147" s="334"/>
      <c r="AI147" s="334"/>
      <c r="AJ147" s="334"/>
      <c r="AK147" s="334"/>
      <c r="AL147" s="334"/>
      <c r="AM147" s="334"/>
      <c r="AN147" s="334"/>
      <c r="AO147" s="334"/>
      <c r="AP147" s="334"/>
      <c r="AQ147" s="334"/>
      <c r="AR147" s="500"/>
      <c r="AS147" s="500"/>
      <c r="AT147" s="500"/>
      <c r="AU147" s="500"/>
      <c r="AV147" s="500"/>
      <c r="AW147" s="500"/>
      <c r="AX147" s="500"/>
      <c r="AY147" s="500"/>
      <c r="AZ147" s="335"/>
      <c r="BA147" s="336"/>
      <c r="BB147" s="336"/>
      <c r="BC147" s="336"/>
      <c r="BD147" s="336"/>
      <c r="BE147" s="336"/>
      <c r="BF147" s="336"/>
      <c r="BG147" s="336"/>
      <c r="BH147" s="336"/>
      <c r="BI147" s="336"/>
      <c r="BJ147" s="336"/>
      <c r="BK147" s="336"/>
      <c r="BL147" s="336"/>
      <c r="BM147" s="336"/>
      <c r="BN147" s="336"/>
      <c r="BO147" s="498"/>
      <c r="BP147" s="498"/>
      <c r="BQ147" s="498"/>
      <c r="BR147" s="498"/>
      <c r="BS147" s="34"/>
      <c r="BT147" s="34"/>
      <c r="BU147" s="34"/>
      <c r="BV147" s="34"/>
      <c r="BW147" s="34"/>
      <c r="BX147" s="33"/>
    </row>
    <row r="148" spans="2:76" customFormat="1" ht="15.75" thickBot="1">
      <c r="B148" s="34"/>
      <c r="C148" s="34"/>
      <c r="D148" s="33"/>
      <c r="E148" s="33"/>
      <c r="F148" s="33"/>
      <c r="G148" s="33"/>
      <c r="H148" s="34"/>
      <c r="I148" s="34"/>
      <c r="J148" s="34"/>
      <c r="K148" s="34"/>
      <c r="L148" s="34"/>
      <c r="M148" s="304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499"/>
      <c r="Y148" s="499"/>
      <c r="Z148" s="499"/>
      <c r="AA148" s="499"/>
      <c r="AB148" s="499"/>
      <c r="AC148" s="499"/>
      <c r="AD148" s="334"/>
      <c r="AE148" s="334"/>
      <c r="AF148" s="334"/>
      <c r="AG148" s="334"/>
      <c r="AH148" s="334"/>
      <c r="AI148" s="334"/>
      <c r="AJ148" s="334"/>
      <c r="AK148" s="334"/>
      <c r="AL148" s="334"/>
      <c r="AM148" s="334"/>
      <c r="AN148" s="334"/>
      <c r="AO148" s="334"/>
      <c r="AP148" s="334"/>
      <c r="AQ148" s="334"/>
      <c r="AR148" s="500"/>
      <c r="AS148" s="500"/>
      <c r="AT148" s="500"/>
      <c r="AU148" s="500"/>
      <c r="AV148" s="500"/>
      <c r="AW148" s="500"/>
      <c r="AX148" s="500"/>
      <c r="AY148" s="500"/>
      <c r="AZ148" s="335"/>
      <c r="BA148" s="336"/>
      <c r="BB148" s="336"/>
      <c r="BC148" s="336"/>
      <c r="BD148" s="336"/>
      <c r="BE148" s="336"/>
      <c r="BF148" s="336"/>
      <c r="BG148" s="336"/>
      <c r="BH148" s="336"/>
      <c r="BI148" s="336"/>
      <c r="BJ148" s="336"/>
      <c r="BK148" s="336"/>
      <c r="BL148" s="336"/>
      <c r="BM148" s="336"/>
      <c r="BN148" s="336"/>
      <c r="BO148" s="498"/>
      <c r="BP148" s="498"/>
      <c r="BQ148" s="498"/>
      <c r="BR148" s="498"/>
      <c r="BS148" s="34"/>
      <c r="BT148" s="34"/>
      <c r="BU148" s="34"/>
      <c r="BV148" s="34"/>
      <c r="BW148" s="34"/>
      <c r="BX148" s="33"/>
    </row>
    <row r="149" spans="2:76" customFormat="1" ht="15.75" thickBot="1">
      <c r="B149" s="34"/>
      <c r="C149" s="34"/>
      <c r="D149" s="33"/>
      <c r="E149" s="33"/>
      <c r="F149" s="33"/>
      <c r="G149" s="33"/>
      <c r="H149" s="34"/>
      <c r="I149" s="34"/>
      <c r="J149" s="34"/>
      <c r="K149" s="34"/>
      <c r="L149" s="34"/>
      <c r="M149" s="304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499"/>
      <c r="Y149" s="499"/>
      <c r="Z149" s="499"/>
      <c r="AA149" s="499"/>
      <c r="AB149" s="499"/>
      <c r="AC149" s="499"/>
      <c r="AD149" s="334"/>
      <c r="AE149" s="334"/>
      <c r="AF149" s="334"/>
      <c r="AG149" s="334"/>
      <c r="AH149" s="334"/>
      <c r="AI149" s="334"/>
      <c r="AJ149" s="334"/>
      <c r="AK149" s="334"/>
      <c r="AL149" s="334"/>
      <c r="AM149" s="334"/>
      <c r="AN149" s="334"/>
      <c r="AO149" s="334"/>
      <c r="AP149" s="334"/>
      <c r="AQ149" s="334"/>
      <c r="AR149" s="500"/>
      <c r="AS149" s="500"/>
      <c r="AT149" s="500"/>
      <c r="AU149" s="500"/>
      <c r="AV149" s="500"/>
      <c r="AW149" s="500"/>
      <c r="AX149" s="500"/>
      <c r="AY149" s="500"/>
      <c r="AZ149" s="335"/>
      <c r="BA149" s="336"/>
      <c r="BB149" s="336"/>
      <c r="BC149" s="336"/>
      <c r="BD149" s="336"/>
      <c r="BE149" s="336"/>
      <c r="BF149" s="336"/>
      <c r="BG149" s="336"/>
      <c r="BH149" s="336"/>
      <c r="BI149" s="336"/>
      <c r="BJ149" s="336"/>
      <c r="BK149" s="336"/>
      <c r="BL149" s="336"/>
      <c r="BM149" s="336"/>
      <c r="BN149" s="336"/>
      <c r="BO149" s="498"/>
      <c r="BP149" s="498"/>
      <c r="BQ149" s="498"/>
      <c r="BR149" s="498"/>
      <c r="BS149" s="34"/>
      <c r="BT149" s="34"/>
      <c r="BU149" s="34"/>
      <c r="BV149" s="34"/>
      <c r="BW149" s="34"/>
      <c r="BX149" s="34"/>
    </row>
    <row r="150" spans="2:76" customFormat="1" ht="15.75" thickBot="1">
      <c r="B150" s="34"/>
      <c r="C150" s="34"/>
      <c r="D150" s="33"/>
      <c r="E150" s="33"/>
      <c r="F150" s="33"/>
      <c r="G150" s="33"/>
      <c r="H150" s="34"/>
      <c r="I150" s="34"/>
      <c r="J150" s="34"/>
      <c r="K150" s="34"/>
      <c r="L150" s="34"/>
      <c r="M150" s="304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499"/>
      <c r="Y150" s="499"/>
      <c r="Z150" s="499"/>
      <c r="AA150" s="499"/>
      <c r="AB150" s="499"/>
      <c r="AC150" s="499"/>
      <c r="AD150" s="334"/>
      <c r="AE150" s="334"/>
      <c r="AF150" s="334"/>
      <c r="AG150" s="334"/>
      <c r="AH150" s="334"/>
      <c r="AI150" s="334"/>
      <c r="AJ150" s="334"/>
      <c r="AK150" s="334"/>
      <c r="AL150" s="334"/>
      <c r="AM150" s="334"/>
      <c r="AN150" s="334"/>
      <c r="AO150" s="334"/>
      <c r="AP150" s="334"/>
      <c r="AQ150" s="334"/>
      <c r="AR150" s="500"/>
      <c r="AS150" s="500"/>
      <c r="AT150" s="500"/>
      <c r="AU150" s="500"/>
      <c r="AV150" s="500"/>
      <c r="AW150" s="500"/>
      <c r="AX150" s="500"/>
      <c r="AY150" s="500"/>
      <c r="AZ150" s="335"/>
      <c r="BA150" s="336"/>
      <c r="BB150" s="336"/>
      <c r="BC150" s="336"/>
      <c r="BD150" s="336"/>
      <c r="BE150" s="336"/>
      <c r="BF150" s="336"/>
      <c r="BG150" s="336"/>
      <c r="BH150" s="336"/>
      <c r="BI150" s="336"/>
      <c r="BJ150" s="336"/>
      <c r="BK150" s="336"/>
      <c r="BL150" s="336"/>
      <c r="BM150" s="336"/>
      <c r="BN150" s="336"/>
      <c r="BO150" s="498"/>
      <c r="BP150" s="498"/>
      <c r="BQ150" s="498"/>
      <c r="BR150" s="498"/>
      <c r="BS150" s="34"/>
      <c r="BT150" s="34"/>
      <c r="BU150" s="34"/>
      <c r="BV150" s="34"/>
      <c r="BW150" s="34"/>
      <c r="BX150" s="34"/>
    </row>
    <row r="151" spans="2:76" customFormat="1" ht="15.75" thickBot="1">
      <c r="B151" s="34"/>
      <c r="C151" s="34"/>
      <c r="D151" s="33"/>
      <c r="E151" s="33"/>
      <c r="F151" s="33"/>
      <c r="G151" s="33"/>
      <c r="H151" s="34"/>
      <c r="I151" s="34"/>
      <c r="J151" s="34"/>
      <c r="K151" s="34"/>
      <c r="L151" s="34"/>
      <c r="M151" s="304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499"/>
      <c r="Y151" s="499"/>
      <c r="Z151" s="499"/>
      <c r="AA151" s="499"/>
      <c r="AB151" s="499"/>
      <c r="AC151" s="499"/>
      <c r="AD151" s="334"/>
      <c r="AE151" s="334"/>
      <c r="AF151" s="334"/>
      <c r="AG151" s="334"/>
      <c r="AH151" s="334"/>
      <c r="AI151" s="334"/>
      <c r="AJ151" s="334"/>
      <c r="AK151" s="334"/>
      <c r="AL151" s="334"/>
      <c r="AM151" s="334"/>
      <c r="AN151" s="334"/>
      <c r="AO151" s="334"/>
      <c r="AP151" s="334"/>
      <c r="AQ151" s="334"/>
      <c r="AR151" s="500"/>
      <c r="AS151" s="500"/>
      <c r="AT151" s="500"/>
      <c r="AU151" s="500"/>
      <c r="AV151" s="500"/>
      <c r="AW151" s="500"/>
      <c r="AX151" s="500"/>
      <c r="AY151" s="500"/>
      <c r="AZ151" s="335"/>
      <c r="BA151" s="336"/>
      <c r="BB151" s="336"/>
      <c r="BC151" s="336"/>
      <c r="BD151" s="336"/>
      <c r="BE151" s="336"/>
      <c r="BF151" s="336"/>
      <c r="BG151" s="336"/>
      <c r="BH151" s="336"/>
      <c r="BI151" s="336"/>
      <c r="BJ151" s="336"/>
      <c r="BK151" s="336"/>
      <c r="BL151" s="336"/>
      <c r="BM151" s="336"/>
      <c r="BN151" s="336"/>
      <c r="BO151" s="498"/>
      <c r="BP151" s="498"/>
      <c r="BQ151" s="498"/>
      <c r="BR151" s="498"/>
      <c r="BS151" s="34"/>
      <c r="BT151" s="34"/>
      <c r="BU151" s="34"/>
      <c r="BV151" s="34"/>
      <c r="BW151" s="34"/>
      <c r="BX151" s="34"/>
    </row>
    <row r="152" spans="2:76" customFormat="1" ht="15.75" thickBot="1">
      <c r="B152" s="34"/>
      <c r="C152" s="34"/>
      <c r="D152" s="33"/>
      <c r="E152" s="33"/>
      <c r="F152" s="33"/>
      <c r="G152" s="33"/>
      <c r="H152" s="34"/>
      <c r="I152" s="34"/>
      <c r="J152" s="34"/>
      <c r="K152" s="34"/>
      <c r="L152" s="34"/>
      <c r="M152" s="304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499"/>
      <c r="Y152" s="499"/>
      <c r="Z152" s="499"/>
      <c r="AA152" s="499"/>
      <c r="AB152" s="499"/>
      <c r="AC152" s="499"/>
      <c r="AD152" s="334"/>
      <c r="AE152" s="334"/>
      <c r="AF152" s="334"/>
      <c r="AG152" s="334"/>
      <c r="AH152" s="334"/>
      <c r="AI152" s="334"/>
      <c r="AJ152" s="334"/>
      <c r="AK152" s="334"/>
      <c r="AL152" s="334"/>
      <c r="AM152" s="334"/>
      <c r="AN152" s="334"/>
      <c r="AO152" s="334"/>
      <c r="AP152" s="334"/>
      <c r="AQ152" s="334"/>
      <c r="AR152" s="500"/>
      <c r="AS152" s="500"/>
      <c r="AT152" s="500"/>
      <c r="AU152" s="500"/>
      <c r="AV152" s="500"/>
      <c r="AW152" s="500"/>
      <c r="AX152" s="500"/>
      <c r="AY152" s="500"/>
      <c r="AZ152" s="335"/>
      <c r="BA152" s="336"/>
      <c r="BB152" s="336"/>
      <c r="BC152" s="336"/>
      <c r="BD152" s="336"/>
      <c r="BE152" s="336"/>
      <c r="BF152" s="336"/>
      <c r="BG152" s="336"/>
      <c r="BH152" s="336"/>
      <c r="BI152" s="336"/>
      <c r="BJ152" s="336"/>
      <c r="BK152" s="336"/>
      <c r="BL152" s="336"/>
      <c r="BM152" s="336"/>
      <c r="BN152" s="336"/>
      <c r="BO152" s="498"/>
      <c r="BP152" s="498"/>
      <c r="BQ152" s="498"/>
      <c r="BR152" s="498"/>
      <c r="BS152" s="34"/>
      <c r="BT152" s="34"/>
      <c r="BU152" s="34"/>
      <c r="BV152" s="34"/>
      <c r="BW152" s="34"/>
      <c r="BX152" s="34"/>
    </row>
    <row r="153" spans="2:76" customFormat="1" ht="15.75" thickBot="1">
      <c r="B153" s="34"/>
      <c r="C153" s="34"/>
      <c r="D153" s="33"/>
      <c r="E153" s="33"/>
      <c r="F153" s="33"/>
      <c r="G153" s="33"/>
      <c r="H153" s="34"/>
      <c r="I153" s="34"/>
      <c r="J153" s="34"/>
      <c r="K153" s="34"/>
      <c r="L153" s="34"/>
      <c r="M153" s="304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499"/>
      <c r="Y153" s="499"/>
      <c r="Z153" s="499"/>
      <c r="AA153" s="499"/>
      <c r="AB153" s="499"/>
      <c r="AC153" s="499"/>
      <c r="AD153" s="334"/>
      <c r="AE153" s="334"/>
      <c r="AF153" s="334"/>
      <c r="AG153" s="334"/>
      <c r="AH153" s="334"/>
      <c r="AI153" s="334"/>
      <c r="AJ153" s="334"/>
      <c r="AK153" s="334"/>
      <c r="AL153" s="334"/>
      <c r="AM153" s="334"/>
      <c r="AN153" s="334"/>
      <c r="AO153" s="334"/>
      <c r="AP153" s="334"/>
      <c r="AQ153" s="334"/>
      <c r="AR153" s="500"/>
      <c r="AS153" s="500"/>
      <c r="AT153" s="500"/>
      <c r="AU153" s="500"/>
      <c r="AV153" s="500"/>
      <c r="AW153" s="500"/>
      <c r="AX153" s="500"/>
      <c r="AY153" s="500"/>
      <c r="AZ153" s="335"/>
      <c r="BA153" s="336"/>
      <c r="BB153" s="336"/>
      <c r="BC153" s="336"/>
      <c r="BD153" s="336"/>
      <c r="BE153" s="336"/>
      <c r="BF153" s="336"/>
      <c r="BG153" s="336"/>
      <c r="BH153" s="336"/>
      <c r="BI153" s="336"/>
      <c r="BJ153" s="336"/>
      <c r="BK153" s="336"/>
      <c r="BL153" s="336"/>
      <c r="BM153" s="336"/>
      <c r="BN153" s="336"/>
      <c r="BO153" s="498"/>
      <c r="BP153" s="498"/>
      <c r="BQ153" s="498"/>
      <c r="BR153" s="498"/>
      <c r="BS153" s="34"/>
      <c r="BT153" s="34"/>
      <c r="BU153" s="34"/>
      <c r="BV153" s="34"/>
      <c r="BW153" s="34"/>
      <c r="BX153" s="34"/>
    </row>
    <row r="154" spans="2:76" customFormat="1" ht="15.75" thickBot="1">
      <c r="B154" s="34"/>
      <c r="C154" s="34"/>
      <c r="D154" s="33"/>
      <c r="E154" s="33"/>
      <c r="F154" s="33"/>
      <c r="G154" s="33"/>
      <c r="H154" s="34"/>
      <c r="I154" s="34"/>
      <c r="J154" s="34"/>
      <c r="K154" s="34"/>
      <c r="L154" s="34"/>
      <c r="M154" s="304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499"/>
      <c r="Y154" s="499"/>
      <c r="Z154" s="499"/>
      <c r="AA154" s="499"/>
      <c r="AB154" s="499"/>
      <c r="AC154" s="499"/>
      <c r="AD154" s="334"/>
      <c r="AE154" s="334"/>
      <c r="AF154" s="334"/>
      <c r="AG154" s="334"/>
      <c r="AH154" s="334"/>
      <c r="AI154" s="334"/>
      <c r="AJ154" s="334"/>
      <c r="AK154" s="334"/>
      <c r="AL154" s="334"/>
      <c r="AM154" s="334"/>
      <c r="AN154" s="334"/>
      <c r="AO154" s="334"/>
      <c r="AP154" s="334"/>
      <c r="AQ154" s="334"/>
      <c r="AR154" s="500"/>
      <c r="AS154" s="500"/>
      <c r="AT154" s="500"/>
      <c r="AU154" s="500"/>
      <c r="AV154" s="500"/>
      <c r="AW154" s="500"/>
      <c r="AX154" s="500"/>
      <c r="AY154" s="500"/>
      <c r="AZ154" s="335"/>
      <c r="BA154" s="336"/>
      <c r="BB154" s="336"/>
      <c r="BC154" s="336"/>
      <c r="BD154" s="336"/>
      <c r="BE154" s="336"/>
      <c r="BF154" s="336"/>
      <c r="BG154" s="336"/>
      <c r="BH154" s="336"/>
      <c r="BI154" s="336"/>
      <c r="BJ154" s="336"/>
      <c r="BK154" s="336"/>
      <c r="BL154" s="336"/>
      <c r="BM154" s="336"/>
      <c r="BN154" s="336"/>
      <c r="BO154" s="498"/>
      <c r="BP154" s="498"/>
      <c r="BQ154" s="498"/>
      <c r="BR154" s="498"/>
      <c r="BS154" s="34"/>
      <c r="BT154" s="34"/>
      <c r="BU154" s="34"/>
      <c r="BV154" s="34"/>
      <c r="BW154" s="34"/>
      <c r="BX154" s="34"/>
    </row>
    <row r="155" spans="2:76" customFormat="1" ht="15.75" thickBot="1">
      <c r="B155" s="34"/>
      <c r="C155" s="34"/>
      <c r="D155" s="33"/>
      <c r="E155" s="33"/>
      <c r="F155" s="33"/>
      <c r="G155" s="33"/>
      <c r="H155" s="34"/>
      <c r="I155" s="34"/>
      <c r="J155" s="34"/>
      <c r="K155" s="34"/>
      <c r="L155" s="34"/>
      <c r="M155" s="304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499"/>
      <c r="Y155" s="499"/>
      <c r="Z155" s="499"/>
      <c r="AA155" s="499"/>
      <c r="AB155" s="499"/>
      <c r="AC155" s="499"/>
      <c r="AD155" s="334"/>
      <c r="AE155" s="334"/>
      <c r="AF155" s="334"/>
      <c r="AG155" s="334"/>
      <c r="AH155" s="334"/>
      <c r="AI155" s="334"/>
      <c r="AJ155" s="334"/>
      <c r="AK155" s="334"/>
      <c r="AL155" s="334"/>
      <c r="AM155" s="334"/>
      <c r="AN155" s="334"/>
      <c r="AO155" s="334"/>
      <c r="AP155" s="334"/>
      <c r="AQ155" s="334"/>
      <c r="AR155" s="500"/>
      <c r="AS155" s="500"/>
      <c r="AT155" s="500"/>
      <c r="AU155" s="500"/>
      <c r="AV155" s="500"/>
      <c r="AW155" s="500"/>
      <c r="AX155" s="500"/>
      <c r="AY155" s="500"/>
      <c r="AZ155" s="335"/>
      <c r="BA155" s="336"/>
      <c r="BB155" s="336"/>
      <c r="BC155" s="336"/>
      <c r="BD155" s="336"/>
      <c r="BE155" s="336"/>
      <c r="BF155" s="336"/>
      <c r="BG155" s="336"/>
      <c r="BH155" s="336"/>
      <c r="BI155" s="336"/>
      <c r="BJ155" s="336"/>
      <c r="BK155" s="336"/>
      <c r="BL155" s="336"/>
      <c r="BM155" s="336"/>
      <c r="BN155" s="336"/>
      <c r="BO155" s="498"/>
      <c r="BP155" s="498"/>
      <c r="BQ155" s="498"/>
      <c r="BR155" s="498"/>
      <c r="BS155" s="34"/>
      <c r="BT155" s="34"/>
      <c r="BU155" s="34"/>
      <c r="BV155" s="34"/>
      <c r="BW155" s="34"/>
      <c r="BX155" s="34"/>
    </row>
    <row r="156" spans="2:76" customFormat="1" ht="15.75" thickBot="1">
      <c r="B156" s="34"/>
      <c r="C156" s="34"/>
      <c r="D156" s="33"/>
      <c r="E156" s="33"/>
      <c r="F156" s="33"/>
      <c r="G156" s="33"/>
      <c r="H156" s="34"/>
      <c r="I156" s="34"/>
      <c r="J156" s="34"/>
      <c r="K156" s="34"/>
      <c r="L156" s="34"/>
      <c r="M156" s="304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499"/>
      <c r="Y156" s="499"/>
      <c r="Z156" s="499"/>
      <c r="AA156" s="499"/>
      <c r="AB156" s="499"/>
      <c r="AC156" s="499"/>
      <c r="AD156" s="334"/>
      <c r="AE156" s="334"/>
      <c r="AF156" s="334"/>
      <c r="AG156" s="334"/>
      <c r="AH156" s="334"/>
      <c r="AI156" s="334"/>
      <c r="AJ156" s="334"/>
      <c r="AK156" s="334"/>
      <c r="AL156" s="334"/>
      <c r="AM156" s="334"/>
      <c r="AN156" s="334"/>
      <c r="AO156" s="334"/>
      <c r="AP156" s="334"/>
      <c r="AQ156" s="334"/>
      <c r="AR156" s="500"/>
      <c r="AS156" s="500"/>
      <c r="AT156" s="500"/>
      <c r="AU156" s="500"/>
      <c r="AV156" s="500"/>
      <c r="AW156" s="500"/>
      <c r="AX156" s="500"/>
      <c r="AY156" s="500"/>
      <c r="AZ156" s="335"/>
      <c r="BA156" s="336"/>
      <c r="BB156" s="336"/>
      <c r="BC156" s="336"/>
      <c r="BD156" s="336"/>
      <c r="BE156" s="336"/>
      <c r="BF156" s="336"/>
      <c r="BG156" s="336"/>
      <c r="BH156" s="336"/>
      <c r="BI156" s="336"/>
      <c r="BJ156" s="336"/>
      <c r="BK156" s="336"/>
      <c r="BL156" s="336"/>
      <c r="BM156" s="336"/>
      <c r="BN156" s="336"/>
      <c r="BO156" s="498"/>
      <c r="BP156" s="498"/>
      <c r="BQ156" s="498"/>
      <c r="BR156" s="498"/>
      <c r="BS156" s="34"/>
      <c r="BT156" s="34"/>
      <c r="BU156" s="34"/>
      <c r="BV156" s="34"/>
      <c r="BW156" s="34"/>
      <c r="BX156" s="34"/>
    </row>
    <row r="157" spans="2:76" customFormat="1" ht="15.75" thickBot="1">
      <c r="B157" s="34"/>
      <c r="C157" s="34"/>
      <c r="D157" s="33"/>
      <c r="E157" s="33"/>
      <c r="F157" s="33"/>
      <c r="G157" s="33"/>
      <c r="H157" s="34"/>
      <c r="I157" s="34"/>
      <c r="J157" s="34"/>
      <c r="K157" s="34"/>
      <c r="L157" s="34"/>
      <c r="M157" s="337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9"/>
      <c r="Y157" s="339"/>
      <c r="Z157" s="339"/>
      <c r="AA157" s="339"/>
      <c r="AB157" s="339"/>
      <c r="AC157" s="340"/>
      <c r="AD157" s="341"/>
      <c r="AE157" s="341"/>
      <c r="AF157" s="341"/>
      <c r="AG157" s="341"/>
      <c r="AH157" s="341"/>
      <c r="AI157" s="341"/>
      <c r="AJ157" s="341"/>
      <c r="AK157" s="341"/>
      <c r="AL157" s="341"/>
      <c r="AM157" s="341"/>
      <c r="AN157" s="341"/>
      <c r="AO157" s="341"/>
      <c r="AP157" s="341"/>
      <c r="AQ157" s="341"/>
      <c r="AR157" s="342"/>
      <c r="AS157" s="342"/>
      <c r="AT157" s="342"/>
      <c r="AU157" s="342"/>
      <c r="AV157" s="342"/>
      <c r="AW157" s="342"/>
      <c r="AX157" s="342"/>
      <c r="AY157" s="343"/>
      <c r="AZ157" s="344"/>
      <c r="BA157" s="345"/>
      <c r="BB157" s="345"/>
      <c r="BC157" s="345"/>
      <c r="BD157" s="345"/>
      <c r="BE157" s="345"/>
      <c r="BF157" s="345"/>
      <c r="BG157" s="345"/>
      <c r="BH157" s="345"/>
      <c r="BI157" s="345"/>
      <c r="BJ157" s="345"/>
      <c r="BK157" s="345"/>
      <c r="BL157" s="345"/>
      <c r="BM157" s="345"/>
      <c r="BN157" s="345"/>
      <c r="BO157" s="498"/>
      <c r="BP157" s="498"/>
      <c r="BQ157" s="498"/>
      <c r="BR157" s="498"/>
      <c r="BS157" s="34"/>
      <c r="BT157" s="34"/>
      <c r="BU157" s="34"/>
      <c r="BV157" s="34"/>
      <c r="BW157" s="34"/>
      <c r="BX157" s="34"/>
    </row>
    <row r="162" spans="2:76" customFormat="1" ht="15" customHeight="1">
      <c r="B162" s="34"/>
      <c r="C162" s="34"/>
      <c r="D162" s="33"/>
      <c r="E162" s="33"/>
      <c r="F162" s="33"/>
      <c r="G162" s="33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</row>
    <row r="163" spans="2:76" customFormat="1" ht="15" customHeight="1">
      <c r="B163" s="34"/>
      <c r="C163" s="34"/>
      <c r="D163" s="33"/>
      <c r="E163" s="33"/>
      <c r="F163" s="33"/>
      <c r="G163" s="33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</row>
  </sheetData>
  <mergeCells count="35">
    <mergeCell ref="B123:B128"/>
    <mergeCell ref="BO124:BR157"/>
    <mergeCell ref="X125:AC156"/>
    <mergeCell ref="AR125:AY156"/>
    <mergeCell ref="B135:B136"/>
    <mergeCell ref="B79:B95"/>
    <mergeCell ref="X80:AC121"/>
    <mergeCell ref="AR80:AY121"/>
    <mergeCell ref="BN80:BP80"/>
    <mergeCell ref="BN88:BP88"/>
    <mergeCell ref="B96:B106"/>
    <mergeCell ref="BN96:BP96"/>
    <mergeCell ref="BN97:BP97"/>
    <mergeCell ref="BN98:BP98"/>
    <mergeCell ref="BN102:BR103"/>
    <mergeCell ref="B107:B117"/>
    <mergeCell ref="B118:B122"/>
    <mergeCell ref="M35:P35"/>
    <mergeCell ref="U35:W35"/>
    <mergeCell ref="B39:B69"/>
    <mergeCell ref="D39:E39"/>
    <mergeCell ref="F39:G39"/>
    <mergeCell ref="E69:F69"/>
    <mergeCell ref="C27:P27"/>
    <mergeCell ref="B3:B6"/>
    <mergeCell ref="C4:P4"/>
    <mergeCell ref="C5:P5"/>
    <mergeCell ref="C6:P6"/>
    <mergeCell ref="C16:P16"/>
    <mergeCell ref="C17:P17"/>
    <mergeCell ref="C18:P18"/>
    <mergeCell ref="C21:P21"/>
    <mergeCell ref="C22:P22"/>
    <mergeCell ref="C23:P23"/>
    <mergeCell ref="C24:P24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customProperties>
    <customPr name="GUID" r:id="rId1"/>
  </customPropertie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7053-779A-4A02-960C-ABA69A1B287B}">
  <sheetPr>
    <tabColor rgb="FF7030A0"/>
  </sheetPr>
  <dimension ref="B1:BR160"/>
  <sheetViews>
    <sheetView workbookViewId="0"/>
  </sheetViews>
  <sheetFormatPr defaultRowHeight="15"/>
  <cols>
    <col min="1" max="1" width="4" style="3" customWidth="1"/>
    <col min="2" max="2" width="39.28515625" style="3" bestFit="1" customWidth="1"/>
    <col min="3" max="3" width="29.28515625" style="131" bestFit="1" customWidth="1"/>
    <col min="4" max="4" width="20.140625" style="3" bestFit="1" customWidth="1"/>
    <col min="5" max="5" width="23.28515625" style="3" bestFit="1" customWidth="1"/>
    <col min="6" max="6" width="18.42578125" style="131" customWidth="1"/>
    <col min="7" max="7" width="24.140625" style="3" bestFit="1" customWidth="1"/>
    <col min="8" max="8" width="10.5703125" style="3" bestFit="1" customWidth="1"/>
    <col min="9" max="9" width="24.140625" style="3" bestFit="1" customWidth="1"/>
    <col min="10" max="10" width="9.85546875" style="3" bestFit="1" customWidth="1"/>
    <col min="11" max="11" width="10" style="3" bestFit="1" customWidth="1"/>
    <col min="12" max="15" width="9.140625" style="3" customWidth="1"/>
    <col min="16" max="16" width="11.140625" style="3" customWidth="1"/>
    <col min="17" max="20" width="9.140625" style="3" customWidth="1"/>
    <col min="21" max="21" width="4.140625" style="3" customWidth="1"/>
    <col min="22" max="22" width="9.140625" style="3" customWidth="1"/>
    <col min="23" max="16384" width="9.140625" style="3"/>
  </cols>
  <sheetData>
    <row r="1" spans="2:16" ht="15.75" thickBot="1"/>
    <row r="2" spans="2:16">
      <c r="B2" s="132" t="s">
        <v>182</v>
      </c>
      <c r="C2" s="133" t="str">
        <f>Details!B3</f>
        <v>New Wave Energy Holding Company, Inc.</v>
      </c>
    </row>
    <row r="3" spans="2:16">
      <c r="B3" s="134" t="s">
        <v>183</v>
      </c>
      <c r="C3" s="135">
        <v>44561</v>
      </c>
    </row>
    <row r="4" spans="2:16" ht="15.75" thickBot="1">
      <c r="B4" s="136" t="s">
        <v>184</v>
      </c>
      <c r="C4" s="137" t="str">
        <f>BS!B4</f>
        <v>USD</v>
      </c>
      <c r="D4" s="346"/>
      <c r="E4" s="346"/>
      <c r="F4" s="347"/>
      <c r="G4" s="346"/>
      <c r="H4" s="346"/>
      <c r="I4" s="346"/>
      <c r="J4" s="346"/>
      <c r="K4" s="346"/>
      <c r="L4" s="346"/>
      <c r="M4" s="346"/>
      <c r="N4" s="346"/>
      <c r="O4" s="346"/>
      <c r="P4" s="346"/>
    </row>
    <row r="6" spans="2:16">
      <c r="B6" s="1" t="s">
        <v>185</v>
      </c>
      <c r="D6" s="138" t="s">
        <v>186</v>
      </c>
      <c r="E6" s="138" t="s">
        <v>187</v>
      </c>
      <c r="F6" s="138" t="s">
        <v>188</v>
      </c>
    </row>
    <row r="7" spans="2:16">
      <c r="B7" s="6" t="s">
        <v>189</v>
      </c>
      <c r="C7" s="139" t="s">
        <v>190</v>
      </c>
      <c r="D7" s="11">
        <f>IFERROR(VLOOKUP(C7,Rating_Ref!A4:B9,2,0),"")</f>
        <v>4.8</v>
      </c>
      <c r="E7" s="140">
        <v>0.04</v>
      </c>
      <c r="F7" s="348">
        <f>E7*D7</f>
        <v>0.192</v>
      </c>
      <c r="G7" s="480">
        <f>+SUM(E7:E9)</f>
        <v>0.2</v>
      </c>
    </row>
    <row r="8" spans="2:16">
      <c r="B8" s="6" t="s">
        <v>191</v>
      </c>
      <c r="C8" s="139" t="s">
        <v>192</v>
      </c>
      <c r="D8" s="11">
        <f>IFERROR(VLOOKUP(C8,Rating_Ref!A12:B18,2,0),"")</f>
        <v>13.7</v>
      </c>
      <c r="E8" s="140">
        <v>0.1</v>
      </c>
      <c r="F8" s="348">
        <f>E8*D8</f>
        <v>1.37</v>
      </c>
      <c r="G8" s="480"/>
    </row>
    <row r="9" spans="2:16">
      <c r="B9" s="6" t="s">
        <v>193</v>
      </c>
      <c r="C9" s="141" t="s">
        <v>194</v>
      </c>
      <c r="D9" s="11">
        <f>IFERROR(VLOOKUP(C9,Rating_Ref!A21:B25,2,0),"")</f>
        <v>10.5</v>
      </c>
      <c r="E9" s="140">
        <v>0.06</v>
      </c>
      <c r="F9" s="348">
        <f>E9*D9</f>
        <v>0.63</v>
      </c>
      <c r="G9" s="480"/>
    </row>
    <row r="10" spans="2:16">
      <c r="D10" s="131"/>
      <c r="E10" s="142"/>
      <c r="F10" s="349"/>
    </row>
    <row r="11" spans="2:16">
      <c r="D11" s="131"/>
      <c r="E11" s="142"/>
      <c r="F11" s="349"/>
    </row>
    <row r="12" spans="2:16">
      <c r="B12" s="1" t="s">
        <v>195</v>
      </c>
      <c r="C12" s="3"/>
      <c r="D12" s="131"/>
      <c r="E12" s="142"/>
      <c r="F12" s="349"/>
    </row>
    <row r="13" spans="2:16">
      <c r="B13" s="6" t="s">
        <v>196</v>
      </c>
      <c r="C13" s="141" t="s">
        <v>197</v>
      </c>
      <c r="D13" s="11">
        <f>IFERROR(VLOOKUP(C13,Rating_Ref!A28:B32,2,0),"")</f>
        <v>5.8</v>
      </c>
      <c r="E13" s="140">
        <v>0.05</v>
      </c>
      <c r="F13" s="348">
        <f>E13*D13</f>
        <v>0.28999999999999998</v>
      </c>
      <c r="G13" s="481">
        <f>+SUM(E13:E17)</f>
        <v>0.185</v>
      </c>
    </row>
    <row r="14" spans="2:16">
      <c r="B14" s="6" t="s">
        <v>198</v>
      </c>
      <c r="C14" s="141" t="s">
        <v>194</v>
      </c>
      <c r="D14" s="11">
        <f>IFERROR(VLOOKUP(C14,Rating_Ref!A35:B39,2,0),"")</f>
        <v>10.5</v>
      </c>
      <c r="E14" s="140">
        <v>0.05</v>
      </c>
      <c r="F14" s="348">
        <f>E14*D14</f>
        <v>0.52500000000000002</v>
      </c>
      <c r="G14" s="481"/>
    </row>
    <row r="15" spans="2:16">
      <c r="B15" s="6" t="s">
        <v>155</v>
      </c>
      <c r="C15" s="143" t="e">
        <f>Details!I119</f>
        <v>#DIV/0!</v>
      </c>
      <c r="D15" s="11" t="e">
        <f>IF(C15&lt;0,20,VLOOKUP(C15,Rating_Ref!M63:N73,2))</f>
        <v>#DIV/0!</v>
      </c>
      <c r="E15" s="140">
        <v>2.5000000000000001E-2</v>
      </c>
      <c r="F15" s="348" t="e">
        <f>E15*D15</f>
        <v>#DIV/0!</v>
      </c>
      <c r="G15" s="481"/>
    </row>
    <row r="16" spans="2:16">
      <c r="B16" s="6" t="s">
        <v>157</v>
      </c>
      <c r="C16" s="143" t="e">
        <f>+Details!I121</f>
        <v>#DIV/0!</v>
      </c>
      <c r="D16" s="11" t="e">
        <f>IF(C16&lt;0,20,VLOOKUP(C16,Rating_Ref!M54:N60,2))</f>
        <v>#DIV/0!</v>
      </c>
      <c r="E16" s="140">
        <v>0.05</v>
      </c>
      <c r="F16" s="348" t="e">
        <f>E16*D16</f>
        <v>#DIV/0!</v>
      </c>
      <c r="G16" s="481"/>
      <c r="H16" s="346"/>
      <c r="I16" s="346"/>
      <c r="J16" s="346"/>
      <c r="K16" s="346"/>
      <c r="L16" s="346"/>
      <c r="M16" s="346"/>
      <c r="N16" s="346"/>
      <c r="O16" s="346"/>
      <c r="P16" s="346"/>
    </row>
    <row r="17" spans="2:16">
      <c r="B17" s="6" t="s">
        <v>199</v>
      </c>
      <c r="C17" s="150" t="e">
        <f>Details!I123</f>
        <v>#DIV/0!</v>
      </c>
      <c r="D17" s="11" t="e">
        <f>IF(C17&lt;0,20,VLOOKUP(C17,Rating_Ref!$M$86:$N$93,2))</f>
        <v>#DIV/0!</v>
      </c>
      <c r="E17" s="140">
        <v>0.01</v>
      </c>
      <c r="F17" s="348" t="e">
        <f>E17*D17</f>
        <v>#DIV/0!</v>
      </c>
      <c r="G17" s="481"/>
      <c r="H17" s="346"/>
      <c r="I17" s="346"/>
      <c r="J17" s="346"/>
      <c r="K17" s="346"/>
      <c r="L17" s="346"/>
      <c r="M17" s="346"/>
      <c r="N17" s="346"/>
      <c r="O17" s="346"/>
      <c r="P17" s="346"/>
    </row>
    <row r="18" spans="2:16">
      <c r="C18" s="350"/>
      <c r="D18" s="347"/>
      <c r="E18" s="351"/>
      <c r="F18" s="332"/>
      <c r="G18" s="352"/>
      <c r="H18" s="346"/>
      <c r="I18" s="346"/>
      <c r="J18" s="346"/>
      <c r="K18" s="346"/>
      <c r="L18" s="346"/>
      <c r="M18" s="346"/>
      <c r="N18" s="346"/>
      <c r="O18" s="346"/>
      <c r="P18" s="346"/>
    </row>
    <row r="19" spans="2:16">
      <c r="C19" s="145"/>
      <c r="D19" s="131"/>
      <c r="E19" s="142"/>
      <c r="F19" s="349"/>
      <c r="G19" s="126"/>
    </row>
    <row r="20" spans="2:16">
      <c r="B20" s="1" t="s">
        <v>128</v>
      </c>
      <c r="C20" s="145"/>
      <c r="D20" s="131"/>
      <c r="E20" s="142"/>
      <c r="F20" s="349"/>
      <c r="G20" s="126"/>
    </row>
    <row r="21" spans="2:16">
      <c r="B21" s="6" t="s">
        <v>139</v>
      </c>
      <c r="C21" s="143" t="e">
        <f>Details!I105</f>
        <v>#DIV/0!</v>
      </c>
      <c r="D21" s="11" t="e">
        <f>IF(C21&lt;0,20,VLOOKUP(C21,Rating_Ref!E5:F14,2))</f>
        <v>#DIV/0!</v>
      </c>
      <c r="E21" s="146">
        <v>0.05</v>
      </c>
      <c r="F21" s="348" t="e">
        <f>E21*D21</f>
        <v>#DIV/0!</v>
      </c>
      <c r="G21" s="481">
        <f>+SUM(E21:E23)</f>
        <v>0.25</v>
      </c>
    </row>
    <row r="22" spans="2:16">
      <c r="B22" s="6" t="s">
        <v>200</v>
      </c>
      <c r="C22" s="143" t="e">
        <f>Details!I100</f>
        <v>#DIV/0!</v>
      </c>
      <c r="D22" s="11" t="e">
        <f>IF(C22&lt;0,20,VLOOKUP(C22,Rating_Ref!E17:F26,2))</f>
        <v>#DIV/0!</v>
      </c>
      <c r="E22" s="146">
        <v>0.15</v>
      </c>
      <c r="F22" s="12" t="e">
        <f>E22*D22</f>
        <v>#DIV/0!</v>
      </c>
      <c r="G22" s="481"/>
      <c r="H22" s="346"/>
      <c r="I22" s="346"/>
      <c r="J22" s="346"/>
      <c r="K22" s="346"/>
      <c r="L22" s="346"/>
      <c r="M22" s="346"/>
      <c r="N22" s="346"/>
      <c r="O22" s="346"/>
      <c r="P22" s="346"/>
    </row>
    <row r="23" spans="2:16">
      <c r="B23" s="6" t="s">
        <v>136</v>
      </c>
      <c r="C23" s="143" t="e">
        <f>Details!I102</f>
        <v>#DIV/0!</v>
      </c>
      <c r="D23" s="11" t="e">
        <f>IF(C23&lt;0,20,VLOOKUP(C23,Rating_Ref!E30:F37,2))</f>
        <v>#DIV/0!</v>
      </c>
      <c r="E23" s="146">
        <v>0.05</v>
      </c>
      <c r="F23" s="12" t="e">
        <f>E23*D23</f>
        <v>#DIV/0!</v>
      </c>
      <c r="G23" s="481"/>
      <c r="H23" s="346"/>
      <c r="I23" s="346"/>
      <c r="J23" s="346"/>
      <c r="K23" s="346"/>
      <c r="L23" s="346"/>
      <c r="M23" s="346"/>
      <c r="N23" s="346"/>
      <c r="O23" s="346"/>
      <c r="P23" s="346"/>
    </row>
    <row r="24" spans="2:16">
      <c r="C24" s="145"/>
      <c r="D24" s="131"/>
      <c r="E24" s="142"/>
      <c r="F24" s="19"/>
      <c r="G24" s="148"/>
    </row>
    <row r="25" spans="2:16">
      <c r="C25" s="145"/>
      <c r="D25" s="131"/>
      <c r="E25" s="142"/>
      <c r="F25" s="349"/>
      <c r="G25" s="126"/>
    </row>
    <row r="26" spans="2:16">
      <c r="B26" s="1" t="s">
        <v>201</v>
      </c>
      <c r="C26" s="145"/>
      <c r="D26" s="131"/>
      <c r="E26" s="142"/>
      <c r="F26" s="349"/>
      <c r="G26" s="126"/>
    </row>
    <row r="27" spans="2:16">
      <c r="B27" s="6" t="s">
        <v>202</v>
      </c>
      <c r="C27" s="149" t="e">
        <f>Details!I126</f>
        <v>#DIV/0!</v>
      </c>
      <c r="D27" s="11" t="e">
        <f>IF(C27&lt;0,20,VLOOKUP(C27,Rating_Ref!I5:J10,2))</f>
        <v>#DIV/0!</v>
      </c>
      <c r="E27" s="140">
        <v>0.05</v>
      </c>
      <c r="F27" s="348" t="e">
        <f>E27*D27</f>
        <v>#DIV/0!</v>
      </c>
      <c r="G27" s="481">
        <f>SUM(E27:E30)</f>
        <v>0.19500000000000001</v>
      </c>
    </row>
    <row r="28" spans="2:16">
      <c r="B28" s="6" t="s">
        <v>140</v>
      </c>
      <c r="C28" s="143">
        <f>IFERROR(Details!I106,1000)</f>
        <v>1000</v>
      </c>
      <c r="D28" s="11">
        <f>IF(C28&lt;0,20,VLOOKUP(C28,Rating_Ref!I13:J19,2))</f>
        <v>1</v>
      </c>
      <c r="E28" s="140">
        <v>0.05</v>
      </c>
      <c r="F28" s="348">
        <f>E28*D28</f>
        <v>0.05</v>
      </c>
      <c r="G28" s="481"/>
    </row>
    <row r="29" spans="2:16">
      <c r="B29" s="6" t="s">
        <v>138</v>
      </c>
      <c r="C29" s="143" t="e">
        <f>Details!I104</f>
        <v>#DIV/0!</v>
      </c>
      <c r="D29" s="11" t="e">
        <f>IF(C29&lt;0,1,VLOOKUP(C29,Rating_Ref!I22:J29,2))</f>
        <v>#DIV/0!</v>
      </c>
      <c r="E29" s="146">
        <v>0.05</v>
      </c>
      <c r="F29" s="348" t="e">
        <f>E29*D29</f>
        <v>#DIV/0!</v>
      </c>
      <c r="G29" s="481"/>
    </row>
    <row r="30" spans="2:16">
      <c r="B30" s="6" t="s">
        <v>166</v>
      </c>
      <c r="C30" s="149" t="e">
        <f>Details!I124</f>
        <v>#DIV/0!</v>
      </c>
      <c r="D30" s="11" t="e">
        <f>IF(C30&lt;0,1,VLOOKUP(C30,Rating_Ref!I42:J49,2))</f>
        <v>#DIV/0!</v>
      </c>
      <c r="E30" s="140">
        <v>4.4999999999999998E-2</v>
      </c>
      <c r="F30" s="348" t="e">
        <f>E30*D30</f>
        <v>#DIV/0!</v>
      </c>
      <c r="G30" s="481"/>
    </row>
    <row r="31" spans="2:16">
      <c r="C31" s="13"/>
      <c r="D31" s="131"/>
      <c r="E31" s="142"/>
      <c r="F31" s="349"/>
      <c r="G31" s="126"/>
    </row>
    <row r="32" spans="2:16">
      <c r="C32" s="13"/>
      <c r="D32" s="131"/>
      <c r="E32" s="144"/>
      <c r="F32" s="349"/>
      <c r="G32" s="126"/>
    </row>
    <row r="33" spans="2:13">
      <c r="B33" s="1" t="s">
        <v>112</v>
      </c>
      <c r="C33" s="145"/>
      <c r="D33" s="131"/>
      <c r="E33" s="142"/>
      <c r="F33" s="349"/>
      <c r="G33" s="126"/>
    </row>
    <row r="34" spans="2:13">
      <c r="B34" s="6" t="s">
        <v>125</v>
      </c>
      <c r="C34" s="353" t="e">
        <f>Details!I92</f>
        <v>#DIV/0!</v>
      </c>
      <c r="D34" s="397" t="e">
        <f>IF(C34&lt;0,20,VLOOKUP(C34,Rating_Ref!M5:N14,2))</f>
        <v>#DIV/0!</v>
      </c>
      <c r="E34" s="140">
        <v>7.0000000000000007E-2</v>
      </c>
      <c r="F34" s="348" t="e">
        <f>E34*D34</f>
        <v>#DIV/0!</v>
      </c>
      <c r="G34" s="481">
        <f>+SUM(E34:E36)</f>
        <v>0.15000000000000002</v>
      </c>
    </row>
    <row r="35" spans="2:13">
      <c r="B35" s="6" t="s">
        <v>203</v>
      </c>
      <c r="C35" s="353" t="e">
        <f>Details!I95</f>
        <v>#DIV/0!</v>
      </c>
      <c r="D35" s="11" t="e">
        <f>IF(C35&lt;0,20,VLOOKUP(C35,Rating_Ref!M40:N50,2))</f>
        <v>#DIV/0!</v>
      </c>
      <c r="E35" s="140">
        <v>7.0000000000000007E-2</v>
      </c>
      <c r="F35" s="348" t="e">
        <f>E35*D35</f>
        <v>#DIV/0!</v>
      </c>
      <c r="G35" s="481"/>
    </row>
    <row r="36" spans="2:13">
      <c r="B36" s="6" t="s">
        <v>164</v>
      </c>
      <c r="C36" s="353" t="e">
        <f>Details!I125</f>
        <v>#DIV/0!</v>
      </c>
      <c r="D36" s="11" t="e">
        <f>IF(C36&lt;0,20,VLOOKUP(C36,Rating_Ref!M27:N37,2))</f>
        <v>#DIV/0!</v>
      </c>
      <c r="E36" s="140">
        <v>0.01</v>
      </c>
      <c r="F36" s="348" t="e">
        <f>E36*D36</f>
        <v>#DIV/0!</v>
      </c>
      <c r="G36" s="481"/>
    </row>
    <row r="37" spans="2:13">
      <c r="C37" s="3"/>
      <c r="D37" s="131"/>
      <c r="E37" s="131"/>
      <c r="F37" s="19"/>
      <c r="G37" s="126"/>
    </row>
    <row r="38" spans="2:13">
      <c r="C38" s="3"/>
      <c r="D38" s="131"/>
      <c r="E38" s="131"/>
      <c r="F38" s="19"/>
      <c r="G38" s="126"/>
    </row>
    <row r="39" spans="2:13">
      <c r="B39" s="1" t="s">
        <v>159</v>
      </c>
      <c r="C39" s="3"/>
      <c r="D39" s="131"/>
      <c r="E39" s="131"/>
      <c r="F39" s="19"/>
      <c r="G39" s="126"/>
    </row>
    <row r="40" spans="2:13" customFormat="1">
      <c r="B40" s="6" t="s">
        <v>204</v>
      </c>
      <c r="C40" s="143" t="e">
        <f>Details!I122</f>
        <v>#DIV/0!</v>
      </c>
      <c r="D40" s="11" t="e">
        <f>IF(C40&lt;0,20,VLOOKUP(C40,Rating_Ref!M76:N82,2))</f>
        <v>#DIV/0!</v>
      </c>
      <c r="E40" s="140">
        <v>0.02</v>
      </c>
      <c r="F40" s="348" t="e">
        <f>E40*D40</f>
        <v>#DIV/0!</v>
      </c>
      <c r="G40" s="151">
        <v>0.01</v>
      </c>
      <c r="H40" s="3"/>
      <c r="M40" s="3"/>
    </row>
    <row r="41" spans="2:13" customFormat="1">
      <c r="G41" s="148"/>
      <c r="H41" s="3"/>
      <c r="M41" s="3"/>
    </row>
    <row r="42" spans="2:13">
      <c r="F42" s="19"/>
    </row>
    <row r="43" spans="2:13" customFormat="1" ht="30">
      <c r="B43" s="477" t="s">
        <v>205</v>
      </c>
      <c r="C43" s="477"/>
      <c r="D43" s="477"/>
      <c r="E43" s="152" t="e">
        <f>VLOOKUP(F43,Rating_Ref!$Q$5:$R$23,2)</f>
        <v>#DIV/0!</v>
      </c>
      <c r="F43" s="354" t="e">
        <f>SUM(F7:F39)</f>
        <v>#DIV/0!</v>
      </c>
      <c r="G43" s="153" t="s">
        <v>206</v>
      </c>
      <c r="H43" s="3"/>
      <c r="M43" s="3"/>
    </row>
    <row r="44" spans="2:13" customFormat="1">
      <c r="B44" s="478" t="s">
        <v>207</v>
      </c>
      <c r="C44" s="478"/>
      <c r="D44" s="478"/>
      <c r="E44" s="154">
        <f>SUM(E7:E40)</f>
        <v>1.0000000000000002</v>
      </c>
      <c r="F44" s="355" t="b">
        <f>E44=100%</f>
        <v>1</v>
      </c>
      <c r="G44" s="3"/>
      <c r="H44" s="3"/>
      <c r="M44" s="3"/>
    </row>
    <row r="45" spans="2:13" customFormat="1">
      <c r="M45" s="3"/>
    </row>
    <row r="46" spans="2:13" customFormat="1">
      <c r="B46" s="1" t="s">
        <v>208</v>
      </c>
      <c r="C46" s="3"/>
      <c r="D46" s="131"/>
      <c r="E46" s="131"/>
      <c r="F46" s="131"/>
      <c r="G46" s="131"/>
      <c r="H46" s="131"/>
    </row>
    <row r="47" spans="2:13" customFormat="1">
      <c r="B47" s="155" t="s">
        <v>209</v>
      </c>
      <c r="C47" s="479" t="s">
        <v>106</v>
      </c>
      <c r="D47" s="479"/>
      <c r="E47" s="146"/>
      <c r="F47" s="11"/>
      <c r="G47" s="3"/>
      <c r="H47" s="3"/>
    </row>
    <row r="48" spans="2:13" customFormat="1">
      <c r="B48" s="155" t="s">
        <v>210</v>
      </c>
      <c r="C48" s="479" t="s">
        <v>211</v>
      </c>
      <c r="D48" s="479"/>
      <c r="E48" s="146"/>
      <c r="F48" s="11"/>
      <c r="G48" s="3"/>
      <c r="H48" s="3"/>
    </row>
    <row r="49" spans="2:12" customFormat="1">
      <c r="B49" s="155" t="s">
        <v>212</v>
      </c>
      <c r="C49" s="479" t="s">
        <v>106</v>
      </c>
      <c r="D49" s="479"/>
      <c r="E49" s="146"/>
      <c r="F49" s="11"/>
      <c r="G49" s="3"/>
      <c r="H49" s="3"/>
    </row>
    <row r="50" spans="2:12" customFormat="1">
      <c r="B50" s="6" t="s">
        <v>213</v>
      </c>
      <c r="C50" s="479" t="s">
        <v>106</v>
      </c>
      <c r="D50" s="479"/>
      <c r="E50" s="11"/>
      <c r="F50" s="11"/>
      <c r="G50" s="3"/>
      <c r="H50" s="3"/>
    </row>
    <row r="51" spans="2:12" customFormat="1">
      <c r="B51" s="6" t="s">
        <v>214</v>
      </c>
      <c r="C51" s="479" t="s">
        <v>211</v>
      </c>
      <c r="D51" s="479"/>
      <c r="E51" s="11"/>
      <c r="F51" s="11"/>
      <c r="G51" s="3"/>
      <c r="H51" s="3"/>
    </row>
    <row r="52" spans="2:12" customFormat="1">
      <c r="B52" s="6" t="s">
        <v>215</v>
      </c>
      <c r="C52" s="479" t="s">
        <v>106</v>
      </c>
      <c r="D52" s="479"/>
      <c r="E52" s="140"/>
      <c r="F52" s="46"/>
      <c r="G52" s="3"/>
      <c r="H52" s="3"/>
    </row>
    <row r="53" spans="2:12" customFormat="1">
      <c r="B53" s="6" t="s">
        <v>216</v>
      </c>
      <c r="C53" s="479" t="s">
        <v>106</v>
      </c>
      <c r="D53" s="479"/>
      <c r="E53" s="140"/>
      <c r="F53" s="46"/>
      <c r="G53" s="3"/>
      <c r="H53" s="3"/>
    </row>
    <row r="54" spans="2:12" customFormat="1">
      <c r="B54" s="6" t="s">
        <v>217</v>
      </c>
      <c r="C54" s="479" t="s">
        <v>106</v>
      </c>
      <c r="D54" s="479"/>
      <c r="E54" s="140"/>
      <c r="F54" s="46"/>
      <c r="G54" s="3"/>
      <c r="H54" s="3"/>
    </row>
    <row r="55" spans="2:12" customFormat="1">
      <c r="B55" s="6" t="s">
        <v>218</v>
      </c>
      <c r="C55" s="479" t="s">
        <v>211</v>
      </c>
      <c r="D55" s="479"/>
      <c r="E55" s="140"/>
      <c r="F55" s="46"/>
      <c r="G55" s="3"/>
      <c r="H55" s="3"/>
    </row>
    <row r="56" spans="2:12" customFormat="1">
      <c r="B56" s="3"/>
      <c r="C56" s="131"/>
      <c r="D56" s="3"/>
      <c r="E56" s="3"/>
      <c r="F56" s="131"/>
      <c r="G56" s="3"/>
      <c r="H56" s="3"/>
      <c r="I56" s="3"/>
      <c r="J56" s="3"/>
      <c r="K56" s="3"/>
      <c r="L56" s="3"/>
    </row>
    <row r="57" spans="2:12" customFormat="1">
      <c r="B57" s="478" t="s">
        <v>219</v>
      </c>
      <c r="C57" s="478"/>
      <c r="D57" s="478"/>
      <c r="E57" s="356">
        <v>0</v>
      </c>
      <c r="F57" s="357">
        <f>IFERROR(VLOOKUP(E57,Rating_Ref!T5:U15,2,0),"")</f>
        <v>0</v>
      </c>
      <c r="G57" s="3"/>
      <c r="H57" s="3"/>
    </row>
    <row r="58" spans="2:12" customFormat="1" ht="48.75" customHeight="1">
      <c r="B58" s="490" t="s">
        <v>220</v>
      </c>
      <c r="C58" s="490"/>
      <c r="D58" s="490"/>
      <c r="E58" s="491"/>
      <c r="F58" s="491"/>
      <c r="G58" s="3"/>
      <c r="H58" s="3"/>
    </row>
    <row r="59" spans="2:12" customFormat="1">
      <c r="B59" s="3"/>
      <c r="C59" s="131"/>
      <c r="D59" s="3"/>
      <c r="E59" s="131"/>
      <c r="F59" s="131"/>
      <c r="G59" s="3"/>
      <c r="I59" s="3"/>
    </row>
    <row r="60" spans="2:12" customFormat="1">
      <c r="B60" s="492" t="s">
        <v>221</v>
      </c>
      <c r="C60" s="492"/>
      <c r="D60" s="492"/>
      <c r="E60" s="152" t="e">
        <f>VLOOKUP(F60,Rating_Ref!$Q$5:$R$23,2)</f>
        <v>#DIV/0!</v>
      </c>
      <c r="F60" s="358" t="e">
        <f>F43+F57</f>
        <v>#DIV/0!</v>
      </c>
      <c r="G60" s="3"/>
      <c r="H60" s="3"/>
      <c r="I60" s="3"/>
    </row>
    <row r="61" spans="2:12" customFormat="1" ht="15.75" thickBot="1">
      <c r="B61" s="3"/>
      <c r="C61" s="131"/>
      <c r="D61" s="3"/>
      <c r="E61" s="131"/>
      <c r="F61" s="131"/>
      <c r="G61" s="3"/>
      <c r="H61" s="3"/>
    </row>
    <row r="62" spans="2:12" customFormat="1" ht="15.75" thickBot="1">
      <c r="B62" s="156" t="str">
        <f>Details!C46&amp;" "&amp;BS!B4</f>
        <v>Equity USD</v>
      </c>
      <c r="C62" s="157">
        <f>Details!H99</f>
        <v>0</v>
      </c>
      <c r="D62" s="3"/>
      <c r="E62" s="394"/>
      <c r="F62" s="131"/>
      <c r="G62" s="3"/>
      <c r="H62" s="3"/>
    </row>
    <row r="63" spans="2:12" customFormat="1" ht="15.75" thickBot="1">
      <c r="B63" s="3"/>
      <c r="C63" s="131"/>
      <c r="D63" s="3"/>
      <c r="E63" s="131"/>
      <c r="F63" s="131"/>
      <c r="G63" s="3"/>
      <c r="H63" s="3"/>
    </row>
    <row r="64" spans="2:12" customFormat="1">
      <c r="B64" s="359" t="s">
        <v>222</v>
      </c>
      <c r="C64" s="360" t="e">
        <f>MIN(C65:C66)</f>
        <v>#DIV/0!</v>
      </c>
      <c r="D64" s="3"/>
      <c r="E64" s="489" t="str">
        <f>"Current D&amp;B limit"&amp;" "&amp;BS!B4</f>
        <v>Current D&amp;B limit USD</v>
      </c>
      <c r="F64" s="489"/>
      <c r="G64" s="361">
        <v>120</v>
      </c>
      <c r="H64" s="3"/>
    </row>
    <row r="65" spans="2:24" customFormat="1">
      <c r="B65" s="362" t="s">
        <v>223</v>
      </c>
      <c r="C65" s="458" t="e">
        <f>VLOOKUP(E60,$C$72:$G$90,5,0)*C62</f>
        <v>#DIV/0!</v>
      </c>
      <c r="D65" s="363" t="e">
        <f>C65/C62</f>
        <v>#DIV/0!</v>
      </c>
      <c r="E65" s="489" t="s">
        <v>224</v>
      </c>
      <c r="F65" s="489"/>
      <c r="G65" s="395" t="e">
        <f>+G64/C62</f>
        <v>#DIV/0!</v>
      </c>
      <c r="H65" s="3"/>
      <c r="K65" s="31"/>
    </row>
    <row r="66" spans="2:24" customFormat="1" ht="15.75" thickBot="1">
      <c r="B66" s="364" t="s">
        <v>225</v>
      </c>
      <c r="C66" s="365" t="e">
        <f>VLOOKUP(E60,$C$72:$H$90,6,0)</f>
        <v>#DIV/0!</v>
      </c>
      <c r="D66" s="3"/>
      <c r="E66" s="3"/>
      <c r="F66" s="3"/>
      <c r="G66" s="3"/>
      <c r="H66" s="3"/>
    </row>
    <row r="67" spans="2:24" customFormat="1">
      <c r="B67" s="3"/>
      <c r="C67" s="366"/>
      <c r="D67" s="3"/>
      <c r="E67" s="3"/>
      <c r="F67" s="131"/>
      <c r="G67" s="3"/>
      <c r="H67" s="3"/>
      <c r="I67" s="3"/>
      <c r="J67" s="3"/>
    </row>
    <row r="68" spans="2:24" customFormat="1">
      <c r="B68" s="6" t="s">
        <v>226</v>
      </c>
      <c r="C68" s="159">
        <f>(Details!D133-Details!D134)/1000000</f>
        <v>0</v>
      </c>
      <c r="D68" s="3"/>
      <c r="E68" s="3"/>
      <c r="F68" s="131"/>
      <c r="G68" s="158"/>
      <c r="H68" s="3"/>
      <c r="I68" s="3"/>
      <c r="J68" s="3"/>
    </row>
    <row r="69" spans="2:24" customFormat="1" ht="15.75" thickBot="1">
      <c r="B69" s="3"/>
      <c r="C69" s="131"/>
      <c r="D69" s="3"/>
      <c r="E69" s="3"/>
      <c r="F69" s="131"/>
      <c r="G69" s="3"/>
      <c r="H69" s="3"/>
      <c r="I69" s="3"/>
    </row>
    <row r="70" spans="2:24" customFormat="1" ht="15.75" thickBot="1">
      <c r="B70" s="3"/>
      <c r="C70" s="486" t="s">
        <v>227</v>
      </c>
      <c r="D70" s="487"/>
      <c r="E70" s="487"/>
      <c r="F70" s="488"/>
      <c r="G70" s="3"/>
      <c r="H70" s="3"/>
      <c r="I70" s="473" t="s">
        <v>228</v>
      </c>
      <c r="J70" s="475" t="s">
        <v>229</v>
      </c>
      <c r="N70" s="413"/>
    </row>
    <row r="71" spans="2:24" customFormat="1" ht="15.75" thickBot="1">
      <c r="B71" s="414" t="s">
        <v>230</v>
      </c>
      <c r="C71" s="415" t="s">
        <v>231</v>
      </c>
      <c r="D71" s="416" t="s">
        <v>232</v>
      </c>
      <c r="E71" s="417" t="s">
        <v>233</v>
      </c>
      <c r="F71" s="417" t="s">
        <v>234</v>
      </c>
      <c r="G71" s="415" t="s">
        <v>235</v>
      </c>
      <c r="H71" s="416" t="s">
        <v>236</v>
      </c>
      <c r="I71" s="474"/>
      <c r="J71" s="476"/>
      <c r="N71" s="413"/>
    </row>
    <row r="72" spans="2:24" customFormat="1">
      <c r="B72" s="482" t="s">
        <v>237</v>
      </c>
      <c r="C72" s="418" t="s">
        <v>238</v>
      </c>
      <c r="D72" s="405" t="s">
        <v>239</v>
      </c>
      <c r="E72" s="419">
        <v>1</v>
      </c>
      <c r="F72" s="420" t="s">
        <v>240</v>
      </c>
      <c r="G72" s="421">
        <v>0.1</v>
      </c>
      <c r="H72" s="406">
        <v>30</v>
      </c>
      <c r="I72" s="422"/>
      <c r="J72" s="423">
        <v>2.5999999999999999E-3</v>
      </c>
      <c r="K72" s="424">
        <v>2.5999999999999999E-3</v>
      </c>
      <c r="L72" s="424">
        <v>2.5999999999999999E-3</v>
      </c>
      <c r="M72" s="424">
        <v>5.1999999999999995E-4</v>
      </c>
      <c r="N72" s="413"/>
    </row>
    <row r="73" spans="2:24" customFormat="1">
      <c r="B73" s="482"/>
      <c r="C73" s="425" t="s">
        <v>241</v>
      </c>
      <c r="D73" s="407" t="s">
        <v>242</v>
      </c>
      <c r="E73" s="426">
        <v>1</v>
      </c>
      <c r="F73" s="427" t="s">
        <v>240</v>
      </c>
      <c r="G73" s="428">
        <v>0.09</v>
      </c>
      <c r="H73" s="403">
        <v>25</v>
      </c>
      <c r="I73" s="429"/>
      <c r="J73" s="430">
        <v>4.4399999999999995E-3</v>
      </c>
      <c r="K73" s="424">
        <v>2.5999999999999999E-3</v>
      </c>
      <c r="L73" s="424">
        <f>K73+N76</f>
        <v>4.4399999999999995E-3</v>
      </c>
      <c r="M73" s="424">
        <v>1.0399999999999999E-3</v>
      </c>
      <c r="N73" s="413"/>
    </row>
    <row r="74" spans="2:24" customFormat="1">
      <c r="B74" s="482"/>
      <c r="C74" s="425" t="s">
        <v>243</v>
      </c>
      <c r="D74" s="407" t="s">
        <v>242</v>
      </c>
      <c r="E74" s="426">
        <v>1</v>
      </c>
      <c r="F74" s="427" t="s">
        <v>240</v>
      </c>
      <c r="G74" s="428">
        <v>0.08</v>
      </c>
      <c r="H74" s="403">
        <v>20</v>
      </c>
      <c r="I74" s="429"/>
      <c r="J74" s="430">
        <v>6.2799999999999991E-3</v>
      </c>
      <c r="K74" s="424">
        <v>2.5999999999999999E-3</v>
      </c>
      <c r="L74" s="424">
        <f>L73+$N$80</f>
        <v>4.4399999999999995E-3</v>
      </c>
      <c r="M74" s="431">
        <v>1.56E-3</v>
      </c>
      <c r="N74" s="413"/>
    </row>
    <row r="75" spans="2:24" customFormat="1">
      <c r="B75" s="482"/>
      <c r="C75" s="425" t="s">
        <v>244</v>
      </c>
      <c r="D75" s="407" t="s">
        <v>242</v>
      </c>
      <c r="E75" s="426">
        <v>1</v>
      </c>
      <c r="F75" s="427" t="s">
        <v>240</v>
      </c>
      <c r="G75" s="428">
        <v>0.08</v>
      </c>
      <c r="H75" s="403">
        <v>20</v>
      </c>
      <c r="I75" s="429"/>
      <c r="J75" s="430">
        <v>8.1199999999999987E-3</v>
      </c>
      <c r="K75" s="424">
        <v>2.5999999999999999E-3</v>
      </c>
      <c r="L75" s="424">
        <f>L74+$N$80</f>
        <v>4.4399999999999995E-3</v>
      </c>
      <c r="M75" s="424">
        <v>2.0799999999999998E-3</v>
      </c>
      <c r="N75" s="413">
        <f>K77-K72</f>
        <v>9.1999999999999998E-3</v>
      </c>
    </row>
    <row r="76" spans="2:24" customFormat="1">
      <c r="B76" s="482"/>
      <c r="C76" s="425" t="s">
        <v>245</v>
      </c>
      <c r="D76" s="407" t="s">
        <v>246</v>
      </c>
      <c r="E76" s="426">
        <v>1</v>
      </c>
      <c r="F76" s="427" t="s">
        <v>240</v>
      </c>
      <c r="G76" s="428">
        <v>0.08</v>
      </c>
      <c r="H76" s="403">
        <v>20</v>
      </c>
      <c r="I76" s="429"/>
      <c r="J76" s="430">
        <v>9.9599999999999984E-3</v>
      </c>
      <c r="K76" s="424">
        <v>2.5999999999999999E-3</v>
      </c>
      <c r="L76" s="424">
        <f>L75+$N$80</f>
        <v>4.4399999999999995E-3</v>
      </c>
      <c r="M76" s="424">
        <v>2.5999999999999999E-3</v>
      </c>
      <c r="N76" s="413">
        <f>N75/5</f>
        <v>1.8400000000000001E-3</v>
      </c>
    </row>
    <row r="77" spans="2:24" customFormat="1">
      <c r="B77" s="482"/>
      <c r="C77" s="425" t="s">
        <v>247</v>
      </c>
      <c r="D77" s="407" t="s">
        <v>246</v>
      </c>
      <c r="E77" s="432">
        <v>2</v>
      </c>
      <c r="F77" s="427" t="s">
        <v>240</v>
      </c>
      <c r="G77" s="428">
        <v>0.08</v>
      </c>
      <c r="H77" s="403">
        <f>+G77/G76*H76</f>
        <v>20</v>
      </c>
      <c r="I77" s="429"/>
      <c r="J77" s="430">
        <v>1.18E-2</v>
      </c>
      <c r="K77" s="424">
        <v>1.18E-2</v>
      </c>
      <c r="L77" s="424">
        <v>1.18E-2</v>
      </c>
      <c r="M77" s="431">
        <v>4.4400000000000004E-3</v>
      </c>
      <c r="N77" s="413">
        <f>K82-K77</f>
        <v>2.81E-2</v>
      </c>
    </row>
    <row r="78" spans="2:24" customFormat="1" ht="15.75" thickBot="1">
      <c r="B78" s="482"/>
      <c r="C78" s="433" t="s">
        <v>248</v>
      </c>
      <c r="D78" s="434" t="s">
        <v>246</v>
      </c>
      <c r="E78" s="435">
        <v>2</v>
      </c>
      <c r="F78" s="436" t="s">
        <v>240</v>
      </c>
      <c r="G78" s="437">
        <v>0.08</v>
      </c>
      <c r="H78" s="408">
        <v>20</v>
      </c>
      <c r="I78" s="429"/>
      <c r="J78" s="430">
        <v>1.7419999999999998E-2</v>
      </c>
      <c r="K78" s="424">
        <v>1.18E-2</v>
      </c>
      <c r="L78" s="424">
        <f>L77+$N$82</f>
        <v>7.9100000000000004E-2</v>
      </c>
      <c r="M78" s="431">
        <v>6.28E-3</v>
      </c>
      <c r="N78" s="438">
        <f>N77/5</f>
        <v>5.62E-3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 customFormat="1">
      <c r="B79" s="483" t="s">
        <v>249</v>
      </c>
      <c r="C79" s="439" t="s">
        <v>250</v>
      </c>
      <c r="D79" s="440" t="s">
        <v>251</v>
      </c>
      <c r="E79" s="441">
        <v>2</v>
      </c>
      <c r="F79" s="442" t="s">
        <v>240</v>
      </c>
      <c r="G79" s="443">
        <v>7.0000000000000007E-2</v>
      </c>
      <c r="H79" s="444">
        <v>15</v>
      </c>
      <c r="I79" s="429"/>
      <c r="J79" s="430">
        <v>2.3039999999999998E-2</v>
      </c>
      <c r="K79" s="424">
        <v>1.18E-2</v>
      </c>
      <c r="L79" s="424">
        <f>L78+$N$82</f>
        <v>0.1464</v>
      </c>
      <c r="M79" s="431">
        <v>8.1200000000000005E-3</v>
      </c>
      <c r="N79" s="438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 customFormat="1">
      <c r="B80" s="484"/>
      <c r="C80" s="445" t="s">
        <v>252</v>
      </c>
      <c r="D80" s="409" t="s">
        <v>251</v>
      </c>
      <c r="E80" s="432">
        <v>2</v>
      </c>
      <c r="F80" s="427" t="s">
        <v>240</v>
      </c>
      <c r="G80" s="446">
        <v>7.0000000000000007E-2</v>
      </c>
      <c r="H80" s="404">
        <v>15</v>
      </c>
      <c r="I80" s="429"/>
      <c r="J80" s="430">
        <v>2.8659999999999998E-2</v>
      </c>
      <c r="K80" s="424">
        <v>1.18E-2</v>
      </c>
      <c r="L80" s="424">
        <f>L79+$N$82</f>
        <v>0.2137</v>
      </c>
      <c r="M80" s="431">
        <v>9.9600000000000001E-3</v>
      </c>
      <c r="N80" s="438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53" customFormat="1">
      <c r="B81" s="484"/>
      <c r="C81" s="445" t="s">
        <v>253</v>
      </c>
      <c r="D81" s="409" t="s">
        <v>251</v>
      </c>
      <c r="E81" s="432">
        <v>2</v>
      </c>
      <c r="F81" s="427" t="s">
        <v>240</v>
      </c>
      <c r="G81" s="446">
        <v>0.06</v>
      </c>
      <c r="H81" s="404">
        <v>12</v>
      </c>
      <c r="I81" s="429"/>
      <c r="J81" s="430">
        <v>3.4279999999999998E-2</v>
      </c>
      <c r="K81" s="424">
        <v>1.18E-2</v>
      </c>
      <c r="L81" s="424">
        <f>L80+$N$82</f>
        <v>0.28100000000000003</v>
      </c>
      <c r="M81" s="431">
        <v>1.18E-2</v>
      </c>
      <c r="N81" s="438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53" customFormat="1">
      <c r="B82" s="484"/>
      <c r="C82" s="445" t="s">
        <v>254</v>
      </c>
      <c r="D82" s="410" t="s">
        <v>255</v>
      </c>
      <c r="E82" s="447">
        <v>3</v>
      </c>
      <c r="F82" s="448" t="s">
        <v>256</v>
      </c>
      <c r="G82" s="446">
        <v>0.06</v>
      </c>
      <c r="H82" s="404">
        <v>12</v>
      </c>
      <c r="I82" s="429"/>
      <c r="J82" s="430">
        <v>3.9899999999999998E-2</v>
      </c>
      <c r="K82" s="424">
        <v>3.9899999999999998E-2</v>
      </c>
      <c r="L82" s="424">
        <v>3.9899999999999998E-2</v>
      </c>
      <c r="M82" s="431">
        <v>2.116666E-2</v>
      </c>
      <c r="N82" s="413">
        <f>K85-K82</f>
        <v>6.7299999999999999E-2</v>
      </c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53" customFormat="1">
      <c r="B83" s="484"/>
      <c r="C83" s="445" t="s">
        <v>257</v>
      </c>
      <c r="D83" s="410" t="s">
        <v>255</v>
      </c>
      <c r="E83" s="447">
        <v>3</v>
      </c>
      <c r="F83" s="448" t="s">
        <v>256</v>
      </c>
      <c r="G83" s="446">
        <v>5.5E-2</v>
      </c>
      <c r="H83" s="404">
        <v>10</v>
      </c>
      <c r="I83" s="429"/>
      <c r="J83" s="430">
        <v>6.2333333333333331E-2</v>
      </c>
      <c r="K83" s="424">
        <v>3.9899999999999998E-2</v>
      </c>
      <c r="L83" s="424">
        <f t="shared" ref="L83:L84" si="0">L82+$N$87</f>
        <v>3.9899999999999998E-2</v>
      </c>
      <c r="M83" s="431">
        <v>3.0533330000000001E-2</v>
      </c>
      <c r="N83" s="438">
        <f>N82/3</f>
        <v>2.2433333333333333E-2</v>
      </c>
      <c r="O83" s="3"/>
      <c r="P83" s="3"/>
      <c r="Q83" s="3"/>
      <c r="R83" s="3"/>
      <c r="S83" s="3"/>
      <c r="T83" s="3"/>
      <c r="U83" s="3"/>
      <c r="V83" s="3"/>
      <c r="W83" s="3"/>
      <c r="X83" s="3"/>
      <c r="Z83" s="34"/>
      <c r="AA83" s="34"/>
      <c r="AB83" s="34"/>
      <c r="AC83" s="34"/>
      <c r="AD83" s="34"/>
      <c r="AE83" s="34"/>
      <c r="AT83" s="34"/>
      <c r="AU83" s="34"/>
      <c r="AV83" s="34"/>
      <c r="AW83" s="34"/>
      <c r="AX83" s="34"/>
      <c r="AY83" s="34"/>
      <c r="AZ83" s="34"/>
      <c r="BA83" s="34"/>
    </row>
    <row r="84" spans="2:53" customFormat="1">
      <c r="B84" s="484"/>
      <c r="C84" s="445" t="s">
        <v>258</v>
      </c>
      <c r="D84" s="410" t="s">
        <v>255</v>
      </c>
      <c r="E84" s="447">
        <v>3</v>
      </c>
      <c r="F84" s="448" t="s">
        <v>256</v>
      </c>
      <c r="G84" s="446">
        <v>5.5E-2</v>
      </c>
      <c r="H84" s="404">
        <v>10</v>
      </c>
      <c r="I84" s="429"/>
      <c r="J84" s="430">
        <v>8.4766666666666657E-2</v>
      </c>
      <c r="K84" s="424">
        <v>3.9899999999999998E-2</v>
      </c>
      <c r="L84" s="424">
        <f t="shared" si="0"/>
        <v>3.9899999999999998E-2</v>
      </c>
      <c r="M84" s="431">
        <v>3.9899999999999998E-2</v>
      </c>
      <c r="N84" s="438"/>
      <c r="O84" s="3"/>
      <c r="P84" s="3"/>
      <c r="Q84" s="3"/>
      <c r="R84" s="3"/>
      <c r="S84" s="3"/>
      <c r="T84" s="3"/>
      <c r="U84" s="3"/>
      <c r="V84" s="3"/>
      <c r="W84" s="3"/>
      <c r="X84" s="3"/>
      <c r="Z84" s="34"/>
      <c r="AA84" s="34"/>
      <c r="AB84" s="34"/>
      <c r="AC84" s="34"/>
      <c r="AD84" s="34"/>
      <c r="AE84" s="34"/>
      <c r="AT84" s="34"/>
      <c r="AU84" s="34"/>
      <c r="AV84" s="34"/>
      <c r="AW84" s="34"/>
      <c r="AX84" s="34"/>
      <c r="AY84" s="34"/>
      <c r="AZ84" s="34"/>
      <c r="BA84" s="34"/>
    </row>
    <row r="85" spans="2:53" customFormat="1">
      <c r="B85" s="484"/>
      <c r="C85" s="445" t="s">
        <v>259</v>
      </c>
      <c r="D85" s="411" t="s">
        <v>260</v>
      </c>
      <c r="E85" s="449">
        <v>4</v>
      </c>
      <c r="F85" s="448" t="s">
        <v>256</v>
      </c>
      <c r="G85" s="446">
        <v>0.05</v>
      </c>
      <c r="H85" s="404">
        <v>8</v>
      </c>
      <c r="I85" s="429"/>
      <c r="J85" s="430">
        <v>0.09</v>
      </c>
      <c r="K85" s="424">
        <v>0.1072</v>
      </c>
      <c r="L85" s="424">
        <v>0.09</v>
      </c>
      <c r="M85" s="431">
        <v>5.1116599999999998E-2</v>
      </c>
      <c r="N85" s="438"/>
      <c r="O85" s="3"/>
      <c r="P85" s="3"/>
      <c r="Q85" s="3"/>
      <c r="R85" s="3"/>
      <c r="S85" s="3"/>
      <c r="T85" s="3"/>
      <c r="U85" s="3"/>
      <c r="V85" s="3"/>
      <c r="W85" s="3"/>
      <c r="X85" s="3"/>
      <c r="Z85" s="34"/>
      <c r="AA85" s="34"/>
      <c r="AB85" s="34"/>
      <c r="AC85" s="34"/>
      <c r="AD85" s="34"/>
      <c r="AE85" s="34"/>
      <c r="AT85" s="34"/>
      <c r="AU85" s="34"/>
      <c r="AV85" s="34"/>
      <c r="AW85" s="34"/>
      <c r="AX85" s="34"/>
      <c r="AY85" s="34"/>
      <c r="AZ85" s="34"/>
      <c r="BA85" s="34"/>
    </row>
    <row r="86" spans="2:53" customFormat="1">
      <c r="B86" s="484"/>
      <c r="C86" s="445" t="s">
        <v>261</v>
      </c>
      <c r="D86" s="411" t="s">
        <v>260</v>
      </c>
      <c r="E86" s="449">
        <v>4</v>
      </c>
      <c r="F86" s="448" t="s">
        <v>256</v>
      </c>
      <c r="G86" s="446">
        <v>0.05</v>
      </c>
      <c r="H86" s="404">
        <v>7</v>
      </c>
      <c r="I86" s="429"/>
      <c r="J86" s="430">
        <v>9.3738888888888885E-2</v>
      </c>
      <c r="K86" s="424">
        <v>0.1072</v>
      </c>
      <c r="L86" s="424">
        <f>L85+$N$94</f>
        <v>0.09</v>
      </c>
      <c r="M86" s="431">
        <v>6.2333E-2</v>
      </c>
      <c r="N86" s="438"/>
      <c r="O86" s="3"/>
      <c r="P86" s="3"/>
      <c r="Q86" s="3"/>
      <c r="R86" s="3"/>
      <c r="S86" s="3"/>
      <c r="T86" s="3"/>
      <c r="U86" s="3"/>
      <c r="V86" s="3"/>
      <c r="W86" s="3"/>
      <c r="X86" s="3"/>
      <c r="Z86" s="34"/>
      <c r="AA86" s="34"/>
      <c r="AB86" s="34"/>
      <c r="AC86" s="34"/>
      <c r="AD86" s="34"/>
      <c r="AE86" s="34"/>
      <c r="AT86" s="34"/>
      <c r="AU86" s="34"/>
      <c r="AV86" s="34"/>
      <c r="AW86" s="34"/>
      <c r="AX86" s="34"/>
      <c r="AY86" s="34"/>
      <c r="AZ86" s="34"/>
      <c r="BA86" s="34"/>
    </row>
    <row r="87" spans="2:53" customFormat="1">
      <c r="B87" s="484"/>
      <c r="C87" s="445" t="s">
        <v>262</v>
      </c>
      <c r="D87" s="411" t="s">
        <v>260</v>
      </c>
      <c r="E87" s="449">
        <v>4</v>
      </c>
      <c r="F87" s="448" t="s">
        <v>256</v>
      </c>
      <c r="G87" s="446">
        <v>0.05</v>
      </c>
      <c r="H87" s="404">
        <v>7</v>
      </c>
      <c r="I87" s="429"/>
      <c r="J87" s="430">
        <v>9.7477777777777774E-2</v>
      </c>
      <c r="K87" s="424">
        <v>0.1072</v>
      </c>
      <c r="L87" s="424">
        <f t="shared" ref="L87:L89" si="1">L86+$N$94</f>
        <v>0.09</v>
      </c>
      <c r="M87" s="431">
        <v>7.3549900000000001E-2</v>
      </c>
      <c r="N87" s="438"/>
      <c r="O87" s="3"/>
      <c r="P87" s="3"/>
      <c r="Q87" s="3"/>
      <c r="R87" s="3"/>
      <c r="S87" s="3"/>
      <c r="T87" s="3"/>
      <c r="U87" s="3"/>
      <c r="V87" s="3"/>
      <c r="W87" s="3"/>
      <c r="X87" s="3"/>
      <c r="Z87" s="34"/>
      <c r="AA87" s="34"/>
      <c r="AB87" s="34"/>
      <c r="AC87" s="34"/>
      <c r="AD87" s="34"/>
      <c r="AE87" s="34"/>
      <c r="AT87" s="34"/>
      <c r="AU87" s="34"/>
      <c r="AV87" s="34"/>
      <c r="AW87" s="34"/>
      <c r="AX87" s="34"/>
      <c r="AY87" s="34"/>
      <c r="AZ87" s="34"/>
      <c r="BA87" s="34"/>
    </row>
    <row r="88" spans="2:53" customFormat="1">
      <c r="B88" s="484"/>
      <c r="C88" s="445" t="s">
        <v>263</v>
      </c>
      <c r="D88" s="412" t="s">
        <v>264</v>
      </c>
      <c r="E88" s="449">
        <v>4</v>
      </c>
      <c r="F88" s="448" t="s">
        <v>256</v>
      </c>
      <c r="G88" s="446">
        <v>4.4999999999999998E-2</v>
      </c>
      <c r="H88" s="404">
        <v>5</v>
      </c>
      <c r="I88" s="429"/>
      <c r="J88" s="430">
        <v>0.10121666666666666</v>
      </c>
      <c r="K88" s="424">
        <v>0.1072</v>
      </c>
      <c r="L88" s="424">
        <f t="shared" si="1"/>
        <v>0.09</v>
      </c>
      <c r="M88" s="431">
        <v>8.4766599999999998E-2</v>
      </c>
      <c r="N88" s="438"/>
      <c r="O88" s="3"/>
      <c r="P88" s="3"/>
      <c r="Q88" s="3"/>
      <c r="R88" s="3"/>
      <c r="S88" s="3"/>
      <c r="T88" s="3"/>
      <c r="U88" s="3"/>
      <c r="V88" s="3"/>
      <c r="W88" s="3"/>
      <c r="X88" s="3"/>
      <c r="Z88" s="34"/>
      <c r="AA88" s="34"/>
      <c r="AB88" s="34"/>
      <c r="AC88" s="34"/>
      <c r="AD88" s="34"/>
      <c r="AE88" s="34"/>
      <c r="AT88" s="34"/>
      <c r="AU88" s="34"/>
      <c r="AV88" s="34"/>
      <c r="AW88" s="34"/>
      <c r="AX88" s="34"/>
      <c r="AY88" s="34"/>
      <c r="AZ88" s="34"/>
      <c r="BA88" s="34"/>
    </row>
    <row r="89" spans="2:53">
      <c r="B89" s="484"/>
      <c r="C89" s="445" t="s">
        <v>265</v>
      </c>
      <c r="D89" s="412" t="s">
        <v>264</v>
      </c>
      <c r="E89" s="449">
        <v>4</v>
      </c>
      <c r="F89" s="448" t="s">
        <v>256</v>
      </c>
      <c r="G89" s="446">
        <v>4.4999999999999998E-2</v>
      </c>
      <c r="H89" s="404">
        <v>5</v>
      </c>
      <c r="I89" s="429"/>
      <c r="J89" s="430">
        <v>0.10495555555555555</v>
      </c>
      <c r="K89" s="424">
        <v>0.1072</v>
      </c>
      <c r="L89" s="424">
        <f t="shared" si="1"/>
        <v>0.09</v>
      </c>
      <c r="M89" s="431">
        <v>9.5983299999999994E-2</v>
      </c>
      <c r="N89" s="438">
        <f>L90-L84</f>
        <v>6.7299999999999999E-2</v>
      </c>
      <c r="Z89" s="346"/>
      <c r="AA89" s="346"/>
      <c r="AB89" s="346"/>
      <c r="AC89" s="346"/>
      <c r="AD89" s="346"/>
      <c r="AE89" s="346"/>
      <c r="AT89" s="346"/>
      <c r="AU89" s="346"/>
      <c r="AV89" s="346"/>
      <c r="AW89" s="346"/>
      <c r="AX89" s="346"/>
      <c r="AY89" s="346"/>
      <c r="AZ89" s="346"/>
      <c r="BA89" s="346"/>
    </row>
    <row r="90" spans="2:53" ht="15.75" thickBot="1">
      <c r="B90" s="485"/>
      <c r="C90" s="450" t="s">
        <v>266</v>
      </c>
      <c r="D90" s="451" t="s">
        <v>264</v>
      </c>
      <c r="E90" s="452">
        <v>4</v>
      </c>
      <c r="F90" s="453" t="s">
        <v>256</v>
      </c>
      <c r="G90" s="454">
        <v>4.4999999999999998E-2</v>
      </c>
      <c r="H90" s="455">
        <v>3</v>
      </c>
      <c r="I90" s="456"/>
      <c r="J90" s="457">
        <v>0.1072</v>
      </c>
      <c r="K90" s="424">
        <v>0.1072</v>
      </c>
      <c r="L90" s="424">
        <f t="shared" ref="L90" si="2">K90+N93</f>
        <v>0.1072</v>
      </c>
      <c r="M90" s="431">
        <v>0.1072</v>
      </c>
      <c r="N90" s="438">
        <f>+N89/6</f>
        <v>1.1216666666666666E-2</v>
      </c>
      <c r="Z90" s="346"/>
      <c r="AA90" s="346"/>
      <c r="AB90" s="346"/>
      <c r="AC90" s="346"/>
      <c r="AD90" s="346"/>
      <c r="AE90" s="346"/>
      <c r="AT90" s="346"/>
      <c r="AU90" s="346"/>
      <c r="AV90" s="346"/>
      <c r="AW90" s="346"/>
      <c r="AX90" s="346"/>
      <c r="AY90" s="346"/>
      <c r="AZ90" s="346"/>
      <c r="BA90" s="346"/>
    </row>
    <row r="91" spans="2:53" customFormat="1">
      <c r="B91" s="3"/>
      <c r="C91" s="131"/>
      <c r="D91" s="3"/>
      <c r="E91" s="3"/>
      <c r="F91" s="131"/>
      <c r="G91" s="131"/>
      <c r="H91" s="1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X91" s="34"/>
      <c r="Y91" s="34"/>
      <c r="Z91" s="34"/>
      <c r="AA91" s="34"/>
      <c r="AB91" s="34"/>
      <c r="AC91" s="34"/>
      <c r="AR91" s="34"/>
      <c r="AS91" s="34"/>
      <c r="AT91" s="34"/>
      <c r="AU91" s="34"/>
      <c r="AV91" s="34"/>
      <c r="AW91" s="34"/>
      <c r="AX91" s="34"/>
      <c r="AY91" s="34"/>
    </row>
    <row r="92" spans="2:53">
      <c r="X92" s="346"/>
      <c r="Y92" s="346"/>
      <c r="Z92" s="346"/>
      <c r="AA92" s="346"/>
      <c r="AB92" s="346"/>
      <c r="AC92" s="346"/>
      <c r="AR92" s="346"/>
      <c r="AS92" s="346"/>
      <c r="AT92" s="346"/>
      <c r="AU92" s="346"/>
      <c r="AV92" s="346"/>
      <c r="AW92" s="346"/>
      <c r="AX92" s="346"/>
      <c r="AY92" s="346"/>
    </row>
    <row r="93" spans="2:53">
      <c r="X93" s="346"/>
      <c r="Y93" s="346"/>
      <c r="Z93" s="346"/>
      <c r="AA93" s="346"/>
      <c r="AB93" s="346"/>
      <c r="AC93" s="346"/>
      <c r="AR93" s="346"/>
      <c r="AS93" s="346"/>
      <c r="AT93" s="346"/>
      <c r="AU93" s="346"/>
      <c r="AV93" s="346"/>
      <c r="AW93" s="346"/>
      <c r="AX93" s="346"/>
      <c r="AY93" s="346"/>
    </row>
    <row r="94" spans="2:53">
      <c r="H94" s="131"/>
      <c r="X94" s="346"/>
      <c r="Y94" s="346"/>
      <c r="Z94" s="346"/>
      <c r="AA94" s="346"/>
      <c r="AB94" s="346"/>
      <c r="AC94" s="346"/>
      <c r="AR94" s="346"/>
      <c r="AS94" s="346"/>
      <c r="AT94" s="346"/>
      <c r="AU94" s="346"/>
      <c r="AV94" s="346"/>
      <c r="AW94" s="346"/>
      <c r="AX94" s="346"/>
      <c r="AY94" s="346"/>
    </row>
    <row r="95" spans="2:53">
      <c r="X95" s="346"/>
      <c r="Y95" s="346"/>
      <c r="Z95" s="346"/>
      <c r="AA95" s="346"/>
      <c r="AB95" s="346"/>
      <c r="AC95" s="346"/>
      <c r="AR95" s="346"/>
      <c r="AS95" s="346"/>
      <c r="AT95" s="346"/>
      <c r="AU95" s="346"/>
      <c r="AV95" s="346"/>
      <c r="AW95" s="346"/>
      <c r="AX95" s="346"/>
      <c r="AY95" s="346"/>
    </row>
    <row r="96" spans="2:53">
      <c r="X96" s="346"/>
      <c r="Y96" s="346"/>
      <c r="Z96" s="346"/>
      <c r="AA96" s="346"/>
      <c r="AB96" s="346"/>
      <c r="AC96" s="346"/>
      <c r="AR96" s="346"/>
      <c r="AS96" s="346"/>
      <c r="AT96" s="346"/>
      <c r="AU96" s="346"/>
      <c r="AV96" s="346"/>
      <c r="AW96" s="346"/>
      <c r="AX96" s="346"/>
      <c r="AY96" s="346"/>
    </row>
    <row r="97" spans="24:51">
      <c r="X97" s="346"/>
      <c r="Y97" s="346"/>
      <c r="Z97" s="346"/>
      <c r="AA97" s="346"/>
      <c r="AB97" s="346"/>
      <c r="AC97" s="346"/>
      <c r="AR97" s="346"/>
      <c r="AS97" s="346"/>
      <c r="AT97" s="346"/>
      <c r="AU97" s="346"/>
      <c r="AV97" s="346"/>
      <c r="AW97" s="346"/>
      <c r="AX97" s="346"/>
      <c r="AY97" s="346"/>
    </row>
    <row r="98" spans="24:51">
      <c r="X98" s="346"/>
      <c r="Y98" s="346"/>
      <c r="Z98" s="346"/>
      <c r="AA98" s="346"/>
      <c r="AB98" s="346"/>
      <c r="AC98" s="346"/>
      <c r="AR98" s="346"/>
      <c r="AS98" s="346"/>
      <c r="AT98" s="346"/>
      <c r="AU98" s="346"/>
      <c r="AV98" s="346"/>
      <c r="AW98" s="346"/>
      <c r="AX98" s="346"/>
      <c r="AY98" s="346"/>
    </row>
    <row r="99" spans="24:51">
      <c r="X99" s="346"/>
      <c r="Y99" s="346"/>
      <c r="Z99" s="346"/>
      <c r="AA99" s="346"/>
      <c r="AB99" s="346"/>
      <c r="AC99" s="346"/>
      <c r="AR99" s="346"/>
      <c r="AS99" s="346"/>
      <c r="AT99" s="346"/>
      <c r="AU99" s="346"/>
      <c r="AV99" s="346"/>
      <c r="AW99" s="346"/>
      <c r="AX99" s="346"/>
      <c r="AY99" s="346"/>
    </row>
    <row r="100" spans="24:51">
      <c r="X100" s="346"/>
      <c r="Y100" s="346"/>
      <c r="Z100" s="346"/>
      <c r="AA100" s="346"/>
      <c r="AB100" s="346"/>
      <c r="AC100" s="346"/>
      <c r="AR100" s="346"/>
      <c r="AS100" s="346"/>
      <c r="AT100" s="346"/>
      <c r="AU100" s="346"/>
      <c r="AV100" s="346"/>
      <c r="AW100" s="346"/>
      <c r="AX100" s="346"/>
      <c r="AY100" s="346"/>
    </row>
    <row r="101" spans="24:51">
      <c r="X101" s="346"/>
      <c r="Y101" s="346"/>
      <c r="Z101" s="346"/>
      <c r="AA101" s="346"/>
      <c r="AB101" s="346"/>
      <c r="AC101" s="346"/>
      <c r="AR101" s="346"/>
      <c r="AS101" s="346"/>
      <c r="AT101" s="346"/>
      <c r="AU101" s="346"/>
      <c r="AV101" s="346"/>
      <c r="AW101" s="346"/>
      <c r="AX101" s="346"/>
      <c r="AY101" s="346"/>
    </row>
    <row r="102" spans="24:51">
      <c r="X102" s="346"/>
      <c r="Y102" s="346"/>
      <c r="Z102" s="346"/>
      <c r="AA102" s="346"/>
      <c r="AB102" s="346"/>
      <c r="AC102" s="346"/>
      <c r="AR102" s="346"/>
      <c r="AS102" s="346"/>
      <c r="AT102" s="346"/>
      <c r="AU102" s="346"/>
      <c r="AV102" s="346"/>
      <c r="AW102" s="346"/>
      <c r="AX102" s="346"/>
      <c r="AY102" s="346"/>
    </row>
    <row r="103" spans="24:51">
      <c r="X103" s="346"/>
      <c r="Y103" s="346"/>
      <c r="Z103" s="346"/>
      <c r="AA103" s="346"/>
      <c r="AB103" s="346"/>
      <c r="AC103" s="346"/>
      <c r="AR103" s="346"/>
      <c r="AS103" s="346"/>
      <c r="AT103" s="346"/>
      <c r="AU103" s="346"/>
      <c r="AV103" s="346"/>
      <c r="AW103" s="346"/>
      <c r="AX103" s="346"/>
      <c r="AY103" s="346"/>
    </row>
    <row r="104" spans="24:51">
      <c r="X104" s="346"/>
      <c r="Y104" s="346"/>
      <c r="Z104" s="346"/>
      <c r="AA104" s="346"/>
      <c r="AB104" s="346"/>
      <c r="AC104" s="346"/>
      <c r="AR104" s="346"/>
      <c r="AS104" s="346"/>
      <c r="AT104" s="346"/>
      <c r="AU104" s="346"/>
      <c r="AV104" s="346"/>
      <c r="AW104" s="346"/>
      <c r="AX104" s="346"/>
      <c r="AY104" s="346"/>
    </row>
    <row r="105" spans="24:51">
      <c r="X105" s="346"/>
      <c r="Y105" s="346"/>
      <c r="Z105" s="346"/>
      <c r="AA105" s="346"/>
      <c r="AB105" s="346"/>
      <c r="AC105" s="346"/>
      <c r="AR105" s="346"/>
      <c r="AS105" s="346"/>
      <c r="AT105" s="346"/>
      <c r="AU105" s="346"/>
      <c r="AV105" s="346"/>
      <c r="AW105" s="346"/>
      <c r="AX105" s="346"/>
      <c r="AY105" s="346"/>
    </row>
    <row r="106" spans="24:51">
      <c r="X106" s="346"/>
      <c r="Y106" s="346"/>
      <c r="Z106" s="346"/>
      <c r="AA106" s="346"/>
      <c r="AB106" s="346"/>
      <c r="AC106" s="346"/>
      <c r="AR106" s="346"/>
      <c r="AS106" s="346"/>
      <c r="AT106" s="346"/>
      <c r="AU106" s="346"/>
      <c r="AV106" s="346"/>
      <c r="AW106" s="346"/>
      <c r="AX106" s="346"/>
      <c r="AY106" s="346"/>
    </row>
    <row r="107" spans="24:51">
      <c r="X107" s="346"/>
      <c r="Y107" s="346"/>
      <c r="Z107" s="346"/>
      <c r="AA107" s="346"/>
      <c r="AB107" s="346"/>
      <c r="AC107" s="346"/>
      <c r="AR107" s="346"/>
      <c r="AS107" s="346"/>
      <c r="AT107" s="346"/>
      <c r="AU107" s="346"/>
      <c r="AV107" s="346"/>
      <c r="AW107" s="346"/>
      <c r="AX107" s="346"/>
      <c r="AY107" s="346"/>
    </row>
    <row r="108" spans="24:51">
      <c r="X108" s="346"/>
      <c r="Y108" s="346"/>
      <c r="Z108" s="346"/>
      <c r="AA108" s="346"/>
      <c r="AB108" s="346"/>
      <c r="AC108" s="346"/>
      <c r="AR108" s="346"/>
      <c r="AS108" s="346"/>
      <c r="AT108" s="346"/>
      <c r="AU108" s="346"/>
      <c r="AV108" s="346"/>
      <c r="AW108" s="346"/>
      <c r="AX108" s="346"/>
      <c r="AY108" s="346"/>
    </row>
    <row r="109" spans="24:51">
      <c r="X109" s="346"/>
      <c r="Y109" s="346"/>
      <c r="Z109" s="346"/>
      <c r="AA109" s="346"/>
      <c r="AB109" s="346"/>
      <c r="AC109" s="346"/>
      <c r="AR109" s="346"/>
      <c r="AS109" s="346"/>
      <c r="AT109" s="346"/>
      <c r="AU109" s="346"/>
      <c r="AV109" s="346"/>
      <c r="AW109" s="346"/>
      <c r="AX109" s="346"/>
      <c r="AY109" s="346"/>
    </row>
    <row r="110" spans="24:51">
      <c r="X110" s="346"/>
      <c r="Y110" s="346"/>
      <c r="Z110" s="346"/>
      <c r="AA110" s="346"/>
      <c r="AB110" s="346"/>
      <c r="AC110" s="346"/>
      <c r="AR110" s="346"/>
      <c r="AS110" s="346"/>
      <c r="AT110" s="346"/>
      <c r="AU110" s="346"/>
      <c r="AV110" s="346"/>
      <c r="AW110" s="346"/>
      <c r="AX110" s="346"/>
      <c r="AY110" s="346"/>
    </row>
    <row r="111" spans="24:51">
      <c r="X111" s="346"/>
      <c r="Y111" s="346"/>
      <c r="Z111" s="346"/>
      <c r="AA111" s="346"/>
      <c r="AB111" s="346"/>
      <c r="AC111" s="346"/>
      <c r="AR111" s="346"/>
      <c r="AS111" s="346"/>
      <c r="AT111" s="346"/>
      <c r="AU111" s="346"/>
      <c r="AV111" s="346"/>
      <c r="AW111" s="346"/>
      <c r="AX111" s="346"/>
      <c r="AY111" s="346"/>
    </row>
    <row r="112" spans="24:51">
      <c r="X112" s="346"/>
      <c r="Y112" s="346"/>
      <c r="Z112" s="346"/>
      <c r="AA112" s="346"/>
      <c r="AB112" s="346"/>
      <c r="AC112" s="346"/>
      <c r="AR112" s="346"/>
      <c r="AS112" s="346"/>
      <c r="AT112" s="346"/>
      <c r="AU112" s="346"/>
      <c r="AV112" s="346"/>
      <c r="AW112" s="346"/>
      <c r="AX112" s="346"/>
      <c r="AY112" s="346"/>
    </row>
    <row r="113" spans="2:70">
      <c r="X113" s="346"/>
      <c r="Y113" s="346"/>
      <c r="Z113" s="346"/>
      <c r="AA113" s="346"/>
      <c r="AB113" s="346"/>
      <c r="AC113" s="346"/>
      <c r="AR113" s="346"/>
      <c r="AS113" s="346"/>
      <c r="AT113" s="346"/>
      <c r="AU113" s="346"/>
      <c r="AV113" s="346"/>
      <c r="AW113" s="346"/>
      <c r="AX113" s="346"/>
      <c r="AY113" s="346"/>
    </row>
    <row r="114" spans="2:70">
      <c r="X114" s="346"/>
      <c r="Y114" s="346"/>
      <c r="Z114" s="346"/>
      <c r="AA114" s="346"/>
      <c r="AB114" s="346"/>
      <c r="AC114" s="346"/>
      <c r="AR114" s="346"/>
      <c r="AS114" s="346"/>
      <c r="AT114" s="346"/>
      <c r="AU114" s="346"/>
      <c r="AV114" s="346"/>
      <c r="AW114" s="346"/>
      <c r="AX114" s="346"/>
      <c r="AY114" s="346"/>
    </row>
    <row r="115" spans="2:70">
      <c r="X115" s="346"/>
      <c r="Y115" s="346"/>
      <c r="Z115" s="346"/>
      <c r="AA115" s="346"/>
      <c r="AB115" s="346"/>
      <c r="AC115" s="346"/>
      <c r="AR115" s="346"/>
      <c r="AS115" s="346"/>
      <c r="AT115" s="346"/>
      <c r="AU115" s="346"/>
      <c r="AV115" s="346"/>
      <c r="AW115" s="346"/>
      <c r="AX115" s="346"/>
      <c r="AY115" s="346"/>
    </row>
    <row r="116" spans="2:70">
      <c r="X116" s="346"/>
      <c r="Y116" s="346"/>
      <c r="Z116" s="346"/>
      <c r="AA116" s="346"/>
      <c r="AB116" s="346"/>
      <c r="AC116" s="346"/>
      <c r="AR116" s="346"/>
      <c r="AS116" s="346"/>
      <c r="AT116" s="346"/>
      <c r="AU116" s="346"/>
      <c r="AV116" s="346"/>
      <c r="AW116" s="346"/>
      <c r="AX116" s="346"/>
      <c r="AY116" s="346"/>
    </row>
    <row r="117" spans="2:70">
      <c r="X117" s="346"/>
      <c r="Y117" s="346"/>
      <c r="Z117" s="346"/>
      <c r="AA117" s="346"/>
      <c r="AB117" s="346"/>
      <c r="AC117" s="346"/>
      <c r="AR117" s="346"/>
      <c r="AS117" s="346"/>
      <c r="AT117" s="346"/>
      <c r="AU117" s="346"/>
      <c r="AV117" s="346"/>
      <c r="AW117" s="346"/>
      <c r="AX117" s="346"/>
      <c r="AY117" s="346"/>
    </row>
    <row r="118" spans="2:70">
      <c r="X118" s="346"/>
      <c r="Y118" s="346"/>
      <c r="Z118" s="346"/>
      <c r="AA118" s="346"/>
      <c r="AB118" s="346"/>
      <c r="AC118" s="346"/>
      <c r="AR118" s="346"/>
      <c r="AS118" s="346"/>
      <c r="AT118" s="346"/>
      <c r="AU118" s="346"/>
      <c r="AV118" s="346"/>
      <c r="AW118" s="346"/>
      <c r="AX118" s="346"/>
      <c r="AY118" s="346"/>
    </row>
    <row r="119" spans="2:70">
      <c r="X119" s="346"/>
      <c r="Y119" s="346"/>
      <c r="Z119" s="346"/>
      <c r="AA119" s="346"/>
      <c r="AB119" s="346"/>
      <c r="AC119" s="346"/>
      <c r="AR119" s="346"/>
      <c r="AS119" s="346"/>
      <c r="AT119" s="346"/>
      <c r="AU119" s="346"/>
      <c r="AV119" s="346"/>
      <c r="AW119" s="346"/>
      <c r="AX119" s="346"/>
      <c r="AY119" s="346"/>
    </row>
    <row r="120" spans="2:70">
      <c r="X120" s="346"/>
      <c r="Y120" s="346"/>
      <c r="Z120" s="346"/>
      <c r="AA120" s="346"/>
      <c r="AB120" s="346"/>
      <c r="AC120" s="346"/>
      <c r="AR120" s="346"/>
      <c r="AS120" s="346"/>
      <c r="AT120" s="346"/>
      <c r="AU120" s="346"/>
      <c r="AV120" s="346"/>
      <c r="AW120" s="346"/>
      <c r="AX120" s="346"/>
      <c r="AY120" s="346"/>
    </row>
    <row r="121" spans="2:70">
      <c r="X121" s="346"/>
      <c r="Y121" s="346"/>
      <c r="Z121" s="346"/>
      <c r="AA121" s="346"/>
      <c r="AB121" s="346"/>
      <c r="AC121" s="346"/>
      <c r="AR121" s="346"/>
      <c r="AS121" s="346"/>
      <c r="AT121" s="346"/>
      <c r="AU121" s="346"/>
      <c r="AV121" s="346"/>
      <c r="AW121" s="346"/>
      <c r="AX121" s="346"/>
      <c r="AY121" s="346"/>
    </row>
    <row r="122" spans="2:70">
      <c r="X122" s="346"/>
      <c r="Y122" s="346"/>
      <c r="Z122" s="346"/>
      <c r="AA122" s="346"/>
      <c r="AB122" s="346"/>
      <c r="AC122" s="346"/>
      <c r="AR122" s="346"/>
      <c r="AS122" s="346"/>
      <c r="AT122" s="346"/>
      <c r="AU122" s="346"/>
      <c r="AV122" s="346"/>
      <c r="AW122" s="346"/>
      <c r="AX122" s="346"/>
      <c r="AY122" s="346"/>
    </row>
    <row r="123" spans="2:70" customFormat="1">
      <c r="B123" s="3"/>
      <c r="C123" s="131"/>
      <c r="D123" s="19"/>
      <c r="E123" s="19"/>
      <c r="F123" s="147"/>
      <c r="G123" s="19"/>
      <c r="H123" s="1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X123" s="34"/>
      <c r="Y123" s="34"/>
      <c r="Z123" s="34"/>
      <c r="AA123" s="34"/>
      <c r="AB123" s="34"/>
      <c r="AC123" s="34"/>
      <c r="AR123" s="34"/>
      <c r="AS123" s="34"/>
      <c r="AT123" s="34"/>
      <c r="AU123" s="34"/>
      <c r="AV123" s="34"/>
      <c r="AW123" s="34"/>
      <c r="AX123" s="34"/>
      <c r="AY123" s="34"/>
    </row>
    <row r="124" spans="2:70" customFormat="1">
      <c r="B124" s="3"/>
      <c r="C124" s="131"/>
      <c r="D124" s="19"/>
      <c r="E124" s="19"/>
      <c r="F124" s="147"/>
      <c r="G124" s="19"/>
      <c r="H124" s="1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X124" s="34"/>
      <c r="Y124" s="34"/>
      <c r="Z124" s="34"/>
      <c r="AA124" s="34"/>
      <c r="AB124" s="34"/>
      <c r="AC124" s="34"/>
      <c r="AR124" s="34"/>
      <c r="AS124" s="34"/>
      <c r="AT124" s="34"/>
      <c r="AU124" s="34"/>
      <c r="AV124" s="34"/>
      <c r="AW124" s="34"/>
      <c r="AX124" s="34"/>
      <c r="AY124" s="34"/>
    </row>
    <row r="125" spans="2:70" customFormat="1">
      <c r="B125" s="3"/>
      <c r="C125" s="131"/>
      <c r="D125" s="19"/>
      <c r="E125" s="19"/>
      <c r="F125" s="147"/>
      <c r="G125" s="19"/>
      <c r="H125" s="1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2:70" customFormat="1">
      <c r="B126" s="3"/>
      <c r="C126" s="131"/>
      <c r="D126" s="19"/>
      <c r="E126" s="19"/>
      <c r="F126" s="147"/>
      <c r="G126" s="19"/>
      <c r="H126" s="1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2:70">
      <c r="BO127" s="346"/>
      <c r="BP127" s="346"/>
      <c r="BQ127" s="346"/>
      <c r="BR127" s="346"/>
    </row>
    <row r="128" spans="2:70">
      <c r="X128" s="346"/>
      <c r="Y128" s="346"/>
      <c r="Z128" s="346"/>
      <c r="AA128" s="346"/>
      <c r="AB128" s="346"/>
      <c r="AC128" s="346"/>
      <c r="AR128" s="346"/>
      <c r="AS128" s="346"/>
      <c r="AT128" s="346"/>
      <c r="AU128" s="346"/>
      <c r="AV128" s="346"/>
      <c r="AW128" s="346"/>
      <c r="AX128" s="346"/>
      <c r="AY128" s="346"/>
      <c r="BO128" s="346"/>
      <c r="BP128" s="346"/>
      <c r="BQ128" s="346"/>
      <c r="BR128" s="346"/>
    </row>
    <row r="129" spans="24:70">
      <c r="X129" s="346"/>
      <c r="Y129" s="346"/>
      <c r="Z129" s="346"/>
      <c r="AA129" s="346"/>
      <c r="AB129" s="346"/>
      <c r="AC129" s="346"/>
      <c r="AR129" s="346"/>
      <c r="AS129" s="346"/>
      <c r="AT129" s="346"/>
      <c r="AU129" s="346"/>
      <c r="AV129" s="346"/>
      <c r="AW129" s="346"/>
      <c r="AX129" s="346"/>
      <c r="AY129" s="346"/>
      <c r="BO129" s="346"/>
      <c r="BP129" s="346"/>
      <c r="BQ129" s="346"/>
      <c r="BR129" s="346"/>
    </row>
    <row r="130" spans="24:70">
      <c r="X130" s="346"/>
      <c r="Y130" s="346"/>
      <c r="Z130" s="346"/>
      <c r="AA130" s="346"/>
      <c r="AB130" s="346"/>
      <c r="AC130" s="346"/>
      <c r="AR130" s="346"/>
      <c r="AS130" s="346"/>
      <c r="AT130" s="346"/>
      <c r="AU130" s="346"/>
      <c r="AV130" s="346"/>
      <c r="AW130" s="346"/>
      <c r="AX130" s="346"/>
      <c r="AY130" s="346"/>
      <c r="BO130" s="346"/>
      <c r="BP130" s="346"/>
      <c r="BQ130" s="346"/>
      <c r="BR130" s="346"/>
    </row>
    <row r="131" spans="24:70">
      <c r="X131" s="346"/>
      <c r="Y131" s="346"/>
      <c r="Z131" s="346"/>
      <c r="AA131" s="346"/>
      <c r="AB131" s="346"/>
      <c r="AC131" s="346"/>
      <c r="AR131" s="346"/>
      <c r="AS131" s="346"/>
      <c r="AT131" s="346"/>
      <c r="AU131" s="346"/>
      <c r="AV131" s="346"/>
      <c r="AW131" s="346"/>
      <c r="AX131" s="346"/>
      <c r="AY131" s="346"/>
      <c r="BO131" s="346"/>
      <c r="BP131" s="346"/>
      <c r="BQ131" s="346"/>
      <c r="BR131" s="346"/>
    </row>
    <row r="132" spans="24:70">
      <c r="X132" s="346"/>
      <c r="Y132" s="346"/>
      <c r="Z132" s="346"/>
      <c r="AA132" s="346"/>
      <c r="AB132" s="346"/>
      <c r="AC132" s="346"/>
      <c r="AR132" s="346"/>
      <c r="AS132" s="346"/>
      <c r="AT132" s="346"/>
      <c r="AU132" s="346"/>
      <c r="AV132" s="346"/>
      <c r="AW132" s="346"/>
      <c r="AX132" s="346"/>
      <c r="AY132" s="346"/>
      <c r="BO132" s="346"/>
      <c r="BP132" s="346"/>
      <c r="BQ132" s="346"/>
      <c r="BR132" s="346"/>
    </row>
    <row r="133" spans="24:70">
      <c r="X133" s="346"/>
      <c r="Y133" s="346"/>
      <c r="Z133" s="346"/>
      <c r="AA133" s="346"/>
      <c r="AB133" s="346"/>
      <c r="AC133" s="346"/>
      <c r="AR133" s="346"/>
      <c r="AS133" s="346"/>
      <c r="AT133" s="346"/>
      <c r="AU133" s="346"/>
      <c r="AV133" s="346"/>
      <c r="AW133" s="346"/>
      <c r="AX133" s="346"/>
      <c r="AY133" s="346"/>
      <c r="BO133" s="346"/>
      <c r="BP133" s="346"/>
      <c r="BQ133" s="346"/>
      <c r="BR133" s="346"/>
    </row>
    <row r="134" spans="24:70">
      <c r="X134" s="346"/>
      <c r="Y134" s="346"/>
      <c r="Z134" s="346"/>
      <c r="AA134" s="346"/>
      <c r="AB134" s="346"/>
      <c r="AC134" s="346"/>
      <c r="AR134" s="346"/>
      <c r="AS134" s="346"/>
      <c r="AT134" s="346"/>
      <c r="AU134" s="346"/>
      <c r="AV134" s="346"/>
      <c r="AW134" s="346"/>
      <c r="AX134" s="346"/>
      <c r="AY134" s="346"/>
      <c r="BO134" s="346"/>
      <c r="BP134" s="346"/>
      <c r="BQ134" s="346"/>
      <c r="BR134" s="346"/>
    </row>
    <row r="135" spans="24:70">
      <c r="X135" s="346"/>
      <c r="Y135" s="346"/>
      <c r="Z135" s="346"/>
      <c r="AA135" s="346"/>
      <c r="AB135" s="346"/>
      <c r="AC135" s="346"/>
      <c r="AR135" s="346"/>
      <c r="AS135" s="346"/>
      <c r="AT135" s="346"/>
      <c r="AU135" s="346"/>
      <c r="AV135" s="346"/>
      <c r="AW135" s="346"/>
      <c r="AX135" s="346"/>
      <c r="AY135" s="346"/>
      <c r="BO135" s="346"/>
      <c r="BP135" s="346"/>
      <c r="BQ135" s="346"/>
      <c r="BR135" s="346"/>
    </row>
    <row r="136" spans="24:70">
      <c r="X136" s="346"/>
      <c r="Y136" s="346"/>
      <c r="Z136" s="346"/>
      <c r="AA136" s="346"/>
      <c r="AB136" s="346"/>
      <c r="AC136" s="346"/>
      <c r="AR136" s="346"/>
      <c r="AS136" s="346"/>
      <c r="AT136" s="346"/>
      <c r="AU136" s="346"/>
      <c r="AV136" s="346"/>
      <c r="AW136" s="346"/>
      <c r="AX136" s="346"/>
      <c r="AY136" s="346"/>
      <c r="BO136" s="346"/>
      <c r="BP136" s="346"/>
      <c r="BQ136" s="346"/>
      <c r="BR136" s="346"/>
    </row>
    <row r="137" spans="24:70">
      <c r="X137" s="346"/>
      <c r="Y137" s="346"/>
      <c r="Z137" s="346"/>
      <c r="AA137" s="346"/>
      <c r="AB137" s="346"/>
      <c r="AC137" s="346"/>
      <c r="AR137" s="346"/>
      <c r="AS137" s="346"/>
      <c r="AT137" s="346"/>
      <c r="AU137" s="346"/>
      <c r="AV137" s="346"/>
      <c r="AW137" s="346"/>
      <c r="AX137" s="346"/>
      <c r="AY137" s="346"/>
      <c r="BO137" s="346"/>
      <c r="BP137" s="346"/>
      <c r="BQ137" s="346"/>
      <c r="BR137" s="346"/>
    </row>
    <row r="138" spans="24:70">
      <c r="X138" s="346"/>
      <c r="Y138" s="346"/>
      <c r="Z138" s="346"/>
      <c r="AA138" s="346"/>
      <c r="AB138" s="346"/>
      <c r="AC138" s="346"/>
      <c r="AR138" s="346"/>
      <c r="AS138" s="346"/>
      <c r="AT138" s="346"/>
      <c r="AU138" s="346"/>
      <c r="AV138" s="346"/>
      <c r="AW138" s="346"/>
      <c r="AX138" s="346"/>
      <c r="AY138" s="346"/>
      <c r="BO138" s="346"/>
      <c r="BP138" s="346"/>
      <c r="BQ138" s="346"/>
      <c r="BR138" s="346"/>
    </row>
    <row r="139" spans="24:70">
      <c r="X139" s="346"/>
      <c r="Y139" s="346"/>
      <c r="Z139" s="346"/>
      <c r="AA139" s="346"/>
      <c r="AB139" s="346"/>
      <c r="AC139" s="346"/>
      <c r="AR139" s="346"/>
      <c r="AS139" s="346"/>
      <c r="AT139" s="346"/>
      <c r="AU139" s="346"/>
      <c r="AV139" s="346"/>
      <c r="AW139" s="346"/>
      <c r="AX139" s="346"/>
      <c r="AY139" s="346"/>
      <c r="BO139" s="346"/>
      <c r="BP139" s="346"/>
      <c r="BQ139" s="346"/>
      <c r="BR139" s="346"/>
    </row>
    <row r="140" spans="24:70">
      <c r="X140" s="346"/>
      <c r="Y140" s="346"/>
      <c r="Z140" s="346"/>
      <c r="AA140" s="346"/>
      <c r="AB140" s="346"/>
      <c r="AC140" s="346"/>
      <c r="AR140" s="346"/>
      <c r="AS140" s="346"/>
      <c r="AT140" s="346"/>
      <c r="AU140" s="346"/>
      <c r="AV140" s="346"/>
      <c r="AW140" s="346"/>
      <c r="AX140" s="346"/>
      <c r="AY140" s="346"/>
      <c r="BO140" s="346"/>
      <c r="BP140" s="346"/>
      <c r="BQ140" s="346"/>
      <c r="BR140" s="346"/>
    </row>
    <row r="141" spans="24:70">
      <c r="X141" s="346"/>
      <c r="Y141" s="346"/>
      <c r="Z141" s="346"/>
      <c r="AA141" s="346"/>
      <c r="AB141" s="346"/>
      <c r="AC141" s="346"/>
      <c r="AR141" s="346"/>
      <c r="AS141" s="346"/>
      <c r="AT141" s="346"/>
      <c r="AU141" s="346"/>
      <c r="AV141" s="346"/>
      <c r="AW141" s="346"/>
      <c r="AX141" s="346"/>
      <c r="AY141" s="346"/>
      <c r="BO141" s="346"/>
      <c r="BP141" s="346"/>
      <c r="BQ141" s="346"/>
      <c r="BR141" s="346"/>
    </row>
    <row r="142" spans="24:70">
      <c r="X142" s="346"/>
      <c r="Y142" s="346"/>
      <c r="Z142" s="346"/>
      <c r="AA142" s="346"/>
      <c r="AB142" s="346"/>
      <c r="AC142" s="346"/>
      <c r="AR142" s="346"/>
      <c r="AS142" s="346"/>
      <c r="AT142" s="346"/>
      <c r="AU142" s="346"/>
      <c r="AV142" s="346"/>
      <c r="AW142" s="346"/>
      <c r="AX142" s="346"/>
      <c r="AY142" s="346"/>
      <c r="BO142" s="346"/>
      <c r="BP142" s="346"/>
      <c r="BQ142" s="346"/>
      <c r="BR142" s="346"/>
    </row>
    <row r="143" spans="24:70">
      <c r="X143" s="346"/>
      <c r="Y143" s="346"/>
      <c r="Z143" s="346"/>
      <c r="AA143" s="346"/>
      <c r="AB143" s="346"/>
      <c r="AC143" s="346"/>
      <c r="AR143" s="346"/>
      <c r="AS143" s="346"/>
      <c r="AT143" s="346"/>
      <c r="AU143" s="346"/>
      <c r="AV143" s="346"/>
      <c r="AW143" s="346"/>
      <c r="AX143" s="346"/>
      <c r="AY143" s="346"/>
      <c r="BO143" s="346"/>
      <c r="BP143" s="346"/>
      <c r="BQ143" s="346"/>
      <c r="BR143" s="346"/>
    </row>
    <row r="144" spans="24:70">
      <c r="X144" s="346"/>
      <c r="Y144" s="346"/>
      <c r="Z144" s="346"/>
      <c r="AA144" s="346"/>
      <c r="AB144" s="346"/>
      <c r="AC144" s="346"/>
      <c r="AR144" s="346"/>
      <c r="AS144" s="346"/>
      <c r="AT144" s="346"/>
      <c r="AU144" s="346"/>
      <c r="AV144" s="346"/>
      <c r="AW144" s="346"/>
      <c r="AX144" s="346"/>
      <c r="AY144" s="346"/>
      <c r="BO144" s="346"/>
      <c r="BP144" s="346"/>
      <c r="BQ144" s="346"/>
      <c r="BR144" s="346"/>
    </row>
    <row r="145" spans="24:70">
      <c r="X145" s="346"/>
      <c r="Y145" s="346"/>
      <c r="Z145" s="346"/>
      <c r="AA145" s="346"/>
      <c r="AB145" s="346"/>
      <c r="AC145" s="346"/>
      <c r="AR145" s="346"/>
      <c r="AS145" s="346"/>
      <c r="AT145" s="346"/>
      <c r="AU145" s="346"/>
      <c r="AV145" s="346"/>
      <c r="AW145" s="346"/>
      <c r="AX145" s="346"/>
      <c r="AY145" s="346"/>
      <c r="BO145" s="346"/>
      <c r="BP145" s="346"/>
      <c r="BQ145" s="346"/>
      <c r="BR145" s="346"/>
    </row>
    <row r="146" spans="24:70">
      <c r="X146" s="346"/>
      <c r="Y146" s="346"/>
      <c r="Z146" s="346"/>
      <c r="AA146" s="346"/>
      <c r="AB146" s="346"/>
      <c r="AC146" s="346"/>
      <c r="AR146" s="346"/>
      <c r="AS146" s="346"/>
      <c r="AT146" s="346"/>
      <c r="AU146" s="346"/>
      <c r="AV146" s="346"/>
      <c r="AW146" s="346"/>
      <c r="AX146" s="346"/>
      <c r="AY146" s="346"/>
      <c r="BO146" s="346"/>
      <c r="BP146" s="346"/>
      <c r="BQ146" s="346"/>
      <c r="BR146" s="346"/>
    </row>
    <row r="147" spans="24:70">
      <c r="X147" s="346"/>
      <c r="Y147" s="346"/>
      <c r="Z147" s="346"/>
      <c r="AA147" s="346"/>
      <c r="AB147" s="346"/>
      <c r="AC147" s="346"/>
      <c r="AR147" s="346"/>
      <c r="AS147" s="346"/>
      <c r="AT147" s="346"/>
      <c r="AU147" s="346"/>
      <c r="AV147" s="346"/>
      <c r="AW147" s="346"/>
      <c r="AX147" s="346"/>
      <c r="AY147" s="346"/>
      <c r="BO147" s="346"/>
      <c r="BP147" s="346"/>
      <c r="BQ147" s="346"/>
      <c r="BR147" s="346"/>
    </row>
    <row r="148" spans="24:70">
      <c r="X148" s="346"/>
      <c r="Y148" s="346"/>
      <c r="Z148" s="346"/>
      <c r="AA148" s="346"/>
      <c r="AB148" s="346"/>
      <c r="AC148" s="346"/>
      <c r="AR148" s="346"/>
      <c r="AS148" s="346"/>
      <c r="AT148" s="346"/>
      <c r="AU148" s="346"/>
      <c r="AV148" s="346"/>
      <c r="AW148" s="346"/>
      <c r="AX148" s="346"/>
      <c r="AY148" s="346"/>
      <c r="BO148" s="346"/>
      <c r="BP148" s="346"/>
      <c r="BQ148" s="346"/>
      <c r="BR148" s="346"/>
    </row>
    <row r="149" spans="24:70">
      <c r="X149" s="346"/>
      <c r="Y149" s="346"/>
      <c r="Z149" s="346"/>
      <c r="AA149" s="346"/>
      <c r="AB149" s="346"/>
      <c r="AC149" s="346"/>
      <c r="AR149" s="346"/>
      <c r="AS149" s="346"/>
      <c r="AT149" s="346"/>
      <c r="AU149" s="346"/>
      <c r="AV149" s="346"/>
      <c r="AW149" s="346"/>
      <c r="AX149" s="346"/>
      <c r="AY149" s="346"/>
      <c r="BO149" s="346"/>
      <c r="BP149" s="346"/>
      <c r="BQ149" s="346"/>
      <c r="BR149" s="346"/>
    </row>
    <row r="150" spans="24:70">
      <c r="X150" s="346"/>
      <c r="Y150" s="346"/>
      <c r="Z150" s="346"/>
      <c r="AA150" s="346"/>
      <c r="AB150" s="346"/>
      <c r="AC150" s="346"/>
      <c r="AR150" s="346"/>
      <c r="AS150" s="346"/>
      <c r="AT150" s="346"/>
      <c r="AU150" s="346"/>
      <c r="AV150" s="346"/>
      <c r="AW150" s="346"/>
      <c r="AX150" s="346"/>
      <c r="AY150" s="346"/>
      <c r="BO150" s="346"/>
      <c r="BP150" s="346"/>
      <c r="BQ150" s="346"/>
      <c r="BR150" s="346"/>
    </row>
    <row r="151" spans="24:70">
      <c r="X151" s="346"/>
      <c r="Y151" s="346"/>
      <c r="Z151" s="346"/>
      <c r="AA151" s="346"/>
      <c r="AB151" s="346"/>
      <c r="AC151" s="346"/>
      <c r="AR151" s="346"/>
      <c r="AS151" s="346"/>
      <c r="AT151" s="346"/>
      <c r="AU151" s="346"/>
      <c r="AV151" s="346"/>
      <c r="AW151" s="346"/>
      <c r="AX151" s="346"/>
      <c r="AY151" s="346"/>
      <c r="BO151" s="346"/>
      <c r="BP151" s="346"/>
      <c r="BQ151" s="346"/>
      <c r="BR151" s="346"/>
    </row>
    <row r="152" spans="24:70">
      <c r="X152" s="346"/>
      <c r="Y152" s="346"/>
      <c r="Z152" s="346"/>
      <c r="AA152" s="346"/>
      <c r="AB152" s="346"/>
      <c r="AC152" s="346"/>
      <c r="AR152" s="346"/>
      <c r="AS152" s="346"/>
      <c r="AT152" s="346"/>
      <c r="AU152" s="346"/>
      <c r="AV152" s="346"/>
      <c r="AW152" s="346"/>
      <c r="AX152" s="346"/>
      <c r="AY152" s="346"/>
      <c r="BO152" s="346"/>
      <c r="BP152" s="346"/>
      <c r="BQ152" s="346"/>
      <c r="BR152" s="346"/>
    </row>
    <row r="153" spans="24:70">
      <c r="X153" s="346"/>
      <c r="Y153" s="346"/>
      <c r="Z153" s="346"/>
      <c r="AA153" s="346"/>
      <c r="AB153" s="346"/>
      <c r="AC153" s="346"/>
      <c r="AR153" s="346"/>
      <c r="AS153" s="346"/>
      <c r="AT153" s="346"/>
      <c r="AU153" s="346"/>
      <c r="AV153" s="346"/>
      <c r="AW153" s="346"/>
      <c r="AX153" s="346"/>
      <c r="AY153" s="346"/>
      <c r="BO153" s="346"/>
      <c r="BP153" s="346"/>
      <c r="BQ153" s="346"/>
      <c r="BR153" s="346"/>
    </row>
    <row r="154" spans="24:70">
      <c r="X154" s="346"/>
      <c r="Y154" s="346"/>
      <c r="Z154" s="346"/>
      <c r="AA154" s="346"/>
      <c r="AB154" s="346"/>
      <c r="AC154" s="346"/>
      <c r="AR154" s="346"/>
      <c r="AS154" s="346"/>
      <c r="AT154" s="346"/>
      <c r="AU154" s="346"/>
      <c r="AV154" s="346"/>
      <c r="AW154" s="346"/>
      <c r="AX154" s="346"/>
      <c r="AY154" s="346"/>
      <c r="BO154" s="346"/>
      <c r="BP154" s="346"/>
      <c r="BQ154" s="346"/>
      <c r="BR154" s="346"/>
    </row>
    <row r="155" spans="24:70">
      <c r="X155" s="346"/>
      <c r="Y155" s="346"/>
      <c r="Z155" s="346"/>
      <c r="AA155" s="346"/>
      <c r="AB155" s="346"/>
      <c r="AC155" s="346"/>
      <c r="AR155" s="346"/>
      <c r="AS155" s="346"/>
      <c r="AT155" s="346"/>
      <c r="AU155" s="346"/>
      <c r="AV155" s="346"/>
      <c r="AW155" s="346"/>
      <c r="AX155" s="346"/>
      <c r="AY155" s="346"/>
      <c r="BO155" s="346"/>
      <c r="BP155" s="346"/>
      <c r="BQ155" s="346"/>
      <c r="BR155" s="346"/>
    </row>
    <row r="156" spans="24:70">
      <c r="X156" s="346"/>
      <c r="Y156" s="346"/>
      <c r="Z156" s="346"/>
      <c r="AA156" s="346"/>
      <c r="AB156" s="346"/>
      <c r="AC156" s="346"/>
      <c r="AR156" s="346"/>
      <c r="AS156" s="346"/>
      <c r="AT156" s="346"/>
      <c r="AU156" s="346"/>
      <c r="AV156" s="346"/>
      <c r="AW156" s="346"/>
      <c r="AX156" s="346"/>
      <c r="AY156" s="346"/>
      <c r="BO156" s="346"/>
      <c r="BP156" s="346"/>
      <c r="BQ156" s="346"/>
      <c r="BR156" s="346"/>
    </row>
    <row r="157" spans="24:70">
      <c r="X157" s="346"/>
      <c r="Y157" s="346"/>
      <c r="Z157" s="346"/>
      <c r="AA157" s="346"/>
      <c r="AB157" s="346"/>
      <c r="AC157" s="346"/>
      <c r="AR157" s="346"/>
      <c r="AS157" s="346"/>
      <c r="AT157" s="346"/>
      <c r="AU157" s="346"/>
      <c r="AV157" s="346"/>
      <c r="AW157" s="346"/>
      <c r="AX157" s="346"/>
      <c r="AY157" s="346"/>
      <c r="BO157" s="346"/>
      <c r="BP157" s="346"/>
      <c r="BQ157" s="346"/>
      <c r="BR157" s="346"/>
    </row>
    <row r="158" spans="24:70">
      <c r="X158" s="346"/>
      <c r="Y158" s="346"/>
      <c r="Z158" s="346"/>
      <c r="AA158" s="346"/>
      <c r="AB158" s="346"/>
      <c r="AC158" s="346"/>
      <c r="AR158" s="346"/>
      <c r="AS158" s="346"/>
      <c r="AT158" s="346"/>
      <c r="AU158" s="346"/>
      <c r="AV158" s="346"/>
      <c r="AW158" s="346"/>
      <c r="AX158" s="346"/>
      <c r="AY158" s="346"/>
      <c r="BO158" s="346"/>
      <c r="BP158" s="346"/>
      <c r="BQ158" s="346"/>
      <c r="BR158" s="346"/>
    </row>
    <row r="159" spans="24:70">
      <c r="X159" s="346"/>
      <c r="Y159" s="346"/>
      <c r="Z159" s="346"/>
      <c r="AA159" s="346"/>
      <c r="AB159" s="346"/>
      <c r="AC159" s="346"/>
      <c r="AR159" s="346"/>
      <c r="AS159" s="346"/>
      <c r="AT159" s="346"/>
      <c r="AU159" s="346"/>
      <c r="AV159" s="346"/>
      <c r="AW159" s="346"/>
      <c r="AX159" s="346"/>
      <c r="AY159" s="346"/>
      <c r="BO159" s="346"/>
      <c r="BP159" s="346"/>
      <c r="BQ159" s="346"/>
      <c r="BR159" s="346"/>
    </row>
    <row r="160" spans="24:70">
      <c r="BO160" s="346"/>
      <c r="BP160" s="346"/>
      <c r="BQ160" s="346"/>
      <c r="BR160" s="346"/>
    </row>
  </sheetData>
  <mergeCells count="27">
    <mergeCell ref="B72:B78"/>
    <mergeCell ref="B79:B90"/>
    <mergeCell ref="C70:F70"/>
    <mergeCell ref="C48:D48"/>
    <mergeCell ref="C49:D49"/>
    <mergeCell ref="C54:D54"/>
    <mergeCell ref="E65:F65"/>
    <mergeCell ref="C55:D55"/>
    <mergeCell ref="B57:D57"/>
    <mergeCell ref="B58:D58"/>
    <mergeCell ref="E58:F58"/>
    <mergeCell ref="B60:D60"/>
    <mergeCell ref="E64:F64"/>
    <mergeCell ref="C53:D53"/>
    <mergeCell ref="C52:D52"/>
    <mergeCell ref="G7:G9"/>
    <mergeCell ref="G13:G17"/>
    <mergeCell ref="G21:G23"/>
    <mergeCell ref="G27:G30"/>
    <mergeCell ref="G34:G36"/>
    <mergeCell ref="I70:I71"/>
    <mergeCell ref="J70:J71"/>
    <mergeCell ref="B43:D43"/>
    <mergeCell ref="B44:D44"/>
    <mergeCell ref="C47:D47"/>
    <mergeCell ref="C50:D50"/>
    <mergeCell ref="C51:D5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customProperties>
    <customPr name="GUID" r:id="rId1"/>
  </customPropertie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AC2735FA-E1C2-420C-A70F-D16205D5250C}">
          <x14:formula1>
            <xm:f>Rating_Ref!$A$4:$A$9</xm:f>
          </x14:formula1>
          <xm:sqref>C7</xm:sqref>
        </x14:dataValidation>
        <x14:dataValidation type="list" allowBlank="1" showInputMessage="1" showErrorMessage="1" xr:uid="{09E5CED7-82E6-4B66-BBC7-55C6CF55F584}">
          <x14:formula1>
            <xm:f>Rating_Ref!$A$12:$A$18</xm:f>
          </x14:formula1>
          <xm:sqref>C8</xm:sqref>
        </x14:dataValidation>
        <x14:dataValidation type="list" allowBlank="1" showInputMessage="1" showErrorMessage="1" xr:uid="{DC01CE0F-541B-493E-BF26-D9A569F98492}">
          <x14:formula1>
            <xm:f>Rating_Ref!$A$21:$A$25</xm:f>
          </x14:formula1>
          <xm:sqref>C9</xm:sqref>
        </x14:dataValidation>
        <x14:dataValidation type="list" allowBlank="1" showInputMessage="1" showErrorMessage="1" xr:uid="{992B760A-66F2-43C4-B6A4-0B3015D23A41}">
          <x14:formula1>
            <xm:f>Rating_Ref!$A$28:$A$32</xm:f>
          </x14:formula1>
          <xm:sqref>C13</xm:sqref>
        </x14:dataValidation>
        <x14:dataValidation type="list" allowBlank="1" showInputMessage="1" showErrorMessage="1" xr:uid="{B4D82204-815B-4011-9EE4-C3BED07AED7E}">
          <x14:formula1>
            <xm:f>Rating_Ref!$A$35:$A$39</xm:f>
          </x14:formula1>
          <xm:sqref>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2A59-CBFE-4F1A-A17F-A0BB68403715}">
  <sheetPr>
    <tabColor rgb="FF92D050"/>
  </sheetPr>
  <dimension ref="A3:X117"/>
  <sheetViews>
    <sheetView workbookViewId="0"/>
  </sheetViews>
  <sheetFormatPr defaultRowHeight="15"/>
  <cols>
    <col min="1" max="1" width="24" style="3" customWidth="1"/>
    <col min="2" max="4" width="9.140625" style="3" customWidth="1"/>
    <col min="5" max="5" width="27.7109375" style="3" bestFit="1" customWidth="1"/>
    <col min="6" max="8" width="9.140625" style="3" customWidth="1"/>
    <col min="9" max="9" width="19.140625" style="3" customWidth="1"/>
    <col min="10" max="12" width="9.140625" style="3" customWidth="1"/>
    <col min="13" max="13" width="24.28515625" style="3" bestFit="1" customWidth="1"/>
    <col min="14" max="22" width="9.140625" style="3" customWidth="1"/>
    <col min="23" max="23" width="16.85546875" style="3" bestFit="1" customWidth="1"/>
    <col min="24" max="24" width="11" style="3" bestFit="1" customWidth="1"/>
    <col min="25" max="25" width="9.140625" style="3" customWidth="1"/>
    <col min="26" max="16384" width="9.140625" style="3"/>
  </cols>
  <sheetData>
    <row r="3" spans="1:24">
      <c r="A3" s="1" t="s">
        <v>189</v>
      </c>
      <c r="B3" s="2" t="s">
        <v>267</v>
      </c>
      <c r="E3" s="4" t="s">
        <v>128</v>
      </c>
      <c r="I3" s="4" t="s">
        <v>201</v>
      </c>
      <c r="M3" s="4" t="s">
        <v>268</v>
      </c>
      <c r="W3" s="5" t="s">
        <v>269</v>
      </c>
      <c r="X3" s="5" t="s">
        <v>270</v>
      </c>
    </row>
    <row r="4" spans="1:24">
      <c r="A4" s="6" t="s">
        <v>271</v>
      </c>
      <c r="B4" s="6">
        <v>20</v>
      </c>
      <c r="E4" s="5" t="s">
        <v>272</v>
      </c>
      <c r="F4" s="2" t="s">
        <v>267</v>
      </c>
      <c r="I4" s="5" t="s">
        <v>202</v>
      </c>
      <c r="J4" s="2" t="s">
        <v>267</v>
      </c>
      <c r="M4" s="5" t="s">
        <v>273</v>
      </c>
      <c r="N4" s="2" t="s">
        <v>267</v>
      </c>
      <c r="Q4" s="5" t="s">
        <v>231</v>
      </c>
      <c r="T4" s="5" t="s">
        <v>274</v>
      </c>
      <c r="W4" s="6">
        <v>86</v>
      </c>
      <c r="X4" s="6">
        <v>0.05</v>
      </c>
    </row>
    <row r="5" spans="1:24">
      <c r="A5" s="7" t="s">
        <v>275</v>
      </c>
      <c r="B5" s="6">
        <v>16.2</v>
      </c>
      <c r="E5" s="8">
        <v>0</v>
      </c>
      <c r="F5" s="6">
        <v>1</v>
      </c>
      <c r="I5" s="9">
        <v>0</v>
      </c>
      <c r="J5" s="6">
        <v>20</v>
      </c>
      <c r="M5" s="10">
        <v>0</v>
      </c>
      <c r="N5" s="6">
        <v>20</v>
      </c>
      <c r="Q5" s="11">
        <v>1.5</v>
      </c>
      <c r="R5" s="11" t="s">
        <v>238</v>
      </c>
      <c r="T5" s="6">
        <v>0</v>
      </c>
      <c r="U5" s="6">
        <v>0</v>
      </c>
      <c r="W5" s="6">
        <v>51</v>
      </c>
      <c r="X5" s="6">
        <v>0.1</v>
      </c>
    </row>
    <row r="6" spans="1:24">
      <c r="A6" s="7" t="s">
        <v>276</v>
      </c>
      <c r="B6" s="6">
        <v>12.4</v>
      </c>
      <c r="E6" s="9">
        <v>0.2</v>
      </c>
      <c r="F6" s="6">
        <v>3</v>
      </c>
      <c r="I6" s="9">
        <v>0.03</v>
      </c>
      <c r="J6" s="6">
        <v>16.2</v>
      </c>
      <c r="M6" s="10">
        <v>2.5000000000000001E-2</v>
      </c>
      <c r="N6" s="12">
        <f t="shared" ref="N6:N13" si="0">(N5)-20/9</f>
        <v>17.777777777777779</v>
      </c>
      <c r="Q6" s="11">
        <v>2.5</v>
      </c>
      <c r="R6" s="11" t="s">
        <v>241</v>
      </c>
      <c r="T6" s="6">
        <v>-5</v>
      </c>
      <c r="U6" s="6">
        <v>5</v>
      </c>
      <c r="W6" s="6">
        <v>11</v>
      </c>
      <c r="X6" s="6">
        <v>0.15</v>
      </c>
    </row>
    <row r="7" spans="1:24">
      <c r="A7" s="7" t="s">
        <v>277</v>
      </c>
      <c r="B7" s="6">
        <v>8.6</v>
      </c>
      <c r="E7" s="9">
        <v>0.3</v>
      </c>
      <c r="F7" s="6">
        <v>5</v>
      </c>
      <c r="I7" s="9">
        <v>0.06</v>
      </c>
      <c r="J7" s="6">
        <v>12.4</v>
      </c>
      <c r="M7" s="10">
        <v>0.05</v>
      </c>
      <c r="N7" s="12">
        <f t="shared" si="0"/>
        <v>15.555555555555557</v>
      </c>
      <c r="Q7" s="11">
        <v>3.5</v>
      </c>
      <c r="R7" s="11" t="s">
        <v>243</v>
      </c>
      <c r="T7" s="6">
        <v>-4</v>
      </c>
      <c r="U7" s="6">
        <v>4</v>
      </c>
      <c r="W7" s="6">
        <v>1</v>
      </c>
      <c r="X7" s="6">
        <v>0.9</v>
      </c>
    </row>
    <row r="8" spans="1:24">
      <c r="A8" s="7" t="s">
        <v>190</v>
      </c>
      <c r="B8" s="6">
        <v>4.8</v>
      </c>
      <c r="E8" s="8">
        <v>0.35</v>
      </c>
      <c r="F8" s="6">
        <v>7</v>
      </c>
      <c r="I8" s="9">
        <v>0.1</v>
      </c>
      <c r="J8" s="6">
        <v>8.6</v>
      </c>
      <c r="M8" s="10">
        <v>7.4999999999999997E-2</v>
      </c>
      <c r="N8" s="12">
        <f t="shared" si="0"/>
        <v>13.333333333333336</v>
      </c>
      <c r="Q8" s="11">
        <v>4.5</v>
      </c>
      <c r="R8" s="11" t="s">
        <v>244</v>
      </c>
      <c r="T8" s="6">
        <v>-3</v>
      </c>
      <c r="U8" s="6">
        <v>3</v>
      </c>
    </row>
    <row r="9" spans="1:24">
      <c r="A9" s="7" t="s">
        <v>278</v>
      </c>
      <c r="B9" s="6">
        <v>1</v>
      </c>
      <c r="E9" s="8">
        <v>0.4</v>
      </c>
      <c r="F9" s="6">
        <v>9</v>
      </c>
      <c r="I9" s="9">
        <v>0.18</v>
      </c>
      <c r="J9" s="6">
        <v>4.8</v>
      </c>
      <c r="M9" s="10">
        <v>0.1</v>
      </c>
      <c r="N9" s="12">
        <f t="shared" si="0"/>
        <v>11.111111111111114</v>
      </c>
      <c r="Q9" s="11">
        <v>5.5</v>
      </c>
      <c r="R9" s="11" t="s">
        <v>245</v>
      </c>
      <c r="T9" s="6">
        <v>-2</v>
      </c>
      <c r="U9" s="6">
        <v>2</v>
      </c>
      <c r="W9" s="5" t="s">
        <v>270</v>
      </c>
      <c r="X9" s="5" t="s">
        <v>279</v>
      </c>
    </row>
    <row r="10" spans="1:24">
      <c r="A10" s="13" t="s">
        <v>280</v>
      </c>
      <c r="E10" s="9">
        <v>0.45</v>
      </c>
      <c r="F10" s="6">
        <v>11</v>
      </c>
      <c r="I10" s="9">
        <v>0.25</v>
      </c>
      <c r="J10" s="6">
        <v>1</v>
      </c>
      <c r="M10" s="10">
        <v>0.12</v>
      </c>
      <c r="N10" s="12">
        <f t="shared" si="0"/>
        <v>8.8888888888888928</v>
      </c>
      <c r="Q10" s="11">
        <v>6.5</v>
      </c>
      <c r="R10" s="11" t="s">
        <v>247</v>
      </c>
      <c r="T10" s="6">
        <v>-1</v>
      </c>
      <c r="U10" s="6">
        <v>1</v>
      </c>
      <c r="W10" s="6">
        <v>0.05</v>
      </c>
      <c r="X10" s="6">
        <v>0.15</v>
      </c>
    </row>
    <row r="11" spans="1:24">
      <c r="A11" s="5" t="s">
        <v>191</v>
      </c>
      <c r="B11" s="2" t="s">
        <v>267</v>
      </c>
      <c r="E11" s="9">
        <v>0.5</v>
      </c>
      <c r="F11" s="6">
        <v>13</v>
      </c>
      <c r="M11" s="10">
        <v>0.15</v>
      </c>
      <c r="N11" s="12">
        <f t="shared" si="0"/>
        <v>6.6666666666666705</v>
      </c>
      <c r="Q11" s="11">
        <v>7.5</v>
      </c>
      <c r="R11" s="11" t="s">
        <v>248</v>
      </c>
      <c r="T11" s="6">
        <v>1</v>
      </c>
      <c r="U11" s="6">
        <v>-1</v>
      </c>
      <c r="W11" s="6">
        <v>0.1</v>
      </c>
      <c r="X11" s="6">
        <v>0.1</v>
      </c>
    </row>
    <row r="12" spans="1:24">
      <c r="A12" s="7" t="s">
        <v>281</v>
      </c>
      <c r="B12" s="6">
        <v>1</v>
      </c>
      <c r="E12" s="8">
        <v>0.55000000000000004</v>
      </c>
      <c r="F12" s="6">
        <v>15</v>
      </c>
      <c r="I12" s="5" t="s">
        <v>282</v>
      </c>
      <c r="J12" s="2" t="s">
        <v>267</v>
      </c>
      <c r="M12" s="10">
        <v>0.22500000000000001</v>
      </c>
      <c r="N12" s="12">
        <f t="shared" si="0"/>
        <v>4.4444444444444482</v>
      </c>
      <c r="Q12" s="11">
        <v>8.5</v>
      </c>
      <c r="R12" s="11" t="s">
        <v>250</v>
      </c>
      <c r="T12" s="6">
        <v>2</v>
      </c>
      <c r="U12" s="6">
        <v>-2</v>
      </c>
      <c r="W12" s="6">
        <v>0.15</v>
      </c>
      <c r="X12" s="6">
        <v>7.4999999999999997E-2</v>
      </c>
    </row>
    <row r="13" spans="1:24">
      <c r="A13" s="7" t="s">
        <v>283</v>
      </c>
      <c r="B13" s="6">
        <v>4.2</v>
      </c>
      <c r="E13" s="9">
        <v>0.6</v>
      </c>
      <c r="F13" s="6">
        <v>17</v>
      </c>
      <c r="I13" s="14">
        <v>0</v>
      </c>
      <c r="J13" s="6">
        <v>20</v>
      </c>
      <c r="M13" s="10">
        <v>0.25</v>
      </c>
      <c r="N13" s="12">
        <f t="shared" si="0"/>
        <v>2.2222222222222259</v>
      </c>
      <c r="Q13" s="11">
        <v>9.5</v>
      </c>
      <c r="R13" s="11" t="s">
        <v>252</v>
      </c>
      <c r="T13" s="6">
        <v>3</v>
      </c>
      <c r="U13" s="6">
        <v>-3</v>
      </c>
      <c r="W13" s="6">
        <v>0.2</v>
      </c>
      <c r="X13" s="6">
        <v>0.05</v>
      </c>
    </row>
    <row r="14" spans="1:24">
      <c r="A14" s="7" t="s">
        <v>284</v>
      </c>
      <c r="B14" s="6">
        <v>7.3</v>
      </c>
      <c r="E14" s="9">
        <v>0.7</v>
      </c>
      <c r="F14" s="6">
        <v>20</v>
      </c>
      <c r="I14" s="14">
        <v>1.5</v>
      </c>
      <c r="J14" s="14">
        <v>16.8</v>
      </c>
      <c r="M14" s="10">
        <v>0.3</v>
      </c>
      <c r="N14" s="6">
        <v>1</v>
      </c>
      <c r="Q14" s="11">
        <v>10.5</v>
      </c>
      <c r="R14" s="11" t="s">
        <v>253</v>
      </c>
      <c r="T14" s="6">
        <v>4</v>
      </c>
      <c r="U14" s="6">
        <v>-4</v>
      </c>
      <c r="W14" s="6">
        <v>0.3</v>
      </c>
      <c r="X14" s="6">
        <v>0.01</v>
      </c>
    </row>
    <row r="15" spans="1:24">
      <c r="A15" s="7" t="s">
        <v>285</v>
      </c>
      <c r="B15" s="6">
        <v>10.5</v>
      </c>
      <c r="I15" s="14">
        <v>2.5</v>
      </c>
      <c r="J15" s="14">
        <v>13.7</v>
      </c>
      <c r="Q15" s="11">
        <v>11.5</v>
      </c>
      <c r="R15" s="11" t="s">
        <v>254</v>
      </c>
      <c r="T15" s="6">
        <v>5</v>
      </c>
      <c r="U15" s="6">
        <v>-5</v>
      </c>
    </row>
    <row r="16" spans="1:24">
      <c r="A16" s="7" t="s">
        <v>192</v>
      </c>
      <c r="B16" s="6">
        <v>13.7</v>
      </c>
      <c r="E16" s="5" t="s">
        <v>200</v>
      </c>
      <c r="F16" s="2" t="s">
        <v>267</v>
      </c>
      <c r="I16" s="14">
        <v>4</v>
      </c>
      <c r="J16" s="14">
        <v>10.5</v>
      </c>
      <c r="Q16" s="11">
        <v>12.5</v>
      </c>
      <c r="R16" s="11" t="s">
        <v>257</v>
      </c>
    </row>
    <row r="17" spans="1:18">
      <c r="A17" s="7" t="s">
        <v>286</v>
      </c>
      <c r="B17" s="6">
        <v>16.8</v>
      </c>
      <c r="E17" s="15">
        <v>0</v>
      </c>
      <c r="F17" s="16">
        <v>20</v>
      </c>
      <c r="I17" s="14">
        <v>6.5</v>
      </c>
      <c r="J17" s="14">
        <v>7.3</v>
      </c>
      <c r="M17" s="5" t="s">
        <v>287</v>
      </c>
      <c r="N17" s="2" t="s">
        <v>267</v>
      </c>
      <c r="Q17" s="11">
        <v>13.5</v>
      </c>
      <c r="R17" s="11" t="s">
        <v>258</v>
      </c>
    </row>
    <row r="18" spans="1:18">
      <c r="A18" s="7" t="s">
        <v>288</v>
      </c>
      <c r="B18" s="6">
        <v>20</v>
      </c>
      <c r="E18" s="15">
        <v>0.05</v>
      </c>
      <c r="F18" s="16">
        <v>18</v>
      </c>
      <c r="I18" s="14">
        <v>9</v>
      </c>
      <c r="J18" s="14">
        <v>4.2</v>
      </c>
      <c r="M18" s="9">
        <v>0</v>
      </c>
      <c r="N18" s="6">
        <v>20</v>
      </c>
      <c r="Q18" s="11">
        <v>14.5</v>
      </c>
      <c r="R18" s="11" t="s">
        <v>259</v>
      </c>
    </row>
    <row r="19" spans="1:18">
      <c r="A19" s="13"/>
      <c r="E19" s="15">
        <v>0.15</v>
      </c>
      <c r="F19" s="16">
        <v>16</v>
      </c>
      <c r="I19" s="14">
        <v>12</v>
      </c>
      <c r="J19" s="14">
        <v>1</v>
      </c>
      <c r="M19" s="17">
        <v>2.5000000000000001E-2</v>
      </c>
      <c r="N19" s="6">
        <v>16.8</v>
      </c>
      <c r="Q19" s="11">
        <v>15.5</v>
      </c>
      <c r="R19" s="11" t="s">
        <v>261</v>
      </c>
    </row>
    <row r="20" spans="1:18">
      <c r="A20" s="1" t="s">
        <v>193</v>
      </c>
      <c r="B20" s="2" t="s">
        <v>267</v>
      </c>
      <c r="E20" s="15">
        <v>0.25</v>
      </c>
      <c r="F20" s="16">
        <v>14</v>
      </c>
      <c r="M20" s="9">
        <v>0.05</v>
      </c>
      <c r="N20" s="6">
        <v>13.7</v>
      </c>
      <c r="Q20" s="11">
        <v>16.5</v>
      </c>
      <c r="R20" s="11" t="s">
        <v>262</v>
      </c>
    </row>
    <row r="21" spans="1:18">
      <c r="A21" s="7" t="s">
        <v>289</v>
      </c>
      <c r="B21" s="6">
        <v>1</v>
      </c>
      <c r="E21" s="15">
        <v>0.35</v>
      </c>
      <c r="F21" s="16">
        <v>12</v>
      </c>
      <c r="I21" s="5" t="s">
        <v>138</v>
      </c>
      <c r="J21" s="2" t="s">
        <v>267</v>
      </c>
      <c r="M21" s="9">
        <v>0.1</v>
      </c>
      <c r="N21" s="6">
        <v>10.5</v>
      </c>
      <c r="Q21" s="11">
        <v>17.5</v>
      </c>
      <c r="R21" s="11" t="s">
        <v>263</v>
      </c>
    </row>
    <row r="22" spans="1:18">
      <c r="A22" s="7" t="s">
        <v>290</v>
      </c>
      <c r="B22" s="6">
        <v>5.8</v>
      </c>
      <c r="E22" s="15">
        <v>0.5</v>
      </c>
      <c r="F22" s="16">
        <v>10</v>
      </c>
      <c r="I22" s="14">
        <v>0</v>
      </c>
      <c r="J22" s="6">
        <v>1</v>
      </c>
      <c r="M22" s="9">
        <v>0.15</v>
      </c>
      <c r="N22" s="6">
        <v>7.3</v>
      </c>
      <c r="Q22" s="11">
        <v>18.5</v>
      </c>
      <c r="R22" s="11" t="s">
        <v>265</v>
      </c>
    </row>
    <row r="23" spans="1:18">
      <c r="A23" s="7" t="s">
        <v>194</v>
      </c>
      <c r="B23" s="6">
        <v>10.5</v>
      </c>
      <c r="E23" s="15">
        <v>0.6</v>
      </c>
      <c r="F23" s="16">
        <v>8</v>
      </c>
      <c r="I23" s="14">
        <v>0.5</v>
      </c>
      <c r="J23" s="6">
        <v>3.7</v>
      </c>
      <c r="M23" s="9">
        <v>0.2</v>
      </c>
      <c r="N23" s="6">
        <v>4.2</v>
      </c>
      <c r="Q23" s="11">
        <v>19.5</v>
      </c>
      <c r="R23" s="11" t="s">
        <v>266</v>
      </c>
    </row>
    <row r="24" spans="1:18">
      <c r="A24" s="7" t="s">
        <v>291</v>
      </c>
      <c r="B24" s="6">
        <v>15.3</v>
      </c>
      <c r="E24" s="15">
        <v>0.7</v>
      </c>
      <c r="F24" s="16">
        <v>6</v>
      </c>
      <c r="I24" s="14">
        <v>1</v>
      </c>
      <c r="J24" s="6">
        <v>6.4</v>
      </c>
      <c r="M24" s="9">
        <v>0.25</v>
      </c>
      <c r="N24" s="6">
        <v>1</v>
      </c>
    </row>
    <row r="25" spans="1:18">
      <c r="A25" s="7" t="s">
        <v>292</v>
      </c>
      <c r="B25" s="6">
        <v>20</v>
      </c>
      <c r="E25" s="15">
        <v>0.8</v>
      </c>
      <c r="F25" s="16">
        <v>4</v>
      </c>
      <c r="I25" s="14">
        <v>2</v>
      </c>
      <c r="J25" s="6">
        <v>9.1</v>
      </c>
    </row>
    <row r="26" spans="1:18">
      <c r="A26" s="13"/>
      <c r="E26" s="15">
        <v>1</v>
      </c>
      <c r="F26" s="16">
        <v>1</v>
      </c>
      <c r="I26" s="14">
        <v>3</v>
      </c>
      <c r="J26" s="6">
        <v>11.9</v>
      </c>
      <c r="M26" s="5" t="s">
        <v>164</v>
      </c>
      <c r="N26" s="2" t="s">
        <v>267</v>
      </c>
    </row>
    <row r="27" spans="1:18">
      <c r="A27" s="5" t="s">
        <v>293</v>
      </c>
      <c r="B27" s="2" t="s">
        <v>267</v>
      </c>
      <c r="I27" s="14">
        <v>4</v>
      </c>
      <c r="J27" s="6">
        <v>14.6</v>
      </c>
      <c r="M27" s="9">
        <v>-0.15</v>
      </c>
      <c r="N27" s="18">
        <v>20</v>
      </c>
    </row>
    <row r="28" spans="1:18">
      <c r="A28" s="7" t="s">
        <v>289</v>
      </c>
      <c r="B28" s="6">
        <v>1</v>
      </c>
      <c r="I28" s="14">
        <v>6</v>
      </c>
      <c r="J28" s="6">
        <v>17.3</v>
      </c>
      <c r="M28" s="9">
        <v>-0.1</v>
      </c>
      <c r="N28" s="18">
        <v>18</v>
      </c>
    </row>
    <row r="29" spans="1:18">
      <c r="A29" s="7" t="s">
        <v>197</v>
      </c>
      <c r="B29" s="6">
        <v>5.8</v>
      </c>
      <c r="E29" s="5" t="s">
        <v>136</v>
      </c>
      <c r="F29" s="2" t="s">
        <v>267</v>
      </c>
      <c r="I29" s="14">
        <v>8</v>
      </c>
      <c r="J29" s="6">
        <v>20</v>
      </c>
      <c r="M29" s="9">
        <v>0</v>
      </c>
      <c r="N29" s="18">
        <v>16</v>
      </c>
    </row>
    <row r="30" spans="1:18">
      <c r="A30" s="7" t="s">
        <v>194</v>
      </c>
      <c r="B30" s="6">
        <v>10.5</v>
      </c>
      <c r="E30" s="9">
        <v>0</v>
      </c>
      <c r="F30" s="16">
        <v>20</v>
      </c>
      <c r="M30" s="17">
        <v>2.5000000000000001E-2</v>
      </c>
      <c r="N30" s="18">
        <v>14</v>
      </c>
    </row>
    <row r="31" spans="1:18">
      <c r="A31" s="7" t="s">
        <v>294</v>
      </c>
      <c r="B31" s="6">
        <v>15.3</v>
      </c>
      <c r="E31" s="9">
        <v>0.05</v>
      </c>
      <c r="F31" s="16">
        <v>17.3</v>
      </c>
      <c r="I31" s="5" t="s">
        <v>295</v>
      </c>
      <c r="J31" s="2" t="s">
        <v>267</v>
      </c>
      <c r="M31" s="9">
        <v>0.05</v>
      </c>
      <c r="N31" s="18">
        <v>12</v>
      </c>
    </row>
    <row r="32" spans="1:18">
      <c r="A32" s="7" t="s">
        <v>296</v>
      </c>
      <c r="B32" s="6">
        <v>20</v>
      </c>
      <c r="E32" s="9">
        <v>0.1</v>
      </c>
      <c r="F32" s="16">
        <v>14.6</v>
      </c>
      <c r="I32" s="9">
        <v>0</v>
      </c>
      <c r="J32" s="6">
        <v>20</v>
      </c>
      <c r="M32" s="9">
        <v>0.1</v>
      </c>
      <c r="N32" s="18">
        <v>10</v>
      </c>
    </row>
    <row r="33" spans="1:14">
      <c r="A33" s="13"/>
      <c r="E33" s="9">
        <v>0.2</v>
      </c>
      <c r="F33" s="16">
        <v>11.9</v>
      </c>
      <c r="I33" s="9">
        <v>0.02</v>
      </c>
      <c r="J33" s="6">
        <v>17.3</v>
      </c>
      <c r="M33" s="9">
        <v>0.15</v>
      </c>
      <c r="N33" s="18">
        <v>8</v>
      </c>
    </row>
    <row r="34" spans="1:14">
      <c r="A34" s="5" t="s">
        <v>198</v>
      </c>
      <c r="E34" s="9">
        <v>0.3</v>
      </c>
      <c r="F34" s="16">
        <v>9.1</v>
      </c>
      <c r="I34" s="9">
        <v>0.06</v>
      </c>
      <c r="J34" s="6">
        <v>14.6</v>
      </c>
      <c r="M34" s="9">
        <v>0.2</v>
      </c>
      <c r="N34" s="18">
        <v>6</v>
      </c>
    </row>
    <row r="35" spans="1:14">
      <c r="A35" s="7" t="s">
        <v>289</v>
      </c>
      <c r="B35" s="6">
        <v>1</v>
      </c>
      <c r="E35" s="9">
        <v>0.4</v>
      </c>
      <c r="F35" s="16">
        <v>6.4</v>
      </c>
      <c r="I35" s="9">
        <v>0.15</v>
      </c>
      <c r="J35" s="6">
        <v>11.9</v>
      </c>
      <c r="M35" s="9">
        <v>0.25</v>
      </c>
      <c r="N35" s="18">
        <f>N34-2</f>
        <v>4</v>
      </c>
    </row>
    <row r="36" spans="1:14">
      <c r="A36" s="7" t="s">
        <v>197</v>
      </c>
      <c r="B36" s="6">
        <v>5.8</v>
      </c>
      <c r="E36" s="9">
        <v>0.7</v>
      </c>
      <c r="F36" s="16">
        <v>3.7</v>
      </c>
      <c r="I36" s="9">
        <v>0.25</v>
      </c>
      <c r="J36" s="6">
        <v>9.1</v>
      </c>
      <c r="M36" s="9">
        <v>0.3</v>
      </c>
      <c r="N36" s="18">
        <f>N35-2</f>
        <v>2</v>
      </c>
    </row>
    <row r="37" spans="1:14">
      <c r="A37" s="7" t="s">
        <v>194</v>
      </c>
      <c r="B37" s="6">
        <v>10.5</v>
      </c>
      <c r="E37" s="9">
        <v>1</v>
      </c>
      <c r="F37" s="16">
        <v>1</v>
      </c>
      <c r="I37" s="9">
        <v>0.4</v>
      </c>
      <c r="J37" s="6">
        <v>6.4</v>
      </c>
      <c r="M37" s="9">
        <v>0.35</v>
      </c>
      <c r="N37" s="18">
        <v>1</v>
      </c>
    </row>
    <row r="38" spans="1:14">
      <c r="A38" s="7" t="s">
        <v>297</v>
      </c>
      <c r="B38" s="6">
        <v>15.3</v>
      </c>
      <c r="I38" s="9">
        <v>0.7</v>
      </c>
      <c r="J38" s="6">
        <v>3.7</v>
      </c>
    </row>
    <row r="39" spans="1:14">
      <c r="A39" s="7" t="s">
        <v>298</v>
      </c>
      <c r="B39" s="6">
        <v>20</v>
      </c>
      <c r="I39" s="9">
        <v>1.2</v>
      </c>
      <c r="J39" s="6">
        <v>1</v>
      </c>
      <c r="M39" s="5" t="s">
        <v>127</v>
      </c>
      <c r="N39" s="2" t="s">
        <v>267</v>
      </c>
    </row>
    <row r="40" spans="1:14">
      <c r="A40" s="13"/>
      <c r="M40" s="9">
        <v>-0.15</v>
      </c>
      <c r="N40" s="6">
        <v>20</v>
      </c>
    </row>
    <row r="41" spans="1:14">
      <c r="A41" s="5" t="s">
        <v>209</v>
      </c>
      <c r="I41" s="5" t="s">
        <v>161</v>
      </c>
      <c r="J41" s="2" t="s">
        <v>267</v>
      </c>
      <c r="M41" s="9">
        <v>-0.1</v>
      </c>
      <c r="N41" s="6">
        <v>18</v>
      </c>
    </row>
    <row r="42" spans="1:14">
      <c r="A42" s="7" t="s">
        <v>299</v>
      </c>
      <c r="B42" s="6">
        <v>1</v>
      </c>
      <c r="I42" s="9">
        <v>0</v>
      </c>
      <c r="J42" s="6">
        <v>1</v>
      </c>
      <c r="M42" s="9">
        <v>0</v>
      </c>
      <c r="N42" s="6">
        <v>16</v>
      </c>
    </row>
    <row r="43" spans="1:14">
      <c r="A43" s="7" t="s">
        <v>197</v>
      </c>
      <c r="B43" s="6">
        <v>6</v>
      </c>
      <c r="I43" s="9">
        <v>0.02</v>
      </c>
      <c r="J43" s="6">
        <v>3.7</v>
      </c>
      <c r="M43" s="17">
        <v>2.5000000000000001E-2</v>
      </c>
      <c r="N43" s="6">
        <v>14</v>
      </c>
    </row>
    <row r="44" spans="1:14">
      <c r="A44" s="7" t="s">
        <v>194</v>
      </c>
      <c r="B44" s="6">
        <v>11</v>
      </c>
      <c r="I44" s="9">
        <v>0.06</v>
      </c>
      <c r="J44" s="6">
        <v>6.4</v>
      </c>
      <c r="M44" s="9">
        <v>0.05</v>
      </c>
      <c r="N44" s="6">
        <v>12</v>
      </c>
    </row>
    <row r="45" spans="1:14">
      <c r="A45" s="7" t="s">
        <v>300</v>
      </c>
      <c r="B45" s="6">
        <v>16</v>
      </c>
      <c r="I45" s="9">
        <v>0.15</v>
      </c>
      <c r="J45" s="6">
        <v>9.1</v>
      </c>
      <c r="M45" s="9">
        <v>0.1</v>
      </c>
      <c r="N45" s="6">
        <v>10</v>
      </c>
    </row>
    <row r="46" spans="1:14">
      <c r="A46" s="7" t="s">
        <v>301</v>
      </c>
      <c r="B46" s="6">
        <v>20</v>
      </c>
      <c r="I46" s="9">
        <v>0.25</v>
      </c>
      <c r="J46" s="6">
        <v>11.9</v>
      </c>
      <c r="M46" s="8">
        <v>0.12</v>
      </c>
      <c r="N46" s="6">
        <v>8</v>
      </c>
    </row>
    <row r="47" spans="1:14">
      <c r="I47" s="9">
        <v>0.4</v>
      </c>
      <c r="J47" s="6">
        <v>14.6</v>
      </c>
      <c r="M47" s="9">
        <v>0.15</v>
      </c>
      <c r="N47" s="6">
        <v>6</v>
      </c>
    </row>
    <row r="48" spans="1:14">
      <c r="I48" s="9">
        <v>0.7</v>
      </c>
      <c r="J48" s="6">
        <v>17.3</v>
      </c>
      <c r="M48" s="8">
        <v>0.18</v>
      </c>
      <c r="N48" s="6">
        <v>4</v>
      </c>
    </row>
    <row r="49" spans="9:14">
      <c r="I49" s="9">
        <v>1.2</v>
      </c>
      <c r="J49" s="6">
        <v>20</v>
      </c>
      <c r="M49" s="9">
        <v>0.2</v>
      </c>
      <c r="N49" s="6">
        <v>2</v>
      </c>
    </row>
    <row r="50" spans="9:14">
      <c r="M50" s="9">
        <v>0.25</v>
      </c>
      <c r="N50" s="6">
        <v>1</v>
      </c>
    </row>
    <row r="52" spans="9:14">
      <c r="M52" s="4" t="s">
        <v>153</v>
      </c>
    </row>
    <row r="53" spans="9:14">
      <c r="M53" s="5" t="s">
        <v>157</v>
      </c>
      <c r="N53" s="2" t="s">
        <v>267</v>
      </c>
    </row>
    <row r="54" spans="9:14">
      <c r="M54" s="8">
        <v>0</v>
      </c>
      <c r="N54" s="6">
        <v>20</v>
      </c>
    </row>
    <row r="55" spans="9:14">
      <c r="M55" s="9">
        <v>0.02</v>
      </c>
      <c r="N55" s="6">
        <f>N54-3.2</f>
        <v>16.8</v>
      </c>
    </row>
    <row r="56" spans="9:14">
      <c r="M56" s="9">
        <v>0.05</v>
      </c>
      <c r="N56" s="6">
        <f>N55-3.2</f>
        <v>13.600000000000001</v>
      </c>
    </row>
    <row r="57" spans="9:14">
      <c r="M57" s="9">
        <v>7.0000000000000007E-2</v>
      </c>
      <c r="N57" s="6">
        <f>N56-3.2</f>
        <v>10.400000000000002</v>
      </c>
    </row>
    <row r="58" spans="9:14">
      <c r="M58" s="9">
        <v>0.1</v>
      </c>
      <c r="N58" s="6">
        <f>N57-3.2</f>
        <v>7.200000000000002</v>
      </c>
    </row>
    <row r="59" spans="9:14">
      <c r="M59" s="9">
        <v>0.15</v>
      </c>
      <c r="N59" s="6">
        <f>N58-3.2</f>
        <v>4.0000000000000018</v>
      </c>
    </row>
    <row r="60" spans="9:14">
      <c r="M60" s="9">
        <v>0.2</v>
      </c>
      <c r="N60" s="6">
        <v>1</v>
      </c>
    </row>
    <row r="62" spans="9:14">
      <c r="M62" s="5" t="s">
        <v>155</v>
      </c>
      <c r="N62" s="2" t="s">
        <v>267</v>
      </c>
    </row>
    <row r="63" spans="9:14">
      <c r="M63" s="8">
        <v>0.1</v>
      </c>
      <c r="N63" s="6">
        <v>20</v>
      </c>
    </row>
    <row r="64" spans="9:14">
      <c r="M64" s="9">
        <v>0.3</v>
      </c>
      <c r="N64" s="6">
        <v>18</v>
      </c>
    </row>
    <row r="65" spans="13:14">
      <c r="M65" s="9">
        <v>0.5</v>
      </c>
      <c r="N65" s="6">
        <v>16</v>
      </c>
    </row>
    <row r="66" spans="13:14">
      <c r="M66" s="9">
        <v>0.7</v>
      </c>
      <c r="N66" s="6">
        <v>14</v>
      </c>
    </row>
    <row r="67" spans="13:14">
      <c r="M67" s="9">
        <v>0.9</v>
      </c>
      <c r="N67" s="6">
        <v>12</v>
      </c>
    </row>
    <row r="68" spans="13:14">
      <c r="M68" s="9">
        <v>1</v>
      </c>
      <c r="N68" s="6">
        <v>10</v>
      </c>
    </row>
    <row r="69" spans="13:14">
      <c r="M69" s="9">
        <v>1.2</v>
      </c>
      <c r="N69" s="6">
        <v>8</v>
      </c>
    </row>
    <row r="70" spans="13:14">
      <c r="M70" s="9">
        <v>1.5</v>
      </c>
      <c r="N70" s="6">
        <v>6</v>
      </c>
    </row>
    <row r="71" spans="13:14">
      <c r="M71" s="9">
        <v>1.8</v>
      </c>
      <c r="N71" s="6">
        <v>4</v>
      </c>
    </row>
    <row r="72" spans="13:14">
      <c r="M72" s="9">
        <v>2</v>
      </c>
      <c r="N72" s="6">
        <v>2</v>
      </c>
    </row>
    <row r="73" spans="13:14">
      <c r="M73" s="9">
        <v>2.1</v>
      </c>
      <c r="N73" s="6">
        <v>1</v>
      </c>
    </row>
    <row r="75" spans="13:14">
      <c r="M75" s="5" t="s">
        <v>204</v>
      </c>
      <c r="N75" s="2" t="s">
        <v>267</v>
      </c>
    </row>
    <row r="76" spans="13:14">
      <c r="M76" s="8">
        <v>0</v>
      </c>
      <c r="N76" s="6">
        <v>1</v>
      </c>
    </row>
    <row r="77" spans="13:14">
      <c r="M77" s="9">
        <v>0.2</v>
      </c>
      <c r="N77" s="6">
        <v>4.2</v>
      </c>
    </row>
    <row r="78" spans="13:14">
      <c r="M78" s="9">
        <v>0.3</v>
      </c>
      <c r="N78" s="6">
        <v>7.3</v>
      </c>
    </row>
    <row r="79" spans="13:14">
      <c r="M79" s="9">
        <v>0.4</v>
      </c>
      <c r="N79" s="6">
        <v>10.5</v>
      </c>
    </row>
    <row r="80" spans="13:14">
      <c r="M80" s="9">
        <v>0.5</v>
      </c>
      <c r="N80" s="6">
        <v>13.7</v>
      </c>
    </row>
    <row r="81" spans="13:14">
      <c r="M81" s="9">
        <v>0.75</v>
      </c>
      <c r="N81" s="6">
        <v>16.8</v>
      </c>
    </row>
    <row r="82" spans="13:14">
      <c r="M82" s="9">
        <v>0.85</v>
      </c>
      <c r="N82" s="6">
        <v>20</v>
      </c>
    </row>
    <row r="84" spans="13:14">
      <c r="M84" s="4" t="s">
        <v>159</v>
      </c>
    </row>
    <row r="85" spans="13:14">
      <c r="M85" s="5" t="s">
        <v>199</v>
      </c>
      <c r="N85" s="2" t="s">
        <v>267</v>
      </c>
    </row>
    <row r="86" spans="13:14">
      <c r="M86" s="8">
        <v>-0.01</v>
      </c>
      <c r="N86" s="6">
        <v>20</v>
      </c>
    </row>
    <row r="87" spans="13:14">
      <c r="M87" s="8">
        <v>0</v>
      </c>
      <c r="N87" s="6">
        <v>20</v>
      </c>
    </row>
    <row r="88" spans="13:14">
      <c r="M88" s="8">
        <v>0.3</v>
      </c>
      <c r="N88" s="6">
        <v>16.7</v>
      </c>
    </row>
    <row r="89" spans="13:14">
      <c r="M89" s="9">
        <v>0.5</v>
      </c>
      <c r="N89" s="6">
        <v>13.7</v>
      </c>
    </row>
    <row r="90" spans="13:14">
      <c r="M90" s="9">
        <v>0.8</v>
      </c>
      <c r="N90" s="6">
        <v>10.5</v>
      </c>
    </row>
    <row r="91" spans="13:14">
      <c r="M91" s="9">
        <v>1</v>
      </c>
      <c r="N91" s="6">
        <v>7.3</v>
      </c>
    </row>
    <row r="92" spans="13:14">
      <c r="M92" s="9">
        <v>1.2</v>
      </c>
      <c r="N92" s="6">
        <v>4.2</v>
      </c>
    </row>
    <row r="93" spans="13:14">
      <c r="M93" s="9">
        <v>1.5</v>
      </c>
      <c r="N93" s="6">
        <v>1</v>
      </c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customProperties>
    <customPr name="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B1EDC5C2E7D44BFC5166D608484DE" ma:contentTypeVersion="17" ma:contentTypeDescription="Create a new document." ma:contentTypeScope="" ma:versionID="145415e3e85e8d920b780aaac2f7bf9e">
  <xsd:schema xmlns:xsd="http://www.w3.org/2001/XMLSchema" xmlns:xs="http://www.w3.org/2001/XMLSchema" xmlns:p="http://schemas.microsoft.com/office/2006/metadata/properties" xmlns:ns2="91103353-345a-44bb-b162-a6e5f1dcad99" xmlns:ns3="abb1196e-aa4c-441a-8fa3-d04eed9069a5" targetNamespace="http://schemas.microsoft.com/office/2006/metadata/properties" ma:root="true" ma:fieldsID="d35c2a5b27dc9ba2617a41714cc3196d" ns2:_="" ns3:_="">
    <xsd:import namespace="91103353-345a-44bb-b162-a6e5f1dcad99"/>
    <xsd:import namespace="abb1196e-aa4c-441a-8fa3-d04eed906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03353-345a-44bb-b162-a6e5f1dca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3a2a1f7-382b-4147-b512-bbba2e6460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1196e-aa4c-441a-8fa3-d04eed906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6d00c4c-bb24-4dae-b22e-1f7b54803fe0}" ma:internalName="TaxCatchAll" ma:showField="CatchAllData" ma:web="abb1196e-aa4c-441a-8fa3-d04eed9069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b1196e-aa4c-441a-8fa3-d04eed9069a5" xsi:nil="true"/>
    <lcf76f155ced4ddcb4097134ff3c332f xmlns="91103353-345a-44bb-b162-a6e5f1dcad9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9DEE93-2CFE-4297-BCC4-EAE1F207142B}"/>
</file>

<file path=customXml/itemProps2.xml><?xml version="1.0" encoding="utf-8"?>
<ds:datastoreItem xmlns:ds="http://schemas.openxmlformats.org/officeDocument/2006/customXml" ds:itemID="{3EA7339B-6FAD-4DEE-BCB9-DA26F4C00737}"/>
</file>

<file path=customXml/itemProps3.xml><?xml version="1.0" encoding="utf-8"?>
<ds:datastoreItem xmlns:ds="http://schemas.openxmlformats.org/officeDocument/2006/customXml" ds:itemID="{7A836EE8-7617-4A01-8DD2-630D75C0EC42}"/>
</file>

<file path=docMetadata/LabelInfo.xml><?xml version="1.0" encoding="utf-8"?>
<clbl:labelList xmlns:clbl="http://schemas.microsoft.com/office/2020/mipLabelMetadata">
  <clbl:label id="{7acdd116-a279-4fbd-809b-10105d780b1f}" enabled="1" method="Standard" siteId="{e30c25ee-7400-479f-ae89-e5d36e23011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Bassel Chataoui</dc:creator>
  <cp:keywords/>
  <dc:description/>
  <cp:lastModifiedBy>Young Kim</cp:lastModifiedBy>
  <cp:revision/>
  <dcterms:created xsi:type="dcterms:W3CDTF">2022-10-31T08:24:00Z</dcterms:created>
  <dcterms:modified xsi:type="dcterms:W3CDTF">2025-06-02T16:56:47Z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0x010100209B1EDC5C2E7D44BFC5166D608484DE</vt:lpwstr>
  </property>
  <property fmtid="{D5CDD505-2E9C-101B-9397-08002B2CF9AE}" pid="3" name="MSIP_Label_0239e6b7-07c0-416e-b140-805bb5ab43b9_Enabled">
    <vt:lpwstr>true</vt:lpwstr>
  </property>
  <property fmtid="{D5CDD505-2E9C-101B-9397-08002B2CF9AE}" pid="4" name="MSIP_Label_0239e6b7-07c0-416e-b140-805bb5ab43b9_SetDate">
    <vt:lpwstr>2023-07-27T17:48:38Z</vt:lpwstr>
  </property>
  <property fmtid="{D5CDD505-2E9C-101B-9397-08002B2CF9AE}" pid="5" name="MSIP_Label_0239e6b7-07c0-416e-b140-805bb5ab43b9_Method">
    <vt:lpwstr>Standard</vt:lpwstr>
  </property>
  <property fmtid="{D5CDD505-2E9C-101B-9397-08002B2CF9AE}" pid="6" name="MSIP_Label_0239e6b7-07c0-416e-b140-805bb5ab43b9_Name">
    <vt:lpwstr>Public</vt:lpwstr>
  </property>
  <property fmtid="{D5CDD505-2E9C-101B-9397-08002B2CF9AE}" pid="7" name="MSIP_Label_0239e6b7-07c0-416e-b140-805bb5ab43b9_SiteId">
    <vt:lpwstr>e30c25ee-7400-479f-ae89-e5d36e23011b</vt:lpwstr>
  </property>
  <property fmtid="{D5CDD505-2E9C-101B-9397-08002B2CF9AE}" pid="8" name="MSIP_Label_0239e6b7-07c0-416e-b140-805bb5ab43b9_ActionId">
    <vt:lpwstr>15e0f57a-0c3b-4b72-8952-1b36ea2bff2a</vt:lpwstr>
  </property>
  <property fmtid="{D5CDD505-2E9C-101B-9397-08002B2CF9AE}" pid="9" name="MSIP_Label_0239e6b7-07c0-416e-b140-805bb5ab43b9_ContentBits">
    <vt:lpwstr>0</vt:lpwstr>
  </property>
  <property fmtid="{D5CDD505-2E9C-101B-9397-08002B2CF9AE}" pid="10" name="MediaServiceImageTags">
    <vt:lpwstr/>
  </property>
</Properties>
</file>