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95" windowHeight="12105"/>
  </bookViews>
  <sheets>
    <sheet name="GeneralSpec" sheetId="3" r:id="rId1"/>
    <sheet name="WingSpec" sheetId="4" r:id="rId2"/>
    <sheet name="Inertia_Bixer2" sheetId="1" r:id="rId3"/>
    <sheet name="Wn_zeta" sheetId="2" r:id="rId4"/>
  </sheets>
  <calcPr calcId="145621"/>
</workbook>
</file>

<file path=xl/calcChain.xml><?xml version="1.0" encoding="utf-8"?>
<calcChain xmlns="http://schemas.openxmlformats.org/spreadsheetml/2006/main">
  <c r="F43" i="3" l="1"/>
  <c r="F27" i="4"/>
  <c r="F28" i="4"/>
  <c r="F26" i="4"/>
  <c r="O23" i="4"/>
  <c r="P27" i="4"/>
  <c r="P28" i="4"/>
  <c r="P26" i="4"/>
  <c r="M31" i="4"/>
  <c r="M30" i="4"/>
  <c r="N31" i="4"/>
  <c r="N30" i="4"/>
  <c r="K27" i="4"/>
  <c r="K28" i="4"/>
  <c r="F19" i="3"/>
  <c r="F39" i="4"/>
  <c r="D30" i="4"/>
  <c r="F29" i="3"/>
  <c r="F30" i="3"/>
  <c r="J33" i="3"/>
  <c r="F20" i="3"/>
  <c r="C31" i="4"/>
  <c r="J30" i="4"/>
  <c r="I30" i="4"/>
  <c r="C30" i="4"/>
  <c r="K26" i="4"/>
  <c r="D32" i="4"/>
  <c r="D31" i="4"/>
  <c r="P8" i="4"/>
  <c r="P9" i="4"/>
  <c r="P10" i="4"/>
  <c r="P11" i="4"/>
  <c r="P12" i="4"/>
  <c r="P13" i="4"/>
  <c r="P14" i="4"/>
  <c r="P15" i="4"/>
  <c r="P16" i="4"/>
  <c r="P17" i="4"/>
  <c r="P18" i="4"/>
  <c r="P19" i="4"/>
  <c r="P7" i="4"/>
  <c r="K8" i="4"/>
  <c r="K9" i="4"/>
  <c r="K10" i="4"/>
  <c r="K11" i="4"/>
  <c r="K12" i="4"/>
  <c r="K13" i="4"/>
  <c r="K14" i="4"/>
  <c r="K15" i="4"/>
  <c r="K16" i="4"/>
  <c r="K17" i="4"/>
  <c r="K18" i="4"/>
  <c r="K19" i="4"/>
  <c r="K7" i="4"/>
  <c r="F8" i="4"/>
  <c r="F9" i="4"/>
  <c r="F10" i="4"/>
  <c r="F11" i="4"/>
  <c r="F12" i="4"/>
  <c r="F13" i="4"/>
  <c r="F14" i="4"/>
  <c r="F15" i="4"/>
  <c r="F16" i="4"/>
  <c r="F17" i="4"/>
  <c r="F18" i="4"/>
  <c r="F19" i="4"/>
  <c r="F7" i="4"/>
  <c r="F15" i="3"/>
  <c r="J40" i="3"/>
  <c r="J39" i="3"/>
  <c r="J32" i="3"/>
  <c r="J27" i="3"/>
  <c r="J26" i="3"/>
  <c r="J24" i="3"/>
  <c r="J23" i="3"/>
  <c r="S30" i="3"/>
  <c r="S29" i="3"/>
  <c r="S37" i="3"/>
  <c r="S36" i="3"/>
  <c r="S20" i="3"/>
  <c r="S19" i="3"/>
  <c r="F37" i="3"/>
  <c r="F36" i="3"/>
  <c r="F14" i="3"/>
  <c r="F13" i="3"/>
  <c r="F8" i="3"/>
  <c r="F7" i="3"/>
  <c r="F6" i="3"/>
  <c r="F10" i="3"/>
  <c r="F11" i="3"/>
  <c r="F9" i="3"/>
  <c r="C15" i="2" l="1"/>
  <c r="K20" i="1"/>
  <c r="G20" i="1"/>
  <c r="K13" i="1"/>
  <c r="G13" i="1"/>
  <c r="K10" i="1"/>
  <c r="O16" i="1"/>
  <c r="K5" i="1"/>
  <c r="G5" i="1"/>
  <c r="G10" i="1"/>
  <c r="C10" i="1"/>
  <c r="C5" i="1"/>
  <c r="G6" i="1"/>
</calcChain>
</file>

<file path=xl/sharedStrings.xml><?xml version="1.0" encoding="utf-8"?>
<sst xmlns="http://schemas.openxmlformats.org/spreadsheetml/2006/main" count="216" uniqueCount="72">
  <si>
    <t>pendulum test</t>
    <phoneticPr fontId="1" type="noConversion"/>
  </si>
  <si>
    <t>mg</t>
    <phoneticPr fontId="1" type="noConversion"/>
  </si>
  <si>
    <t>d</t>
    <phoneticPr fontId="1" type="noConversion"/>
  </si>
  <si>
    <t>l</t>
    <phoneticPr fontId="1" type="noConversion"/>
  </si>
  <si>
    <t>Tzz</t>
    <phoneticPr fontId="1" type="noConversion"/>
  </si>
  <si>
    <t>Tyy</t>
    <phoneticPr fontId="1" type="noConversion"/>
  </si>
  <si>
    <t>Txx</t>
    <phoneticPr fontId="1" type="noConversion"/>
  </si>
  <si>
    <t>eigenvalues</t>
    <phoneticPr fontId="1" type="noConversion"/>
  </si>
  <si>
    <t>real</t>
    <phoneticPr fontId="1" type="noConversion"/>
  </si>
  <si>
    <t>imag</t>
    <phoneticPr fontId="1" type="noConversion"/>
  </si>
  <si>
    <t>Longitudinal</t>
    <phoneticPr fontId="1" type="noConversion"/>
  </si>
  <si>
    <t>Lateral</t>
    <phoneticPr fontId="1" type="noConversion"/>
  </si>
  <si>
    <t>Phugoid</t>
    <phoneticPr fontId="1" type="noConversion"/>
  </si>
  <si>
    <t>Wn</t>
    <phoneticPr fontId="1" type="noConversion"/>
  </si>
  <si>
    <t>zeta</t>
    <phoneticPr fontId="1" type="noConversion"/>
  </si>
  <si>
    <t>Short Period</t>
    <phoneticPr fontId="1" type="noConversion"/>
  </si>
  <si>
    <t>Bixler2</t>
    <phoneticPr fontId="1" type="noConversion"/>
  </si>
  <si>
    <t>Mass</t>
    <phoneticPr fontId="1" type="noConversion"/>
  </si>
  <si>
    <t>kg</t>
    <phoneticPr fontId="1" type="noConversion"/>
  </si>
  <si>
    <t>CG_x</t>
    <phoneticPr fontId="1" type="noConversion"/>
  </si>
  <si>
    <t>m</t>
    <phoneticPr fontId="1" type="noConversion"/>
  </si>
  <si>
    <t>CG_z</t>
    <phoneticPr fontId="1" type="noConversion"/>
  </si>
  <si>
    <t>Ixx</t>
    <phoneticPr fontId="1" type="noConversion"/>
  </si>
  <si>
    <t>Iyy</t>
    <phoneticPr fontId="1" type="noConversion"/>
  </si>
  <si>
    <t>Izz</t>
    <phoneticPr fontId="1" type="noConversion"/>
  </si>
  <si>
    <t>kg*m2</t>
    <phoneticPr fontId="1" type="noConversion"/>
  </si>
  <si>
    <t>Ref.Area</t>
    <phoneticPr fontId="1" type="noConversion"/>
  </si>
  <si>
    <t>Ref.Span</t>
    <phoneticPr fontId="1" type="noConversion"/>
  </si>
  <si>
    <t>Ref.Chord</t>
    <phoneticPr fontId="1" type="noConversion"/>
  </si>
  <si>
    <t>m2</t>
    <phoneticPr fontId="1" type="noConversion"/>
  </si>
  <si>
    <t>Imperial Unit</t>
    <phoneticPr fontId="1" type="noConversion"/>
  </si>
  <si>
    <t>ft</t>
    <phoneticPr fontId="1" type="noConversion"/>
  </si>
  <si>
    <t>ft2</t>
    <phoneticPr fontId="1" type="noConversion"/>
  </si>
  <si>
    <t>lb*ft2</t>
    <phoneticPr fontId="1" type="noConversion"/>
  </si>
  <si>
    <t>lb</t>
    <phoneticPr fontId="1" type="noConversion"/>
  </si>
  <si>
    <t>General Aircraft Data</t>
    <phoneticPr fontId="1" type="noConversion"/>
  </si>
  <si>
    <t>Elevator</t>
    <phoneticPr fontId="1" type="noConversion"/>
  </si>
  <si>
    <t>LE_x</t>
    <phoneticPr fontId="1" type="noConversion"/>
  </si>
  <si>
    <t>Rudder</t>
    <phoneticPr fontId="1" type="noConversion"/>
  </si>
  <si>
    <t>MainWing</t>
    <phoneticPr fontId="1" type="noConversion"/>
  </si>
  <si>
    <t>Tilted</t>
    <phoneticPr fontId="1" type="noConversion"/>
  </si>
  <si>
    <t>DEG</t>
    <phoneticPr fontId="1" type="noConversion"/>
  </si>
  <si>
    <t>General Shape Data</t>
    <phoneticPr fontId="1" type="noConversion"/>
  </si>
  <si>
    <t>&lt; Origin at LE of MainWing &gt;</t>
    <phoneticPr fontId="1" type="noConversion"/>
  </si>
  <si>
    <t>&lt; Origin at C.G. &gt;</t>
    <phoneticPr fontId="1" type="noConversion"/>
  </si>
  <si>
    <t>LE_z</t>
    <phoneticPr fontId="1" type="noConversion"/>
  </si>
  <si>
    <t>SI Unit</t>
    <phoneticPr fontId="1" type="noConversion"/>
  </si>
  <si>
    <t>Aileron</t>
    <phoneticPr fontId="1" type="noConversion"/>
  </si>
  <si>
    <t>From</t>
    <phoneticPr fontId="1" type="noConversion"/>
  </si>
  <si>
    <t>To</t>
    <phoneticPr fontId="1" type="noConversion"/>
  </si>
  <si>
    <t>Flap</t>
    <phoneticPr fontId="1" type="noConversion"/>
  </si>
  <si>
    <t>%</t>
    <phoneticPr fontId="1" type="noConversion"/>
  </si>
  <si>
    <t>Chord</t>
    <phoneticPr fontId="1" type="noConversion"/>
  </si>
  <si>
    <t>L per Chord</t>
    <phoneticPr fontId="1" type="noConversion"/>
  </si>
  <si>
    <t>D</t>
    <phoneticPr fontId="1" type="noConversion"/>
  </si>
  <si>
    <t>C.S.Length</t>
    <phoneticPr fontId="1" type="noConversion"/>
  </si>
  <si>
    <t>NACA1711</t>
    <phoneticPr fontId="1" type="noConversion"/>
  </si>
  <si>
    <t>NACA0015</t>
    <phoneticPr fontId="1" type="noConversion"/>
  </si>
  <si>
    <t>NACA0010</t>
    <phoneticPr fontId="1" type="noConversion"/>
  </si>
  <si>
    <t>MainWing</t>
    <phoneticPr fontId="1" type="noConversion"/>
  </si>
  <si>
    <t>Exact</t>
    <phoneticPr fontId="1" type="noConversion"/>
  </si>
  <si>
    <t>Approximate</t>
    <phoneticPr fontId="1" type="noConversion"/>
  </si>
  <si>
    <t>Chord</t>
    <phoneticPr fontId="1" type="noConversion"/>
  </si>
  <si>
    <t>Offset</t>
    <phoneticPr fontId="1" type="noConversion"/>
  </si>
  <si>
    <t>Dihedral</t>
    <phoneticPr fontId="1" type="noConversion"/>
  </si>
  <si>
    <t>Spen wise</t>
    <phoneticPr fontId="1" type="noConversion"/>
  </si>
  <si>
    <t>Elevator</t>
    <phoneticPr fontId="1" type="noConversion"/>
  </si>
  <si>
    <t>Rudder</t>
    <phoneticPr fontId="1" type="noConversion"/>
  </si>
  <si>
    <t>x</t>
    <phoneticPr fontId="1" type="noConversion"/>
  </si>
  <si>
    <t>z</t>
    <phoneticPr fontId="1" type="noConversion"/>
  </si>
  <si>
    <t>tilt</t>
    <phoneticPr fontId="1" type="noConversion"/>
  </si>
  <si>
    <t xml:space="preserve">         SAVSI=1.975, SAVSO = 29.539, CHSTAT=0.0,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</si>
</sst>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0.000"/>
    <numFmt numFmtId="178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3"/>
  <sheetViews>
    <sheetView tabSelected="1" topLeftCell="A16" workbookViewId="0">
      <selection activeCell="J39" sqref="J39"/>
    </sheetView>
  </sheetViews>
  <sheetFormatPr defaultRowHeight="16.5" x14ac:dyDescent="0.3"/>
  <cols>
    <col min="4" max="4" width="2.625" customWidth="1"/>
    <col min="7" max="7" width="2.625" customWidth="1"/>
    <col min="9" max="9" width="2.625" customWidth="1"/>
    <col min="11" max="11" width="2.625" customWidth="1"/>
  </cols>
  <sheetData>
    <row r="2" spans="2:20" x14ac:dyDescent="0.3">
      <c r="B2" t="s">
        <v>16</v>
      </c>
    </row>
    <row r="4" spans="2:20" x14ac:dyDescent="0.3">
      <c r="B4" s="7" t="s">
        <v>35</v>
      </c>
      <c r="C4" s="7"/>
      <c r="D4" s="7"/>
      <c r="E4" s="7"/>
    </row>
    <row r="5" spans="2:20" x14ac:dyDescent="0.3">
      <c r="B5" s="7" t="s">
        <v>46</v>
      </c>
      <c r="C5" s="7"/>
      <c r="D5" s="7"/>
      <c r="E5" s="7"/>
      <c r="F5" s="7" t="s">
        <v>30</v>
      </c>
      <c r="G5" s="7"/>
    </row>
    <row r="6" spans="2:20" x14ac:dyDescent="0.3">
      <c r="B6" t="s">
        <v>17</v>
      </c>
      <c r="C6">
        <v>0.8</v>
      </c>
      <c r="D6" t="s">
        <v>18</v>
      </c>
      <c r="F6">
        <f>C6*2.204623</f>
        <v>1.7636984000000002</v>
      </c>
      <c r="G6" t="s">
        <v>34</v>
      </c>
    </row>
    <row r="7" spans="2:20" x14ac:dyDescent="0.3">
      <c r="B7" t="s">
        <v>19</v>
      </c>
      <c r="C7">
        <v>0.08</v>
      </c>
      <c r="D7" t="s">
        <v>20</v>
      </c>
      <c r="F7">
        <f>C7*3.28084</f>
        <v>0.26246720000000001</v>
      </c>
      <c r="G7" t="s">
        <v>31</v>
      </c>
    </row>
    <row r="8" spans="2:20" x14ac:dyDescent="0.3">
      <c r="B8" t="s">
        <v>21</v>
      </c>
      <c r="C8">
        <v>-3.5000000000000003E-2</v>
      </c>
      <c r="D8" t="s">
        <v>20</v>
      </c>
      <c r="F8">
        <f>C8*3.28084</f>
        <v>-0.11482940000000001</v>
      </c>
      <c r="G8" t="s">
        <v>31</v>
      </c>
    </row>
    <row r="9" spans="2:20" x14ac:dyDescent="0.3">
      <c r="B9" t="s">
        <v>22</v>
      </c>
      <c r="C9">
        <v>5.6070000000000002E-2</v>
      </c>
      <c r="D9" t="s">
        <v>25</v>
      </c>
      <c r="F9">
        <f>C9*10.76391*2.204623</f>
        <v>1.3305614845809952</v>
      </c>
      <c r="G9" t="s">
        <v>33</v>
      </c>
    </row>
    <row r="10" spans="2:20" x14ac:dyDescent="0.3">
      <c r="B10" t="s">
        <v>23</v>
      </c>
      <c r="C10">
        <v>3.5254000000000001E-2</v>
      </c>
      <c r="D10" t="s">
        <v>25</v>
      </c>
      <c r="F10">
        <f t="shared" ref="F10:F11" si="0">C10*10.76391*2.204623</f>
        <v>0.83659023680075628</v>
      </c>
      <c r="G10" t="s">
        <v>33</v>
      </c>
    </row>
    <row r="11" spans="2:20" x14ac:dyDescent="0.3">
      <c r="B11" t="s">
        <v>24</v>
      </c>
      <c r="C11">
        <v>2.6793999999999998E-2</v>
      </c>
      <c r="D11" t="s">
        <v>25</v>
      </c>
      <c r="F11">
        <f t="shared" si="0"/>
        <v>0.63583136111758831</v>
      </c>
      <c r="G11" t="s">
        <v>33</v>
      </c>
    </row>
    <row r="12" spans="2:20" x14ac:dyDescent="0.3">
      <c r="B12" t="s">
        <v>26</v>
      </c>
      <c r="C12">
        <v>0.25947500000000001</v>
      </c>
      <c r="D12" t="s">
        <v>29</v>
      </c>
      <c r="F12">
        <v>2.7929659999999998</v>
      </c>
      <c r="G12" t="s">
        <v>32</v>
      </c>
    </row>
    <row r="13" spans="2:20" x14ac:dyDescent="0.3">
      <c r="B13" t="s">
        <v>27</v>
      </c>
      <c r="C13">
        <v>1.51</v>
      </c>
      <c r="D13" t="s">
        <v>20</v>
      </c>
      <c r="F13">
        <f>C13*3.28084</f>
        <v>4.9540683999999997</v>
      </c>
      <c r="G13" t="s">
        <v>31</v>
      </c>
    </row>
    <row r="14" spans="2:20" x14ac:dyDescent="0.3">
      <c r="B14" t="s">
        <v>28</v>
      </c>
      <c r="C14">
        <v>1.7892000000000002E-2</v>
      </c>
      <c r="D14" t="s">
        <v>20</v>
      </c>
      <c r="F14">
        <f>C14*3.28084</f>
        <v>5.8700789280000006E-2</v>
      </c>
      <c r="G14" t="s">
        <v>31</v>
      </c>
    </row>
    <row r="15" spans="2:20" x14ac:dyDescent="0.3">
      <c r="F15">
        <f>C15*3.28084</f>
        <v>0</v>
      </c>
    </row>
    <row r="16" spans="2:20" x14ac:dyDescent="0.3">
      <c r="B16" s="7" t="s">
        <v>42</v>
      </c>
      <c r="C16" s="7"/>
      <c r="D16" s="7"/>
      <c r="E16" s="7"/>
      <c r="R16" s="7" t="s">
        <v>42</v>
      </c>
      <c r="S16" s="7"/>
      <c r="T16" s="7"/>
    </row>
    <row r="17" spans="2:20" x14ac:dyDescent="0.3">
      <c r="B17" s="7" t="s">
        <v>43</v>
      </c>
      <c r="C17" s="7"/>
      <c r="D17" s="7"/>
      <c r="E17" s="7"/>
      <c r="R17" s="7" t="s">
        <v>44</v>
      </c>
      <c r="S17" s="7"/>
      <c r="T17" s="7"/>
    </row>
    <row r="18" spans="2:20" x14ac:dyDescent="0.3">
      <c r="B18" t="s">
        <v>39</v>
      </c>
      <c r="C18" t="s">
        <v>56</v>
      </c>
      <c r="R18" t="s">
        <v>39</v>
      </c>
    </row>
    <row r="19" spans="2:20" x14ac:dyDescent="0.3">
      <c r="B19" t="s">
        <v>37</v>
      </c>
      <c r="C19">
        <v>0</v>
      </c>
      <c r="D19" t="s">
        <v>20</v>
      </c>
      <c r="F19">
        <f>0.09*3.28084</f>
        <v>0.29527559999999997</v>
      </c>
      <c r="G19" t="s">
        <v>31</v>
      </c>
      <c r="R19" t="s">
        <v>37</v>
      </c>
      <c r="S19">
        <f>C19-$C$7</f>
        <v>-0.08</v>
      </c>
      <c r="T19" t="s">
        <v>20</v>
      </c>
    </row>
    <row r="20" spans="2:20" x14ac:dyDescent="0.3">
      <c r="B20" t="s">
        <v>45</v>
      </c>
      <c r="C20">
        <v>0</v>
      </c>
      <c r="D20" t="s">
        <v>20</v>
      </c>
      <c r="F20">
        <f>H24*3.28084</f>
        <v>0.13123360000000001</v>
      </c>
      <c r="G20" t="s">
        <v>31</v>
      </c>
      <c r="R20" t="s">
        <v>45</v>
      </c>
      <c r="S20">
        <f>C20-$C$8</f>
        <v>3.5000000000000003E-2</v>
      </c>
      <c r="T20" t="s">
        <v>20</v>
      </c>
    </row>
    <row r="21" spans="2:20" x14ac:dyDescent="0.3">
      <c r="B21" t="s">
        <v>40</v>
      </c>
      <c r="C21">
        <v>2</v>
      </c>
      <c r="D21" t="s">
        <v>54</v>
      </c>
      <c r="R21" t="s">
        <v>40</v>
      </c>
      <c r="T21" t="s">
        <v>41</v>
      </c>
    </row>
    <row r="22" spans="2:20" x14ac:dyDescent="0.3">
      <c r="B22" t="s">
        <v>47</v>
      </c>
      <c r="F22" t="s">
        <v>52</v>
      </c>
      <c r="H22" t="s">
        <v>55</v>
      </c>
      <c r="J22" t="s">
        <v>53</v>
      </c>
    </row>
    <row r="23" spans="2:20" x14ac:dyDescent="0.3">
      <c r="B23" t="s">
        <v>48</v>
      </c>
      <c r="C23" s="11">
        <v>0.26500000000000001</v>
      </c>
      <c r="D23" t="s">
        <v>20</v>
      </c>
      <c r="F23">
        <v>0.19500000000000001</v>
      </c>
      <c r="G23" t="s">
        <v>20</v>
      </c>
      <c r="H23" s="11">
        <v>0.05</v>
      </c>
      <c r="I23" t="s">
        <v>20</v>
      </c>
      <c r="J23" s="10">
        <f>H23/F23</f>
        <v>0.25641025641025644</v>
      </c>
      <c r="K23" t="s">
        <v>51</v>
      </c>
    </row>
    <row r="24" spans="2:20" x14ac:dyDescent="0.3">
      <c r="B24" t="s">
        <v>49</v>
      </c>
      <c r="C24" s="11">
        <v>0.57999999999999996</v>
      </c>
      <c r="D24" t="s">
        <v>20</v>
      </c>
      <c r="F24">
        <v>0.1575</v>
      </c>
      <c r="G24" t="s">
        <v>20</v>
      </c>
      <c r="H24" s="11">
        <v>0.04</v>
      </c>
      <c r="I24" t="s">
        <v>20</v>
      </c>
      <c r="J24" s="10">
        <f>H24/F24</f>
        <v>0.25396825396825395</v>
      </c>
      <c r="K24" t="s">
        <v>51</v>
      </c>
    </row>
    <row r="25" spans="2:20" x14ac:dyDescent="0.3">
      <c r="B25" t="s">
        <v>50</v>
      </c>
      <c r="F25" t="s">
        <v>52</v>
      </c>
      <c r="H25" t="s">
        <v>55</v>
      </c>
      <c r="J25" t="s">
        <v>53</v>
      </c>
    </row>
    <row r="26" spans="2:20" x14ac:dyDescent="0.3">
      <c r="B26" t="s">
        <v>48</v>
      </c>
      <c r="C26" s="12">
        <v>3.7499999999999999E-2</v>
      </c>
      <c r="D26" t="s">
        <v>20</v>
      </c>
      <c r="F26">
        <v>0.19500000000000001</v>
      </c>
      <c r="G26" t="s">
        <v>20</v>
      </c>
      <c r="H26" s="11">
        <v>0.05</v>
      </c>
      <c r="I26" t="s">
        <v>20</v>
      </c>
      <c r="J26" s="10">
        <f>H26/F26</f>
        <v>0.25641025641025644</v>
      </c>
      <c r="K26" t="s">
        <v>51</v>
      </c>
    </row>
    <row r="27" spans="2:20" x14ac:dyDescent="0.3">
      <c r="B27" t="s">
        <v>49</v>
      </c>
      <c r="C27" s="11">
        <v>0.26500000000000001</v>
      </c>
      <c r="D27" t="s">
        <v>20</v>
      </c>
      <c r="F27">
        <v>0.19500000000000001</v>
      </c>
      <c r="G27" t="s">
        <v>20</v>
      </c>
      <c r="H27" s="11">
        <v>0.05</v>
      </c>
      <c r="I27" t="s">
        <v>20</v>
      </c>
      <c r="J27" s="10">
        <f>H27/F27</f>
        <v>0.25641025641025644</v>
      </c>
      <c r="K27" t="s">
        <v>51</v>
      </c>
    </row>
    <row r="28" spans="2:20" x14ac:dyDescent="0.3">
      <c r="B28" t="s">
        <v>36</v>
      </c>
      <c r="C28" t="s">
        <v>57</v>
      </c>
      <c r="R28" t="s">
        <v>36</v>
      </c>
    </row>
    <row r="29" spans="2:20" x14ac:dyDescent="0.3">
      <c r="B29" t="s">
        <v>37</v>
      </c>
      <c r="C29" s="11">
        <v>0.56999999999999995</v>
      </c>
      <c r="D29" t="s">
        <v>20</v>
      </c>
      <c r="F29">
        <f>C33*3.28084</f>
        <v>0.55774279999999998</v>
      </c>
      <c r="G29" t="s">
        <v>31</v>
      </c>
      <c r="R29" t="s">
        <v>37</v>
      </c>
      <c r="S29">
        <f>C29-$C$7</f>
        <v>0.48999999999999994</v>
      </c>
      <c r="T29" t="s">
        <v>20</v>
      </c>
    </row>
    <row r="30" spans="2:20" x14ac:dyDescent="0.3">
      <c r="B30" t="s">
        <v>45</v>
      </c>
      <c r="C30" s="11">
        <v>-0.06</v>
      </c>
      <c r="D30" t="s">
        <v>20</v>
      </c>
      <c r="F30">
        <f>H33*3.28084</f>
        <v>0.10662730000000001</v>
      </c>
      <c r="G30" t="s">
        <v>31</v>
      </c>
      <c r="R30" t="s">
        <v>45</v>
      </c>
      <c r="S30">
        <f>C30-$C$8</f>
        <v>-2.4999999999999994E-2</v>
      </c>
      <c r="T30" t="s">
        <v>20</v>
      </c>
    </row>
    <row r="31" spans="2:20" x14ac:dyDescent="0.3">
      <c r="B31" t="s">
        <v>40</v>
      </c>
      <c r="C31">
        <v>0</v>
      </c>
      <c r="D31" t="s">
        <v>54</v>
      </c>
      <c r="F31" t="s">
        <v>52</v>
      </c>
      <c r="H31" t="s">
        <v>55</v>
      </c>
      <c r="J31" t="s">
        <v>53</v>
      </c>
      <c r="R31" t="s">
        <v>40</v>
      </c>
      <c r="T31" t="s">
        <v>41</v>
      </c>
    </row>
    <row r="32" spans="2:20" x14ac:dyDescent="0.3">
      <c r="B32" t="s">
        <v>48</v>
      </c>
      <c r="C32" s="11">
        <v>0</v>
      </c>
      <c r="D32" t="s">
        <v>20</v>
      </c>
      <c r="F32">
        <v>0.105</v>
      </c>
      <c r="G32" t="s">
        <v>20</v>
      </c>
      <c r="H32" s="11">
        <v>0.04</v>
      </c>
      <c r="I32" t="s">
        <v>20</v>
      </c>
      <c r="J32" s="10">
        <f>H32/F32</f>
        <v>0.38095238095238099</v>
      </c>
      <c r="K32" t="s">
        <v>51</v>
      </c>
    </row>
    <row r="33" spans="2:20" x14ac:dyDescent="0.3">
      <c r="B33" t="s">
        <v>49</v>
      </c>
      <c r="C33" s="11">
        <v>0.17</v>
      </c>
      <c r="D33" t="s">
        <v>20</v>
      </c>
      <c r="F33" s="11">
        <v>0.09</v>
      </c>
      <c r="G33" t="s">
        <v>20</v>
      </c>
      <c r="H33" s="12">
        <v>3.2500000000000001E-2</v>
      </c>
      <c r="I33" t="s">
        <v>20</v>
      </c>
      <c r="J33" s="10">
        <f>H33/F33</f>
        <v>0.36111111111111116</v>
      </c>
      <c r="K33" t="s">
        <v>51</v>
      </c>
    </row>
    <row r="35" spans="2:20" x14ac:dyDescent="0.3">
      <c r="B35" t="s">
        <v>38</v>
      </c>
      <c r="C35" t="s">
        <v>58</v>
      </c>
      <c r="R35" t="s">
        <v>38</v>
      </c>
    </row>
    <row r="36" spans="2:20" x14ac:dyDescent="0.3">
      <c r="B36" t="s">
        <v>37</v>
      </c>
      <c r="C36" s="11">
        <v>0.51</v>
      </c>
      <c r="D36" t="s">
        <v>20</v>
      </c>
      <c r="F36">
        <f>C36*3.28084</f>
        <v>1.6732283999999999</v>
      </c>
      <c r="G36" t="s">
        <v>31</v>
      </c>
      <c r="R36" t="s">
        <v>37</v>
      </c>
      <c r="S36">
        <f>C36-$C$7</f>
        <v>0.43</v>
      </c>
      <c r="T36" t="s">
        <v>20</v>
      </c>
    </row>
    <row r="37" spans="2:20" x14ac:dyDescent="0.3">
      <c r="B37" t="s">
        <v>45</v>
      </c>
      <c r="C37" s="11">
        <v>-0.04</v>
      </c>
      <c r="D37" t="s">
        <v>20</v>
      </c>
      <c r="F37">
        <f>C37*3.28084</f>
        <v>-0.13123360000000001</v>
      </c>
      <c r="G37" t="s">
        <v>31</v>
      </c>
      <c r="R37" t="s">
        <v>45</v>
      </c>
      <c r="S37">
        <f>C37-$C$8</f>
        <v>-4.9999999999999975E-3</v>
      </c>
      <c r="T37" t="s">
        <v>20</v>
      </c>
    </row>
    <row r="38" spans="2:20" x14ac:dyDescent="0.3">
      <c r="B38" t="s">
        <v>40</v>
      </c>
      <c r="C38">
        <v>0</v>
      </c>
      <c r="D38" t="s">
        <v>54</v>
      </c>
      <c r="F38" t="s">
        <v>52</v>
      </c>
      <c r="H38" t="s">
        <v>55</v>
      </c>
      <c r="J38" t="s">
        <v>53</v>
      </c>
      <c r="R38" t="s">
        <v>40</v>
      </c>
      <c r="T38" t="s">
        <v>41</v>
      </c>
    </row>
    <row r="39" spans="2:20" x14ac:dyDescent="0.3">
      <c r="B39" t="s">
        <v>48</v>
      </c>
      <c r="C39" s="11">
        <v>0.01</v>
      </c>
      <c r="D39" t="s">
        <v>20</v>
      </c>
      <c r="F39" s="11">
        <v>0.13500000000000001</v>
      </c>
      <c r="G39" t="s">
        <v>20</v>
      </c>
      <c r="H39">
        <v>3.5000000000000003E-2</v>
      </c>
      <c r="I39" t="s">
        <v>20</v>
      </c>
      <c r="J39" s="10">
        <f>H39/F39</f>
        <v>0.25925925925925924</v>
      </c>
      <c r="K39" t="s">
        <v>51</v>
      </c>
    </row>
    <row r="40" spans="2:20" x14ac:dyDescent="0.3">
      <c r="B40" t="s">
        <v>49</v>
      </c>
      <c r="C40" s="11">
        <v>0.14000000000000001</v>
      </c>
      <c r="D40" t="s">
        <v>20</v>
      </c>
      <c r="F40" s="11">
        <v>0.08</v>
      </c>
      <c r="G40" t="s">
        <v>20</v>
      </c>
      <c r="H40">
        <v>2.5000000000000001E-2</v>
      </c>
      <c r="I40" t="s">
        <v>20</v>
      </c>
      <c r="J40" s="10">
        <f>H40/F40</f>
        <v>0.3125</v>
      </c>
      <c r="K40" t="s">
        <v>51</v>
      </c>
    </row>
    <row r="43" spans="2:20" x14ac:dyDescent="0.3">
      <c r="C43">
        <v>0.29499999999999998</v>
      </c>
      <c r="F43">
        <f>C43/3.28084</f>
        <v>8.9915997122688093E-2</v>
      </c>
    </row>
  </sheetData>
  <mergeCells count="7">
    <mergeCell ref="B4:E4"/>
    <mergeCell ref="F5:G5"/>
    <mergeCell ref="R17:T17"/>
    <mergeCell ref="R16:T16"/>
    <mergeCell ref="B16:E16"/>
    <mergeCell ref="B17:E17"/>
    <mergeCell ref="B5:E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opLeftCell="B1" workbookViewId="0">
      <selection activeCell="B26" sqref="B26"/>
    </sheetView>
  </sheetViews>
  <sheetFormatPr defaultColWidth="7.625" defaultRowHeight="16.5" x14ac:dyDescent="0.3"/>
  <cols>
    <col min="4" max="4" width="9.875" bestFit="1" customWidth="1"/>
  </cols>
  <sheetData>
    <row r="2" spans="2:16" x14ac:dyDescent="0.3">
      <c r="B2" t="s">
        <v>59</v>
      </c>
      <c r="G2" t="s">
        <v>66</v>
      </c>
      <c r="L2" t="s">
        <v>67</v>
      </c>
    </row>
    <row r="3" spans="2:16" x14ac:dyDescent="0.3">
      <c r="B3" t="s">
        <v>68</v>
      </c>
      <c r="C3" t="s">
        <v>69</v>
      </c>
      <c r="D3" t="s">
        <v>70</v>
      </c>
      <c r="G3" t="s">
        <v>68</v>
      </c>
      <c r="H3" t="s">
        <v>69</v>
      </c>
      <c r="I3" t="s">
        <v>70</v>
      </c>
      <c r="L3" t="s">
        <v>68</v>
      </c>
      <c r="M3" t="s">
        <v>69</v>
      </c>
      <c r="N3" t="s">
        <v>70</v>
      </c>
    </row>
    <row r="4" spans="2:16" x14ac:dyDescent="0.3">
      <c r="B4">
        <v>0</v>
      </c>
      <c r="C4">
        <v>0</v>
      </c>
      <c r="D4">
        <v>2</v>
      </c>
      <c r="G4">
        <v>0.56999999999999995</v>
      </c>
      <c r="H4">
        <v>-0.06</v>
      </c>
      <c r="I4">
        <v>0</v>
      </c>
      <c r="L4">
        <v>0.51</v>
      </c>
      <c r="M4">
        <v>-0.06</v>
      </c>
      <c r="N4">
        <v>0</v>
      </c>
    </row>
    <row r="5" spans="2:16" x14ac:dyDescent="0.3">
      <c r="B5" t="s">
        <v>60</v>
      </c>
      <c r="G5" t="s">
        <v>60</v>
      </c>
      <c r="L5" t="s">
        <v>60</v>
      </c>
    </row>
    <row r="6" spans="2:16" x14ac:dyDescent="0.3">
      <c r="B6" t="s">
        <v>65</v>
      </c>
      <c r="C6" t="s">
        <v>62</v>
      </c>
      <c r="D6" t="s">
        <v>63</v>
      </c>
      <c r="E6" t="s">
        <v>64</v>
      </c>
      <c r="G6" t="s">
        <v>65</v>
      </c>
      <c r="H6" t="s">
        <v>62</v>
      </c>
      <c r="I6" t="s">
        <v>63</v>
      </c>
      <c r="J6" t="s">
        <v>64</v>
      </c>
      <c r="L6" t="s">
        <v>65</v>
      </c>
      <c r="M6" t="s">
        <v>62</v>
      </c>
      <c r="N6" t="s">
        <v>63</v>
      </c>
      <c r="O6" t="s">
        <v>64</v>
      </c>
    </row>
    <row r="7" spans="2:16" x14ac:dyDescent="0.3">
      <c r="B7" s="11">
        <v>0</v>
      </c>
      <c r="C7" s="11">
        <v>0.19500000000000001</v>
      </c>
      <c r="D7" s="11">
        <v>0</v>
      </c>
      <c r="E7">
        <v>0</v>
      </c>
      <c r="F7">
        <f>C7*3.28084</f>
        <v>0.63976379999999999</v>
      </c>
      <c r="G7">
        <v>0</v>
      </c>
      <c r="H7" s="11">
        <v>0.105</v>
      </c>
      <c r="I7">
        <v>0</v>
      </c>
      <c r="J7">
        <v>0</v>
      </c>
      <c r="K7">
        <f>H7*3.28084</f>
        <v>0.34448819999999997</v>
      </c>
      <c r="L7">
        <v>0</v>
      </c>
      <c r="M7">
        <v>0.16</v>
      </c>
      <c r="N7">
        <v>0</v>
      </c>
      <c r="O7">
        <v>0</v>
      </c>
      <c r="P7">
        <f>M7*3.28084</f>
        <v>0.52493440000000002</v>
      </c>
    </row>
    <row r="8" spans="2:16" x14ac:dyDescent="0.3">
      <c r="B8" s="13">
        <v>0.26500000000000001</v>
      </c>
      <c r="C8" s="13">
        <v>0.19500000000000001</v>
      </c>
      <c r="D8" s="13">
        <v>0</v>
      </c>
      <c r="E8" s="14">
        <v>1</v>
      </c>
      <c r="F8">
        <f t="shared" ref="F8:F19" si="0">C8*3.28084</f>
        <v>0.63976379999999999</v>
      </c>
      <c r="G8" s="11">
        <v>0.13</v>
      </c>
      <c r="H8" s="11">
        <v>0.1</v>
      </c>
      <c r="I8" s="11">
        <v>0</v>
      </c>
      <c r="J8" s="11">
        <v>0</v>
      </c>
      <c r="K8">
        <f t="shared" ref="K8:K19" si="1">H8*3.28084</f>
        <v>0.32808400000000004</v>
      </c>
      <c r="L8" s="11">
        <v>1.4999999999999999E-2</v>
      </c>
      <c r="M8" s="11">
        <v>0.14000000000000001</v>
      </c>
      <c r="N8" s="11">
        <v>0.02</v>
      </c>
      <c r="O8" s="11">
        <v>0</v>
      </c>
      <c r="P8">
        <f t="shared" ref="P8:P19" si="2">M8*3.28084</f>
        <v>0.45931760000000005</v>
      </c>
    </row>
    <row r="9" spans="2:16" x14ac:dyDescent="0.3">
      <c r="B9" s="15">
        <v>0.26500000000000001</v>
      </c>
      <c r="C9" s="15">
        <v>0.19500000000000001</v>
      </c>
      <c r="D9" s="15">
        <v>0</v>
      </c>
      <c r="E9" s="6">
        <v>1</v>
      </c>
      <c r="F9">
        <f t="shared" si="0"/>
        <v>0.63976379999999999</v>
      </c>
      <c r="G9" s="13">
        <v>0.17</v>
      </c>
      <c r="H9" s="13">
        <v>0.09</v>
      </c>
      <c r="I9" s="13">
        <v>5.0000000000000001E-3</v>
      </c>
      <c r="J9" s="13">
        <v>0</v>
      </c>
      <c r="K9">
        <f t="shared" si="1"/>
        <v>0.29527559999999997</v>
      </c>
      <c r="L9" s="11">
        <v>4.4999999999999998E-2</v>
      </c>
      <c r="M9" s="11">
        <v>0.13500000000000001</v>
      </c>
      <c r="N9" s="11">
        <v>2.5000000000000001E-2</v>
      </c>
      <c r="O9" s="11">
        <v>0</v>
      </c>
      <c r="P9">
        <f t="shared" si="2"/>
        <v>0.44291340000000001</v>
      </c>
    </row>
    <row r="10" spans="2:16" x14ac:dyDescent="0.3">
      <c r="B10" s="15">
        <v>0.43</v>
      </c>
      <c r="C10" s="15">
        <v>0.185</v>
      </c>
      <c r="D10" s="15">
        <v>0.01</v>
      </c>
      <c r="E10" s="6">
        <v>1</v>
      </c>
      <c r="F10">
        <f t="shared" si="0"/>
        <v>0.60695540000000003</v>
      </c>
      <c r="G10" s="11">
        <v>0.17</v>
      </c>
      <c r="H10" s="11">
        <v>0.09</v>
      </c>
      <c r="I10" s="11">
        <v>5.0000000000000001E-3</v>
      </c>
      <c r="J10" s="11">
        <v>0</v>
      </c>
      <c r="K10">
        <f t="shared" si="1"/>
        <v>0.29527559999999997</v>
      </c>
      <c r="L10" s="11">
        <v>8.5000000000000006E-2</v>
      </c>
      <c r="M10" s="11">
        <v>0.12</v>
      </c>
      <c r="N10" s="11">
        <v>0.04</v>
      </c>
      <c r="O10" s="11">
        <v>0</v>
      </c>
      <c r="P10">
        <f t="shared" si="2"/>
        <v>0.39370079999999996</v>
      </c>
    </row>
    <row r="11" spans="2:16" x14ac:dyDescent="0.3">
      <c r="B11" s="15">
        <v>0.51500000000000001</v>
      </c>
      <c r="C11" s="15">
        <v>0.17499999999999999</v>
      </c>
      <c r="D11" s="15">
        <v>0.02</v>
      </c>
      <c r="E11" s="6">
        <v>1</v>
      </c>
      <c r="F11">
        <f t="shared" si="0"/>
        <v>0.57414699999999996</v>
      </c>
      <c r="G11" s="11">
        <v>0.19</v>
      </c>
      <c r="H11" s="11">
        <v>8.5000000000000006E-2</v>
      </c>
      <c r="I11" s="11">
        <v>0.01</v>
      </c>
      <c r="J11" s="11">
        <v>0</v>
      </c>
      <c r="K11">
        <f t="shared" si="1"/>
        <v>0.27887139999999999</v>
      </c>
      <c r="L11" s="11">
        <v>0.11</v>
      </c>
      <c r="M11" s="11">
        <v>0.11</v>
      </c>
      <c r="N11" s="11">
        <v>0.05</v>
      </c>
      <c r="O11" s="11">
        <v>0</v>
      </c>
      <c r="P11">
        <f t="shared" si="2"/>
        <v>0.3608924</v>
      </c>
    </row>
    <row r="12" spans="2:16" x14ac:dyDescent="0.3">
      <c r="B12" s="13">
        <v>0.57999999999999996</v>
      </c>
      <c r="C12" s="13">
        <v>0.16</v>
      </c>
      <c r="D12" s="13">
        <v>0.03</v>
      </c>
      <c r="E12" s="14">
        <v>10</v>
      </c>
      <c r="F12">
        <f t="shared" si="0"/>
        <v>0.52493440000000002</v>
      </c>
      <c r="G12" s="11">
        <v>0.20499999999999999</v>
      </c>
      <c r="H12" s="11">
        <v>0.08</v>
      </c>
      <c r="I12" s="11">
        <v>0.02</v>
      </c>
      <c r="J12" s="11">
        <v>0</v>
      </c>
      <c r="K12">
        <f t="shared" si="1"/>
        <v>0.26246720000000001</v>
      </c>
      <c r="L12" s="11">
        <v>0.125</v>
      </c>
      <c r="M12" s="11">
        <v>0.1</v>
      </c>
      <c r="N12" s="11">
        <v>0.06</v>
      </c>
      <c r="O12" s="11">
        <v>0</v>
      </c>
      <c r="P12">
        <f t="shared" si="2"/>
        <v>0.32808400000000004</v>
      </c>
    </row>
    <row r="13" spans="2:16" x14ac:dyDescent="0.3">
      <c r="B13" s="15">
        <v>0.57999999999999996</v>
      </c>
      <c r="C13" s="15">
        <v>0.16</v>
      </c>
      <c r="D13" s="15">
        <v>0.03</v>
      </c>
      <c r="E13" s="6">
        <v>10</v>
      </c>
      <c r="F13">
        <f t="shared" si="0"/>
        <v>0.52493440000000002</v>
      </c>
      <c r="G13" s="11">
        <v>0.215</v>
      </c>
      <c r="H13" s="11">
        <v>7.2999999999999995E-2</v>
      </c>
      <c r="I13" s="11">
        <v>0.03</v>
      </c>
      <c r="J13" s="11">
        <v>0</v>
      </c>
      <c r="K13">
        <f t="shared" si="1"/>
        <v>0.23950131999999999</v>
      </c>
      <c r="L13" s="11">
        <v>0.14000000000000001</v>
      </c>
      <c r="M13" s="11">
        <v>8.5000000000000006E-2</v>
      </c>
      <c r="N13" s="11">
        <v>7.4999999999999997E-2</v>
      </c>
      <c r="O13" s="11">
        <v>0</v>
      </c>
      <c r="P13">
        <f t="shared" si="2"/>
        <v>0.27887139999999999</v>
      </c>
    </row>
    <row r="14" spans="2:16" x14ac:dyDescent="0.3">
      <c r="B14" s="15">
        <v>0.63</v>
      </c>
      <c r="C14" s="15">
        <v>0.14499999999999999</v>
      </c>
      <c r="D14" s="15">
        <v>0.05</v>
      </c>
      <c r="E14" s="6">
        <v>20</v>
      </c>
      <c r="F14">
        <f t="shared" si="0"/>
        <v>0.47572179999999997</v>
      </c>
      <c r="G14" s="11">
        <v>0.22</v>
      </c>
      <c r="H14" s="11">
        <v>6.7000000000000004E-2</v>
      </c>
      <c r="I14" s="11">
        <v>3.7999999999999999E-2</v>
      </c>
      <c r="J14" s="11">
        <v>0</v>
      </c>
      <c r="K14">
        <f t="shared" si="1"/>
        <v>0.21981628</v>
      </c>
      <c r="L14" s="11">
        <v>0.15</v>
      </c>
      <c r="M14" s="11">
        <v>7.4999999999999997E-2</v>
      </c>
      <c r="N14" s="11">
        <v>8.5000000000000006E-2</v>
      </c>
      <c r="O14" s="11">
        <v>0</v>
      </c>
      <c r="P14">
        <f t="shared" si="2"/>
        <v>0.24606299999999998</v>
      </c>
    </row>
    <row r="15" spans="2:16" x14ac:dyDescent="0.3">
      <c r="B15" s="11">
        <v>0.68</v>
      </c>
      <c r="C15" s="11">
        <v>0.115</v>
      </c>
      <c r="D15" s="11">
        <v>0.08</v>
      </c>
      <c r="E15">
        <v>30</v>
      </c>
      <c r="F15">
        <f t="shared" si="0"/>
        <v>0.37729660000000004</v>
      </c>
      <c r="G15" s="11">
        <v>0.22500000000000001</v>
      </c>
      <c r="H15" s="11">
        <v>5.7000000000000002E-2</v>
      </c>
      <c r="I15" s="11">
        <v>4.8000000000000001E-2</v>
      </c>
      <c r="J15" s="11">
        <v>0</v>
      </c>
      <c r="K15">
        <f t="shared" si="1"/>
        <v>0.18700788000000002</v>
      </c>
      <c r="L15" s="11">
        <v>0.16</v>
      </c>
      <c r="M15" s="11">
        <v>0.06</v>
      </c>
      <c r="N15" s="11">
        <v>0.1</v>
      </c>
      <c r="O15" s="11">
        <v>0</v>
      </c>
      <c r="P15">
        <f t="shared" si="2"/>
        <v>0.19685039999999998</v>
      </c>
    </row>
    <row r="16" spans="2:16" x14ac:dyDescent="0.3">
      <c r="B16" s="11">
        <v>0.70499999999999996</v>
      </c>
      <c r="C16" s="11">
        <v>0.1</v>
      </c>
      <c r="D16" s="11">
        <v>9.6000000000000002E-2</v>
      </c>
      <c r="E16">
        <v>40</v>
      </c>
      <c r="F16">
        <f t="shared" si="0"/>
        <v>0.32808400000000004</v>
      </c>
      <c r="G16" s="11">
        <v>0.23</v>
      </c>
      <c r="H16" s="11">
        <v>0.04</v>
      </c>
      <c r="I16" s="11">
        <v>0.06</v>
      </c>
      <c r="J16" s="11">
        <v>0</v>
      </c>
      <c r="K16">
        <f t="shared" si="1"/>
        <v>0.13123360000000001</v>
      </c>
      <c r="L16" s="11">
        <v>0.17</v>
      </c>
      <c r="M16" s="11">
        <v>0.04</v>
      </c>
      <c r="N16" s="11">
        <v>0.125</v>
      </c>
      <c r="O16" s="11">
        <v>0</v>
      </c>
      <c r="P16">
        <f t="shared" si="2"/>
        <v>0.13123360000000001</v>
      </c>
    </row>
    <row r="17" spans="2:16" x14ac:dyDescent="0.3">
      <c r="B17" s="11">
        <v>0.73</v>
      </c>
      <c r="C17" s="11">
        <v>0.08</v>
      </c>
      <c r="D17" s="11">
        <v>0.11799999999999999</v>
      </c>
      <c r="E17">
        <v>45</v>
      </c>
      <c r="F17">
        <f t="shared" si="0"/>
        <v>0.26246720000000001</v>
      </c>
      <c r="K17">
        <f t="shared" si="1"/>
        <v>0</v>
      </c>
      <c r="P17">
        <f t="shared" si="2"/>
        <v>0</v>
      </c>
    </row>
    <row r="18" spans="2:16" x14ac:dyDescent="0.3">
      <c r="B18" s="11">
        <v>0.74</v>
      </c>
      <c r="C18" s="11">
        <v>7.0000000000000007E-2</v>
      </c>
      <c r="D18" s="11">
        <v>0.128</v>
      </c>
      <c r="E18">
        <v>50</v>
      </c>
      <c r="F18">
        <f t="shared" si="0"/>
        <v>0.22965880000000002</v>
      </c>
      <c r="K18">
        <f t="shared" si="1"/>
        <v>0</v>
      </c>
      <c r="P18">
        <f t="shared" si="2"/>
        <v>0</v>
      </c>
    </row>
    <row r="19" spans="2:16" x14ac:dyDescent="0.3">
      <c r="B19" s="11">
        <v>0.755</v>
      </c>
      <c r="C19" s="11">
        <v>2.5000000000000001E-2</v>
      </c>
      <c r="D19" s="11">
        <v>0.16500000000000001</v>
      </c>
      <c r="F19">
        <f t="shared" si="0"/>
        <v>8.2021000000000011E-2</v>
      </c>
      <c r="K19">
        <f t="shared" si="1"/>
        <v>0</v>
      </c>
      <c r="P19">
        <f t="shared" si="2"/>
        <v>0</v>
      </c>
    </row>
    <row r="22" spans="2:16" x14ac:dyDescent="0.3">
      <c r="B22" t="s">
        <v>68</v>
      </c>
      <c r="C22" t="s">
        <v>69</v>
      </c>
      <c r="D22" t="s">
        <v>70</v>
      </c>
      <c r="G22" t="s">
        <v>68</v>
      </c>
      <c r="H22" t="s">
        <v>69</v>
      </c>
      <c r="I22" t="s">
        <v>70</v>
      </c>
      <c r="L22" t="s">
        <v>68</v>
      </c>
      <c r="M22" t="s">
        <v>69</v>
      </c>
      <c r="N22" t="s">
        <v>70</v>
      </c>
    </row>
    <row r="23" spans="2:16" x14ac:dyDescent="0.3">
      <c r="B23">
        <v>0</v>
      </c>
      <c r="C23">
        <v>0</v>
      </c>
      <c r="D23">
        <v>2</v>
      </c>
      <c r="G23">
        <v>0.56999999999999995</v>
      </c>
      <c r="H23">
        <v>-0.06</v>
      </c>
      <c r="I23">
        <v>0</v>
      </c>
      <c r="L23">
        <v>0.53</v>
      </c>
      <c r="M23">
        <v>-0.06</v>
      </c>
      <c r="N23">
        <v>0</v>
      </c>
      <c r="O23">
        <f>0.02*3.28084</f>
        <v>6.5616800000000003E-2</v>
      </c>
    </row>
    <row r="24" spans="2:16" x14ac:dyDescent="0.3">
      <c r="B24" t="s">
        <v>61</v>
      </c>
      <c r="G24" t="s">
        <v>61</v>
      </c>
      <c r="L24" t="s">
        <v>61</v>
      </c>
    </row>
    <row r="25" spans="2:16" x14ac:dyDescent="0.3">
      <c r="B25" t="s">
        <v>65</v>
      </c>
      <c r="C25" t="s">
        <v>62</v>
      </c>
      <c r="D25" t="s">
        <v>63</v>
      </c>
      <c r="E25" t="s">
        <v>64</v>
      </c>
      <c r="G25" t="s">
        <v>65</v>
      </c>
      <c r="H25" t="s">
        <v>62</v>
      </c>
      <c r="I25" t="s">
        <v>63</v>
      </c>
      <c r="J25" t="s">
        <v>64</v>
      </c>
      <c r="L25" t="s">
        <v>65</v>
      </c>
      <c r="M25" t="s">
        <v>62</v>
      </c>
      <c r="N25" t="s">
        <v>63</v>
      </c>
      <c r="O25" t="s">
        <v>64</v>
      </c>
    </row>
    <row r="26" spans="2:16" x14ac:dyDescent="0.3">
      <c r="B26">
        <v>0</v>
      </c>
      <c r="C26">
        <v>0.19500000000000001</v>
      </c>
      <c r="D26">
        <v>0</v>
      </c>
      <c r="E26">
        <v>0</v>
      </c>
      <c r="F26">
        <f>C26*3.28084</f>
        <v>0.63976379999999999</v>
      </c>
      <c r="G26">
        <v>0</v>
      </c>
      <c r="H26">
        <v>0.105</v>
      </c>
      <c r="I26">
        <v>0</v>
      </c>
      <c r="J26">
        <v>0</v>
      </c>
      <c r="K26">
        <f>H26*3.28084</f>
        <v>0.34448819999999997</v>
      </c>
      <c r="L26">
        <v>0</v>
      </c>
      <c r="M26">
        <v>0.14000000000000001</v>
      </c>
      <c r="N26">
        <v>0</v>
      </c>
      <c r="O26">
        <v>0</v>
      </c>
      <c r="P26">
        <f>M26*3.28084</f>
        <v>0.45931760000000005</v>
      </c>
    </row>
    <row r="27" spans="2:16" x14ac:dyDescent="0.3">
      <c r="B27">
        <v>0.57999999999999996</v>
      </c>
      <c r="C27">
        <v>0.17499999999999999</v>
      </c>
      <c r="D27">
        <v>0.02</v>
      </c>
      <c r="E27">
        <v>25</v>
      </c>
      <c r="F27">
        <f t="shared" ref="F27:F28" si="3">C27*3.28084</f>
        <v>0.57414699999999996</v>
      </c>
      <c r="G27">
        <v>0.13</v>
      </c>
      <c r="H27">
        <v>0.1</v>
      </c>
      <c r="I27">
        <v>0</v>
      </c>
      <c r="J27">
        <v>0</v>
      </c>
      <c r="K27">
        <f>0.06*3.28084</f>
        <v>0.19685039999999998</v>
      </c>
      <c r="L27">
        <v>0.11</v>
      </c>
      <c r="M27">
        <v>0.11</v>
      </c>
      <c r="N27">
        <v>0.03</v>
      </c>
      <c r="O27">
        <v>0</v>
      </c>
      <c r="P27">
        <f>L27*3.28084</f>
        <v>0.3608924</v>
      </c>
    </row>
    <row r="28" spans="2:16" x14ac:dyDescent="0.3">
      <c r="B28">
        <v>0.73</v>
      </c>
      <c r="C28">
        <v>0.09</v>
      </c>
      <c r="D28">
        <v>0.105</v>
      </c>
      <c r="F28">
        <f t="shared" si="3"/>
        <v>0.29527559999999997</v>
      </c>
      <c r="G28">
        <v>0.23</v>
      </c>
      <c r="H28">
        <v>0.05</v>
      </c>
      <c r="I28">
        <v>0.05</v>
      </c>
      <c r="J28">
        <v>0</v>
      </c>
      <c r="K28">
        <f>(G28-0.015)*3.28084</f>
        <v>0.70538060000000002</v>
      </c>
      <c r="L28">
        <v>0.17</v>
      </c>
      <c r="M28">
        <v>0.06</v>
      </c>
      <c r="N28">
        <v>0.08</v>
      </c>
      <c r="O28">
        <v>0</v>
      </c>
      <c r="P28">
        <f>L28*3.28084</f>
        <v>0.55774279999999998</v>
      </c>
    </row>
    <row r="30" spans="2:16" x14ac:dyDescent="0.3">
      <c r="C30">
        <f>ATAN((D27)/(B27))</f>
        <v>3.4469100999508021E-2</v>
      </c>
      <c r="D30">
        <f>C30*180/PI()</f>
        <v>1.9749340108819771</v>
      </c>
      <c r="I30">
        <f>ATAN((I28)/(G28-0.13))</f>
        <v>0.46364760900080609</v>
      </c>
      <c r="J30">
        <f>I30*180/PI()</f>
        <v>26.56505117707799</v>
      </c>
      <c r="M30">
        <f>ATAN((N27)/(L27))</f>
        <v>0.26625204915092532</v>
      </c>
      <c r="N30">
        <f>M30*180/PI()</f>
        <v>15.255118703057775</v>
      </c>
    </row>
    <row r="31" spans="2:16" x14ac:dyDescent="0.3">
      <c r="B31" t="s">
        <v>71</v>
      </c>
      <c r="C31">
        <f>ATAN((D28-D27)/(B28-B27))</f>
        <v>0.51554900745897903</v>
      </c>
      <c r="D31">
        <f>C31*180/PI()</f>
        <v>29.538782259558097</v>
      </c>
      <c r="M31">
        <f>ATAN((N28-N27)/(L28-L27))</f>
        <v>0.69473827619670314</v>
      </c>
      <c r="N31">
        <f>M31*180/PI()</f>
        <v>39.80557109226519</v>
      </c>
    </row>
    <row r="32" spans="2:16" x14ac:dyDescent="0.3">
      <c r="D32" s="16">
        <f>1/6</f>
        <v>0.16666666666666666</v>
      </c>
    </row>
    <row r="39" spans="6:6" x14ac:dyDescent="0.3">
      <c r="F39">
        <f>ACOS(9/10)*180/PI()</f>
        <v>25.841932763167126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0"/>
  <sheetViews>
    <sheetView workbookViewId="0">
      <selection activeCell="K21" sqref="K21"/>
    </sheetView>
  </sheetViews>
  <sheetFormatPr defaultRowHeight="16.5" x14ac:dyDescent="0.3"/>
  <sheetData>
    <row r="3" spans="2:15" x14ac:dyDescent="0.3">
      <c r="B3" t="s">
        <v>0</v>
      </c>
    </row>
    <row r="5" spans="2:15" x14ac:dyDescent="0.3">
      <c r="B5" t="s">
        <v>1</v>
      </c>
      <c r="C5">
        <f>0.8*9.80665</f>
        <v>7.8453200000000001</v>
      </c>
      <c r="F5" t="s">
        <v>1</v>
      </c>
      <c r="G5">
        <f>0.8*9.80665</f>
        <v>7.8453200000000001</v>
      </c>
      <c r="J5" t="s">
        <v>1</v>
      </c>
      <c r="K5">
        <f>0.8*9.80665</f>
        <v>7.8453200000000001</v>
      </c>
      <c r="O5">
        <v>5.97</v>
      </c>
    </row>
    <row r="6" spans="2:15" x14ac:dyDescent="0.3">
      <c r="B6" t="s">
        <v>2</v>
      </c>
      <c r="C6">
        <v>6.5000000000000002E-2</v>
      </c>
      <c r="F6" t="s">
        <v>2</v>
      </c>
      <c r="G6">
        <f>0.155/2</f>
        <v>7.7499999999999999E-2</v>
      </c>
      <c r="J6" t="s">
        <v>2</v>
      </c>
      <c r="K6">
        <v>4.4999999999999998E-2</v>
      </c>
      <c r="O6">
        <v>5.57</v>
      </c>
    </row>
    <row r="7" spans="2:15" x14ac:dyDescent="0.3">
      <c r="B7" t="s">
        <v>4</v>
      </c>
      <c r="C7">
        <v>4.7300000000000004</v>
      </c>
      <c r="F7" t="s">
        <v>5</v>
      </c>
      <c r="G7">
        <v>2.85</v>
      </c>
      <c r="J7" t="s">
        <v>6</v>
      </c>
      <c r="K7">
        <v>5.7408999999999999</v>
      </c>
      <c r="O7">
        <v>5.53</v>
      </c>
    </row>
    <row r="8" spans="2:15" x14ac:dyDescent="0.3">
      <c r="B8" t="s">
        <v>3</v>
      </c>
      <c r="C8">
        <v>0.33500000000000002</v>
      </c>
      <c r="F8" t="s">
        <v>3</v>
      </c>
      <c r="G8">
        <v>0.27500000000000002</v>
      </c>
      <c r="J8" t="s">
        <v>3</v>
      </c>
      <c r="K8">
        <v>0.495</v>
      </c>
      <c r="O8">
        <v>5.96</v>
      </c>
    </row>
    <row r="9" spans="2:15" x14ac:dyDescent="0.3">
      <c r="O9">
        <v>5.54</v>
      </c>
    </row>
    <row r="10" spans="2:15" x14ac:dyDescent="0.3">
      <c r="C10">
        <f>C5*((C6*C7/(2*PI()))^2)/C8</f>
        <v>5.6073170606199929E-2</v>
      </c>
      <c r="G10">
        <f>G5*((G6*G7/(2*PI()))^2)/G8</f>
        <v>3.525424002633968E-2</v>
      </c>
      <c r="K10">
        <f>K5*((K6*K7/(2*PI()))^2)/K8</f>
        <v>2.6793578343328094E-2</v>
      </c>
      <c r="O10">
        <v>5.84</v>
      </c>
    </row>
    <row r="11" spans="2:15" x14ac:dyDescent="0.3">
      <c r="O11">
        <v>5.59</v>
      </c>
    </row>
    <row r="12" spans="2:15" x14ac:dyDescent="0.3">
      <c r="C12">
        <v>5.7000000000000002E-2</v>
      </c>
      <c r="G12">
        <v>3.5000000000000003E-2</v>
      </c>
      <c r="K12">
        <v>2.7E-2</v>
      </c>
      <c r="O12">
        <v>5.73</v>
      </c>
    </row>
    <row r="13" spans="2:15" x14ac:dyDescent="0.3">
      <c r="G13">
        <f>G12/C12</f>
        <v>0.61403508771929827</v>
      </c>
      <c r="K13">
        <f>K12/C12</f>
        <v>0.47368421052631576</v>
      </c>
      <c r="O13">
        <v>5.99</v>
      </c>
    </row>
    <row r="14" spans="2:15" x14ac:dyDescent="0.3">
      <c r="O14">
        <v>5.6</v>
      </c>
    </row>
    <row r="15" spans="2:15" x14ac:dyDescent="0.3">
      <c r="O15">
        <v>5.83</v>
      </c>
    </row>
    <row r="16" spans="2:15" x14ac:dyDescent="0.3">
      <c r="O16">
        <f>AVERAGE(O5:O15)</f>
        <v>5.7409090909090912</v>
      </c>
    </row>
    <row r="19" spans="3:11" x14ac:dyDescent="0.3">
      <c r="C19">
        <v>16</v>
      </c>
      <c r="G19">
        <v>7</v>
      </c>
      <c r="K19">
        <v>12</v>
      </c>
    </row>
    <row r="20" spans="3:11" x14ac:dyDescent="0.3">
      <c r="G20">
        <f>G19/C19</f>
        <v>0.4375</v>
      </c>
      <c r="K20">
        <f>K19/C19</f>
        <v>0.75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topLeftCell="B1" workbookViewId="0">
      <selection activeCell="I9" sqref="I9"/>
    </sheetView>
  </sheetViews>
  <sheetFormatPr defaultRowHeight="16.5" x14ac:dyDescent="0.3"/>
  <cols>
    <col min="2" max="2" width="3.625" customWidth="1"/>
    <col min="6" max="6" width="3.625" customWidth="1"/>
  </cols>
  <sheetData>
    <row r="3" spans="2:8" x14ac:dyDescent="0.3">
      <c r="C3" t="s">
        <v>7</v>
      </c>
    </row>
    <row r="4" spans="2:8" x14ac:dyDescent="0.3">
      <c r="C4" s="7" t="s">
        <v>10</v>
      </c>
      <c r="D4" s="7"/>
      <c r="G4" s="7" t="s">
        <v>11</v>
      </c>
      <c r="H4" s="7"/>
    </row>
    <row r="5" spans="2:8" x14ac:dyDescent="0.3">
      <c r="C5" t="s">
        <v>8</v>
      </c>
      <c r="D5" t="s">
        <v>9</v>
      </c>
      <c r="G5" t="s">
        <v>8</v>
      </c>
      <c r="H5" t="s">
        <v>9</v>
      </c>
    </row>
    <row r="6" spans="2:8" x14ac:dyDescent="0.3">
      <c r="B6" s="1">
        <v>1</v>
      </c>
      <c r="C6">
        <v>-9.3126999999999995</v>
      </c>
      <c r="D6">
        <v>-6.7877999999999998</v>
      </c>
      <c r="F6" s="1">
        <v>1</v>
      </c>
      <c r="G6">
        <v>-15.521100000000001</v>
      </c>
      <c r="H6">
        <v>0</v>
      </c>
    </row>
    <row r="7" spans="2:8" x14ac:dyDescent="0.3">
      <c r="B7" s="1">
        <v>2</v>
      </c>
      <c r="C7">
        <v>-9.3126999999999995</v>
      </c>
      <c r="D7">
        <v>6.7877999999999998</v>
      </c>
      <c r="F7" s="1">
        <v>2</v>
      </c>
      <c r="G7">
        <v>-2.0912000000000002</v>
      </c>
      <c r="H7">
        <v>-7.9476000000000004</v>
      </c>
    </row>
    <row r="8" spans="2:8" x14ac:dyDescent="0.3">
      <c r="B8" s="1">
        <v>3</v>
      </c>
      <c r="C8">
        <v>-2.8999999999999998E-3</v>
      </c>
      <c r="D8">
        <v>-0.9103</v>
      </c>
      <c r="F8" s="1">
        <v>3</v>
      </c>
      <c r="G8">
        <v>-2.0912000000000002</v>
      </c>
      <c r="H8">
        <v>7.9476000000000004</v>
      </c>
    </row>
    <row r="9" spans="2:8" x14ac:dyDescent="0.3">
      <c r="B9" s="1">
        <v>4</v>
      </c>
      <c r="C9">
        <v>-2.8999999999999998E-3</v>
      </c>
      <c r="D9">
        <v>0.9103</v>
      </c>
      <c r="F9" s="1">
        <v>4</v>
      </c>
      <c r="G9">
        <v>6.4500000000000002E-2</v>
      </c>
      <c r="H9">
        <v>0</v>
      </c>
    </row>
    <row r="13" spans="2:8" x14ac:dyDescent="0.3">
      <c r="C13" s="8" t="s">
        <v>12</v>
      </c>
      <c r="D13" s="9"/>
    </row>
    <row r="14" spans="2:8" x14ac:dyDescent="0.3">
      <c r="C14" s="2" t="s">
        <v>13</v>
      </c>
      <c r="D14" s="3" t="s">
        <v>14</v>
      </c>
    </row>
    <row r="15" spans="2:8" x14ac:dyDescent="0.3">
      <c r="C15" s="4">
        <f>SQRT(C6^2+D6^2)</f>
        <v>11.523914705081776</v>
      </c>
      <c r="D15" s="5"/>
    </row>
    <row r="16" spans="2:8" x14ac:dyDescent="0.3">
      <c r="C16" s="6"/>
      <c r="D16" s="6"/>
    </row>
    <row r="18" spans="3:4" x14ac:dyDescent="0.3">
      <c r="C18" s="8" t="s">
        <v>15</v>
      </c>
      <c r="D18" s="9"/>
    </row>
    <row r="19" spans="3:4" x14ac:dyDescent="0.3">
      <c r="C19" s="2"/>
      <c r="D19" s="3"/>
    </row>
    <row r="20" spans="3:4" x14ac:dyDescent="0.3">
      <c r="C20" s="4"/>
      <c r="D20" s="5"/>
    </row>
  </sheetData>
  <mergeCells count="4">
    <mergeCell ref="C4:D4"/>
    <mergeCell ref="G4:H4"/>
    <mergeCell ref="C13:D13"/>
    <mergeCell ref="C18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GeneralSpec</vt:lpstr>
      <vt:lpstr>WingSpec</vt:lpstr>
      <vt:lpstr>Inertia_Bixer2</vt:lpstr>
      <vt:lpstr>Wn_zeta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</dc:creator>
  <cp:lastModifiedBy>Cfp</cp:lastModifiedBy>
  <dcterms:created xsi:type="dcterms:W3CDTF">2015-12-24T01:16:44Z</dcterms:created>
  <dcterms:modified xsi:type="dcterms:W3CDTF">2015-12-27T16:51:18Z</dcterms:modified>
</cp:coreProperties>
</file>