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MergersAcquisitions764/Shared Documents/General/"/>
    </mc:Choice>
  </mc:AlternateContent>
  <xr:revisionPtr revIDLastSave="554" documentId="11_FD7B8459453BFF0ADB4C486395B790922C73EDFD" xr6:coauthVersionLast="45" xr6:coauthVersionMax="45" xr10:uidLastSave="{B2F95886-132E-4E62-8783-44EA1E46CE3B}"/>
  <bookViews>
    <workbookView minimized="1" xWindow="4824" yWindow="0" windowWidth="18048" windowHeight="12360" firstSheet="4" activeTab="4" xr2:uid="{00000000-000D-0000-FFFF-FFFF00000000}"/>
  </bookViews>
  <sheets>
    <sheet name="DCF+5m synergy below" sheetId="2" r:id="rId1"/>
    <sheet name="Market and Humana" sheetId="4" r:id="rId2"/>
    <sheet name="Additional calc" sheetId="3" r:id="rId3"/>
    <sheet name="Multiples" sheetId="5" r:id="rId4"/>
    <sheet name="undervalue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6" l="1"/>
  <c r="H84" i="2"/>
  <c r="G84" i="2"/>
  <c r="H56" i="2"/>
  <c r="H3" i="6"/>
  <c r="H5" i="6"/>
  <c r="F4" i="6"/>
  <c r="J4" i="6"/>
  <c r="J6" i="6"/>
  <c r="J5" i="6"/>
  <c r="J3" i="6"/>
  <c r="B5" i="6"/>
  <c r="B7" i="6"/>
  <c r="C33" i="2"/>
  <c r="C32" i="2"/>
  <c r="C27" i="2"/>
  <c r="D17" i="2"/>
  <c r="D10" i="2"/>
  <c r="D11" i="2"/>
  <c r="D8" i="2"/>
  <c r="G7" i="2"/>
  <c r="D6" i="2"/>
  <c r="C6" i="2"/>
  <c r="G5" i="2"/>
  <c r="H5" i="2"/>
  <c r="H4" i="2"/>
  <c r="G4" i="2"/>
  <c r="D56" i="2"/>
  <c r="H14" i="2" l="1"/>
  <c r="H65" i="2"/>
  <c r="L15" i="3"/>
  <c r="D61" i="2"/>
  <c r="D63" i="2" s="1"/>
  <c r="D68" i="2" s="1"/>
  <c r="D72" i="2" s="1"/>
  <c r="F56" i="2"/>
  <c r="E56" i="2"/>
  <c r="D50" i="2"/>
  <c r="H78" i="2"/>
  <c r="G54" i="2"/>
  <c r="G78" i="2"/>
  <c r="F78" i="2"/>
  <c r="E78" i="2"/>
  <c r="D78" i="2"/>
  <c r="C78" i="2"/>
  <c r="D64" i="2"/>
  <c r="D66" i="2"/>
  <c r="D70" i="2"/>
  <c r="E61" i="2"/>
  <c r="E63" i="2"/>
  <c r="E64" i="2"/>
  <c r="E66" i="2"/>
  <c r="E68" i="2"/>
  <c r="E70" i="2"/>
  <c r="E72" i="2"/>
  <c r="F61" i="2"/>
  <c r="F63" i="2"/>
  <c r="F64" i="2"/>
  <c r="F66" i="2"/>
  <c r="F68" i="2"/>
  <c r="F70" i="2"/>
  <c r="F72" i="2"/>
  <c r="G58" i="2"/>
  <c r="G64" i="2"/>
  <c r="G66" i="2"/>
  <c r="G70" i="2"/>
  <c r="H58" i="2"/>
  <c r="H64" i="2"/>
  <c r="H66" i="2"/>
  <c r="H70" i="2"/>
  <c r="F62" i="2"/>
  <c r="E62" i="2"/>
  <c r="D62" i="2"/>
  <c r="H59" i="2"/>
  <c r="G59" i="2"/>
  <c r="F59" i="2"/>
  <c r="E59" i="2"/>
  <c r="D59" i="2"/>
  <c r="F57" i="2"/>
  <c r="E57" i="2"/>
  <c r="D57" i="2"/>
  <c r="C57" i="2"/>
  <c r="H55" i="2"/>
  <c r="G55" i="2"/>
  <c r="F55" i="2"/>
  <c r="E55" i="2"/>
  <c r="D55" i="2"/>
  <c r="C50" i="2"/>
  <c r="G8" i="2"/>
  <c r="D12" i="2"/>
  <c r="D21" i="2"/>
  <c r="E12" i="2"/>
  <c r="E17" i="2"/>
  <c r="E21" i="2"/>
  <c r="F12" i="2"/>
  <c r="F17" i="2"/>
  <c r="F21" i="2"/>
  <c r="D19" i="2"/>
  <c r="E19" i="2"/>
  <c r="F19" i="2"/>
  <c r="G19" i="2"/>
  <c r="H19" i="2"/>
  <c r="G13" i="2"/>
  <c r="H13" i="2"/>
  <c r="F13" i="2"/>
  <c r="F11" i="2"/>
  <c r="F10" i="2"/>
  <c r="H8" i="2"/>
  <c r="H7" i="2"/>
  <c r="L8" i="2"/>
  <c r="E8" i="2"/>
  <c r="F8" i="2"/>
  <c r="L6" i="2"/>
  <c r="D27" i="2"/>
  <c r="E27" i="2"/>
  <c r="E15" i="2"/>
  <c r="F15" i="2"/>
  <c r="G27" i="2"/>
  <c r="G15" i="2"/>
  <c r="H27" i="2"/>
  <c r="H15" i="2"/>
  <c r="D15" i="2"/>
  <c r="F27" i="2"/>
  <c r="E13" i="2"/>
  <c r="D13" i="2"/>
  <c r="E11" i="2"/>
  <c r="E10" i="2"/>
  <c r="E6" i="2"/>
  <c r="F6" i="2"/>
  <c r="E4" i="2"/>
  <c r="F4" i="2"/>
  <c r="D4" i="2"/>
  <c r="G3" i="2"/>
  <c r="C13" i="3"/>
  <c r="D13" i="3"/>
  <c r="E13" i="3"/>
  <c r="F13" i="3"/>
  <c r="G13" i="3"/>
  <c r="H13" i="3"/>
  <c r="I13" i="3"/>
  <c r="B13" i="3"/>
  <c r="C10" i="3"/>
  <c r="D10" i="3"/>
  <c r="E10" i="3"/>
  <c r="F10" i="3"/>
  <c r="G10" i="3"/>
  <c r="H10" i="3"/>
  <c r="I10" i="3"/>
  <c r="B10" i="3"/>
  <c r="C8" i="3"/>
  <c r="D8" i="3"/>
  <c r="E8" i="3"/>
  <c r="F8" i="3"/>
  <c r="G8" i="3"/>
  <c r="H8" i="3"/>
  <c r="I8" i="3"/>
  <c r="B8" i="3"/>
  <c r="G56" i="2"/>
  <c r="H10" i="2"/>
  <c r="H6" i="2"/>
  <c r="G10" i="2"/>
  <c r="G6" i="2"/>
  <c r="G61" i="2"/>
  <c r="G57" i="2"/>
  <c r="H61" i="2"/>
  <c r="H57" i="2"/>
  <c r="H63" i="2"/>
  <c r="H68" i="2"/>
  <c r="H62" i="2"/>
  <c r="G63" i="2"/>
  <c r="G68" i="2"/>
  <c r="G72" i="2"/>
  <c r="G62" i="2"/>
  <c r="G12" i="2"/>
  <c r="G17" i="2"/>
  <c r="G21" i="2"/>
  <c r="G11" i="2"/>
  <c r="H12" i="2"/>
  <c r="H17" i="2"/>
  <c r="H11" i="2"/>
  <c r="H21" i="2"/>
  <c r="D32" i="2"/>
  <c r="E32" i="2"/>
  <c r="D22" i="2"/>
  <c r="E42" i="2" s="1"/>
  <c r="D83" i="2"/>
  <c r="E83" i="2"/>
  <c r="C83" i="2"/>
  <c r="H72" i="2"/>
  <c r="D73" i="2" l="1"/>
  <c r="D41" i="2"/>
  <c r="D34" i="2"/>
  <c r="D33" i="2" s="1"/>
  <c r="E44" i="2"/>
  <c r="E34" i="2"/>
  <c r="E33" i="2" s="1"/>
  <c r="D44" i="2"/>
  <c r="C34" i="2"/>
  <c r="E41" i="2"/>
  <c r="F44" i="2"/>
  <c r="D40" i="2"/>
  <c r="F43" i="2"/>
  <c r="F42" i="2"/>
  <c r="D42" i="2"/>
  <c r="E40" i="2"/>
  <c r="E43" i="2"/>
  <c r="F40" i="2"/>
  <c r="D43" i="2"/>
  <c r="F41" i="2"/>
  <c r="I84" i="2"/>
  <c r="F92" i="2"/>
  <c r="E95" i="2"/>
  <c r="M95" i="2" s="1"/>
  <c r="D93" i="2"/>
  <c r="L93" i="2" s="1"/>
  <c r="F95" i="2"/>
  <c r="N95" i="2" s="1"/>
  <c r="D85" i="2"/>
  <c r="D84" i="2" s="1"/>
  <c r="F91" i="2"/>
  <c r="N91" i="2" s="1"/>
  <c r="D91" i="2"/>
  <c r="E93" i="2"/>
  <c r="M93" i="2" s="1"/>
  <c r="E91" i="2"/>
  <c r="M91" i="2" s="1"/>
  <c r="F93" i="2"/>
  <c r="N93" i="2" s="1"/>
  <c r="D94" i="2"/>
  <c r="L94" i="2" s="1"/>
  <c r="D92" i="2"/>
  <c r="L92" i="2" s="1"/>
  <c r="F94" i="2"/>
  <c r="E92" i="2"/>
  <c r="D95" i="2"/>
  <c r="E94" i="2"/>
  <c r="M94" i="2" s="1"/>
  <c r="C85" i="2" l="1"/>
  <c r="C84" i="2" s="1"/>
  <c r="E85" i="2"/>
  <c r="E84" i="2" s="1"/>
  <c r="N92" i="2"/>
  <c r="N94" i="2"/>
  <c r="L95" i="2"/>
  <c r="M92" i="2"/>
  <c r="L9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tc={36C6CA06-2D39-454B-B55A-B706D06D41D7}</author>
    <author>tc={5D7C7E0C-7B07-46C4-AC68-A592F3548271}</author>
    <author>tc={3E7198BB-7BA2-4199-BE43-55EA0812A8A1}</author>
    <author>tc={1B9B13F1-EF1C-406C-804F-9FBACBB59D80}</author>
    <author>tc={BEDD65D8-4867-409B-8698-C6A0C4C00AA8}</author>
    <author>tc={A2268F7E-4225-47BD-B10E-E0C6CE3A5E5A}</author>
    <author>tc={3183273A-FBB5-4508-89E7-B2ACC8B5CFD9}</author>
    <author>tc={5A967692-A200-4E81-B084-B89B0A707E75}</author>
    <author>tc={C038FE63-F3A1-4A00-9343-56343C081AC9}</author>
    <author>tc={93C7C8A2-0232-4999-8544-2C343D02DA18}</author>
    <author>tc={17B1DC1F-17C4-43BA-A1C6-D04E989019F9}</author>
    <author>tc={4B6A42FB-DC67-49C5-83F4-6B08543C4218}</author>
  </authors>
  <commentList>
    <comment ref="B4" authorId="0" shapeId="0" xr:uid="{36C6CA06-2D39-454B-B55A-B706D06D41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Nordea research suggests 2,58% CAGR in 2020-2025. In order to achieve this we know that the 2024E sales have to be 8481,3 in order to achieve the same CAGR</t>
      </text>
    </comment>
    <comment ref="B5" authorId="1" shapeId="0" xr:uid="{5D7C7E0C-7B07-46C4-AC68-A592F3548271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2020E-2022E is according to Nordea research 2023E-2024E are 2022E values with growth of average rate of change.</t>
      </text>
    </comment>
    <comment ref="B7" authorId="2" shapeId="0" xr:uid="{3E7198BB-7BA2-4199-BE43-55EA0812A8A1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2020E-2022E is according to Nordea research 2023E-2024E are 2022E values with growth of average rate of change.</t>
      </text>
    </comment>
    <comment ref="B11" authorId="3" shapeId="0" xr:uid="{1B9B13F1-EF1C-406C-804F-9FBACBB59D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Nordea research expects a 6,6% for 2020-2025 period. Based on past EBIT margins this seems high, but plausible</t>
      </text>
    </comment>
    <comment ref="B14" authorId="4" shapeId="0" xr:uid="{BEDD65D8-4867-409B-8698-C6A0C4C0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do we get these? I can't find these from Nordea report or annual report for Humana
Reply:
    page 9/11 on Nordea has cash flow statement, which includes CAPEX and investments
Reply:
    I could be blind, but on page 9 there is no investment items, just capex, but on page 8 there is invested capital, which I could use, but the numbers that come out of that make no sense here</t>
      </text>
    </comment>
    <comment ref="B26" authorId="5" shapeId="0" xr:uid="{A2268F7E-4225-47BD-B10E-E0C6CE3A5E5A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2020-2025 Nordea research predicts NWC/sales to be -4%. According to calc on past seems reasonable assumption.</t>
      </text>
    </comment>
    <comment ref="B55" authorId="6" shapeId="0" xr:uid="{3183273A-FBB5-4508-89E7-B2ACC8B5CFD9}">
      <text>
        <t>[Threaded comment]
Your version of Excel allows you to read this threaded comment; however, any edits to it will get removed if the file is opened in a newer version of Excel. Learn more: https://go.microsoft.com/fwlink/?linkid=870924
Comment:
    Nordea research suggests 2,58% CAGR in 2020-2025. In order to achieve this we know that the 2024E sales have to be 8481,3 in order to achieve the same CAGR</t>
      </text>
    </comment>
    <comment ref="B56" authorId="7" shapeId="0" xr:uid="{5A967692-A200-4E81-B084-B89B0A707E75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2020E-2022E is according to Nordea research 2023E-2024E are 2022E values with growth of average rate of change.</t>
      </text>
    </comment>
    <comment ref="B58" authorId="8" shapeId="0" xr:uid="{C038FE63-F3A1-4A00-9343-56343C081AC9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2020E-2022E is according to Nordea research 2023E-2024E are 2022E values with growth of average rate of change.</t>
      </text>
    </comment>
    <comment ref="B62" authorId="9" shapeId="0" xr:uid="{93C7C8A2-0232-4999-8544-2C343D02D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Nordea research expects a 6,6% for 2020-2025 period. Based on past EBIT margins this seems high, but plausible</t>
      </text>
    </comment>
    <comment ref="B65" authorId="10" shapeId="0" xr:uid="{17B1DC1F-17C4-43BA-A1C6-D04E989019F9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do we get these? I can't find these from Nordea report or annual report for Humana
Reply:
    page 9/11 on Nordea has cash flow statement, which includes CAPEX and investments
Reply:
    I could be blind, but on page 9 there is no investment items, just capex, but on page 8 there is invested capital, which I could use, but the numbers that come out of that make no sense here</t>
      </text>
    </comment>
    <comment ref="B77" authorId="11" shapeId="0" xr:uid="{4B6A42FB-DC67-49C5-83F4-6B08543C4218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2020-2025 Nordea research predicts NWC/sales to be -4%. According to calc on past seems reasonable assumption.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tc={717FBD08-A62C-47F2-AD65-6746B2E95092}</author>
    <author>tc={4CD7F3F4-32B8-4E7F-9435-7CDC91FE0B85}</author>
    <author>ThinkPad</author>
  </authors>
  <commentList>
    <comment ref="B3" authorId="0" shapeId="0" xr:uid="{717FBD08-A62C-47F2-AD65-6746B2E95092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do you get this?</t>
      </text>
    </comment>
    <comment ref="H3" authorId="1" shapeId="0" xr:uid="{4CD7F3F4-32B8-4E7F-9435-7CDC91FE0B85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 am not 100% sure about the best practice if we should add current and non-current or just get non-current? I think the correct way is to calc both like here</t>
      </text>
    </comment>
    <comment ref="A4" authorId="2" shapeId="0" xr:uid="{BF8BA72C-7C02-4102-AE41-0D1F2DCC9159}">
      <text>
        <r>
          <rPr>
            <b/>
            <sz val="9"/>
            <color indexed="81"/>
            <rFont val="Tahoma"/>
            <family val="2"/>
          </rPr>
          <t>ThinkPad:</t>
        </r>
        <r>
          <rPr>
            <sz val="9"/>
            <color indexed="81"/>
            <rFont val="Tahoma"/>
            <family val="2"/>
          </rPr>
          <t xml:space="preserve">
same page 
</t>
        </r>
      </text>
    </comment>
  </commentList>
</comments>
</file>

<file path=xl/sharedStrings.xml><?xml version="1.0" encoding="utf-8"?>
<sst xmlns="http://schemas.openxmlformats.org/spreadsheetml/2006/main" count="123" uniqueCount="77">
  <si>
    <t>SEKm</t>
  </si>
  <si>
    <t>2019A</t>
  </si>
  <si>
    <t>2020E</t>
  </si>
  <si>
    <t>2021E</t>
  </si>
  <si>
    <t>2022E</t>
  </si>
  <si>
    <t>2023E</t>
  </si>
  <si>
    <t>2024E</t>
  </si>
  <si>
    <t>Sales</t>
  </si>
  <si>
    <t>% growth</t>
  </si>
  <si>
    <t>EBITDA</t>
  </si>
  <si>
    <t>% margin</t>
  </si>
  <si>
    <t>Average EBITDA % margin 2019A-2022E</t>
  </si>
  <si>
    <t>Depreciation</t>
  </si>
  <si>
    <t>YoY change</t>
    <phoneticPr fontId="4" type="noConversion"/>
  </si>
  <si>
    <t>Average rate of change in depreciation 2020E-2022E</t>
  </si>
  <si>
    <t>EBIT</t>
  </si>
  <si>
    <t>Taxes</t>
  </si>
  <si>
    <t>Investments</t>
  </si>
  <si>
    <t>Changes in NWC</t>
  </si>
  <si>
    <t>Free Cash Flow</t>
  </si>
  <si>
    <t>Discount factor</t>
  </si>
  <si>
    <t>PV of FCF</t>
  </si>
  <si>
    <t>Total PV of FCF from 1-5</t>
  </si>
  <si>
    <t>Tax rate Sweden</t>
  </si>
  <si>
    <t>NWC % of sales</t>
  </si>
  <si>
    <t>NWC level</t>
  </si>
  <si>
    <t>WACC Nordea estimate</t>
  </si>
  <si>
    <t>Terminal value</t>
  </si>
  <si>
    <t>% of EV</t>
  </si>
  <si>
    <t>Total EV (SEKm)</t>
  </si>
  <si>
    <t>EV</t>
  </si>
  <si>
    <t>WACC</t>
  </si>
  <si>
    <t>WACC range +- 1 pp</t>
  </si>
  <si>
    <t>Terminal Growth</t>
  </si>
  <si>
    <t>5 EURm synergy calculated in</t>
  </si>
  <si>
    <t>21/11/2020 EUR/SEK</t>
  </si>
  <si>
    <t>Synergy is added to EBITDA</t>
  </si>
  <si>
    <t>YoY change</t>
  </si>
  <si>
    <t>Difference to previous</t>
  </si>
  <si>
    <t>Total current assets</t>
  </si>
  <si>
    <t>Total current liabilities</t>
  </si>
  <si>
    <t>NWC</t>
  </si>
  <si>
    <t>Acquisitions</t>
  </si>
  <si>
    <t>average</t>
  </si>
  <si>
    <t>Area</t>
  </si>
  <si>
    <t>shares</t>
  </si>
  <si>
    <t>shareprice</t>
  </si>
  <si>
    <t>Interest bearing debt</t>
  </si>
  <si>
    <t>Cash and cash equivalents</t>
  </si>
  <si>
    <t>EV/EBITDA</t>
  </si>
  <si>
    <t>EV/EBIT</t>
  </si>
  <si>
    <t>P/E</t>
  </si>
  <si>
    <t>Nordics</t>
  </si>
  <si>
    <t>Attendo (2019)</t>
  </si>
  <si>
    <t>SEK</t>
  </si>
  <si>
    <t>millions</t>
  </si>
  <si>
    <t>https://www.attendo.com/49672d/siteassets/attendo-com/dokument/annual-report/attendo_ar2019_eng200330.pdf</t>
  </si>
  <si>
    <t>Terveystalo (2019)</t>
  </si>
  <si>
    <t>EUR</t>
  </si>
  <si>
    <t>https://www.terveystalo.com/Global/Vuosikertomus%202019/Terveystalo_Annual_Review_2019.pdf</t>
  </si>
  <si>
    <t>European</t>
  </si>
  <si>
    <t>Enterprise value based on DCF</t>
    <phoneticPr fontId="4" type="noConversion"/>
  </si>
  <si>
    <t>Current market value (approx)</t>
  </si>
  <si>
    <t>debt</t>
    <phoneticPr fontId="4" type="noConversion"/>
  </si>
  <si>
    <t>According to note G17 (liabilities)</t>
  </si>
  <si>
    <t>cash</t>
    <phoneticPr fontId="4" type="noConversion"/>
  </si>
  <si>
    <t>Oct 30 2020 shareprise</t>
  </si>
  <si>
    <t>Equity value</t>
    <phoneticPr fontId="4" type="noConversion"/>
  </si>
  <si>
    <t># of share</t>
    <phoneticPr fontId="4" type="noConversion"/>
  </si>
  <si>
    <t>price per share</t>
    <phoneticPr fontId="4" type="noConversion"/>
  </si>
  <si>
    <t>*not much of a difference from DCF 6396</t>
  </si>
  <si>
    <t>-&gt; market values pretty correctly</t>
  </si>
  <si>
    <t>current price</t>
    <phoneticPr fontId="4" type="noConversion"/>
  </si>
  <si>
    <t>source:</t>
    <phoneticPr fontId="4" type="noConversion"/>
  </si>
  <si>
    <t>https://finance.yahoo.com/quote/HUM.ST?p=HUM.ST&amp;.tsrc=fin-srch</t>
  </si>
  <si>
    <t xml:space="preserve">leaves little room for premium </t>
  </si>
  <si>
    <t>… but also just our rough dcf estimate using pull out of the hat assumptions based on random nordea research report that also gives as good of a explanation for their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</si>
</sst>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0.0"/>
    <numFmt numFmtId="166" formatCode="0.0000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9" fontId="0" fillId="0" borderId="0" xfId="0" applyNumberFormat="1"/>
    <xf numFmtId="0" fontId="3" fillId="0" borderId="0" xfId="0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166" fontId="0" fillId="0" borderId="0" xfId="0" applyNumberFormat="1"/>
    <xf numFmtId="3" fontId="0" fillId="0" borderId="0" xfId="0" applyNumberFormat="1"/>
    <xf numFmtId="4" fontId="0" fillId="0" borderId="0" xfId="0" applyNumberFormat="1"/>
    <xf numFmtId="0" fontId="8" fillId="0" borderId="0" xfId="0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ygrén Miiro" id="{2B7970AE-C8E8-43DD-B974-A54BB0D66F97}" userId="Nygrén Miiro" providerId="None"/>
  <person displayName="Utriainen Ville-Einari" id="{ACDFA7C8-D74B-4143-8558-57B1DB8924A8}" userId="S::ville-einari.utriainen@aalto.fi::82f6d6a2-f8fb-4ef5-a7fa-04b4bb6d83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11-19T16:09:22.47" personId="{2B7970AE-C8E8-43DD-B974-A54BB0D66F97}" id="{36C6CA06-2D39-454B-B55A-B706D06D41D7}">
    <text>Nordea research suggests 2,58% CAGR in 2020-2025. In order to achieve this we know that the 2024E sales have to be 8481,3 in order to achieve the same CAGR</text>
  </threadedComment>
  <threadedComment ref="B5" dT="2020-11-19T18:04:35.89" personId="{2B7970AE-C8E8-43DD-B974-A54BB0D66F97}" id="{5D7C7E0C-7B07-46C4-AC68-A592F3548271}">
    <text>2020E-2022E is according to Nordea research 2023E-2024E are 2022E values with growth of average rate of change.</text>
  </threadedComment>
  <threadedComment ref="B7" dT="2020-11-19T18:04:42.35" personId="{2B7970AE-C8E8-43DD-B974-A54BB0D66F97}" id="{3E7198BB-7BA2-4199-BE43-55EA0812A8A1}">
    <text>2020E-2022E is according to Nordea research 2023E-2024E are 2022E values with growth of average rate of change.</text>
  </threadedComment>
  <threadedComment ref="B11" dT="2020-11-19T16:12:33.21" personId="{2B7970AE-C8E8-43DD-B974-A54BB0D66F97}" id="{1B9B13F1-EF1C-406C-804F-9FBACBB59D80}">
    <text>Here Nordea research expects a 6,6% for 2020-2025 period. Based on past EBIT margins this seems high, but plausible</text>
  </threadedComment>
  <threadedComment ref="B14" dT="2020-11-19T18:08:45.92" personId="{2B7970AE-C8E8-43DD-B974-A54BB0D66F97}" id="{BEDD65D8-4867-409B-8698-C6A0C4C00AA8}">
    <text>Where do we get these? I can't find these from Nordea report or annual report for Humana</text>
  </threadedComment>
  <threadedComment ref="B14" dT="2020-11-21T11:55:24.55" personId="{ACDFA7C8-D74B-4143-8558-57B1DB8924A8}" id="{D636BE5A-A77A-4BF4-BFAC-959D2A2E5065}" parentId="{BEDD65D8-4867-409B-8698-C6A0C4C00AA8}">
    <text xml:space="preserve">page 9/11 on Nordea has cash flow statement, which includes CAPEX and investments
</text>
  </threadedComment>
  <threadedComment ref="B14" dT="2020-11-21T13:51:10.97" personId="{2B7970AE-C8E8-43DD-B974-A54BB0D66F97}" id="{43657135-CBC8-4D06-8F54-A118F6CE1E42}" parentId="{BEDD65D8-4867-409B-8698-C6A0C4C00AA8}">
    <text>I could be blind, but on page 9 there is no investment items, just capex, but on page 8 there is invested capital, which I could use, but the numbers that come out of that make no sense here</text>
  </threadedComment>
  <threadedComment ref="B26" dT="2020-11-19T16:08:55.77" personId="{2B7970AE-C8E8-43DD-B974-A54BB0D66F97}" id="{A2268F7E-4225-47BD-B10E-E0C6CE3A5E5A}">
    <text>2020-2025 Nordea research predicts NWC/sales to be -4%. According to calc on past seems reasonable assumption.</text>
  </threadedComment>
  <threadedComment ref="B55" dT="2020-11-19T16:09:22.47" personId="{2B7970AE-C8E8-43DD-B974-A54BB0D66F97}" id="{3183273A-FBB5-4508-89E7-B2ACC8B5CFD9}">
    <text>Nordea research suggests 2,58% CAGR in 2020-2025. In order to achieve this we know that the 2024E sales have to be 8481,3 in order to achieve the same CAGR</text>
  </threadedComment>
  <threadedComment ref="B56" dT="2020-11-19T18:04:35.89" personId="{2B7970AE-C8E8-43DD-B974-A54BB0D66F97}" id="{5A967692-A200-4E81-B084-B89B0A707E75}">
    <text>2020E-2022E is according to Nordea research 2023E-2024E are 2022E values with growth of average rate of change.</text>
  </threadedComment>
  <threadedComment ref="B58" dT="2020-11-19T18:04:42.35" personId="{2B7970AE-C8E8-43DD-B974-A54BB0D66F97}" id="{C038FE63-F3A1-4A00-9343-56343C081AC9}">
    <text>2020E-2022E is according to Nordea research 2023E-2024E are 2022E values with growth of average rate of change.</text>
  </threadedComment>
  <threadedComment ref="B62" dT="2020-11-19T16:12:33.21" personId="{2B7970AE-C8E8-43DD-B974-A54BB0D66F97}" id="{93C7C8A2-0232-4999-8544-2C343D02DA18}">
    <text>Here Nordea research expects a 6,6% for 2020-2025 period. Based on past EBIT margins this seems high, but plausible</text>
  </threadedComment>
  <threadedComment ref="B65" dT="2020-11-19T18:08:45.92" personId="{2B7970AE-C8E8-43DD-B974-A54BB0D66F97}" id="{17B1DC1F-17C4-43BA-A1C6-D04E989019F9}">
    <text>Where do we get these? I can't find these from Nordea report or annual report for Humana</text>
  </threadedComment>
  <threadedComment ref="B65" dT="2020-11-21T11:55:24.55" personId="{ACDFA7C8-D74B-4143-8558-57B1DB8924A8}" id="{3719D7AE-4FD3-4DBB-A119-187117C282A4}" parentId="{17B1DC1F-17C4-43BA-A1C6-D04E989019F9}">
    <text xml:space="preserve">page 9/11 on Nordea has cash flow statement, which includes CAPEX and investments
</text>
  </threadedComment>
  <threadedComment ref="B65" dT="2020-11-21T13:51:10.97" personId="{2B7970AE-C8E8-43DD-B974-A54BB0D66F97}" id="{84162575-B1C5-4C08-9914-CA8DB669576F}" parentId="{17B1DC1F-17C4-43BA-A1C6-D04E989019F9}">
    <text>I could be blind, but on page 9 there is no investment items, just capex, but on page 8 there is invested capital, which I could use, but the numbers that come out of that make no sense here</text>
  </threadedComment>
  <threadedComment ref="B77" dT="2020-11-19T16:08:55.77" personId="{2B7970AE-C8E8-43DD-B974-A54BB0D66F97}" id="{4B6A42FB-DC67-49C5-83F4-6B08543C4218}">
    <text>2020-2025 Nordea research predicts NWC/sales to be -4%. According to calc on past seems reasonable assumption.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0-11-25T17:44:07.26" personId="{2B7970AE-C8E8-43DD-B974-A54BB0D66F97}" id="{717FBD08-A62C-47F2-AD65-6746B2E95092}">
    <text>Where do you get this?</text>
  </threadedComment>
  <threadedComment ref="H3" dT="2020-11-25T17:47:39.42" personId="{2B7970AE-C8E8-43DD-B974-A54BB0D66F97}" id="{4CD7F3F4-32B8-4E7F-9435-7CDC91FE0B85}">
    <text>Here I am not 100% sure about the best practice if we should add current and non-current or just get non-current? I think the correct way is to calc both like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C99E-2C99-4303-B81E-D8E68263E746}">
  <dimension ref="B1:V96"/>
  <sheetViews>
    <sheetView workbookViewId="0">
      <selection activeCell="J80" sqref="J80"/>
    </sheetView>
  </sheetViews>
  <sheetFormatPr defaultRowHeight="13.9"/>
  <cols>
    <col min="2" max="2" width="27" bestFit="1" customWidth="1"/>
    <col min="3" max="3" width="10.125" customWidth="1"/>
    <col min="4" max="8" width="10.5" bestFit="1" customWidth="1"/>
    <col min="11" max="11" width="47.5" bestFit="1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12"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2:12">
      <c r="B3" t="s">
        <v>7</v>
      </c>
      <c r="C3" s="9">
        <v>7467</v>
      </c>
      <c r="D3" s="9">
        <v>7771</v>
      </c>
      <c r="E3" s="9">
        <v>7966</v>
      </c>
      <c r="F3" s="9">
        <v>8185</v>
      </c>
      <c r="G3" s="9">
        <f>F3*1.0258</f>
        <v>8396.1730000000007</v>
      </c>
      <c r="H3" s="9">
        <v>8481.2999999999993</v>
      </c>
    </row>
    <row r="4" spans="2:12">
      <c r="B4" s="7" t="s">
        <v>8</v>
      </c>
      <c r="C4" s="1">
        <v>0.11</v>
      </c>
      <c r="D4" s="5">
        <f>D3/C3-1</f>
        <v>4.0712468193384144E-2</v>
      </c>
      <c r="E4" s="5">
        <f t="shared" ref="E4:H4" si="0">E3/D3-1</f>
        <v>2.5093295586153586E-2</v>
      </c>
      <c r="F4" s="5">
        <f t="shared" si="0"/>
        <v>2.7491840321365757E-2</v>
      </c>
      <c r="G4" s="5">
        <f>G3/F3-1</f>
        <v>2.5800000000000045E-2</v>
      </c>
      <c r="H4" s="5">
        <f>H3/G3-1</f>
        <v>1.0138785849219456E-2</v>
      </c>
    </row>
    <row r="5" spans="2:12">
      <c r="B5" t="s">
        <v>9</v>
      </c>
      <c r="C5" s="9">
        <v>699</v>
      </c>
      <c r="D5" s="9">
        <v>810</v>
      </c>
      <c r="E5" s="9">
        <v>871</v>
      </c>
      <c r="F5" s="9">
        <v>938</v>
      </c>
      <c r="G5" s="9">
        <f>G3*$L$6</f>
        <v>885.34527879065388</v>
      </c>
      <c r="H5" s="9">
        <f>H3*$L$6</f>
        <v>894.32160497492987</v>
      </c>
    </row>
    <row r="6" spans="2:12">
      <c r="B6" s="7" t="s">
        <v>10</v>
      </c>
      <c r="C6" s="5">
        <f>C5/C3</f>
        <v>9.361189232623543E-2</v>
      </c>
      <c r="D6" s="5">
        <f>D5/D3</f>
        <v>0.104233689357869</v>
      </c>
      <c r="E6" s="5">
        <f t="shared" ref="D6:F6" si="1">E5/E3</f>
        <v>0.10933969369821743</v>
      </c>
      <c r="F6" s="5">
        <f t="shared" si="1"/>
        <v>0.11459987782529016</v>
      </c>
      <c r="G6" s="5">
        <f t="shared" ref="G6" si="2">G5/G3</f>
        <v>0.105446288301903</v>
      </c>
      <c r="H6" s="5">
        <f t="shared" ref="H6" si="3">H5/H3</f>
        <v>0.105446288301903</v>
      </c>
      <c r="K6" t="s">
        <v>11</v>
      </c>
      <c r="L6" s="1">
        <f>AVERAGE(C6:F6)</f>
        <v>0.105446288301903</v>
      </c>
    </row>
    <row r="7" spans="2:12">
      <c r="B7" t="s">
        <v>12</v>
      </c>
      <c r="C7" s="9">
        <v>-327</v>
      </c>
      <c r="D7" s="9">
        <v>-357</v>
      </c>
      <c r="E7" s="9">
        <v>-375</v>
      </c>
      <c r="F7" s="9">
        <v>-385</v>
      </c>
      <c r="G7" s="9">
        <f>F7*(1+$L$8)</f>
        <v>-405.27764705882356</v>
      </c>
      <c r="H7" s="9">
        <f>G7*(1+$L$8)</f>
        <v>-426.62330183256194</v>
      </c>
    </row>
    <row r="8" spans="2:12">
      <c r="B8" s="7" t="s">
        <v>13</v>
      </c>
      <c r="C8" s="9"/>
      <c r="D8" s="4">
        <f>(C7/D7-1)*(-1)</f>
        <v>8.4033613445378186E-2</v>
      </c>
      <c r="E8" s="4">
        <f t="shared" ref="E8:F8" si="4">(D7/E7-1)*(-1)</f>
        <v>4.8000000000000043E-2</v>
      </c>
      <c r="F8" s="4">
        <f t="shared" si="4"/>
        <v>2.5974025974025983E-2</v>
      </c>
      <c r="G8" s="4">
        <f>(F7/G7-1)*(-1)</f>
        <v>5.003396364438617E-2</v>
      </c>
      <c r="H8" s="4">
        <f t="shared" ref="H8" si="5">(G7/H7-1)*(-1)</f>
        <v>5.003396364438617E-2</v>
      </c>
      <c r="K8" t="s">
        <v>14</v>
      </c>
      <c r="L8" s="11">
        <f>AVERAGE(D8:F8)</f>
        <v>5.2669213139801406E-2</v>
      </c>
    </row>
    <row r="10" spans="2:12">
      <c r="B10" t="s">
        <v>15</v>
      </c>
      <c r="D10" s="9">
        <f>D5+D7</f>
        <v>453</v>
      </c>
      <c r="E10" s="9">
        <f t="shared" ref="E10" si="6">E5+E7</f>
        <v>496</v>
      </c>
      <c r="F10" s="9">
        <f>F5+F7</f>
        <v>553</v>
      </c>
      <c r="G10" s="9">
        <f>G5+G7</f>
        <v>480.06763173183032</v>
      </c>
      <c r="H10" s="9">
        <f>H5+H7</f>
        <v>467.69830314236793</v>
      </c>
    </row>
    <row r="11" spans="2:12">
      <c r="B11" s="7" t="s">
        <v>10</v>
      </c>
      <c r="C11" s="5"/>
      <c r="D11" s="5">
        <f>D10/D3</f>
        <v>5.8293655900141551E-2</v>
      </c>
      <c r="E11" s="5">
        <f t="shared" ref="E11" si="7">E10/E3</f>
        <v>6.226462465478283E-2</v>
      </c>
      <c r="F11" s="5">
        <f>F10/F3</f>
        <v>6.7562614538790464E-2</v>
      </c>
      <c r="G11" s="5">
        <f t="shared" ref="G11:H11" si="8">G10/G3</f>
        <v>5.7176958089337877E-2</v>
      </c>
      <c r="H11" s="5">
        <f t="shared" si="8"/>
        <v>5.5144648007070612E-2</v>
      </c>
    </row>
    <row r="12" spans="2:12">
      <c r="B12" t="s">
        <v>16</v>
      </c>
      <c r="D12" s="9">
        <f>D10*$C$25*(-1)</f>
        <v>-96.941999999999993</v>
      </c>
      <c r="E12" s="9">
        <f t="shared" ref="E12" si="9">E10*$C$25*(-1)</f>
        <v>-106.14399999999999</v>
      </c>
      <c r="F12" s="9">
        <f>F10*$C$25*(-1)</f>
        <v>-118.342</v>
      </c>
      <c r="G12" s="9">
        <f t="shared" ref="G12:H12" si="10">G10*$C$25*(-1)</f>
        <v>-102.73447319061168</v>
      </c>
      <c r="H12" s="9">
        <f t="shared" si="10"/>
        <v>-100.08743687246674</v>
      </c>
      <c r="J12" s="15"/>
    </row>
    <row r="13" spans="2:12">
      <c r="B13" t="s">
        <v>12</v>
      </c>
      <c r="D13" s="9">
        <f>-D7</f>
        <v>357</v>
      </c>
      <c r="E13" s="9">
        <f t="shared" ref="E13" si="11">-E7</f>
        <v>375</v>
      </c>
      <c r="F13" s="9">
        <f>-F7</f>
        <v>385</v>
      </c>
      <c r="G13" s="9">
        <f t="shared" ref="G13:H13" si="12">-G7</f>
        <v>405.27764705882356</v>
      </c>
      <c r="H13" s="9">
        <f t="shared" si="12"/>
        <v>426.62330183256194</v>
      </c>
    </row>
    <row r="14" spans="2:12">
      <c r="B14" t="s">
        <v>17</v>
      </c>
      <c r="D14">
        <v>-281.60000000000002</v>
      </c>
      <c r="E14">
        <v>-281.60000000000002</v>
      </c>
      <c r="F14">
        <v>-281.60000000000002</v>
      </c>
      <c r="G14">
        <v>-281.60000000000002</v>
      </c>
      <c r="H14" s="9">
        <f>-H13</f>
        <v>-426.62330183256194</v>
      </c>
    </row>
    <row r="15" spans="2:12">
      <c r="B15" t="s">
        <v>18</v>
      </c>
      <c r="D15" s="9">
        <f>C27-D27</f>
        <v>12.160000000000025</v>
      </c>
      <c r="E15" s="9">
        <f t="shared" ref="E15:H15" si="13">D27-E27</f>
        <v>7.7999999999999545</v>
      </c>
      <c r="F15" s="9">
        <f t="shared" si="13"/>
        <v>8.7600000000000477</v>
      </c>
      <c r="G15" s="9">
        <f t="shared" si="13"/>
        <v>8.4469199999999773</v>
      </c>
      <c r="H15" s="9">
        <f t="shared" si="13"/>
        <v>3.4050799999999413</v>
      </c>
    </row>
    <row r="17" spans="2:8">
      <c r="B17" t="s">
        <v>19</v>
      </c>
      <c r="D17" s="9">
        <f>SUM(D10,D12:D15)</f>
        <v>443.61799999999999</v>
      </c>
      <c r="E17" s="9">
        <f t="shared" ref="E17:H17" si="14">SUM(E10,E12:E15)</f>
        <v>491.05599999999993</v>
      </c>
      <c r="F17" s="9">
        <f t="shared" si="14"/>
        <v>546.81799999999998</v>
      </c>
      <c r="G17" s="9">
        <f t="shared" si="14"/>
        <v>509.45772560004207</v>
      </c>
      <c r="H17" s="9">
        <f t="shared" si="14"/>
        <v>371.01594626990118</v>
      </c>
    </row>
    <row r="19" spans="2:8">
      <c r="B19" t="s">
        <v>20</v>
      </c>
      <c r="D19" s="8">
        <f>1/(1+$C$29)^(D2-$C$2)</f>
        <v>0.93457943925233644</v>
      </c>
      <c r="E19" s="8">
        <f t="shared" ref="E19:H19" si="15">1/(1+$C$29)^(E2-$C$2)</f>
        <v>0.87343872827321156</v>
      </c>
      <c r="F19" s="8">
        <f t="shared" si="15"/>
        <v>0.81629787689085187</v>
      </c>
      <c r="G19" s="8">
        <f t="shared" si="15"/>
        <v>0.7628952120475252</v>
      </c>
      <c r="H19" s="8">
        <f t="shared" si="15"/>
        <v>0.71298617948366838</v>
      </c>
    </row>
    <row r="21" spans="2:8">
      <c r="B21" t="s">
        <v>21</v>
      </c>
      <c r="D21" s="9">
        <f>D17*D19</f>
        <v>414.59626168224298</v>
      </c>
      <c r="E21" s="9">
        <f t="shared" ref="E21:H21" si="16">E17*E19</f>
        <v>428.90732815093008</v>
      </c>
      <c r="F21" s="9">
        <f t="shared" si="16"/>
        <v>446.36637244570181</v>
      </c>
      <c r="G21" s="9">
        <f t="shared" si="16"/>
        <v>388.66285960089402</v>
      </c>
      <c r="H21" s="9">
        <f t="shared" si="16"/>
        <v>264.52924205849484</v>
      </c>
    </row>
    <row r="22" spans="2:8">
      <c r="B22" t="s">
        <v>22</v>
      </c>
      <c r="D22" s="9">
        <f>SUM(D21:H21)</f>
        <v>1943.0620639382639</v>
      </c>
    </row>
    <row r="25" spans="2:8">
      <c r="B25" t="s">
        <v>23</v>
      </c>
      <c r="C25" s="1">
        <v>0.214</v>
      </c>
    </row>
    <row r="26" spans="2:8">
      <c r="B26" t="s">
        <v>24</v>
      </c>
      <c r="C26" s="6">
        <v>-0.04</v>
      </c>
      <c r="D26" s="6">
        <v>-0.04</v>
      </c>
      <c r="E26" s="6">
        <v>-0.04</v>
      </c>
      <c r="F26" s="6">
        <v>-0.04</v>
      </c>
      <c r="G26" s="6">
        <v>-0.04</v>
      </c>
      <c r="H26" s="6">
        <v>-0.04</v>
      </c>
    </row>
    <row r="27" spans="2:8">
      <c r="B27" t="s">
        <v>25</v>
      </c>
      <c r="C27" s="10">
        <f>C26*C3</f>
        <v>-298.68</v>
      </c>
      <c r="D27" s="10">
        <f t="shared" ref="C27:H27" si="17">D26*D3</f>
        <v>-310.84000000000003</v>
      </c>
      <c r="E27" s="10">
        <f t="shared" si="17"/>
        <v>-318.64</v>
      </c>
      <c r="F27" s="10">
        <f t="shared" si="17"/>
        <v>-327.40000000000003</v>
      </c>
      <c r="G27" s="10">
        <f t="shared" si="17"/>
        <v>-335.84692000000001</v>
      </c>
      <c r="H27" s="10">
        <f t="shared" si="17"/>
        <v>-339.25199999999995</v>
      </c>
    </row>
    <row r="29" spans="2:8">
      <c r="B29" t="s">
        <v>26</v>
      </c>
      <c r="C29" s="1">
        <v>7.0000000000000007E-2</v>
      </c>
    </row>
    <row r="31" spans="2:8">
      <c r="C31" s="6">
        <v>0</v>
      </c>
      <c r="D31" s="6">
        <v>0.01</v>
      </c>
      <c r="E31" s="6">
        <v>0.02</v>
      </c>
    </row>
    <row r="32" spans="2:8">
      <c r="B32" t="s">
        <v>27</v>
      </c>
      <c r="C32" s="9">
        <f>($H$17*(1+C$31))/($C$29-C$31)/(1+$C$29)^5</f>
        <v>3778.9891722642114</v>
      </c>
      <c r="D32" s="9">
        <f>($H$17*(1+D$31))/($C$29-D$31)/(1+$C$29)^5</f>
        <v>4452.9089079846626</v>
      </c>
      <c r="E32" s="9">
        <f>($H$17*(1+E$31))/($C$29-E$31)/(1+$C$29)^5</f>
        <v>5396.3965379932934</v>
      </c>
    </row>
    <row r="33" spans="2:17">
      <c r="B33" t="s">
        <v>28</v>
      </c>
      <c r="C33" s="3">
        <f>C32/C34</f>
        <v>0.66042560897657987</v>
      </c>
      <c r="D33" s="3">
        <f t="shared" ref="D33:E33" si="18">D32/D34</f>
        <v>0.69620530292149074</v>
      </c>
      <c r="E33" s="3">
        <f t="shared" si="18"/>
        <v>0.73525812061574947</v>
      </c>
    </row>
    <row r="34" spans="2:17">
      <c r="B34" t="s">
        <v>29</v>
      </c>
      <c r="C34" s="9">
        <f>C32+$D$22</f>
        <v>5722.0512362024756</v>
      </c>
      <c r="D34" s="9">
        <f t="shared" ref="D34:E34" si="19">D32+$D$22</f>
        <v>6395.9709719229268</v>
      </c>
      <c r="E34" s="9">
        <f t="shared" si="19"/>
        <v>7339.4586019315575</v>
      </c>
    </row>
    <row r="38" spans="2:17">
      <c r="C38" t="s">
        <v>30</v>
      </c>
    </row>
    <row r="39" spans="2:17">
      <c r="C39" t="s">
        <v>31</v>
      </c>
    </row>
    <row r="40" spans="2:17">
      <c r="B40" t="s">
        <v>32</v>
      </c>
      <c r="C40" s="1">
        <v>0.06</v>
      </c>
      <c r="D40" s="9">
        <f>($H$17*(1+D$45))/($C40-D$45)/(1+$C40)^5+$D$22</f>
        <v>6563.8070325018889</v>
      </c>
      <c r="E40" s="9">
        <f t="shared" ref="E40:F44" si="20">($H$17*(1+E$45))/($C40-E$45)/(1+$C40)^5+$D$22</f>
        <v>7543.4049658373788</v>
      </c>
      <c r="F40" s="9">
        <f>($H$17*(1+F$45))/($C40-F$45)/(1+$C40)^5+$D$22</f>
        <v>9012.8018658406108</v>
      </c>
      <c r="M40" s="9"/>
      <c r="N40" s="9"/>
      <c r="O40" s="9"/>
      <c r="P40" s="9"/>
      <c r="Q40" s="9"/>
    </row>
    <row r="41" spans="2:17">
      <c r="C41" s="1">
        <v>6.5000000000000002E-2</v>
      </c>
      <c r="D41" s="9">
        <f>($H$17*(1+D$45))/($C41-D$45)/(1+$C41)^5+$D$22</f>
        <v>6109.1763597242507</v>
      </c>
      <c r="E41" s="9">
        <f t="shared" si="20"/>
        <v>6915.887582453719</v>
      </c>
      <c r="F41" s="9">
        <f t="shared" si="20"/>
        <v>8081.1371263962837</v>
      </c>
      <c r="M41" s="9"/>
      <c r="N41" s="9"/>
      <c r="O41" s="9"/>
      <c r="P41" s="9"/>
      <c r="Q41" s="9"/>
    </row>
    <row r="42" spans="2:17">
      <c r="C42" s="1">
        <v>7.0000000000000007E-2</v>
      </c>
      <c r="D42" s="9">
        <f t="shared" ref="D42:D44" si="21">($H$17*(1+D$45))/($C42-D$45)/(1+$C42)^5+$D$22</f>
        <v>5722.0512362024756</v>
      </c>
      <c r="E42" s="9">
        <f t="shared" si="20"/>
        <v>6395.9709719229268</v>
      </c>
      <c r="F42" s="9">
        <f t="shared" si="20"/>
        <v>7339.4586019315575</v>
      </c>
      <c r="M42" s="9"/>
      <c r="N42" s="9"/>
      <c r="O42" s="9"/>
      <c r="P42" s="9"/>
      <c r="Q42" s="9"/>
    </row>
    <row r="43" spans="2:17">
      <c r="C43" s="1">
        <v>7.4999999999999997E-2</v>
      </c>
      <c r="D43" s="9">
        <f t="shared" si="21"/>
        <v>5388.8535321228846</v>
      </c>
      <c r="E43" s="9">
        <f t="shared" si="20"/>
        <v>5958.734428784187</v>
      </c>
      <c r="F43" s="9">
        <f t="shared" si="20"/>
        <v>6735.8447424132373</v>
      </c>
    </row>
    <row r="44" spans="2:17">
      <c r="C44" s="1">
        <v>0.08</v>
      </c>
      <c r="D44" s="9">
        <f t="shared" si="21"/>
        <v>5099.40229972417</v>
      </c>
      <c r="E44" s="9">
        <f t="shared" si="20"/>
        <v>5586.3805075311384</v>
      </c>
      <c r="F44" s="9">
        <f>($H$17*(1+F$45))/($C44-F$45)/(1+$C44)^5+$D$22</f>
        <v>6235.6847846070959</v>
      </c>
    </row>
    <row r="45" spans="2:17">
      <c r="D45" s="6">
        <v>0</v>
      </c>
      <c r="E45" s="6">
        <v>0.01</v>
      </c>
      <c r="F45" s="6">
        <v>0.02</v>
      </c>
      <c r="G45" t="s">
        <v>33</v>
      </c>
    </row>
    <row r="48" spans="2:17">
      <c r="B48" s="2" t="s">
        <v>34</v>
      </c>
      <c r="C48" s="12">
        <v>5000000</v>
      </c>
      <c r="D48" s="2"/>
    </row>
    <row r="49" spans="2:10">
      <c r="B49" s="2" t="s">
        <v>35</v>
      </c>
      <c r="C49" s="2">
        <v>10.220000000000001</v>
      </c>
      <c r="D49" s="2"/>
    </row>
    <row r="50" spans="2:10">
      <c r="B50" s="2"/>
      <c r="C50" s="2">
        <f>C48*C49</f>
        <v>51100000</v>
      </c>
      <c r="D50" s="2">
        <f>C50/1000000</f>
        <v>51.1</v>
      </c>
    </row>
    <row r="52" spans="2:10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</row>
    <row r="53" spans="2:10">
      <c r="C53">
        <v>0</v>
      </c>
      <c r="D53">
        <v>1</v>
      </c>
      <c r="E53">
        <v>2</v>
      </c>
      <c r="F53">
        <v>3</v>
      </c>
      <c r="G53">
        <v>4</v>
      </c>
      <c r="H53">
        <v>5</v>
      </c>
    </row>
    <row r="54" spans="2:10">
      <c r="B54" t="s">
        <v>7</v>
      </c>
      <c r="C54" s="9">
        <v>7467</v>
      </c>
      <c r="D54" s="9">
        <v>7771</v>
      </c>
      <c r="E54" s="9">
        <v>7966</v>
      </c>
      <c r="F54" s="9">
        <v>8185</v>
      </c>
      <c r="G54" s="9">
        <f>F54*1.0258</f>
        <v>8396.1730000000007</v>
      </c>
      <c r="H54" s="9">
        <v>8481.2999999999993</v>
      </c>
    </row>
    <row r="55" spans="2:10">
      <c r="B55" s="7" t="s">
        <v>8</v>
      </c>
      <c r="C55" s="1">
        <v>0.11</v>
      </c>
      <c r="D55" s="5">
        <f>D54/C54-1</f>
        <v>4.0712468193384144E-2</v>
      </c>
      <c r="E55" s="5">
        <f t="shared" ref="E55" si="22">E54/D54-1</f>
        <v>2.5093295586153586E-2</v>
      </c>
      <c r="F55" s="5">
        <f t="shared" ref="F55" si="23">F54/E54-1</f>
        <v>2.7491840321365757E-2</v>
      </c>
      <c r="G55" s="5">
        <f t="shared" ref="G55" si="24">G54/F54-1</f>
        <v>2.5800000000000045E-2</v>
      </c>
      <c r="H55" s="5">
        <f t="shared" ref="H55" si="25">H54/G54-1</f>
        <v>1.0138785849219456E-2</v>
      </c>
    </row>
    <row r="56" spans="2:10">
      <c r="B56" t="s">
        <v>9</v>
      </c>
      <c r="C56" s="9">
        <v>699</v>
      </c>
      <c r="D56" s="9">
        <f>810+D50</f>
        <v>861.1</v>
      </c>
      <c r="E56" s="9">
        <f>871+D50</f>
        <v>922.1</v>
      </c>
      <c r="F56" s="9">
        <f>938+D50</f>
        <v>989.1</v>
      </c>
      <c r="G56" s="9">
        <f>G54*$L$6+D50</f>
        <v>936.4452787906539</v>
      </c>
      <c r="H56" s="9">
        <f>H54*$L$6+D50</f>
        <v>945.42160497492989</v>
      </c>
      <c r="J56" t="s">
        <v>36</v>
      </c>
    </row>
    <row r="57" spans="2:10">
      <c r="B57" s="7" t="s">
        <v>10</v>
      </c>
      <c r="C57" s="5">
        <f>C56/C54</f>
        <v>9.361189232623543E-2</v>
      </c>
      <c r="D57" s="5">
        <f t="shared" ref="D57:H57" si="26">D56/D54</f>
        <v>0.11080941963711234</v>
      </c>
      <c r="E57" s="5">
        <f t="shared" si="26"/>
        <v>0.11575445643986945</v>
      </c>
      <c r="F57" s="5">
        <f t="shared" si="26"/>
        <v>0.12084300549786195</v>
      </c>
      <c r="G57" s="5">
        <f t="shared" si="26"/>
        <v>0.11153239443620967</v>
      </c>
      <c r="H57" s="5">
        <f t="shared" si="26"/>
        <v>0.11147130805123388</v>
      </c>
    </row>
    <row r="58" spans="2:10">
      <c r="B58" t="s">
        <v>12</v>
      </c>
      <c r="C58" s="9">
        <v>-327</v>
      </c>
      <c r="D58" s="9">
        <v>-357</v>
      </c>
      <c r="E58" s="9">
        <v>-375</v>
      </c>
      <c r="F58" s="9">
        <v>-385</v>
      </c>
      <c r="G58" s="9">
        <f>F58*(1+$L$8)</f>
        <v>-405.27764705882356</v>
      </c>
      <c r="H58" s="9">
        <f>G58*(1+$L$8)</f>
        <v>-426.62330183256194</v>
      </c>
    </row>
    <row r="59" spans="2:10">
      <c r="B59" s="7" t="s">
        <v>37</v>
      </c>
      <c r="C59" s="9"/>
      <c r="D59" s="4">
        <f>(C58/D58-1)*(-1)</f>
        <v>8.4033613445378186E-2</v>
      </c>
      <c r="E59" s="4">
        <f t="shared" ref="E59" si="27">(D58/E58-1)*(-1)</f>
        <v>4.8000000000000043E-2</v>
      </c>
      <c r="F59" s="4">
        <f t="shared" ref="F59" si="28">(E58/F58-1)*(-1)</f>
        <v>2.5974025974025983E-2</v>
      </c>
      <c r="G59" s="4">
        <f>(F58/G58-1)*(-1)</f>
        <v>5.003396364438617E-2</v>
      </c>
      <c r="H59" s="4">
        <f t="shared" ref="H59" si="29">(G58/H58-1)*(-1)</f>
        <v>5.003396364438617E-2</v>
      </c>
    </row>
    <row r="61" spans="2:10">
      <c r="B61" t="s">
        <v>15</v>
      </c>
      <c r="D61" s="9">
        <f>D56+D58</f>
        <v>504.1</v>
      </c>
      <c r="E61" s="9">
        <f t="shared" ref="E61" si="30">E56+E58</f>
        <v>547.1</v>
      </c>
      <c r="F61" s="9">
        <f>F56+F58</f>
        <v>604.1</v>
      </c>
      <c r="G61" s="9">
        <f>G56+G58</f>
        <v>531.1676317318304</v>
      </c>
      <c r="H61" s="9">
        <f>H56+H58</f>
        <v>518.79830314236801</v>
      </c>
    </row>
    <row r="62" spans="2:10">
      <c r="B62" s="7" t="s">
        <v>10</v>
      </c>
      <c r="C62" s="5"/>
      <c r="D62" s="5">
        <f>D61/D54</f>
        <v>6.4869386179384897E-2</v>
      </c>
      <c r="E62" s="5">
        <f t="shared" ref="E62" si="31">E61/E54</f>
        <v>6.8679387396434852E-2</v>
      </c>
      <c r="F62" s="5">
        <f>F61/F54</f>
        <v>7.3805742211362255E-2</v>
      </c>
      <c r="G62" s="5">
        <f t="shared" ref="G62:H62" si="32">G61/G54</f>
        <v>6.3263064223644555E-2</v>
      </c>
      <c r="H62" s="5">
        <f t="shared" si="32"/>
        <v>6.1169667756401501E-2</v>
      </c>
    </row>
    <row r="63" spans="2:10">
      <c r="B63" t="s">
        <v>16</v>
      </c>
      <c r="D63" s="9">
        <f>D61*$C$25*(-1)</f>
        <v>-107.87740000000001</v>
      </c>
      <c r="E63" s="9">
        <f t="shared" ref="E63" si="33">E61*$C$25*(-1)</f>
        <v>-117.07940000000001</v>
      </c>
      <c r="F63" s="9">
        <f>F61*$C$25*(-1)</f>
        <v>-129.2774</v>
      </c>
      <c r="G63" s="9">
        <f t="shared" ref="G63:H63" si="34">G61*$C$25*(-1)</f>
        <v>-113.6698731906117</v>
      </c>
      <c r="H63" s="9">
        <f t="shared" si="34"/>
        <v>-111.02283687246675</v>
      </c>
    </row>
    <row r="64" spans="2:10">
      <c r="B64" t="s">
        <v>12</v>
      </c>
      <c r="D64" s="9">
        <f>-D58</f>
        <v>357</v>
      </c>
      <c r="E64" s="9">
        <f t="shared" ref="E64" si="35">-E58</f>
        <v>375</v>
      </c>
      <c r="F64" s="9">
        <f>-F58</f>
        <v>385</v>
      </c>
      <c r="G64" s="9">
        <f t="shared" ref="G64:H64" si="36">-G58</f>
        <v>405.27764705882356</v>
      </c>
      <c r="H64" s="9">
        <f t="shared" si="36"/>
        <v>426.62330183256194</v>
      </c>
    </row>
    <row r="65" spans="2:8">
      <c r="B65" t="s">
        <v>17</v>
      </c>
      <c r="D65">
        <v>-281.60000000000002</v>
      </c>
      <c r="E65">
        <v>-281.60000000000002</v>
      </c>
      <c r="F65">
        <v>-281.60000000000002</v>
      </c>
      <c r="G65">
        <v>-281.60000000000002</v>
      </c>
      <c r="H65" s="9">
        <f>-H64</f>
        <v>-426.62330183256194</v>
      </c>
    </row>
    <row r="66" spans="2:8">
      <c r="B66" t="s">
        <v>18</v>
      </c>
      <c r="D66" s="9">
        <f>C78-D78</f>
        <v>12.160000000000025</v>
      </c>
      <c r="E66" s="9">
        <f t="shared" ref="E66" si="37">D78-E78</f>
        <v>7.7999999999999545</v>
      </c>
      <c r="F66" s="9">
        <f t="shared" ref="F66" si="38">E78-F78</f>
        <v>8.7600000000000477</v>
      </c>
      <c r="G66" s="9">
        <f t="shared" ref="G66" si="39">F78-G78</f>
        <v>8.4469199999999773</v>
      </c>
      <c r="H66" s="9">
        <f t="shared" ref="H66" si="40">G78-H78</f>
        <v>3.4050799999999413</v>
      </c>
    </row>
    <row r="68" spans="2:8">
      <c r="B68" t="s">
        <v>19</v>
      </c>
      <c r="D68" s="9">
        <f>SUM(D61,D63:D66)</f>
        <v>483.78260000000006</v>
      </c>
      <c r="E68" s="9">
        <f t="shared" ref="E68:H68" si="41">SUM(E61,E63:E66)</f>
        <v>531.22059999999999</v>
      </c>
      <c r="F68" s="9">
        <f t="shared" si="41"/>
        <v>586.98260000000005</v>
      </c>
      <c r="G68" s="9">
        <f t="shared" si="41"/>
        <v>549.62232560004213</v>
      </c>
      <c r="H68" s="9">
        <f t="shared" si="41"/>
        <v>411.18054626990124</v>
      </c>
    </row>
    <row r="70" spans="2:8">
      <c r="B70" t="s">
        <v>20</v>
      </c>
      <c r="D70" s="8">
        <f>1/(1+$C$29)^(D53-$C$2)</f>
        <v>0.93457943925233644</v>
      </c>
      <c r="E70" s="8">
        <f t="shared" ref="E70:H70" si="42">1/(1+$C$29)^(E53-$C$2)</f>
        <v>0.87343872827321156</v>
      </c>
      <c r="F70" s="8">
        <f t="shared" si="42"/>
        <v>0.81629787689085187</v>
      </c>
      <c r="G70" s="8">
        <f t="shared" si="42"/>
        <v>0.7628952120475252</v>
      </c>
      <c r="H70" s="8">
        <f t="shared" si="42"/>
        <v>0.71298617948366838</v>
      </c>
    </row>
    <row r="72" spans="2:8">
      <c r="B72" t="s">
        <v>21</v>
      </c>
      <c r="D72" s="9">
        <f>D68*D70</f>
        <v>452.13327102803743</v>
      </c>
      <c r="E72" s="9">
        <f t="shared" ref="E72:H72" si="43">E68*E70</f>
        <v>463.98864529653241</v>
      </c>
      <c r="F72" s="9">
        <f t="shared" si="43"/>
        <v>479.15265015187219</v>
      </c>
      <c r="G72" s="9">
        <f t="shared" si="43"/>
        <v>419.30424063469809</v>
      </c>
      <c r="H72" s="9">
        <f t="shared" si="43"/>
        <v>293.16604676298459</v>
      </c>
    </row>
    <row r="73" spans="2:8">
      <c r="B73" t="s">
        <v>22</v>
      </c>
      <c r="D73" s="9">
        <f>SUM(D72:H72)</f>
        <v>2107.7448538741246</v>
      </c>
    </row>
    <row r="76" spans="2:8">
      <c r="B76" t="s">
        <v>23</v>
      </c>
      <c r="C76" s="1">
        <v>0.214</v>
      </c>
    </row>
    <row r="77" spans="2:8">
      <c r="B77" t="s">
        <v>24</v>
      </c>
      <c r="C77" s="6">
        <v>-0.04</v>
      </c>
      <c r="D77" s="6">
        <v>-0.04</v>
      </c>
      <c r="E77" s="6">
        <v>-0.04</v>
      </c>
      <c r="F77" s="6">
        <v>-0.04</v>
      </c>
      <c r="G77" s="6">
        <v>-0.04</v>
      </c>
      <c r="H77" s="6">
        <v>-0.04</v>
      </c>
    </row>
    <row r="78" spans="2:8">
      <c r="B78" t="s">
        <v>25</v>
      </c>
      <c r="C78" s="10">
        <f t="shared" ref="C78:H78" si="44">C77*C54</f>
        <v>-298.68</v>
      </c>
      <c r="D78" s="10">
        <f t="shared" si="44"/>
        <v>-310.84000000000003</v>
      </c>
      <c r="E78" s="10">
        <f t="shared" si="44"/>
        <v>-318.64</v>
      </c>
      <c r="F78" s="10">
        <f t="shared" si="44"/>
        <v>-327.40000000000003</v>
      </c>
      <c r="G78" s="10">
        <f t="shared" si="44"/>
        <v>-335.84692000000001</v>
      </c>
      <c r="H78" s="10">
        <f t="shared" si="44"/>
        <v>-339.25199999999995</v>
      </c>
    </row>
    <row r="80" spans="2:8">
      <c r="B80" t="s">
        <v>26</v>
      </c>
      <c r="C80" s="1">
        <v>7.0000000000000007E-2</v>
      </c>
    </row>
    <row r="82" spans="2:22">
      <c r="C82" s="6">
        <v>0</v>
      </c>
      <c r="D82" s="6">
        <v>0.01</v>
      </c>
      <c r="E82" s="6">
        <v>0.02</v>
      </c>
    </row>
    <row r="83" spans="2:22">
      <c r="B83" t="s">
        <v>27</v>
      </c>
      <c r="C83" s="9">
        <f>($H$68*(1+C$31))/($C$29-C$31)/(1+$C$29)^5</f>
        <v>4188.0863823283507</v>
      </c>
      <c r="D83" s="9">
        <f t="shared" ref="D83:E83" si="45">($H$68*(1+D$31))/($C$29-D$31)/(1+$C$29)^5</f>
        <v>4934.9617871769069</v>
      </c>
      <c r="E83" s="9">
        <f t="shared" si="45"/>
        <v>5980.5873539648846</v>
      </c>
    </row>
    <row r="84" spans="2:22">
      <c r="B84" t="s">
        <v>28</v>
      </c>
      <c r="C84" s="3">
        <f>C83/C85</f>
        <v>0.66521579521475926</v>
      </c>
      <c r="D84" s="3">
        <f t="shared" ref="D84:E84" si="46">D83/D85</f>
        <v>0.70071948736465173</v>
      </c>
      <c r="E84" s="3">
        <f t="shared" si="46"/>
        <v>0.73940921320821229</v>
      </c>
      <c r="G84" s="3">
        <f>C83/$D$73</f>
        <v>1.9869987463759999</v>
      </c>
      <c r="H84" s="3">
        <f>D83/$D$73</f>
        <v>2.3413468561463868</v>
      </c>
      <c r="I84" s="3">
        <f>E83/$D$73</f>
        <v>2.8374342098249277</v>
      </c>
    </row>
    <row r="85" spans="2:22">
      <c r="B85" t="s">
        <v>29</v>
      </c>
      <c r="C85" s="9">
        <f>C83+$D$73</f>
        <v>6295.8312362024753</v>
      </c>
      <c r="D85" s="9">
        <f t="shared" ref="D85:E85" si="47">D83+$D$73</f>
        <v>7042.7066410510315</v>
      </c>
      <c r="E85" s="9">
        <f>E83+$D$73</f>
        <v>8088.3322078390092</v>
      </c>
    </row>
    <row r="88" spans="2:22">
      <c r="K88" s="2" t="s">
        <v>38</v>
      </c>
    </row>
    <row r="89" spans="2:22">
      <c r="C89" t="s">
        <v>30</v>
      </c>
      <c r="K89" t="s">
        <v>30</v>
      </c>
    </row>
    <row r="90" spans="2:22">
      <c r="C90" t="s">
        <v>31</v>
      </c>
      <c r="K90" t="s">
        <v>31</v>
      </c>
      <c r="R90" s="9"/>
      <c r="S90" s="9"/>
      <c r="T90" s="9"/>
      <c r="U90" s="9"/>
      <c r="V90" s="9"/>
    </row>
    <row r="91" spans="2:22">
      <c r="B91" t="s">
        <v>32</v>
      </c>
      <c r="C91" s="1">
        <v>0.06</v>
      </c>
      <c r="D91" s="9">
        <f>($H$68*(1+D$45))/($C91-D$45)/(1+$C91)^5+$D$73</f>
        <v>7228.7119159360182</v>
      </c>
      <c r="E91" s="9">
        <f t="shared" ref="E91:F95" si="48">($H$68*(1+E$45))/($C91-E$45)/(1+$C91)^5+$D$73</f>
        <v>8314.3569330931387</v>
      </c>
      <c r="F91" s="9">
        <f t="shared" si="48"/>
        <v>9942.8244588288217</v>
      </c>
      <c r="K91" s="1">
        <v>0.06</v>
      </c>
      <c r="L91" s="9">
        <f>D91-D40</f>
        <v>664.90488343412926</v>
      </c>
      <c r="M91" s="9">
        <f t="shared" ref="M91:N91" si="49">E91-E40</f>
        <v>770.95196725575988</v>
      </c>
      <c r="N91" s="9">
        <f t="shared" si="49"/>
        <v>930.02259298821082</v>
      </c>
      <c r="R91" s="9"/>
      <c r="S91" s="9"/>
      <c r="T91" s="9"/>
      <c r="U91" s="9"/>
      <c r="V91" s="9"/>
    </row>
    <row r="92" spans="2:22">
      <c r="C92" s="1">
        <v>6.5000000000000002E-2</v>
      </c>
      <c r="D92" s="9">
        <f t="shared" ref="D92:D95" si="50">($H$68*(1+D$45))/($C92-D$45)/(1+$C92)^5+$D$73</f>
        <v>6724.8648703759509</v>
      </c>
      <c r="E92" s="9">
        <f t="shared" si="48"/>
        <v>7618.9072008440316</v>
      </c>
      <c r="F92" s="9">
        <f t="shared" si="48"/>
        <v>8910.3016781868155</v>
      </c>
      <c r="K92" s="1">
        <v>6.5000000000000002E-2</v>
      </c>
      <c r="L92" s="9">
        <f t="shared" ref="L92:L95" si="51">D92-D41</f>
        <v>615.6885106517002</v>
      </c>
      <c r="M92" s="9">
        <f t="shared" ref="M92:M95" si="52">E92-E41</f>
        <v>703.01961839031264</v>
      </c>
      <c r="N92" s="9">
        <f t="shared" ref="N92:N95" si="53">F92-F41</f>
        <v>829.16455179053173</v>
      </c>
      <c r="R92" s="9"/>
      <c r="S92" s="9"/>
      <c r="T92" s="9"/>
      <c r="U92" s="9"/>
      <c r="V92" s="9"/>
    </row>
    <row r="93" spans="2:22">
      <c r="C93" s="1">
        <v>7.0000000000000007E-2</v>
      </c>
      <c r="D93" s="9">
        <f t="shared" si="50"/>
        <v>6295.8312362024753</v>
      </c>
      <c r="E93" s="9">
        <f t="shared" si="48"/>
        <v>7042.7066410510315</v>
      </c>
      <c r="F93" s="9">
        <f t="shared" si="48"/>
        <v>8088.3322078390092</v>
      </c>
      <c r="K93" s="1">
        <v>7.0000000000000007E-2</v>
      </c>
      <c r="L93" s="9">
        <f t="shared" si="51"/>
        <v>573.77999999999975</v>
      </c>
      <c r="M93" s="9">
        <f t="shared" si="52"/>
        <v>646.73566912810475</v>
      </c>
      <c r="N93" s="9">
        <f t="shared" si="53"/>
        <v>748.87360590745175</v>
      </c>
      <c r="R93" s="9"/>
      <c r="S93" s="9"/>
      <c r="T93" s="9"/>
      <c r="U93" s="9"/>
      <c r="V93" s="9"/>
    </row>
    <row r="94" spans="2:22">
      <c r="C94" s="1">
        <v>7.4999999999999997E-2</v>
      </c>
      <c r="D94" s="9">
        <f t="shared" si="50"/>
        <v>5926.5629733239384</v>
      </c>
      <c r="E94" s="9">
        <f t="shared" si="48"/>
        <v>6558.1367392329466</v>
      </c>
      <c r="F94" s="9">
        <f t="shared" si="48"/>
        <v>7419.3736927452301</v>
      </c>
      <c r="K94" s="1">
        <v>7.4999999999999997E-2</v>
      </c>
      <c r="L94" s="9">
        <f t="shared" si="51"/>
        <v>537.70944120105378</v>
      </c>
      <c r="M94" s="9">
        <f t="shared" si="52"/>
        <v>599.40231044875964</v>
      </c>
      <c r="N94" s="9">
        <f t="shared" si="53"/>
        <v>683.52895033199275</v>
      </c>
    </row>
    <row r="95" spans="2:22">
      <c r="C95" s="1">
        <v>0.08</v>
      </c>
      <c r="D95" s="9">
        <f t="shared" si="50"/>
        <v>5605.7769881048043</v>
      </c>
      <c r="E95" s="9">
        <f t="shared" si="48"/>
        <v>6145.4733745289668</v>
      </c>
      <c r="F95" s="9">
        <f t="shared" si="48"/>
        <v>6865.0685564278492</v>
      </c>
      <c r="K95" s="1">
        <v>0.08</v>
      </c>
      <c r="L95" s="9">
        <f t="shared" si="51"/>
        <v>506.37468838063432</v>
      </c>
      <c r="M95" s="9">
        <f t="shared" si="52"/>
        <v>559.09286699782842</v>
      </c>
      <c r="N95" s="9">
        <f t="shared" si="53"/>
        <v>629.38377182075328</v>
      </c>
    </row>
    <row r="96" spans="2:22">
      <c r="D96" s="6">
        <v>0</v>
      </c>
      <c r="E96" s="6">
        <v>0.01</v>
      </c>
      <c r="F96" s="6">
        <v>0.02</v>
      </c>
      <c r="G96" t="s">
        <v>33</v>
      </c>
      <c r="L96" s="6">
        <v>0</v>
      </c>
      <c r="M96" s="6">
        <v>0.01</v>
      </c>
      <c r="N96" s="6">
        <v>0.02</v>
      </c>
      <c r="O96" t="s">
        <v>33</v>
      </c>
    </row>
  </sheetData>
  <phoneticPr fontId="4" type="noConversion"/>
  <conditionalFormatting sqref="D40:F4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F9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1:N9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:Q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3:V9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0:V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FB3E-07C2-4CF9-97D3-7EC33E07CEA9}">
  <dimension ref="A1"/>
  <sheetViews>
    <sheetView workbookViewId="0"/>
  </sheetViews>
  <sheetFormatPr defaultRowHeight="13.9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5EA1-6E43-4078-8EB3-066C31999885}">
  <dimension ref="A1:L15"/>
  <sheetViews>
    <sheetView workbookViewId="0">
      <selection activeCell="L16" sqref="L16"/>
    </sheetView>
  </sheetViews>
  <sheetFormatPr defaultRowHeight="13.9"/>
  <cols>
    <col min="1" max="1" width="21.5" bestFit="1" customWidth="1"/>
  </cols>
  <sheetData>
    <row r="1" spans="1:12"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</row>
    <row r="2" spans="1:12">
      <c r="A2" t="s">
        <v>7</v>
      </c>
      <c r="B2">
        <v>2982</v>
      </c>
      <c r="C2">
        <v>3489</v>
      </c>
      <c r="D2">
        <v>5065</v>
      </c>
      <c r="E2">
        <v>5655</v>
      </c>
      <c r="F2">
        <v>6361</v>
      </c>
      <c r="G2">
        <v>6557</v>
      </c>
      <c r="H2">
        <v>6725</v>
      </c>
      <c r="I2">
        <v>7467</v>
      </c>
    </row>
    <row r="4" spans="1:12">
      <c r="A4" t="s">
        <v>39</v>
      </c>
      <c r="B4">
        <v>431</v>
      </c>
      <c r="C4">
        <v>615</v>
      </c>
      <c r="D4">
        <v>790</v>
      </c>
      <c r="E4">
        <v>1041</v>
      </c>
      <c r="F4">
        <v>1446</v>
      </c>
      <c r="G4">
        <v>1525</v>
      </c>
      <c r="H4">
        <v>1473</v>
      </c>
      <c r="I4">
        <v>1830</v>
      </c>
    </row>
    <row r="6" spans="1:12">
      <c r="A6" t="s">
        <v>40</v>
      </c>
      <c r="B6">
        <v>588</v>
      </c>
      <c r="C6">
        <v>758</v>
      </c>
      <c r="D6">
        <v>964</v>
      </c>
      <c r="E6">
        <v>1129</v>
      </c>
      <c r="F6">
        <v>1750</v>
      </c>
      <c r="G6">
        <v>1752</v>
      </c>
      <c r="H6">
        <v>1739</v>
      </c>
      <c r="I6">
        <v>2184</v>
      </c>
    </row>
    <row r="8" spans="1:12">
      <c r="A8" t="s">
        <v>41</v>
      </c>
      <c r="B8">
        <f>B4-B6</f>
        <v>-157</v>
      </c>
      <c r="C8">
        <f t="shared" ref="C8:I8" si="0">C4-C6</f>
        <v>-143</v>
      </c>
      <c r="D8">
        <f t="shared" si="0"/>
        <v>-174</v>
      </c>
      <c r="E8">
        <f t="shared" si="0"/>
        <v>-88</v>
      </c>
      <c r="F8">
        <f t="shared" si="0"/>
        <v>-304</v>
      </c>
      <c r="G8">
        <f t="shared" si="0"/>
        <v>-227</v>
      </c>
      <c r="H8">
        <f t="shared" si="0"/>
        <v>-266</v>
      </c>
      <c r="I8">
        <f t="shared" si="0"/>
        <v>-354</v>
      </c>
    </row>
    <row r="10" spans="1:12">
      <c r="A10" t="s">
        <v>24</v>
      </c>
      <c r="B10" s="5">
        <f>B8/B2</f>
        <v>-5.2649228705566736E-2</v>
      </c>
      <c r="C10" s="5">
        <f t="shared" ref="C10:I10" si="1">C8/C2</f>
        <v>-4.0985955861278303E-2</v>
      </c>
      <c r="D10" s="5">
        <f t="shared" si="1"/>
        <v>-3.4353405725567623E-2</v>
      </c>
      <c r="E10" s="5">
        <f t="shared" si="1"/>
        <v>-1.5561450044208665E-2</v>
      </c>
      <c r="F10" s="5">
        <f t="shared" si="1"/>
        <v>-4.7791227794371956E-2</v>
      </c>
      <c r="G10" s="5">
        <f t="shared" si="1"/>
        <v>-3.4619490620710694E-2</v>
      </c>
      <c r="H10" s="5">
        <f t="shared" si="1"/>
        <v>-3.9553903345724908E-2</v>
      </c>
      <c r="I10" s="5">
        <f t="shared" si="1"/>
        <v>-4.7408597830454001E-2</v>
      </c>
    </row>
    <row r="12" spans="1:12">
      <c r="A12" t="s">
        <v>15</v>
      </c>
      <c r="B12">
        <v>130</v>
      </c>
      <c r="C12">
        <v>218</v>
      </c>
      <c r="D12">
        <v>307</v>
      </c>
      <c r="E12">
        <v>312</v>
      </c>
      <c r="F12">
        <v>329</v>
      </c>
      <c r="G12">
        <v>316</v>
      </c>
      <c r="H12">
        <v>392</v>
      </c>
      <c r="I12">
        <v>369</v>
      </c>
    </row>
    <row r="13" spans="1:12">
      <c r="A13" t="s">
        <v>10</v>
      </c>
      <c r="B13" s="5">
        <f>B12/B2</f>
        <v>4.3594902749832326E-2</v>
      </c>
      <c r="C13" s="5">
        <f t="shared" ref="C13:I13" si="2">C12/C2</f>
        <v>6.248208655775294E-2</v>
      </c>
      <c r="D13" s="5">
        <f t="shared" si="2"/>
        <v>6.0612043435340573E-2</v>
      </c>
      <c r="E13" s="5">
        <f t="shared" si="2"/>
        <v>5.5172413793103448E-2</v>
      </c>
      <c r="F13" s="5">
        <f t="shared" si="2"/>
        <v>5.1721427448514386E-2</v>
      </c>
      <c r="G13" s="5">
        <f t="shared" si="2"/>
        <v>4.8192771084337352E-2</v>
      </c>
      <c r="H13" s="5">
        <f t="shared" si="2"/>
        <v>5.8289962825278811E-2</v>
      </c>
      <c r="I13" s="5">
        <f t="shared" si="2"/>
        <v>4.9417436721574927E-2</v>
      </c>
    </row>
    <row r="15" spans="1:12">
      <c r="A15" t="s">
        <v>42</v>
      </c>
      <c r="B15">
        <v>73</v>
      </c>
      <c r="C15">
        <v>134</v>
      </c>
      <c r="D15">
        <v>821</v>
      </c>
      <c r="E15">
        <v>141</v>
      </c>
      <c r="F15">
        <v>474</v>
      </c>
      <c r="G15">
        <v>42</v>
      </c>
      <c r="H15">
        <v>85</v>
      </c>
      <c r="I15">
        <v>483</v>
      </c>
      <c r="K15" t="s">
        <v>43</v>
      </c>
      <c r="L15">
        <f>AVERAGE(B15:I15)</f>
        <v>281.625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0DC-7BA7-4310-8ABA-62A20C7336F5}">
  <dimension ref="A1:O17"/>
  <sheetViews>
    <sheetView workbookViewId="0"/>
  </sheetViews>
  <sheetFormatPr defaultRowHeight="13.9"/>
  <cols>
    <col min="4" max="4" width="12.5" customWidth="1"/>
    <col min="6" max="7" width="9" bestFit="1" customWidth="1"/>
    <col min="8" max="8" width="12.875" customWidth="1"/>
    <col min="9" max="10" width="9" bestFit="1" customWidth="1"/>
    <col min="11" max="12" width="9.5" bestFit="1" customWidth="1"/>
    <col min="13" max="13" width="9" bestFit="1" customWidth="1"/>
  </cols>
  <sheetData>
    <row r="1" spans="1:15" ht="14.45">
      <c r="A1" t="s">
        <v>44</v>
      </c>
      <c r="B1" s="13"/>
      <c r="C1" s="13"/>
      <c r="D1" s="13" t="s">
        <v>45</v>
      </c>
      <c r="E1" s="13" t="s">
        <v>46</v>
      </c>
      <c r="F1" s="13" t="s">
        <v>47</v>
      </c>
      <c r="G1" s="13" t="s">
        <v>48</v>
      </c>
      <c r="H1" s="13" t="s">
        <v>30</v>
      </c>
      <c r="I1" s="13" t="s">
        <v>9</v>
      </c>
      <c r="J1" s="13" t="s">
        <v>15</v>
      </c>
      <c r="K1" s="13" t="s">
        <v>49</v>
      </c>
      <c r="L1" s="13" t="s">
        <v>50</v>
      </c>
      <c r="M1" s="13" t="s">
        <v>51</v>
      </c>
      <c r="N1" s="13"/>
      <c r="O1" s="13"/>
    </row>
    <row r="2" spans="1:15" ht="14.45">
      <c r="A2" s="19" t="s">
        <v>52</v>
      </c>
      <c r="B2" s="13" t="s">
        <v>53</v>
      </c>
      <c r="C2" s="13" t="s">
        <v>54</v>
      </c>
      <c r="D2" s="14">
        <v>16138659</v>
      </c>
      <c r="E2" s="13">
        <v>53.95</v>
      </c>
      <c r="F2" s="13">
        <v>12339</v>
      </c>
      <c r="G2" s="13">
        <v>523</v>
      </c>
      <c r="H2" s="14">
        <v>20522807</v>
      </c>
      <c r="I2" s="13">
        <v>1940</v>
      </c>
      <c r="J2" s="13">
        <v>672</v>
      </c>
      <c r="K2" s="14">
        <v>1057877</v>
      </c>
      <c r="L2" s="14">
        <v>3053989</v>
      </c>
      <c r="M2" s="13">
        <v>106</v>
      </c>
      <c r="N2" s="13" t="s">
        <v>55</v>
      </c>
      <c r="O2" s="13" t="s">
        <v>56</v>
      </c>
    </row>
    <row r="3" spans="1:15" ht="14.45">
      <c r="A3" s="19"/>
      <c r="B3" s="13" t="s">
        <v>57</v>
      </c>
      <c r="C3" s="13" t="s">
        <v>58</v>
      </c>
      <c r="D3" s="14">
        <v>12803653</v>
      </c>
      <c r="E3" s="13">
        <v>11.18</v>
      </c>
      <c r="F3" s="13">
        <v>0.8</v>
      </c>
      <c r="G3" s="13">
        <v>25.7</v>
      </c>
      <c r="H3" s="14">
        <v>14065484</v>
      </c>
      <c r="I3" s="13">
        <v>171.2</v>
      </c>
      <c r="J3" s="13">
        <v>81.400000000000006</v>
      </c>
      <c r="K3" s="14">
        <v>821582</v>
      </c>
      <c r="L3" s="14">
        <v>1727946</v>
      </c>
      <c r="M3" s="13">
        <v>26</v>
      </c>
      <c r="N3" s="13" t="s">
        <v>55</v>
      </c>
      <c r="O3" s="13" t="s">
        <v>59</v>
      </c>
    </row>
    <row r="4" spans="1:15" ht="14.45">
      <c r="A4" s="19"/>
      <c r="B4" s="13"/>
      <c r="C4" s="13"/>
      <c r="D4" s="13"/>
      <c r="E4" s="13"/>
      <c r="F4" s="13"/>
      <c r="G4" s="13"/>
      <c r="H4" s="13">
        <v>0</v>
      </c>
      <c r="I4" s="13"/>
      <c r="J4" s="13"/>
      <c r="K4" s="13" t="e">
        <v>#DIV/0!</v>
      </c>
      <c r="L4" s="13" t="e">
        <v>#DIV/0!</v>
      </c>
      <c r="M4" s="13"/>
      <c r="N4" s="13"/>
      <c r="O4" s="13"/>
    </row>
    <row r="5" spans="1:15" ht="14.45">
      <c r="A5" s="19"/>
      <c r="B5" s="13"/>
      <c r="C5" s="13"/>
      <c r="D5" s="13"/>
      <c r="E5" s="13"/>
      <c r="F5" s="13"/>
      <c r="G5" s="13"/>
      <c r="H5" s="13">
        <v>0</v>
      </c>
      <c r="I5" s="13"/>
      <c r="J5" s="13"/>
      <c r="K5" s="13" t="e">
        <v>#DIV/0!</v>
      </c>
      <c r="L5" s="13" t="e">
        <v>#DIV/0!</v>
      </c>
      <c r="M5" s="13"/>
      <c r="N5" s="13"/>
      <c r="O5" s="13"/>
    </row>
    <row r="6" spans="1:15" ht="14.45">
      <c r="A6" s="19"/>
      <c r="B6" s="13"/>
      <c r="C6" s="13"/>
      <c r="D6" s="13"/>
      <c r="E6" s="13"/>
      <c r="F6" s="13"/>
      <c r="G6" s="13"/>
      <c r="H6" s="13">
        <v>0</v>
      </c>
      <c r="I6" s="13"/>
      <c r="J6" s="13"/>
      <c r="K6" s="13" t="e">
        <v>#DIV/0!</v>
      </c>
      <c r="L6" s="13" t="e">
        <v>#DIV/0!</v>
      </c>
      <c r="M6" s="13"/>
      <c r="N6" s="13"/>
      <c r="O6" s="13"/>
    </row>
    <row r="7" spans="1:15" ht="14.45">
      <c r="A7" s="19" t="s">
        <v>60</v>
      </c>
      <c r="B7" s="13"/>
      <c r="C7" s="13"/>
      <c r="D7" s="13"/>
      <c r="E7" s="13"/>
      <c r="F7" s="13"/>
      <c r="G7" s="13"/>
      <c r="H7" s="13">
        <v>0</v>
      </c>
      <c r="I7" s="13"/>
      <c r="J7" s="13"/>
      <c r="K7" s="13" t="e">
        <v>#DIV/0!</v>
      </c>
      <c r="L7" s="13" t="e">
        <v>#DIV/0!</v>
      </c>
      <c r="M7" s="13"/>
      <c r="N7" s="13"/>
      <c r="O7" s="13"/>
    </row>
    <row r="8" spans="1:15" ht="14.45">
      <c r="A8" s="19"/>
      <c r="B8" s="13"/>
      <c r="C8" s="13"/>
      <c r="D8" s="13"/>
      <c r="E8" s="13"/>
      <c r="F8" s="13"/>
      <c r="G8" s="13"/>
      <c r="H8" s="13">
        <v>0</v>
      </c>
      <c r="I8" s="13"/>
      <c r="J8" s="13"/>
      <c r="K8" s="13" t="e">
        <v>#DIV/0!</v>
      </c>
      <c r="L8" s="13" t="e">
        <v>#DIV/0!</v>
      </c>
      <c r="M8" s="13"/>
      <c r="N8" s="13"/>
      <c r="O8" s="13"/>
    </row>
    <row r="9" spans="1:15" ht="14.45">
      <c r="A9" s="19"/>
      <c r="B9" s="13"/>
      <c r="C9" s="13"/>
      <c r="D9" s="13"/>
      <c r="E9" s="13"/>
      <c r="F9" s="13"/>
      <c r="G9" s="13"/>
      <c r="H9" s="13">
        <v>0</v>
      </c>
      <c r="I9" s="13"/>
      <c r="J9" s="13"/>
      <c r="K9" s="13" t="e">
        <v>#DIV/0!</v>
      </c>
      <c r="L9" s="13" t="e">
        <v>#DIV/0!</v>
      </c>
      <c r="M9" s="13"/>
      <c r="N9" s="13"/>
      <c r="O9" s="13"/>
    </row>
    <row r="10" spans="1:15" ht="14.45">
      <c r="A10" s="19"/>
      <c r="B10" s="13"/>
      <c r="C10" s="13"/>
      <c r="D10" s="13"/>
      <c r="E10" s="13"/>
      <c r="F10" s="13"/>
      <c r="G10" s="13"/>
      <c r="H10" s="13">
        <v>0</v>
      </c>
      <c r="I10" s="13"/>
      <c r="J10" s="13"/>
      <c r="K10" s="13" t="e">
        <v>#DIV/0!</v>
      </c>
      <c r="L10" s="13" t="e">
        <v>#DIV/0!</v>
      </c>
      <c r="M10" s="13"/>
      <c r="N10" s="13"/>
      <c r="O10" s="13"/>
    </row>
    <row r="11" spans="1:15" ht="14.45">
      <c r="A11" s="19"/>
      <c r="B11" s="13"/>
      <c r="C11" s="13"/>
      <c r="D11" s="13"/>
      <c r="E11" s="13"/>
      <c r="F11" s="13"/>
      <c r="G11" s="13"/>
      <c r="H11" s="13">
        <v>0</v>
      </c>
      <c r="I11" s="13"/>
      <c r="J11" s="13"/>
      <c r="K11" s="13" t="e">
        <v>#DIV/0!</v>
      </c>
      <c r="L11" s="13" t="e">
        <v>#DIV/0!</v>
      </c>
      <c r="M11" s="13"/>
      <c r="N11" s="13"/>
      <c r="O11" s="13"/>
    </row>
    <row r="12" spans="1:15" ht="14.45">
      <c r="B12" s="13"/>
      <c r="C12" s="13"/>
      <c r="D12" s="13"/>
      <c r="E12" s="13"/>
      <c r="F12" s="13"/>
      <c r="G12" s="13"/>
      <c r="H12" s="13">
        <v>0</v>
      </c>
      <c r="I12" s="13"/>
      <c r="J12" s="13"/>
      <c r="K12" s="13" t="e">
        <v>#DIV/0!</v>
      </c>
      <c r="L12" s="13" t="e">
        <v>#DIV/0!</v>
      </c>
      <c r="M12" s="13"/>
      <c r="N12" s="13"/>
      <c r="O12" s="13"/>
    </row>
    <row r="13" spans="1:15" ht="14.45">
      <c r="B13" s="13"/>
      <c r="C13" s="13"/>
      <c r="D13" s="13"/>
      <c r="E13" s="13"/>
      <c r="F13" s="13"/>
      <c r="G13" s="13"/>
      <c r="H13" s="13">
        <v>0</v>
      </c>
      <c r="I13" s="13"/>
      <c r="J13" s="13"/>
      <c r="K13" s="13" t="e">
        <v>#DIV/0!</v>
      </c>
      <c r="L13" s="13" t="e">
        <v>#DIV/0!</v>
      </c>
      <c r="M13" s="13"/>
      <c r="N13" s="13"/>
      <c r="O13" s="13"/>
    </row>
    <row r="14" spans="1:15" ht="14.45">
      <c r="B14" s="13"/>
      <c r="C14" s="13"/>
      <c r="D14" s="13"/>
      <c r="E14" s="13"/>
      <c r="F14" s="13"/>
      <c r="G14" s="13"/>
      <c r="H14" s="13">
        <v>0</v>
      </c>
      <c r="I14" s="13"/>
      <c r="J14" s="13"/>
      <c r="K14" s="13" t="e">
        <v>#DIV/0!</v>
      </c>
      <c r="L14" s="13" t="e">
        <v>#DIV/0!</v>
      </c>
      <c r="M14" s="13"/>
      <c r="N14" s="13"/>
      <c r="O14" s="13"/>
    </row>
    <row r="15" spans="1:15" ht="14.45">
      <c r="B15" s="13"/>
      <c r="C15" s="13"/>
      <c r="D15" s="13"/>
      <c r="E15" s="13"/>
      <c r="F15" s="13"/>
      <c r="G15" s="13"/>
      <c r="H15" s="13">
        <v>0</v>
      </c>
      <c r="I15" s="13"/>
      <c r="J15" s="13"/>
      <c r="K15" s="13" t="e">
        <v>#DIV/0!</v>
      </c>
      <c r="L15" s="13" t="e">
        <v>#DIV/0!</v>
      </c>
      <c r="M15" s="13"/>
      <c r="N15" s="13"/>
      <c r="O15" s="13"/>
    </row>
    <row r="16" spans="1:15" ht="14.45">
      <c r="B16" s="13"/>
      <c r="C16" s="13"/>
      <c r="D16" s="13"/>
      <c r="E16" s="13"/>
      <c r="F16" s="13"/>
      <c r="G16" s="13"/>
      <c r="H16" s="13">
        <v>0</v>
      </c>
      <c r="I16" s="13"/>
      <c r="J16" s="13"/>
      <c r="K16" s="13" t="e">
        <v>#DIV/0!</v>
      </c>
      <c r="L16" s="13" t="e">
        <v>#DIV/0!</v>
      </c>
      <c r="M16" s="13"/>
      <c r="N16" s="13"/>
      <c r="O16" s="13"/>
    </row>
    <row r="17" spans="2:15" ht="14.45">
      <c r="B17" s="13"/>
      <c r="C17" s="13"/>
      <c r="D17" s="13"/>
      <c r="E17" s="13"/>
      <c r="F17" s="13"/>
      <c r="G17" s="13"/>
      <c r="H17" s="13">
        <v>0</v>
      </c>
      <c r="I17" s="13"/>
      <c r="J17" s="13"/>
      <c r="K17" s="13" t="e">
        <v>#DIV/0!</v>
      </c>
      <c r="L17" s="13" t="e">
        <v>#DIV/0!</v>
      </c>
      <c r="M17" s="13"/>
      <c r="N17" s="13"/>
      <c r="O17" s="13"/>
    </row>
  </sheetData>
  <mergeCells count="2">
    <mergeCell ref="A2:A6"/>
    <mergeCell ref="A7:A1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63E6-4BB1-4AC4-92ED-3E1A1E0AB110}">
  <dimension ref="A2:L12"/>
  <sheetViews>
    <sheetView tabSelected="1" workbookViewId="0">
      <selection activeCell="G21" sqref="G21"/>
    </sheetView>
  </sheetViews>
  <sheetFormatPr defaultRowHeight="13.9"/>
  <cols>
    <col min="1" max="1" width="29.125" bestFit="1" customWidth="1"/>
    <col min="2" max="2" width="13.125" bestFit="1" customWidth="1"/>
  </cols>
  <sheetData>
    <row r="2" spans="1:12">
      <c r="A2" t="s">
        <v>61</v>
      </c>
      <c r="B2">
        <v>6396</v>
      </c>
      <c r="J2" t="s">
        <v>62</v>
      </c>
    </row>
    <row r="3" spans="1:12">
      <c r="A3" t="s">
        <v>63</v>
      </c>
      <c r="B3" s="16">
        <v>3712</v>
      </c>
      <c r="D3" t="s">
        <v>64</v>
      </c>
      <c r="H3">
        <f>3671+878</f>
        <v>4549</v>
      </c>
      <c r="J3">
        <f>H3</f>
        <v>4549</v>
      </c>
    </row>
    <row r="4" spans="1:12">
      <c r="A4" t="s">
        <v>65</v>
      </c>
      <c r="B4">
        <v>836</v>
      </c>
      <c r="F4">
        <f>H3-B4</f>
        <v>3713</v>
      </c>
      <c r="J4">
        <f>53.14*L5</f>
        <v>2816.42</v>
      </c>
      <c r="L4" t="s">
        <v>66</v>
      </c>
    </row>
    <row r="5" spans="1:12">
      <c r="A5" t="s">
        <v>67</v>
      </c>
      <c r="B5" s="16">
        <f>B2-B3+B4</f>
        <v>3520</v>
      </c>
      <c r="H5">
        <f>B2-H3+B4</f>
        <v>2683</v>
      </c>
      <c r="J5">
        <f>-B4</f>
        <v>-836</v>
      </c>
      <c r="L5">
        <v>53</v>
      </c>
    </row>
    <row r="6" spans="1:12">
      <c r="A6" t="s">
        <v>68</v>
      </c>
      <c r="B6" s="17">
        <v>53140064</v>
      </c>
      <c r="J6" s="2">
        <f>SUM(J3:J5)</f>
        <v>6529.42</v>
      </c>
    </row>
    <row r="7" spans="1:12">
      <c r="A7" t="s">
        <v>69</v>
      </c>
      <c r="B7">
        <f>B5*1000000/B6</f>
        <v>66.240040659341318</v>
      </c>
      <c r="H7">
        <f>H5*1000000/B6</f>
        <v>50.489212809378628</v>
      </c>
    </row>
    <row r="8" spans="1:12">
      <c r="J8" t="s">
        <v>70</v>
      </c>
    </row>
    <row r="9" spans="1:12">
      <c r="J9" t="s">
        <v>71</v>
      </c>
    </row>
    <row r="10" spans="1:12" ht="28.15">
      <c r="A10" t="s">
        <v>72</v>
      </c>
      <c r="B10" s="18">
        <v>55.5</v>
      </c>
      <c r="C10" t="s">
        <v>73</v>
      </c>
      <c r="D10" t="s">
        <v>74</v>
      </c>
      <c r="J10" t="s">
        <v>75</v>
      </c>
    </row>
    <row r="12" spans="1:12">
      <c r="J12" t="s">
        <v>76</v>
      </c>
    </row>
  </sheetData>
  <phoneticPr fontId="4" type="noConversion"/>
  <pageMargins left="0.7" right="0.7" top="0.75" bottom="0.75" header="0.3" footer="0.3"/>
  <pageSetup paperSize="9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E93BE295A754CAA06FA35B0619E69" ma:contentTypeVersion="2" ma:contentTypeDescription="Create a new document." ma:contentTypeScope="" ma:versionID="540294b9ddb9fc9052270d7f216e83e7">
  <xsd:schema xmlns:xsd="http://www.w3.org/2001/XMLSchema" xmlns:xs="http://www.w3.org/2001/XMLSchema" xmlns:p="http://schemas.microsoft.com/office/2006/metadata/properties" xmlns:ns2="e1e4d885-b121-4c0c-b617-6c95a3592061" targetNamespace="http://schemas.microsoft.com/office/2006/metadata/properties" ma:root="true" ma:fieldsID="ef75ff05c15e357dd903ee3a842f5afe" ns2:_="">
    <xsd:import namespace="e1e4d885-b121-4c0c-b617-6c95a35920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4d885-b121-4c0c-b617-6c95a3592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BF97B-54F8-480C-BF0F-F71513E0AF8C}"/>
</file>

<file path=customXml/itemProps2.xml><?xml version="1.0" encoding="utf-8"?>
<ds:datastoreItem xmlns:ds="http://schemas.openxmlformats.org/officeDocument/2006/customXml" ds:itemID="{49D433EE-69D0-4283-A296-F7504C32CE0F}"/>
</file>

<file path=customXml/itemProps3.xml><?xml version="1.0" encoding="utf-8"?>
<ds:datastoreItem xmlns:ds="http://schemas.openxmlformats.org/officeDocument/2006/customXml" ds:itemID="{7A9FF616-CB62-4BF3-9881-8D5213CBF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 Jiaqi</cp:lastModifiedBy>
  <cp:revision/>
  <dcterms:created xsi:type="dcterms:W3CDTF">2020-11-18T16:21:42Z</dcterms:created>
  <dcterms:modified xsi:type="dcterms:W3CDTF">2020-11-25T22:19:41Z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0x010100493E93BE295A754CAA06FA35B0619E69</vt:lpwstr>
  </property>
</Properties>
</file>