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4"/>
  <workbookPr/>
  <mc:AlternateContent xmlns:mc="http://schemas.openxmlformats.org/markup-compatibility/2006">
    <mc:Choice Requires="x15">
      <x15ac:absPath xmlns:x15ac="http://schemas.microsoft.com/office/spreadsheetml/2010/11/ac" url="https://aaltofi.sharepoint.com/sites/MergersAcquisitions764/Shared Documents/General/"/>
    </mc:Choice>
  </mc:AlternateContent>
  <xr:revisionPtr revIDLastSave="604" documentId="11_B3493DF523BB92BD6591D6BCB0E4CE00F8FA5512" xr6:coauthVersionLast="45" xr6:coauthVersionMax="45" xr10:uidLastSave="{8C4FF23B-A36A-4134-9C32-05B975BD5A07}"/>
  <bookViews>
    <workbookView xWindow="28680" yWindow="-120" windowWidth="29040" windowHeight="15840" firstSheet="6" activeTab="6" xr2:uid="{00000000-000D-0000-FFFF-FFFF00000000}"/>
  </bookViews>
  <sheets>
    <sheet name="Football field" sheetId="5" r:id="rId1"/>
    <sheet name="Sheet4" sheetId="6" r:id="rId2"/>
    <sheet name="Old" sheetId="1" r:id="rId3"/>
    <sheet name="old1" sheetId="2" r:id="rId4"/>
    <sheet name="Taul1" sheetId="3" r:id="rId5"/>
    <sheet name="Oct 30 2020" sheetId="4" r:id="rId6"/>
    <sheet name="Sheet5" sheetId="7" r:id="rId7"/>
  </sheets>
  <definedNames>
    <definedName name="_xlnm.Print_Area" localSheetId="2">Old!$A$1:$K$45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2" i="7" l="1"/>
  <c r="O32" i="7"/>
  <c r="S32" i="7"/>
  <c r="R32" i="7"/>
  <c r="P32" i="7"/>
  <c r="O33" i="7"/>
  <c r="P33" i="7"/>
  <c r="Q33" i="7"/>
  <c r="Q32" i="7"/>
  <c r="E36" i="7"/>
  <c r="V32" i="4"/>
  <c r="U32" i="4"/>
  <c r="V25" i="4"/>
  <c r="V24" i="4"/>
  <c r="U24" i="4"/>
  <c r="U25" i="4"/>
  <c r="U29" i="4"/>
  <c r="U28" i="4"/>
  <c r="V29" i="4"/>
  <c r="V28" i="4"/>
  <c r="W29" i="4"/>
  <c r="W28" i="4"/>
  <c r="W24" i="4"/>
  <c r="W25" i="4"/>
  <c r="C5" i="7" l="1"/>
  <c r="D36" i="7" s="1"/>
  <c r="I26" i="7"/>
  <c r="C7" i="7" s="1"/>
  <c r="M32" i="4"/>
  <c r="L32" i="4"/>
  <c r="E6" i="7"/>
  <c r="E7" i="7" s="1"/>
  <c r="F6" i="7"/>
  <c r="F7" i="7" s="1"/>
  <c r="D6" i="7"/>
  <c r="D7" i="7" s="1"/>
  <c r="E5" i="7"/>
  <c r="F5" i="7"/>
  <c r="D5" i="7"/>
  <c r="N24" i="4"/>
  <c r="O24" i="4" s="1"/>
  <c r="N25" i="4"/>
  <c r="N28" i="4"/>
  <c r="N29" i="4"/>
  <c r="O29" i="4" s="1"/>
  <c r="M25" i="4"/>
  <c r="M24" i="4"/>
  <c r="L25" i="4"/>
  <c r="L24" i="4"/>
  <c r="O25" i="4"/>
  <c r="O28" i="4"/>
  <c r="M29" i="4"/>
  <c r="M28" i="4"/>
  <c r="L29" i="4"/>
  <c r="L28" i="4"/>
  <c r="O20" i="4"/>
  <c r="N19" i="4"/>
  <c r="J19" i="4"/>
  <c r="N20" i="4"/>
  <c r="I18" i="4"/>
  <c r="I19" i="4" s="1"/>
  <c r="F18" i="4"/>
  <c r="K19" i="4"/>
  <c r="N18" i="4"/>
  <c r="Q20" i="4" s="1"/>
  <c r="N16" i="4"/>
  <c r="E9" i="5"/>
  <c r="C9" i="5"/>
  <c r="D9" i="5" s="1"/>
  <c r="Q12" i="5"/>
  <c r="P12" i="5"/>
  <c r="Q11" i="5"/>
  <c r="E7" i="5" s="1"/>
  <c r="P11" i="5"/>
  <c r="C7" i="5" s="1"/>
  <c r="D7" i="5" s="1"/>
  <c r="Q10" i="5"/>
  <c r="P10" i="5"/>
  <c r="C6" i="5" s="1"/>
  <c r="D6" i="5" s="1"/>
  <c r="Q7" i="5"/>
  <c r="E5" i="5" s="1"/>
  <c r="F5" i="5" s="1"/>
  <c r="P7" i="5"/>
  <c r="Q6" i="5"/>
  <c r="E4" i="5" s="1"/>
  <c r="F4" i="5" s="1"/>
  <c r="P6" i="5"/>
  <c r="C4" i="5" s="1"/>
  <c r="D4" i="5" s="1"/>
  <c r="Q5" i="5"/>
  <c r="E3" i="5" s="1"/>
  <c r="F3" i="5" s="1"/>
  <c r="P5" i="5"/>
  <c r="L9" i="4"/>
  <c r="M17" i="4"/>
  <c r="N17" i="4"/>
  <c r="L17" i="4"/>
  <c r="M9" i="4"/>
  <c r="N9" i="4"/>
  <c r="N7" i="4"/>
  <c r="I7" i="4"/>
  <c r="F7" i="4"/>
  <c r="E6" i="5"/>
  <c r="F6" i="5" s="1"/>
  <c r="F9" i="5"/>
  <c r="F10" i="5"/>
  <c r="D10" i="5"/>
  <c r="N8" i="4"/>
  <c r="I10" i="7" l="1" a="1"/>
  <c r="I10" i="7" s="1"/>
  <c r="J10" i="7" a="1"/>
  <c r="J10" i="7" s="1"/>
  <c r="I4" i="7" a="1"/>
  <c r="I4" i="7" s="1"/>
  <c r="J4" i="7" a="1"/>
  <c r="J4" i="7" s="1"/>
  <c r="C5" i="5"/>
  <c r="D5" i="5" s="1"/>
  <c r="C3" i="5"/>
  <c r="D3" i="5" s="1"/>
  <c r="C8" i="5"/>
  <c r="D8" i="5" s="1"/>
  <c r="E8" i="5"/>
  <c r="F8" i="5" s="1"/>
  <c r="L18" i="4"/>
  <c r="F7" i="5"/>
  <c r="M18" i="4"/>
  <c r="L19" i="4"/>
  <c r="C3" i="3"/>
  <c r="N14" i="4" l="1"/>
  <c r="I14" i="4"/>
  <c r="F14" i="4"/>
  <c r="N13" i="4"/>
  <c r="I13" i="4"/>
  <c r="F13" i="4"/>
  <c r="I16" i="4"/>
  <c r="F16" i="4"/>
  <c r="N15" i="4"/>
  <c r="I15" i="4"/>
  <c r="F15" i="4"/>
  <c r="N12" i="4"/>
  <c r="K12" i="4"/>
  <c r="J12" i="4"/>
  <c r="I12" i="4"/>
  <c r="F12" i="4"/>
  <c r="N5" i="4"/>
  <c r="I5" i="4"/>
  <c r="F5" i="4"/>
  <c r="N6" i="4"/>
  <c r="I6" i="4"/>
  <c r="F6" i="4"/>
  <c r="I8" i="4"/>
  <c r="F8" i="4"/>
  <c r="N4" i="4"/>
  <c r="I4" i="4"/>
  <c r="F4" i="4"/>
  <c r="I15" i="2"/>
  <c r="L15" i="2" s="1"/>
  <c r="F5" i="2"/>
  <c r="F6" i="2"/>
  <c r="F7" i="2"/>
  <c r="F8" i="2"/>
  <c r="F12" i="2"/>
  <c r="F13" i="2"/>
  <c r="F14" i="2"/>
  <c r="F15" i="2"/>
  <c r="F16" i="2"/>
  <c r="F17" i="2"/>
  <c r="F4" i="2"/>
  <c r="N15" i="2"/>
  <c r="N17" i="2"/>
  <c r="N16" i="2"/>
  <c r="I16" i="2"/>
  <c r="N14" i="2"/>
  <c r="N13" i="2"/>
  <c r="N12" i="2"/>
  <c r="N8" i="2"/>
  <c r="N7" i="2"/>
  <c r="I7" i="2"/>
  <c r="I8" i="2"/>
  <c r="K12" i="2"/>
  <c r="J12" i="2" s="1"/>
  <c r="N6" i="2"/>
  <c r="N5" i="2"/>
  <c r="M7" i="4" l="1"/>
  <c r="L7" i="4"/>
  <c r="M4" i="4"/>
  <c r="L4" i="4"/>
  <c r="M8" i="4"/>
  <c r="L8" i="4"/>
  <c r="M6" i="4"/>
  <c r="L6" i="4"/>
  <c r="M5" i="4"/>
  <c r="L5" i="4"/>
  <c r="M12" i="4"/>
  <c r="L12" i="4"/>
  <c r="M15" i="4"/>
  <c r="L15" i="4"/>
  <c r="M16" i="4"/>
  <c r="L16" i="4"/>
  <c r="M13" i="4"/>
  <c r="L13" i="4"/>
  <c r="M14" i="4"/>
  <c r="L14" i="4"/>
  <c r="M15" i="2"/>
  <c r="N9" i="2"/>
  <c r="N18" i="2"/>
  <c r="L8" i="2"/>
  <c r="I5" i="2"/>
  <c r="M5" i="2" s="1"/>
  <c r="I6" i="2"/>
  <c r="L6" i="2" s="1"/>
  <c r="M7" i="2"/>
  <c r="M8" i="2"/>
  <c r="I12" i="2"/>
  <c r="L12" i="2" s="1"/>
  <c r="I13" i="2"/>
  <c r="M13" i="2" s="1"/>
  <c r="I14" i="2"/>
  <c r="M14" i="2" s="1"/>
  <c r="I17" i="2"/>
  <c r="L17" i="2" s="1"/>
  <c r="I4" i="2"/>
  <c r="M4" i="2" s="1"/>
  <c r="N22" i="4" l="1"/>
  <c r="N21" i="2"/>
  <c r="M16" i="2"/>
  <c r="L16" i="2"/>
  <c r="L4" i="2"/>
  <c r="L14" i="2"/>
  <c r="L13" i="2"/>
  <c r="L18" i="2" s="1"/>
  <c r="M17" i="2"/>
  <c r="L5" i="2"/>
  <c r="L7" i="2"/>
  <c r="M12" i="2"/>
  <c r="M6" i="2"/>
  <c r="M22" i="4" l="1"/>
  <c r="L22" i="4"/>
  <c r="M9" i="2"/>
  <c r="L9" i="2"/>
  <c r="L21" i="2" s="1"/>
  <c r="M18" i="2"/>
  <c r="M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tc={B47F9671-1711-4D22-AAAF-ACDA05966440}</author>
  </authors>
  <commentList>
    <comment ref="R4" authorId="0" shapeId="0" xr:uid="{B47F9671-1711-4D22-AAAF-ACDA05966440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want to determine LOW and HIGH? we get pretty big ranges if we go for the firm lows and highs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tc={D9B98708-5990-4EFD-B1AA-7E62076633DE}</author>
    <author>tc={DE8111EB-2F75-4360-9D21-7959B8CD8994}</author>
  </authors>
  <commentList>
    <comment ref="E4" authorId="0" shapeId="0" xr:uid="{D9B98708-5990-4EFD-B1AA-7E62076633DE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which date, are they from the end of october?</t>
      </text>
    </comment>
    <comment ref="N4" authorId="1" shapeId="0" xr:uid="{DE8111EB-2F75-4360-9D21-7959B8CD899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a bit big? are we sure on this?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tc={A541F1DC-568E-4EAA-8D0B-652E6AEB6817}</author>
  </authors>
  <commentList>
    <comment ref="N7" authorId="0" shapeId="0" xr:uid="{A541F1DC-568E-4EAA-8D0B-652E6AEB6817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a bit big? are we sure on this?
Reply:
    fun fact: https://finance.yahoo.com/quote/ATT.ST/key-statistics?p=ATT.ST 
In the yahoo finance, the P/E ratio is growing crazily for this company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<sst xmlns="http://schemas.openxmlformats.org/spreadsheetml/2006/main" count="453" uniqueCount="206">
  <si>
    <t>Column1</t>
  </si>
  <si>
    <t>Low (fig)</t>
  </si>
  <si>
    <t>Low (label)</t>
  </si>
  <si>
    <t>High (fig)</t>
  </si>
  <si>
    <t>High (label)</t>
  </si>
  <si>
    <t>E</t>
  </si>
  <si>
    <t>EV/EBITDA 2019</t>
  </si>
  <si>
    <t>2019 Humana numbers</t>
  </si>
  <si>
    <t>EV/EBIT 2019</t>
  </si>
  <si>
    <t>LOW</t>
  </si>
  <si>
    <t>HIGH</t>
  </si>
  <si>
    <t>P/E 2019</t>
  </si>
  <si>
    <t xml:space="preserve">EBITDA </t>
  </si>
  <si>
    <t>Euro EV/EBITDA</t>
  </si>
  <si>
    <t>Am</t>
  </si>
  <si>
    <t xml:space="preserve">EBIT </t>
  </si>
  <si>
    <t>Euro EV/EBIT</t>
  </si>
  <si>
    <t>Earnings</t>
  </si>
  <si>
    <t>Euro P/E</t>
  </si>
  <si>
    <t>Transactions EV/EBITDA</t>
  </si>
  <si>
    <t>DCF (WACC 6.00-8.00 %, terminal growth 1%)</t>
  </si>
  <si>
    <t>AM EV/EBITDA</t>
  </si>
  <si>
    <t>AM EV/EBIT</t>
  </si>
  <si>
    <t>AM P/E</t>
  </si>
  <si>
    <t>Trans</t>
  </si>
  <si>
    <t>Date</t>
  </si>
  <si>
    <t>Country</t>
  </si>
  <si>
    <t>Target</t>
  </si>
  <si>
    <t>Case description</t>
  </si>
  <si>
    <t>Acquirer</t>
  </si>
  <si>
    <t>EV ($m)</t>
  </si>
  <si>
    <t>EV/EBITDA</t>
  </si>
  <si>
    <t>US</t>
  </si>
  <si>
    <t>VIP Health Care Services Inc</t>
  </si>
  <si>
    <t>Offers home care services</t>
  </si>
  <si>
    <t>Nova Leap Health Corp.</t>
  </si>
  <si>
    <t>N/A</t>
  </si>
  <si>
    <t>RoseRock Healthcare</t>
  </si>
  <si>
    <t>Provides hospice care services to patients</t>
  </si>
  <si>
    <t>Addus HealthCare Inc.</t>
  </si>
  <si>
    <t>130,0</t>
  </si>
  <si>
    <t>Alliance Home Care/House Calls of New Mexico/Foremost Home Care</t>
  </si>
  <si>
    <t>Offers home healthcare services</t>
  </si>
  <si>
    <t>Addus HomeCare Corporation</t>
  </si>
  <si>
    <t>Alacare Home Health &amp; Hospice</t>
  </si>
  <si>
    <t>Provides hospice care and home care services to patients</t>
  </si>
  <si>
    <t>Amedisys Inc.</t>
  </si>
  <si>
    <t>217,5</t>
  </si>
  <si>
    <t>17,5</t>
  </si>
  <si>
    <t>Northwest Buffalo Community Health Care Center Inc</t>
  </si>
  <si>
    <t>Provides residential health care services</t>
  </si>
  <si>
    <t>EN Operations Acquisitions LLC</t>
  </si>
  <si>
    <t>0,5</t>
  </si>
  <si>
    <t>BrightSpring Health Service</t>
  </si>
  <si>
    <t>Provides home and community-based services</t>
  </si>
  <si>
    <t>PharMercia Corporation</t>
  </si>
  <si>
    <t>1320,0</t>
  </si>
  <si>
    <t>Civitas Solutions Inc</t>
  </si>
  <si>
    <t>Provides home and community-based services to must-serve individuals</t>
  </si>
  <si>
    <t>Centerbridge Partners L.P</t>
  </si>
  <si>
    <t>1384,3</t>
  </si>
  <si>
    <t>7,9</t>
  </si>
  <si>
    <t>Compassionate Care Hospice Group Inc</t>
  </si>
  <si>
    <t>Amedisys Hospice L.L.C.</t>
  </si>
  <si>
    <t>12,6</t>
  </si>
  <si>
    <t>GER</t>
  </si>
  <si>
    <t>Alloheim Senioren-Residenzen</t>
  </si>
  <si>
    <t>Private health care home operator</t>
  </si>
  <si>
    <t>Nordic Capital</t>
  </si>
  <si>
    <t>€1070m</t>
  </si>
  <si>
    <t>12,5</t>
  </si>
  <si>
    <t>UK</t>
  </si>
  <si>
    <t>The Regard Partnership</t>
  </si>
  <si>
    <t>Specialist care provider for mental health and disabilities</t>
  </si>
  <si>
    <t>AMP Capital Partners</t>
  </si>
  <si>
    <t>€405m</t>
  </si>
  <si>
    <t>14,5</t>
  </si>
  <si>
    <t>1. Company A's key figures (valuation target)</t>
  </si>
  <si>
    <t>Share price (EUR)</t>
  </si>
  <si>
    <t>GROUP MEMBERS</t>
  </si>
  <si>
    <t>First name</t>
  </si>
  <si>
    <t>Last name</t>
  </si>
  <si>
    <t>Student ID number</t>
  </si>
  <si>
    <t>Number of shares in millions</t>
  </si>
  <si>
    <t>Group member 1</t>
  </si>
  <si>
    <t>Interest-bearing debt (EURm)</t>
  </si>
  <si>
    <t>Group member 2</t>
  </si>
  <si>
    <t>Cash and liquid assets (EURm)</t>
  </si>
  <si>
    <t>Book value of equity (EURm)</t>
  </si>
  <si>
    <t>NOTE: PLEASE DO NOT CHANGE THE FORMAT OF THE CELLS</t>
  </si>
  <si>
    <t>Sales (EURm)</t>
  </si>
  <si>
    <t>EBITDA (EURm)</t>
  </si>
  <si>
    <t>Assumptions (given)</t>
  </si>
  <si>
    <t>Depreciation (EURm)</t>
  </si>
  <si>
    <t>To be filled using formulas</t>
  </si>
  <si>
    <t>Earnings (EURm)</t>
  </si>
  <si>
    <t>Please write the name and ID number of all group members</t>
  </si>
  <si>
    <t>EPS (EUR)</t>
  </si>
  <si>
    <t>Book value of equity per share (EUR)</t>
  </si>
  <si>
    <t>Equity value (EURm)</t>
  </si>
  <si>
    <t>Entity value (EURm)</t>
  </si>
  <si>
    <t>2. Company A's main multiples</t>
  </si>
  <si>
    <t>EV/Sales</t>
  </si>
  <si>
    <t>P/E using equity value and total earnings</t>
  </si>
  <si>
    <t>P/E using share price and EPS</t>
  </si>
  <si>
    <t>P/B using equity value and book value of equity</t>
  </si>
  <si>
    <t>P/B using share price and book value of equity per share</t>
  </si>
  <si>
    <t>3. Comparable firms (financials)</t>
  </si>
  <si>
    <t>Share price</t>
  </si>
  <si>
    <t>Equity value</t>
  </si>
  <si>
    <t xml:space="preserve">Interest-bearing debt </t>
  </si>
  <si>
    <t xml:space="preserve">Cash and liquid assets </t>
  </si>
  <si>
    <t>Entity value</t>
  </si>
  <si>
    <t>Sales</t>
  </si>
  <si>
    <t>EBITDA</t>
  </si>
  <si>
    <t>Book value of equity</t>
  </si>
  <si>
    <t>EUR</t>
  </si>
  <si>
    <t>EURm</t>
  </si>
  <si>
    <t>Company B</t>
  </si>
  <si>
    <t>Company C</t>
  </si>
  <si>
    <t>Company D</t>
  </si>
  <si>
    <t>Company E</t>
  </si>
  <si>
    <t>4. Comparable firms (multiples)</t>
  </si>
  <si>
    <t>P/E</t>
  </si>
  <si>
    <t>P/B</t>
  </si>
  <si>
    <t>Arithmetic mean (for each ratio)</t>
  </si>
  <si>
    <t>5. Relative valuation of Company A</t>
  </si>
  <si>
    <t>Implied EV using EV/Sales (EURm)</t>
  </si>
  <si>
    <t>Implied EV using EV/EBITDA (EURm)</t>
  </si>
  <si>
    <t>Implied share price using P/E (EUR)</t>
  </si>
  <si>
    <t>implied equity value using P/E (EURm)</t>
  </si>
  <si>
    <t>Implied share price using P/B (EUR)</t>
  </si>
  <si>
    <t>Implied equity value using P/B (EURm)</t>
  </si>
  <si>
    <t>All tables in millions, divisions: North Europe &amp; USA</t>
  </si>
  <si>
    <t>Company</t>
  </si>
  <si>
    <t>Currency</t>
  </si>
  <si>
    <t>shares</t>
  </si>
  <si>
    <t>shareprice</t>
  </si>
  <si>
    <t>market cap</t>
  </si>
  <si>
    <t>Interest bearing debt</t>
  </si>
  <si>
    <t>Cash and cash equivalents</t>
  </si>
  <si>
    <t>EV</t>
  </si>
  <si>
    <t>EBIT</t>
  </si>
  <si>
    <t>EV/EBIT</t>
  </si>
  <si>
    <t>Source</t>
  </si>
  <si>
    <t>Attendo</t>
  </si>
  <si>
    <t>Sweden</t>
  </si>
  <si>
    <t>SEK</t>
  </si>
  <si>
    <t>https://www.attendo.com/49672d/siteassets/attendo-com/dokument/annual-report/attendo_ar2019_eng200330.pdf</t>
  </si>
  <si>
    <t>Terveystalo (2019)</t>
  </si>
  <si>
    <t>Finland</t>
  </si>
  <si>
    <t>https://www.terveystalo.com/Global/Vuosikertomus%202019/Terveystalo_Annual_Review_2019.pdf</t>
  </si>
  <si>
    <t>Ambea</t>
  </si>
  <si>
    <t>https://vp255.alertir.com/afw/files/press/ambea/202004085734-1.pdf</t>
  </si>
  <si>
    <t>Koninklijke Philips N.V</t>
  </si>
  <si>
    <t>Netherlands</t>
  </si>
  <si>
    <t>Korian</t>
  </si>
  <si>
    <t>France</t>
  </si>
  <si>
    <t>https://www.businesswire.com/news/home/20200227005909/en/2019-Annual-Results-Korian-Benefits-From-the-Success-of-Its-Diversified-and-Local-Growth-Model-1</t>
  </si>
  <si>
    <t>https://www.korian.com/en/share-price-and-form</t>
  </si>
  <si>
    <t>AVG</t>
  </si>
  <si>
    <t>National HealthCare Corporation</t>
  </si>
  <si>
    <t>USA</t>
  </si>
  <si>
    <t>USD</t>
  </si>
  <si>
    <t>https://www.annualreports.com/HostedData/AnnualReports/PDF/AMEX_NHC_2019.pdf</t>
  </si>
  <si>
    <t>UnitedHealth Group Incorporated</t>
  </si>
  <si>
    <t>https://www.unitedhealthgroup.com/viewer.html?file=/content/dam/UHG/PDF/investors/2019/UNH-Form-10-K.pdf</t>
  </si>
  <si>
    <t>Cigna Corporation</t>
  </si>
  <si>
    <t>Centene</t>
  </si>
  <si>
    <t>Molina HealthCare</t>
  </si>
  <si>
    <t>https://www.annualreports.com/HostedData/AnnualReports/PDF/NYSE_MOH_2019.pdf</t>
  </si>
  <si>
    <t>Magellan Health Incorporated</t>
  </si>
  <si>
    <t>https://ir.magellanhealth.com/static-files/7ed7b755-6801-4906-97cf-0fdf6746e5d9</t>
  </si>
  <si>
    <t>In red: too big market cap for the evaluation, to be deleted</t>
  </si>
  <si>
    <t>Total average</t>
  </si>
  <si>
    <t>Oct 30 share prices</t>
  </si>
  <si>
    <t>Terveystalo</t>
  </si>
  <si>
    <t>suggest using Oct 30 2020 share price</t>
  </si>
  <si>
    <t>Konink</t>
  </si>
  <si>
    <t xml:space="preserve">as we are using it for the Humana </t>
  </si>
  <si>
    <t xml:space="preserve">-&gt; more comperable as Oct 30 market </t>
  </si>
  <si>
    <t>wasn't doing that well</t>
  </si>
  <si>
    <t>National</t>
  </si>
  <si>
    <t>Cigna</t>
  </si>
  <si>
    <t>Molina</t>
  </si>
  <si>
    <t>Magellan</t>
  </si>
  <si>
    <t>Koninklijke Philips</t>
  </si>
  <si>
    <t>Attendo</t>
    <phoneticPr fontId="0" type="noConversion"/>
  </si>
  <si>
    <t>https://www.korian.com/sites/default/files/documents/Korian%20-%20RA_27022020_momentys_DEF_WEB.pdf</t>
  </si>
  <si>
    <t>MEDIAN</t>
  </si>
  <si>
    <t>Humana</t>
  </si>
  <si>
    <t>SEK/EUR</t>
  </si>
  <si>
    <t>Without synergy</t>
  </si>
  <si>
    <t>P/E without</t>
  </si>
  <si>
    <t>EU</t>
  </si>
  <si>
    <t>5m eur 51,1 SEK m implied</t>
  </si>
  <si>
    <t>5m p/E</t>
  </si>
  <si>
    <t>Median</t>
  </si>
  <si>
    <t>transactuibn</t>
  </si>
  <si>
    <t>5m</t>
  </si>
  <si>
    <t>no syn</t>
  </si>
  <si>
    <t>Transactions</t>
  </si>
  <si>
    <t>DCF</t>
  </si>
  <si>
    <t>p/E</t>
  </si>
  <si>
    <t>Transaction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</si>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</sst>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.5"/>
      <color rgb="FFFFFFFF"/>
      <name val="Calibri"/>
      <family val="2"/>
    </font>
    <font>
      <sz val="10.5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/>
      <top/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  <border>
      <left/>
      <right style="thin">
        <color theme="4" tint="0.39997558519241921"/>
      </right>
      <top/>
      <bottom style="thin">
        <color rgb="FF9BC2E6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3" xfId="0" applyFont="1" applyBorder="1"/>
    <xf numFmtId="0" fontId="0" fillId="0" borderId="14" xfId="0" applyBorder="1"/>
    <xf numFmtId="0" fontId="0" fillId="0" borderId="15" xfId="0" applyBorder="1"/>
    <xf numFmtId="0" fontId="2" fillId="0" borderId="1" xfId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" xfId="0" applyFont="1" applyBorder="1"/>
    <xf numFmtId="0" fontId="0" fillId="0" borderId="13" xfId="0" applyBorder="1"/>
    <xf numFmtId="0" fontId="2" fillId="0" borderId="5" xfId="0" applyFont="1" applyBorder="1"/>
    <xf numFmtId="0" fontId="4" fillId="0" borderId="2" xfId="0" applyFont="1" applyBorder="1"/>
    <xf numFmtId="0" fontId="4" fillId="0" borderId="10" xfId="0" applyFont="1" applyBorder="1"/>
    <xf numFmtId="0" fontId="4" fillId="0" borderId="1" xfId="0" applyFont="1" applyBorder="1"/>
    <xf numFmtId="0" fontId="0" fillId="2" borderId="1" xfId="0" applyFill="1" applyBorder="1"/>
    <xf numFmtId="0" fontId="1" fillId="2" borderId="1" xfId="1" applyFill="1" applyBorder="1"/>
    <xf numFmtId="2" fontId="0" fillId="3" borderId="13" xfId="0" applyNumberFormat="1" applyFill="1" applyBorder="1" applyAlignment="1">
      <alignment horizontal="center"/>
    </xf>
    <xf numFmtId="2" fontId="0" fillId="3" borderId="14" xfId="0" applyNumberFormat="1" applyFill="1" applyBorder="1" applyAlignment="1">
      <alignment horizontal="center"/>
    </xf>
    <xf numFmtId="0" fontId="1" fillId="3" borderId="1" xfId="1" applyFill="1" applyBorder="1"/>
    <xf numFmtId="2" fontId="0" fillId="3" borderId="1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0" fontId="1" fillId="4" borderId="1" xfId="1" applyFill="1" applyBorder="1"/>
    <xf numFmtId="2" fontId="0" fillId="4" borderId="5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11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4" fillId="0" borderId="8" xfId="1" applyFont="1" applyBorder="1" applyAlignment="1"/>
    <xf numFmtId="0" fontId="4" fillId="0" borderId="0" xfId="1" applyFont="1" applyBorder="1" applyAlignment="1"/>
    <xf numFmtId="0" fontId="3" fillId="0" borderId="5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0" fillId="4" borderId="14" xfId="0" applyNumberFormat="1" applyFill="1" applyBorder="1" applyAlignment="1">
      <alignment horizontal="center"/>
    </xf>
    <xf numFmtId="2" fontId="7" fillId="0" borderId="0" xfId="0" applyNumberFormat="1" applyFont="1"/>
    <xf numFmtId="0" fontId="7" fillId="0" borderId="0" xfId="0" applyFont="1"/>
    <xf numFmtId="0" fontId="6" fillId="0" borderId="0" xfId="0" applyFont="1"/>
    <xf numFmtId="0" fontId="2" fillId="0" borderId="0" xfId="0" applyFont="1"/>
    <xf numFmtId="0" fontId="0" fillId="5" borderId="0" xfId="0" applyFill="1"/>
    <xf numFmtId="0" fontId="8" fillId="0" borderId="0" xfId="2"/>
    <xf numFmtId="0" fontId="0" fillId="6" borderId="0" xfId="0" applyFill="1"/>
    <xf numFmtId="0" fontId="0" fillId="7" borderId="0" xfId="0" applyFill="1"/>
    <xf numFmtId="0" fontId="9" fillId="8" borderId="18" xfId="0" applyFont="1" applyFill="1" applyBorder="1" applyAlignment="1">
      <alignment horizontal="center" wrapText="1" readingOrder="1"/>
    </xf>
    <xf numFmtId="0" fontId="9" fillId="8" borderId="19" xfId="0" applyFont="1" applyFill="1" applyBorder="1" applyAlignment="1">
      <alignment horizontal="center" wrapText="1" readingOrder="1"/>
    </xf>
    <xf numFmtId="14" fontId="10" fillId="0" borderId="16" xfId="0" applyNumberFormat="1" applyFont="1" applyFill="1" applyBorder="1" applyAlignment="1">
      <alignment horizontal="center" wrapText="1" readingOrder="1"/>
    </xf>
    <xf numFmtId="0" fontId="10" fillId="0" borderId="17" xfId="0" applyFont="1" applyFill="1" applyBorder="1" applyAlignment="1">
      <alignment horizontal="center" wrapText="1" readingOrder="1"/>
    </xf>
    <xf numFmtId="14" fontId="10" fillId="0" borderId="20" xfId="0" applyNumberFormat="1" applyFont="1" applyFill="1" applyBorder="1" applyAlignment="1">
      <alignment horizontal="center" wrapText="1" readingOrder="1"/>
    </xf>
    <xf numFmtId="0" fontId="10" fillId="0" borderId="21" xfId="0" applyFont="1" applyFill="1" applyBorder="1" applyAlignment="1">
      <alignment horizontal="center" wrapText="1" readingOrder="1"/>
    </xf>
    <xf numFmtId="0" fontId="10" fillId="0" borderId="17" xfId="0" applyFont="1" applyFill="1" applyBorder="1" applyAlignment="1">
      <alignment horizontal="center" vertical="center" wrapText="1" readingOrder="1"/>
    </xf>
    <xf numFmtId="0" fontId="10" fillId="0" borderId="21" xfId="0" applyFont="1" applyFill="1" applyBorder="1" applyAlignment="1">
      <alignment horizontal="center" vertical="center" wrapText="1" readingOrder="1"/>
    </xf>
    <xf numFmtId="164" fontId="0" fillId="0" borderId="0" xfId="0" applyNumberFormat="1"/>
    <xf numFmtId="0" fontId="0" fillId="9" borderId="0" xfId="0" applyFill="1"/>
    <xf numFmtId="0" fontId="2" fillId="0" borderId="13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0" fontId="2" fillId="0" borderId="2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5" fillId="0" borderId="0" xfId="0" applyFont="1" applyAlignment="1">
      <alignment horizontal="left"/>
    </xf>
    <xf numFmtId="0" fontId="9" fillId="8" borderId="22" xfId="0" applyFont="1" applyFill="1" applyBorder="1" applyAlignment="1">
      <alignment horizontal="center" wrapText="1" readingOrder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2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d/m/yyyy"/>
      <fill>
        <patternFill patternType="none">
          <fgColor indexed="64"/>
          <bgColor auto="1"/>
        </patternFill>
      </fill>
    </dxf>
    <dxf>
      <border outline="0">
        <bottom style="thin">
          <color rgb="FF9BC2E6"/>
        </bottom>
      </border>
    </dxf>
    <dxf>
      <border outline="0">
        <top style="thin">
          <color rgb="FF000000"/>
        </top>
        <bottom style="thin">
          <color rgb="FF9BC2E6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FFFFFF"/>
        <name val="Calibr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1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1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rgb="FF9BC2E6"/>
        </top>
      </border>
    </dxf>
    <dxf>
      <border outline="0">
        <bottom style="thin">
          <color rgb="FF9BC2E6"/>
        </bottom>
      </border>
    </dxf>
    <dxf>
      <border outline="0">
        <top style="thin">
          <color rgb="FF000000"/>
        </top>
        <bottom style="thin">
          <color rgb="FF9BC2E6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1"/>
    </dxf>
  </dxfs>
  <tableStyles count="0" defaultTableStyle="TableStyleMedium2" defaultPivotStyle="PivotStyleLight16"/>
  <colors>
    <mruColors>
      <color rgb="FF66FF33"/>
      <color rgb="FF99FF3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tockChart>
        <c:ser>
          <c:idx val="0"/>
          <c:order val="0"/>
          <c:tx>
            <c:strRef>
              <c:f>'Football field'!$C$2</c:f>
              <c:strCache>
                <c:ptCount val="1"/>
                <c:pt idx="0">
                  <c:v>Low (fig)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field'!$B$3:$B$10</c:f>
              <c:strCache>
                <c:ptCount val="8"/>
                <c:pt idx="0">
                  <c:v>EV/EBITDA 2019</c:v>
                </c:pt>
                <c:pt idx="1">
                  <c:v>EV/EBIT 2019</c:v>
                </c:pt>
                <c:pt idx="2">
                  <c:v>P/E 2019</c:v>
                </c:pt>
                <c:pt idx="3">
                  <c:v>EV/EBITDA 2019</c:v>
                </c:pt>
                <c:pt idx="4">
                  <c:v>EV/EBIT 2019</c:v>
                </c:pt>
                <c:pt idx="5">
                  <c:v>P/E 2019</c:v>
                </c:pt>
                <c:pt idx="6">
                  <c:v>Transactions EV/EBITDA</c:v>
                </c:pt>
                <c:pt idx="7">
                  <c:v>DCF (WACC 6.00-8.00 %, terminal growth 1%)</c:v>
                </c:pt>
              </c:strCache>
            </c:strRef>
          </c:cat>
          <c:val>
            <c:numRef>
              <c:f>'Football field'!$C$3:$C$10</c:f>
              <c:numCache>
                <c:formatCode>General</c:formatCode>
                <c:ptCount val="8"/>
                <c:pt idx="0">
                  <c:v>6629.8971621476285</c:v>
                </c:pt>
                <c:pt idx="1">
                  <c:v>8171.0091622791133</c:v>
                </c:pt>
                <c:pt idx="2">
                  <c:v>7429.7380952380954</c:v>
                </c:pt>
                <c:pt idx="3">
                  <c:v>5887.9636686732611</c:v>
                </c:pt>
                <c:pt idx="4">
                  <c:v>4513.2374832487312</c:v>
                </c:pt>
                <c:pt idx="5">
                  <c:v>6174.7307692307695</c:v>
                </c:pt>
                <c:pt idx="6">
                  <c:v>5522.1</c:v>
                </c:pt>
                <c:pt idx="7">
                  <c:v>5586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C-44D5-A918-59E3CD7CF094}"/>
            </c:ext>
          </c:extLst>
        </c:ser>
        <c:ser>
          <c:idx val="1"/>
          <c:order val="1"/>
          <c:tx>
            <c:strRef>
              <c:f>'Football field'!$D$2</c:f>
              <c:strCache>
                <c:ptCount val="1"/>
                <c:pt idx="0">
                  <c:v>Low (label)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field'!$B$3:$B$10</c:f>
              <c:strCache>
                <c:ptCount val="8"/>
                <c:pt idx="0">
                  <c:v>EV/EBITDA 2019</c:v>
                </c:pt>
                <c:pt idx="1">
                  <c:v>EV/EBIT 2019</c:v>
                </c:pt>
                <c:pt idx="2">
                  <c:v>P/E 2019</c:v>
                </c:pt>
                <c:pt idx="3">
                  <c:v>EV/EBITDA 2019</c:v>
                </c:pt>
                <c:pt idx="4">
                  <c:v>EV/EBIT 2019</c:v>
                </c:pt>
                <c:pt idx="5">
                  <c:v>P/E 2019</c:v>
                </c:pt>
                <c:pt idx="6">
                  <c:v>Transactions EV/EBITDA</c:v>
                </c:pt>
                <c:pt idx="7">
                  <c:v>DCF (WACC 6.00-8.00 %, terminal growth 1%)</c:v>
                </c:pt>
              </c:strCache>
            </c:strRef>
          </c:cat>
          <c:val>
            <c:numRef>
              <c:f>'Football field'!$D$3:$D$10</c:f>
              <c:numCache>
                <c:formatCode>General</c:formatCode>
                <c:ptCount val="8"/>
                <c:pt idx="0">
                  <c:v>6629.8971621476285</c:v>
                </c:pt>
                <c:pt idx="1">
                  <c:v>8171.0091622791133</c:v>
                </c:pt>
                <c:pt idx="2">
                  <c:v>7429.7380952380954</c:v>
                </c:pt>
                <c:pt idx="3">
                  <c:v>5887.9636686732611</c:v>
                </c:pt>
                <c:pt idx="4">
                  <c:v>4513.2374832487312</c:v>
                </c:pt>
                <c:pt idx="5">
                  <c:v>6174.7307692307695</c:v>
                </c:pt>
                <c:pt idx="6">
                  <c:v>5522.1</c:v>
                </c:pt>
                <c:pt idx="7">
                  <c:v>5586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1C-44D5-A918-59E3CD7CF094}"/>
            </c:ext>
          </c:extLst>
        </c:ser>
        <c:ser>
          <c:idx val="2"/>
          <c:order val="2"/>
          <c:tx>
            <c:strRef>
              <c:f>'Football field'!$E$2</c:f>
              <c:strCache>
                <c:ptCount val="1"/>
                <c:pt idx="0">
                  <c:v>High (fig)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field'!$B$3:$B$10</c:f>
              <c:strCache>
                <c:ptCount val="8"/>
                <c:pt idx="0">
                  <c:v>EV/EBITDA 2019</c:v>
                </c:pt>
                <c:pt idx="1">
                  <c:v>EV/EBIT 2019</c:v>
                </c:pt>
                <c:pt idx="2">
                  <c:v>P/E 2019</c:v>
                </c:pt>
                <c:pt idx="3">
                  <c:v>EV/EBITDA 2019</c:v>
                </c:pt>
                <c:pt idx="4">
                  <c:v>EV/EBIT 2019</c:v>
                </c:pt>
                <c:pt idx="5">
                  <c:v>P/E 2019</c:v>
                </c:pt>
                <c:pt idx="6">
                  <c:v>Transactions EV/EBITDA</c:v>
                </c:pt>
                <c:pt idx="7">
                  <c:v>DCF (WACC 6.00-8.00 %, terminal growth 1%)</c:v>
                </c:pt>
              </c:strCache>
            </c:strRef>
          </c:cat>
          <c:val>
            <c:numRef>
              <c:f>'Football field'!$E$3:$E$10</c:f>
              <c:numCache>
                <c:formatCode>General</c:formatCode>
                <c:ptCount val="8"/>
                <c:pt idx="0">
                  <c:v>7496.760733661381</c:v>
                </c:pt>
                <c:pt idx="1">
                  <c:v>10047.58263339416</c:v>
                </c:pt>
                <c:pt idx="2">
                  <c:v>10459.945736434107</c:v>
                </c:pt>
                <c:pt idx="3">
                  <c:v>6722.0934426122449</c:v>
                </c:pt>
                <c:pt idx="4">
                  <c:v>6513.0880803061218</c:v>
                </c:pt>
                <c:pt idx="5">
                  <c:v>6765.4638186573666</c:v>
                </c:pt>
                <c:pt idx="6">
                  <c:v>8737.5</c:v>
                </c:pt>
                <c:pt idx="7">
                  <c:v>7543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1C-44D5-A918-59E3CD7CF094}"/>
            </c:ext>
          </c:extLst>
        </c:ser>
        <c:ser>
          <c:idx val="3"/>
          <c:order val="3"/>
          <c:tx>
            <c:strRef>
              <c:f>'Football field'!$F$2</c:f>
              <c:strCache>
                <c:ptCount val="1"/>
                <c:pt idx="0">
                  <c:v>High (label)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field'!$B$3:$B$10</c:f>
              <c:strCache>
                <c:ptCount val="8"/>
                <c:pt idx="0">
                  <c:v>EV/EBITDA 2019</c:v>
                </c:pt>
                <c:pt idx="1">
                  <c:v>EV/EBIT 2019</c:v>
                </c:pt>
                <c:pt idx="2">
                  <c:v>P/E 2019</c:v>
                </c:pt>
                <c:pt idx="3">
                  <c:v>EV/EBITDA 2019</c:v>
                </c:pt>
                <c:pt idx="4">
                  <c:v>EV/EBIT 2019</c:v>
                </c:pt>
                <c:pt idx="5">
                  <c:v>P/E 2019</c:v>
                </c:pt>
                <c:pt idx="6">
                  <c:v>Transactions EV/EBITDA</c:v>
                </c:pt>
                <c:pt idx="7">
                  <c:v>DCF (WACC 6.00-8.00 %, terminal growth 1%)</c:v>
                </c:pt>
              </c:strCache>
            </c:strRef>
          </c:cat>
          <c:val>
            <c:numRef>
              <c:f>'Football field'!$F$3:$F$10</c:f>
              <c:numCache>
                <c:formatCode>General</c:formatCode>
                <c:ptCount val="8"/>
                <c:pt idx="0">
                  <c:v>7496.760733661381</c:v>
                </c:pt>
                <c:pt idx="1">
                  <c:v>10047.58263339416</c:v>
                </c:pt>
                <c:pt idx="2">
                  <c:v>10459.945736434107</c:v>
                </c:pt>
                <c:pt idx="3">
                  <c:v>6722.0934426122449</c:v>
                </c:pt>
                <c:pt idx="4">
                  <c:v>6513.0880803061218</c:v>
                </c:pt>
                <c:pt idx="5">
                  <c:v>6765.4638186573666</c:v>
                </c:pt>
                <c:pt idx="6">
                  <c:v>8737.5</c:v>
                </c:pt>
                <c:pt idx="7">
                  <c:v>7543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1C-44D5-A918-59E3CD7CF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002060"/>
              </a:solidFill>
              <a:ln w="9525" cap="flat" cmpd="sng" algn="ctr">
                <a:solidFill>
                  <a:srgbClr val="002060"/>
                </a:solidFill>
                <a:round/>
              </a:ln>
              <a:effectLst/>
            </c:spPr>
          </c:upBars>
          <c:downBars>
            <c:spPr>
              <a:solidFill>
                <a:srgbClr val="0070C0"/>
              </a:solidFill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downBars>
        </c:upDownBars>
        <c:axId val="540165472"/>
        <c:axId val="540168096"/>
      </c:stockChart>
      <c:catAx>
        <c:axId val="54016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0168096"/>
        <c:crosses val="autoZero"/>
        <c:auto val="1"/>
        <c:lblAlgn val="ctr"/>
        <c:lblOffset val="100"/>
        <c:noMultiLvlLbl val="0"/>
      </c:catAx>
      <c:valAx>
        <c:axId val="540168096"/>
        <c:scaling>
          <c:orientation val="minMax"/>
          <c:max val="9500"/>
          <c:min val="35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16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Taul1!$C$2</c:f>
              <c:strCache>
                <c:ptCount val="1"/>
                <c:pt idx="0">
                  <c:v>EV/EBITDA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Taul1!$B$3:$B$7</c:f>
              <c:strCache>
                <c:ptCount val="5"/>
                <c:pt idx="0">
                  <c:v>Attendo</c:v>
                </c:pt>
                <c:pt idx="1">
                  <c:v>Terveystalo</c:v>
                </c:pt>
                <c:pt idx="2">
                  <c:v>Ambea</c:v>
                </c:pt>
                <c:pt idx="3">
                  <c:v>Koninklijke Philips</c:v>
                </c:pt>
                <c:pt idx="4">
                  <c:v>Korian</c:v>
                </c:pt>
              </c:strCache>
            </c:strRef>
          </c:cat>
          <c:val>
            <c:numRef>
              <c:f>Taul1!$C$3:$C$7</c:f>
              <c:numCache>
                <c:formatCode>General</c:formatCode>
                <c:ptCount val="5"/>
                <c:pt idx="0">
                  <c:v>9.5</c:v>
                </c:pt>
                <c:pt idx="1">
                  <c:v>10.5</c:v>
                </c:pt>
                <c:pt idx="2">
                  <c:v>9.1999999999999993</c:v>
                </c:pt>
                <c:pt idx="3">
                  <c:v>12.8</c:v>
                </c:pt>
                <c:pt idx="4">
                  <c:v>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6-4B1E-83AC-160AAE0327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57557984"/>
        <c:axId val="857555032"/>
      </c:barChart>
      <c:catAx>
        <c:axId val="8575579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555032"/>
        <c:crosses val="autoZero"/>
        <c:auto val="1"/>
        <c:lblAlgn val="ctr"/>
        <c:lblOffset val="100"/>
        <c:noMultiLvlLbl val="0"/>
      </c:catAx>
      <c:valAx>
        <c:axId val="857555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755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Sheet5!$I$3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Sheet5!$H$4:$H$7</c:f>
              <c:strCache>
                <c:ptCount val="4"/>
                <c:pt idx="0">
                  <c:v>DCF</c:v>
                </c:pt>
                <c:pt idx="1">
                  <c:v>EV/EBITDA</c:v>
                </c:pt>
                <c:pt idx="2">
                  <c:v>EV/EBIT</c:v>
                </c:pt>
                <c:pt idx="3">
                  <c:v>P/E</c:v>
                </c:pt>
              </c:strCache>
            </c:strRef>
          </c:cat>
          <c:val>
            <c:numRef>
              <c:f>Sheet5!$I$4:$I$7</c:f>
              <c:numCache>
                <c:formatCode>General</c:formatCode>
                <c:ptCount val="4"/>
                <c:pt idx="0">
                  <c:v>6395.9709719229268</c:v>
                </c:pt>
                <c:pt idx="1">
                  <c:v>6539.1388576449899</c:v>
                </c:pt>
                <c:pt idx="2">
                  <c:v>5369.682231914654</c:v>
                </c:pt>
                <c:pt idx="3">
                  <c:v>6386.4765100671138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F-4310-8B65-885228AF3FDA}"/>
            </c:ext>
          </c:extLst>
        </c:ser>
        <c:ser>
          <c:idx val="1"/>
          <c:order val="1"/>
          <c:tx>
            <c:strRef>
              <c:f>Sheet5!$J$3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Sheet5!$H$4:$H$7</c:f>
              <c:strCache>
                <c:ptCount val="4"/>
                <c:pt idx="0">
                  <c:v>DCF</c:v>
                </c:pt>
                <c:pt idx="1">
                  <c:v>EV/EBITDA</c:v>
                </c:pt>
                <c:pt idx="2">
                  <c:v>EV/EBIT</c:v>
                </c:pt>
                <c:pt idx="3">
                  <c:v>P/E</c:v>
                </c:pt>
              </c:strCache>
            </c:strRef>
          </c:cat>
          <c:val>
            <c:numRef>
              <c:f>Sheet5!$J$4:$J$7</c:f>
              <c:numCache>
                <c:formatCode>General</c:formatCode>
                <c:ptCount val="4"/>
                <c:pt idx="0">
                  <c:v>646.73566912810475</c:v>
                </c:pt>
                <c:pt idx="1">
                  <c:v>478.04005096660876</c:v>
                </c:pt>
                <c:pt idx="2">
                  <c:v>743.60640122178575</c:v>
                </c:pt>
                <c:pt idx="3">
                  <c:v>574.43464832214795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F-4310-8B65-885228AF3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8169040"/>
        <c:axId val="1038168384"/>
      </c:barChart>
      <c:catAx>
        <c:axId val="1038169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168384"/>
        <c:crosses val="autoZero"/>
        <c:auto val="1"/>
        <c:lblAlgn val="ctr"/>
        <c:lblOffset val="100"/>
        <c:noMultiLvlLbl val="0"/>
      </c:catAx>
      <c:valAx>
        <c:axId val="1038168384"/>
        <c:scaling>
          <c:orientation val="minMax"/>
          <c:max val="10000"/>
          <c:min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16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Sheet5!$I$9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Sheet5!$H$10:$H$13</c:f>
              <c:strCache>
                <c:ptCount val="4"/>
                <c:pt idx="0">
                  <c:v>DCF</c:v>
                </c:pt>
                <c:pt idx="1">
                  <c:v>EV/EBITDA</c:v>
                </c:pt>
                <c:pt idx="2">
                  <c:v>EV/EBIT</c:v>
                </c:pt>
                <c:pt idx="3">
                  <c:v>P/E</c:v>
                </c:pt>
              </c:strCache>
            </c:strRef>
          </c:cat>
          <c:val>
            <c:numRef>
              <c:f>Sheet5!$I$10:$I$13</c:f>
              <c:numCache>
                <c:formatCode>General</c:formatCode>
                <c:ptCount val="4"/>
                <c:pt idx="0">
                  <c:v>8737.5</c:v>
                </c:pt>
                <c:pt idx="1">
                  <c:v>7359.4803763780374</c:v>
                </c:pt>
                <c:pt idx="2">
                  <c:v>8896.3170100045718</c:v>
                </c:pt>
                <c:pt idx="3">
                  <c:v>7921.6744186046517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9-440B-9084-C0C7BA57A7F2}"/>
            </c:ext>
          </c:extLst>
        </c:ser>
        <c:ser>
          <c:idx val="1"/>
          <c:order val="1"/>
          <c:tx>
            <c:strRef>
              <c:f>Sheet5!$J$9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Sheet5!$H$10:$H$13</c:f>
              <c:strCache>
                <c:ptCount val="4"/>
                <c:pt idx="0">
                  <c:v>DCF</c:v>
                </c:pt>
                <c:pt idx="1">
                  <c:v>EV/EBITDA</c:v>
                </c:pt>
                <c:pt idx="2">
                  <c:v>EV/EBIT</c:v>
                </c:pt>
                <c:pt idx="3">
                  <c:v>P/E</c:v>
                </c:pt>
              </c:strCache>
            </c:strRef>
          </c:cat>
          <c:val>
            <c:numRef>
              <c:f>Sheet5!$J$10:$J$13</c:f>
              <c:numCache>
                <c:formatCode>General</c:formatCode>
                <c:ptCount val="4"/>
                <c:pt idx="0">
                  <c:v>638.75</c:v>
                </c:pt>
                <c:pt idx="1">
                  <c:v>538.01065412434582</c:v>
                </c:pt>
                <c:pt idx="2">
                  <c:v>1231.9831956944017</c:v>
                </c:pt>
                <c:pt idx="3">
                  <c:v>904.17053023255812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9-440B-9084-C0C7BA57A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9916152"/>
        <c:axId val="589920088"/>
      </c:barChart>
      <c:catAx>
        <c:axId val="589916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20088"/>
        <c:crosses val="autoZero"/>
        <c:auto val="1"/>
        <c:lblAlgn val="ctr"/>
        <c:lblOffset val="100"/>
        <c:noMultiLvlLbl val="0"/>
      </c:catAx>
      <c:valAx>
        <c:axId val="589920088"/>
        <c:scaling>
          <c:orientation val="minMax"/>
          <c:max val="10000"/>
          <c:min val="2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1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1466851</xdr:colOff>
      <xdr:row>12</xdr:row>
      <xdr:rowOff>123824</xdr:rowOff>
    </xdr:from>
    <xdr:to>
      <xdr:col>10</xdr:col>
      <xdr:colOff>228601</xdr:colOff>
      <xdr:row>28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EDDBA-781A-49C9-A241-A8DEEA0C1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92075</xdr:colOff>
      <xdr:row>4</xdr:row>
      <xdr:rowOff>22225</xdr:rowOff>
    </xdr:from>
    <xdr:to>
      <xdr:col>13</xdr:col>
      <xdr:colOff>396875</xdr:colOff>
      <xdr:row>19</xdr:row>
      <xdr:rowOff>3175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562CE407-4A3A-4CFE-B122-0F3BA314E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584199</xdr:colOff>
      <xdr:row>10</xdr:row>
      <xdr:rowOff>120649</xdr:rowOff>
    </xdr:from>
    <xdr:to>
      <xdr:col>12</xdr:col>
      <xdr:colOff>587374</xdr:colOff>
      <xdr:row>20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96AF3-C938-4CAE-A63F-C59317B7E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552449</xdr:colOff>
      <xdr:row>1</xdr:row>
      <xdr:rowOff>114300</xdr:rowOff>
    </xdr:from>
    <xdr:to>
      <xdr:col>12</xdr:col>
      <xdr:colOff>565150</xdr:colOff>
      <xdr:row>11</xdr:row>
      <xdr:rowOff>79374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00BFBA-A59A-4912-8BE5-AA14257C7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ang Jiaqi" id="{151FA2D5-D823-4C6A-8ED6-4F135E532FF1}" userId="Yang Jiaqi" providerId="None"/>
  <person displayName="Utriainen Ville-Einari" id="{38902FDB-5F71-443D-9625-FFF854A9AE6E}" userId="Utriainen Ville-Einari" providerId="None"/>
  <person displayName="Utriainen Ville-Einari" id="{322B3FD1-946D-48CA-9402-DF6A8A451BF0}" userId="S::ville-einari.utriainen@aalto.fi::82f6d6a2-f8fb-4ef5-a7fa-04b4bb6d835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61ED3-4AE1-4B46-AE22-F70E71CC5E3F}" name="Table2" displayName="Table2" ref="B2:F10" totalsRowShown="0">
  <autoFilter ref="B2:F10" xr:uid="{2D8128C4-FEBD-47F5-9B15-E61C2BB32107}"/>
  <tableColumns count="5">
    <tableColumn id="1" xr3:uid="{7CB5C1BC-3DA3-4E3B-8E03-9CF553BD5F35}" name="Column1"/>
    <tableColumn id="2" xr3:uid="{0D05EC1A-17E4-4114-9EE6-380315847F63}" name="Low (fig)"/>
    <tableColumn id="4" xr3:uid="{8326856B-76E8-470B-B548-BE092511E630}" name="Low (label)">
      <calculatedColumnFormula>Table2[[#This Row],[Low (fig)]]</calculatedColumnFormula>
    </tableColumn>
    <tableColumn id="5" xr3:uid="{E5B899FA-B293-47E1-92D7-6D8200C641AF}" name="High (fig)"/>
    <tableColumn id="3" xr3:uid="{58372036-B7B7-4FCF-8B7D-9A302826F1AB}" name="High (label)">
      <calculatedColumnFormula>Table2[[#This Row],[High (fig)]]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94334E-C4CC-4CE5-B2B7-CB43789E6FD4}" name="Table5" displayName="Table5" ref="C3:I11" totalsRowShown="0" headerRowDxfId="22" dataDxfId="21" headerRowBorderDxfId="19" tableBorderDxfId="20" totalsRowBorderDxfId="18">
  <autoFilter ref="C3:I11" xr:uid="{4C8A18AA-CDA5-4C24-A49C-C92D27328A8D}"/>
  <tableColumns count="7">
    <tableColumn id="1" xr3:uid="{9CAE717E-9C79-41CC-B3DA-40271574718B}" name="Date" dataDxfId="17"/>
    <tableColumn id="2" xr3:uid="{F2F4A606-DE45-4496-A93D-D91B2785EFE3}" name="Country" dataDxfId="16"/>
    <tableColumn id="3" xr3:uid="{71FA2403-6E12-4A73-80DB-518E466740DF}" name="Target" dataDxfId="15"/>
    <tableColumn id="4" xr3:uid="{EFB662ED-6A41-4FAE-972E-E3FA40E7DC79}" name="Case description" dataDxfId="14"/>
    <tableColumn id="5" xr3:uid="{42C4632C-5F77-434A-A3BC-B1CFDF5ED358}" name="Acquirer" dataDxfId="13"/>
    <tableColumn id="6" xr3:uid="{F0DF6348-4E3B-4B50-9137-DD02B48F881B}" name="EV ($m)" dataDxfId="12"/>
    <tableColumn id="7" xr3:uid="{5BFE265F-C501-40C7-9B0A-E225E9B5B5B2}" name="EV/EBITDA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337B79-024E-4A0D-86C1-C791B47E2ED3}" name="Table6" displayName="Table6" ref="C13:I17" totalsRowShown="0" headerRowDxfId="10" dataDxfId="9" headerRowBorderDxfId="7" tableBorderDxfId="8">
  <autoFilter ref="C13:I17" xr:uid="{B9F26DC3-9AB5-4FCD-8AC2-3E568BBDC32D}"/>
  <tableColumns count="7">
    <tableColumn id="1" xr3:uid="{24F91B05-C9F3-40D3-AC64-7C5DFE755225}" name="Date" dataDxfId="6"/>
    <tableColumn id="2" xr3:uid="{E689223A-AA23-4108-B137-D127F7CF2346}" name="Country" dataDxfId="5"/>
    <tableColumn id="3" xr3:uid="{BE64AE48-34C5-492B-B9D3-607E0189D3A2}" name="Target" dataDxfId="4"/>
    <tableColumn id="4" xr3:uid="{BF3836BD-6F7D-4091-818B-C705C7AA9A7F}" name="Case description" dataDxfId="3"/>
    <tableColumn id="5" xr3:uid="{4A28F280-9F83-4377-BB86-880B12CE468C}" name="Acquirer" dataDxfId="2"/>
    <tableColumn id="6" xr3:uid="{0E2A26DB-25C8-4FD7-84DA-33A8ADCE0AD7}" name="EV ($m)" dataDxfId="1"/>
    <tableColumn id="7" xr3:uid="{DDA0FD1E-9FF9-46C7-8EB3-930CE6166FA2}" name="EV/EBITDA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92EA0-3981-43B7-A8C1-5A8219D1F7BA}" name="Table3" displayName="Table3" ref="A3:N8" totalsRowShown="0">
  <autoFilter ref="A3:N8" xr:uid="{FDBD1B3E-E0E9-4768-99DE-745FD35306B7}"/>
  <sortState xmlns:xlrd2="http://schemas.microsoft.com/office/spreadsheetml/2017/richdata2" ref="A4:N8">
    <sortCondition descending="1" ref="A3:A8"/>
  </sortState>
  <tableColumns count="14">
    <tableColumn id="1" xr3:uid="{61A09B1A-00CC-4524-91B5-3AD4A82266F3}" name="Company"/>
    <tableColumn id="2" xr3:uid="{9C99EBE7-5BBF-4433-B136-FFD175D48BC2}" name="Country"/>
    <tableColumn id="3" xr3:uid="{C4F6B853-A42E-4A10-AFC1-3C97A1F0D92B}" name="Currency"/>
    <tableColumn id="4" xr3:uid="{98849D32-50F4-4468-8069-B9E56218CE51}" name="shares"/>
    <tableColumn id="5" xr3:uid="{DA37B49E-F8E0-477D-87FE-91B0A9DCE24E}" name="shareprice"/>
    <tableColumn id="6" xr3:uid="{EA6B3B0A-9C34-485E-A3B4-5B92978545AC}" name="market cap">
      <calculatedColumnFormula>D4*E4</calculatedColumnFormula>
    </tableColumn>
    <tableColumn id="7" xr3:uid="{72074D63-84FA-4D1B-8C13-473B87798480}" name="Interest bearing debt"/>
    <tableColumn id="8" xr3:uid="{C03FCA8D-5B75-4E02-8F32-5AC00F41FBE9}" name="Cash and cash equivalents"/>
    <tableColumn id="9" xr3:uid="{C85E0C70-B859-4473-AD0A-FABC4CC663DB}" name="EV">
      <calculatedColumnFormula>D4*E4+G4-H4</calculatedColumnFormula>
    </tableColumn>
    <tableColumn id="10" xr3:uid="{4BC4CAB7-3A2E-45E7-87BB-0C7828184F64}" name="EBITDA"/>
    <tableColumn id="11" xr3:uid="{89DB35FB-42CB-443B-B5D5-DE736E6ED9A7}" name="EBIT"/>
    <tableColumn id="12" xr3:uid="{08341CF5-AEC3-44B9-BEEC-6980C35E5F56}" name="EV/EBITDA">
      <calculatedColumnFormula>I4/J4</calculatedColumnFormula>
    </tableColumn>
    <tableColumn id="13" xr3:uid="{E334A738-484B-460C-9FBA-95802C5B5D70}" name="EV/EBIT">
      <calculatedColumnFormula>I4/K4</calculatedColumnFormula>
    </tableColumn>
    <tableColumn id="14" xr3:uid="{B4274F8B-56CA-4B90-9499-E11BB42C7139}" name="P/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413DE1-17E2-40C8-860B-BDB2C8830DB6}" name="Table4" displayName="Table4" ref="A11:N16" totalsRowShown="0">
  <autoFilter ref="A11:N16" xr:uid="{5BEE96A5-C807-423E-8EE9-523842880011}"/>
  <sortState xmlns:xlrd2="http://schemas.microsoft.com/office/spreadsheetml/2017/richdata2" ref="A12:N16">
    <sortCondition descending="1" ref="A11:A16"/>
  </sortState>
  <tableColumns count="14">
    <tableColumn id="1" xr3:uid="{002B3BFE-7CB0-4060-84F5-1AA35289CA52}" name="Company"/>
    <tableColumn id="2" xr3:uid="{E0E74AAC-3891-49AF-A780-E3362170BCC3}" name="Country"/>
    <tableColumn id="3" xr3:uid="{3655CD68-7F5E-4330-A8A4-750858D69B11}" name="Currency"/>
    <tableColumn id="4" xr3:uid="{BE194028-EEAC-4C81-A76D-357FA7AD0666}" name="shares"/>
    <tableColumn id="5" xr3:uid="{1CC0BAB1-9B27-4910-AC69-9C32B12826E4}" name="shareprice"/>
    <tableColumn id="6" xr3:uid="{A639383A-D7B7-402D-B672-8D3897B10AFD}" name="market cap">
      <calculatedColumnFormula>D12*E12</calculatedColumnFormula>
    </tableColumn>
    <tableColumn id="7" xr3:uid="{80BFB31D-9FF5-43A9-8DE7-B5B3D36C8866}" name="Interest bearing debt"/>
    <tableColumn id="8" xr3:uid="{E6519B69-C6F0-4DB1-8168-803B758DC22E}" name="Cash and cash equivalents"/>
    <tableColumn id="9" xr3:uid="{AFA4803B-70B0-4B8B-93AD-A0F48C692E12}" name="EV">
      <calculatedColumnFormula>D12*E12+G12-H12</calculatedColumnFormula>
    </tableColumn>
    <tableColumn id="10" xr3:uid="{A306FEC2-E2B9-40FB-822C-DC32020D4198}" name="EBITDA"/>
    <tableColumn id="11" xr3:uid="{F7899910-1F5A-44D3-9ED8-F02036D6730B}" name="EBIT"/>
    <tableColumn id="12" xr3:uid="{A49FF769-2505-497C-BE32-4CD508396D64}" name="EV/EBITDA">
      <calculatedColumnFormula>I12/J12</calculatedColumnFormula>
    </tableColumn>
    <tableColumn id="13" xr3:uid="{0E44833E-CB63-4BEC-B7C3-26AEF238425B}" name="EV/EBIT">
      <calculatedColumnFormula>I12/K12</calculatedColumnFormula>
    </tableColumn>
    <tableColumn id="14" xr3:uid="{5D508C58-363B-46F7-B0B0-A55648F80AD5}" name="P/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44E423-7C91-43E9-B874-1B5DEA889696}" name="Table7" displayName="Table7" ref="B3:F7" totalsRowShown="0">
  <autoFilter ref="B3:F7" xr:uid="{A44E7CDD-6515-40D6-8813-CB3F37C372C7}"/>
  <tableColumns count="5">
    <tableColumn id="1" xr3:uid="{C18E4A4D-28C3-4E35-B345-F3927CE83278}" name="Without synergy"/>
    <tableColumn id="2" xr3:uid="{B8385D5D-2BF2-4D94-B88B-309E9D82845B}" name="Transactions"/>
    <tableColumn id="3" xr3:uid="{58442A82-1EF0-461B-BFB2-79442B6FC0CA}" name="EV/EBITDA"/>
    <tableColumn id="4" xr3:uid="{8B13C3AB-FC6D-4CD1-A202-8BB8E82FBE5F}" name="EV/EBIT"/>
    <tableColumn id="5" xr3:uid="{C16D949B-8B73-4F3F-A5ED-4BAEB5448C47}" name="P/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4" dT="2020-11-25T16:29:04.34" personId="{38902FDB-5F71-443D-9625-FFF854A9AE6E}" id="{B47F9671-1711-4D22-AAAF-ACDA05966440}">
    <text>How do we want to determine LOW and HIGH? we get pretty big ranges if we go for the firm lows and highs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0-11-25T11:38:08.36" personId="{322B3FD1-946D-48CA-9402-DF6A8A451BF0}" id="{D9B98708-5990-4EFD-B1AA-7E62076633DE}">
    <text>From which date, are they from the end of october?</text>
  </threadedComment>
  <threadedComment ref="N4" dT="2020-11-25T11:32:31.40" personId="{322B3FD1-946D-48CA-9402-DF6A8A451BF0}" id="{DE8111EB-2F75-4360-9D21-7959B8CD8994}">
    <text>Is this a bit big? are we sure on this?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N7" dT="2020-11-25T11:32:31.40" personId="{322B3FD1-946D-48CA-9402-DF6A8A451BF0}" id="{A541F1DC-568E-4EAA-8D0B-652E6AEB6817}">
    <text>Is this a bit big? are we sure on this?</text>
  </threadedComment>
  <threadedComment ref="N7" dT="2020-11-25T16:49:31.90" personId="{151FA2D5-D823-4C6A-8ED6-4F135E532FF1}" id="{0E7176CB-D675-4195-A626-37B4364CF794}" parentId="{A541F1DC-568E-4EAA-8D0B-652E6AEB6817}">
    <text>fun fact: https://finance.yahoo.com/quote/ATT.ST/key-statistics?p=ATT.ST 
In the yahoo finance, the P/E ratio is growing crazily for this company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www.korian.com/sites/default/files/documents/Korian%20-%20RA_27022020_momentys_DEF_WEB.pdf" TargetMode="External"/><Relationship Id="rId6" Type="http://schemas.microsoft.com/office/2017/10/relationships/threadedComment" Target="../threadedComments/threadedComment3.xml"/><Relationship Id="rId5" Type="http://schemas.openxmlformats.org/officeDocument/2006/relationships/comments" Target="../comments3.xml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A551-F303-43E4-894E-E25C90B0B2E4}">
  <dimension ref="A2:R15"/>
  <sheetViews>
    <sheetView showGridLines="0" zoomScale="60" zoomScaleNormal="60" workbookViewId="0">
      <selection activeCell="M30" sqref="M30"/>
    </sheetView>
  </sheetViews>
  <sheetFormatPr defaultRowHeight="15"/>
  <cols>
    <col min="2" max="2" width="38.85546875" bestFit="1" customWidth="1"/>
  </cols>
  <sheetData>
    <row r="2" spans="1:18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8">
      <c r="A3" t="s">
        <v>5</v>
      </c>
      <c r="B3" t="s">
        <v>6</v>
      </c>
      <c r="C3">
        <f>P5*J5</f>
        <v>6629.8971621476285</v>
      </c>
      <c r="D3">
        <f>Table2[[#This Row],[Low (fig)]]</f>
        <v>6629.8971621476285</v>
      </c>
      <c r="E3">
        <f>Q5*J5</f>
        <v>7496.760733661381</v>
      </c>
      <c r="F3">
        <f>Table2[[#This Row],[High (fig)]]</f>
        <v>7496.760733661381</v>
      </c>
      <c r="I3" t="s">
        <v>7</v>
      </c>
    </row>
    <row r="4" spans="1:18">
      <c r="A4" t="s">
        <v>5</v>
      </c>
      <c r="B4" t="s">
        <v>8</v>
      </c>
      <c r="C4">
        <f t="shared" ref="C4" si="0">P6*J6</f>
        <v>8171.0091622791133</v>
      </c>
      <c r="D4">
        <f>Table2[[#This Row],[Low (fig)]]</f>
        <v>8171.0091622791133</v>
      </c>
      <c r="E4">
        <f t="shared" ref="E4" si="1">Q6*J6</f>
        <v>10047.58263339416</v>
      </c>
      <c r="F4">
        <f>Table2[[#This Row],[High (fig)]]</f>
        <v>10047.58263339416</v>
      </c>
      <c r="P4" t="s">
        <v>9</v>
      </c>
      <c r="Q4" t="s">
        <v>10</v>
      </c>
    </row>
    <row r="5" spans="1:18">
      <c r="A5" t="s">
        <v>5</v>
      </c>
      <c r="B5" t="s">
        <v>11</v>
      </c>
      <c r="C5">
        <f>P7*J7+3712</f>
        <v>7429.7380952380954</v>
      </c>
      <c r="D5">
        <f>Table2[[#This Row],[Low (fig)]]</f>
        <v>7429.7380952380954</v>
      </c>
      <c r="E5">
        <f>Q7*J7+3712</f>
        <v>10459.945736434107</v>
      </c>
      <c r="F5">
        <f>Table2[[#This Row],[High (fig)]]</f>
        <v>10459.945736434107</v>
      </c>
      <c r="I5" t="s">
        <v>12</v>
      </c>
      <c r="J5">
        <v>699</v>
      </c>
      <c r="M5" t="s">
        <v>13</v>
      </c>
      <c r="P5">
        <f>'Oct 30 2020'!L7</f>
        <v>9.4848314193814431</v>
      </c>
      <c r="Q5">
        <f>Table3[[#This Row],[EV/EBITDA]]</f>
        <v>10.724979590359629</v>
      </c>
    </row>
    <row r="6" spans="1:18">
      <c r="A6" t="s">
        <v>14</v>
      </c>
      <c r="B6" t="s">
        <v>6</v>
      </c>
      <c r="C6">
        <f>P10*J5</f>
        <v>5887.9636686732611</v>
      </c>
      <c r="D6">
        <f>Table2[[#This Row],[Low (fig)]]</f>
        <v>5887.9636686732611</v>
      </c>
      <c r="E6">
        <f>Q10*J5</f>
        <v>6722.0934426122449</v>
      </c>
      <c r="F6">
        <f>Table2[[#This Row],[High (fig)]]</f>
        <v>6722.0934426122449</v>
      </c>
      <c r="I6" t="s">
        <v>15</v>
      </c>
      <c r="J6">
        <v>369</v>
      </c>
      <c r="M6" t="s">
        <v>16</v>
      </c>
      <c r="P6">
        <f>'Oct 30 2020'!M4</f>
        <v>22.143656266339061</v>
      </c>
      <c r="Q6">
        <f>Table3[[#This Row],[EV/EBIT]]</f>
        <v>27.229221228710461</v>
      </c>
    </row>
    <row r="7" spans="1:18">
      <c r="A7" t="s">
        <v>14</v>
      </c>
      <c r="B7" t="s">
        <v>8</v>
      </c>
      <c r="C7">
        <f t="shared" ref="C7" si="2">P11*J6</f>
        <v>4513.2374832487312</v>
      </c>
      <c r="D7">
        <f>Table2[[#This Row],[Low (fig)]]</f>
        <v>4513.2374832487312</v>
      </c>
      <c r="E7">
        <f t="shared" ref="E7" si="3">Q11*J6</f>
        <v>6513.0880803061218</v>
      </c>
      <c r="F7">
        <f>Table2[[#This Row],[High (fig)]]</f>
        <v>6513.0880803061218</v>
      </c>
      <c r="I7" t="s">
        <v>17</v>
      </c>
      <c r="J7">
        <v>187</v>
      </c>
      <c r="M7" t="s">
        <v>18</v>
      </c>
      <c r="P7">
        <f>'Oct 30 2020'!N8</f>
        <v>19.880952380952383</v>
      </c>
      <c r="Q7">
        <f>'Oct 30 2020'!N6</f>
        <v>36.085271317829452</v>
      </c>
    </row>
    <row r="8" spans="1:18">
      <c r="A8" t="s">
        <v>14</v>
      </c>
      <c r="B8" t="s">
        <v>11</v>
      </c>
      <c r="C8">
        <f>P12*J7+3712</f>
        <v>6174.7307692307695</v>
      </c>
      <c r="D8">
        <f>Table2[[#This Row],[Low (fig)]]</f>
        <v>6174.7307692307695</v>
      </c>
      <c r="E8">
        <f>Q12*J7+3712</f>
        <v>6765.4638186573666</v>
      </c>
      <c r="F8">
        <f>Table2[[#This Row],[High (fig)]]</f>
        <v>6765.4638186573666</v>
      </c>
    </row>
    <row r="9" spans="1:18">
      <c r="B9" t="s">
        <v>19</v>
      </c>
      <c r="C9">
        <f>P15*J5</f>
        <v>5522.1</v>
      </c>
      <c r="D9">
        <f>Table2[[#This Row],[Low (fig)]]</f>
        <v>5522.1</v>
      </c>
      <c r="E9">
        <f>Q15*J5</f>
        <v>8737.5</v>
      </c>
      <c r="F9">
        <f>Table2[[#This Row],[High (fig)]]</f>
        <v>8737.5</v>
      </c>
      <c r="P9" t="s">
        <v>9</v>
      </c>
      <c r="Q9" t="s">
        <v>10</v>
      </c>
    </row>
    <row r="10" spans="1:18">
      <c r="B10" t="s">
        <v>20</v>
      </c>
      <c r="C10">
        <v>5586</v>
      </c>
      <c r="D10">
        <f>Table2[[#This Row],[Low (fig)]]</f>
        <v>5586</v>
      </c>
      <c r="E10">
        <v>7543</v>
      </c>
      <c r="F10">
        <f>Table2[[#This Row],[High (fig)]]</f>
        <v>7543</v>
      </c>
      <c r="M10" t="s">
        <v>21</v>
      </c>
      <c r="P10">
        <f>'Oct 30 2020'!L15</f>
        <v>8.42341011255116</v>
      </c>
      <c r="Q10">
        <f>'Oct 30 2020'!L16</f>
        <v>9.6167288163265301</v>
      </c>
    </row>
    <row r="11" spans="1:18">
      <c r="M11" t="s">
        <v>22</v>
      </c>
      <c r="P11">
        <f>'Oct 30 2020'!M15</f>
        <v>12.230995889562957</v>
      </c>
      <c r="Q11">
        <f>'Oct 30 2020'!M14</f>
        <v>17.650645204081631</v>
      </c>
    </row>
    <row r="12" spans="1:18">
      <c r="M12" t="s">
        <v>23</v>
      </c>
      <c r="P12">
        <f>'Oct 30 2020'!N16</f>
        <v>13.169683257918553</v>
      </c>
      <c r="Q12">
        <f>'Oct 30 2020'!N13</f>
        <v>16.328683522231909</v>
      </c>
    </row>
    <row r="14" spans="1:18">
      <c r="P14" t="s">
        <v>9</v>
      </c>
      <c r="Q14" t="s">
        <v>10</v>
      </c>
    </row>
    <row r="15" spans="1:18">
      <c r="M15" t="s">
        <v>24</v>
      </c>
      <c r="P15">
        <v>7.9</v>
      </c>
      <c r="Q15">
        <v>12.5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D37E-C993-456C-BAD5-21A60F491AB0}">
  <dimension ref="C3:I17"/>
  <sheetViews>
    <sheetView showGridLines="0" topLeftCell="A4" zoomScale="70" zoomScaleNormal="70" workbookViewId="0">
      <selection activeCell="I17" sqref="C3:I17"/>
    </sheetView>
  </sheetViews>
  <sheetFormatPr defaultRowHeight="15"/>
  <cols>
    <col min="3" max="3" width="13.140625" customWidth="1"/>
    <col min="4" max="4" width="13.5703125" customWidth="1"/>
    <col min="5" max="5" width="23.5703125" customWidth="1"/>
    <col min="6" max="6" width="41.42578125" customWidth="1"/>
    <col min="7" max="7" width="22.28515625" customWidth="1"/>
    <col min="8" max="8" width="12.42578125" customWidth="1"/>
    <col min="9" max="9" width="11.7109375" customWidth="1"/>
  </cols>
  <sheetData>
    <row r="3" spans="3:9">
      <c r="C3" s="75" t="s">
        <v>25</v>
      </c>
      <c r="D3" s="76" t="s">
        <v>26</v>
      </c>
      <c r="E3" s="76" t="s">
        <v>27</v>
      </c>
      <c r="F3" s="76" t="s">
        <v>28</v>
      </c>
      <c r="G3" s="76" t="s">
        <v>29</v>
      </c>
      <c r="H3" s="76" t="s">
        <v>30</v>
      </c>
      <c r="I3" s="76" t="s">
        <v>31</v>
      </c>
    </row>
    <row r="4" spans="3:9" ht="30" customHeight="1">
      <c r="C4" s="77">
        <v>43773</v>
      </c>
      <c r="D4" s="78" t="s">
        <v>32</v>
      </c>
      <c r="E4" s="78" t="s">
        <v>33</v>
      </c>
      <c r="F4" s="81" t="s">
        <v>34</v>
      </c>
      <c r="G4" s="78" t="s">
        <v>35</v>
      </c>
      <c r="H4" s="78">
        <v>0.4</v>
      </c>
      <c r="I4" s="78" t="s">
        <v>36</v>
      </c>
    </row>
    <row r="5" spans="3:9" ht="30" customHeight="1">
      <c r="C5" s="77">
        <v>43739</v>
      </c>
      <c r="D5" s="78" t="s">
        <v>32</v>
      </c>
      <c r="E5" s="78" t="s">
        <v>37</v>
      </c>
      <c r="F5" s="81" t="s">
        <v>38</v>
      </c>
      <c r="G5" s="78" t="s">
        <v>39</v>
      </c>
      <c r="H5" s="78" t="s">
        <v>40</v>
      </c>
      <c r="I5" s="78" t="s">
        <v>36</v>
      </c>
    </row>
    <row r="6" spans="3:9" ht="30" customHeight="1">
      <c r="C6" s="77">
        <v>43680</v>
      </c>
      <c r="D6" s="78" t="s">
        <v>32</v>
      </c>
      <c r="E6" s="78" t="s">
        <v>41</v>
      </c>
      <c r="F6" s="81" t="s">
        <v>42</v>
      </c>
      <c r="G6" s="78" t="s">
        <v>43</v>
      </c>
      <c r="H6" s="78">
        <v>24</v>
      </c>
      <c r="I6" s="78" t="s">
        <v>36</v>
      </c>
    </row>
    <row r="7" spans="3:9" ht="30" customHeight="1">
      <c r="C7" s="77">
        <v>43647</v>
      </c>
      <c r="D7" s="78" t="s">
        <v>32</v>
      </c>
      <c r="E7" s="78" t="s">
        <v>44</v>
      </c>
      <c r="F7" s="81" t="s">
        <v>45</v>
      </c>
      <c r="G7" s="78" t="s">
        <v>46</v>
      </c>
      <c r="H7" s="78" t="s">
        <v>47</v>
      </c>
      <c r="I7" s="78" t="s">
        <v>36</v>
      </c>
    </row>
    <row r="8" spans="3:9" ht="30" customHeight="1">
      <c r="C8" s="77">
        <v>43619</v>
      </c>
      <c r="D8" s="78" t="s">
        <v>32</v>
      </c>
      <c r="E8" s="78" t="s">
        <v>33</v>
      </c>
      <c r="F8" s="81" t="s">
        <v>34</v>
      </c>
      <c r="G8" s="78" t="s">
        <v>43</v>
      </c>
      <c r="H8" s="78">
        <v>28</v>
      </c>
      <c r="I8" s="78" t="s">
        <v>36</v>
      </c>
    </row>
    <row r="9" spans="3:9" ht="30" customHeight="1">
      <c r="C9" s="77">
        <v>43556</v>
      </c>
      <c r="D9" s="78" t="s">
        <v>32</v>
      </c>
      <c r="E9" s="78" t="s">
        <v>37</v>
      </c>
      <c r="F9" s="81" t="s">
        <v>38</v>
      </c>
      <c r="G9" s="78" t="s">
        <v>46</v>
      </c>
      <c r="H9" s="78" t="s">
        <v>48</v>
      </c>
      <c r="I9" s="78" t="s">
        <v>36</v>
      </c>
    </row>
    <row r="10" spans="3:9" ht="30" customHeight="1">
      <c r="C10" s="77">
        <v>43546</v>
      </c>
      <c r="D10" s="78" t="s">
        <v>32</v>
      </c>
      <c r="E10" s="78" t="s">
        <v>49</v>
      </c>
      <c r="F10" s="81" t="s">
        <v>50</v>
      </c>
      <c r="G10" s="78" t="s">
        <v>51</v>
      </c>
      <c r="H10" s="78" t="s">
        <v>52</v>
      </c>
      <c r="I10" s="78" t="s">
        <v>36</v>
      </c>
    </row>
    <row r="11" spans="3:9" ht="30" customHeight="1">
      <c r="C11" s="79">
        <v>43529</v>
      </c>
      <c r="D11" s="80" t="s">
        <v>32</v>
      </c>
      <c r="E11" s="80" t="s">
        <v>53</v>
      </c>
      <c r="F11" s="82" t="s">
        <v>54</v>
      </c>
      <c r="G11" s="80" t="s">
        <v>55</v>
      </c>
      <c r="H11" s="80" t="s">
        <v>56</v>
      </c>
      <c r="I11" s="80" t="s">
        <v>36</v>
      </c>
    </row>
    <row r="12" spans="3:9" ht="30" customHeight="1"/>
    <row r="13" spans="3:9" ht="18" customHeight="1">
      <c r="C13" s="75" t="s">
        <v>25</v>
      </c>
      <c r="D13" s="76" t="s">
        <v>26</v>
      </c>
      <c r="E13" s="76" t="s">
        <v>27</v>
      </c>
      <c r="F13" s="76" t="s">
        <v>28</v>
      </c>
      <c r="G13" s="76" t="s">
        <v>29</v>
      </c>
      <c r="H13" s="76" t="s">
        <v>30</v>
      </c>
      <c r="I13" s="92" t="s">
        <v>31</v>
      </c>
    </row>
    <row r="14" spans="3:9" ht="30" customHeight="1">
      <c r="C14" s="77">
        <v>43532</v>
      </c>
      <c r="D14" s="78" t="s">
        <v>32</v>
      </c>
      <c r="E14" s="78" t="s">
        <v>57</v>
      </c>
      <c r="F14" s="78" t="s">
        <v>58</v>
      </c>
      <c r="G14" s="78" t="s">
        <v>59</v>
      </c>
      <c r="H14" s="78" t="s">
        <v>60</v>
      </c>
      <c r="I14" s="78" t="s">
        <v>61</v>
      </c>
    </row>
    <row r="15" spans="3:9" ht="28.5">
      <c r="C15" s="77">
        <v>43467</v>
      </c>
      <c r="D15" s="78" t="s">
        <v>32</v>
      </c>
      <c r="E15" s="78" t="s">
        <v>62</v>
      </c>
      <c r="F15" s="78" t="s">
        <v>38</v>
      </c>
      <c r="G15" s="78" t="s">
        <v>63</v>
      </c>
      <c r="H15" s="78">
        <v>340</v>
      </c>
      <c r="I15" s="78" t="s">
        <v>64</v>
      </c>
    </row>
    <row r="16" spans="3:9" ht="28.5">
      <c r="C16" s="77">
        <v>43160</v>
      </c>
      <c r="D16" s="78" t="s">
        <v>65</v>
      </c>
      <c r="E16" s="78" t="s">
        <v>66</v>
      </c>
      <c r="F16" s="78" t="s">
        <v>67</v>
      </c>
      <c r="G16" s="78" t="s">
        <v>68</v>
      </c>
      <c r="H16" s="78" t="s">
        <v>69</v>
      </c>
      <c r="I16" s="78" t="s">
        <v>70</v>
      </c>
    </row>
    <row r="17" spans="3:9" ht="28.5">
      <c r="C17" s="79">
        <v>43090</v>
      </c>
      <c r="D17" s="80" t="s">
        <v>71</v>
      </c>
      <c r="E17" s="80" t="s">
        <v>72</v>
      </c>
      <c r="F17" s="80" t="s">
        <v>73</v>
      </c>
      <c r="G17" s="80" t="s">
        <v>74</v>
      </c>
      <c r="H17" s="80" t="s">
        <v>75</v>
      </c>
      <c r="I17" s="80" t="s">
        <v>76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4"/>
  <sheetViews>
    <sheetView topLeftCell="A34" zoomScaleNormal="100" workbookViewId="0">
      <selection activeCell="D16" sqref="D16"/>
    </sheetView>
  </sheetViews>
  <sheetFormatPr defaultRowHeight="15"/>
  <cols>
    <col min="1" max="1" width="55" bestFit="1" customWidth="1"/>
    <col min="2" max="2" width="14.85546875" bestFit="1" customWidth="1"/>
    <col min="3" max="3" width="13.85546875" customWidth="1"/>
    <col min="4" max="4" width="20.7109375" bestFit="1" customWidth="1"/>
    <col min="5" max="5" width="23.140625" customWidth="1"/>
    <col min="6" max="6" width="21.7109375" customWidth="1"/>
    <col min="7" max="7" width="18.28515625" bestFit="1" customWidth="1"/>
    <col min="8" max="9" width="10.28515625" bestFit="1" customWidth="1"/>
    <col min="10" max="10" width="19.42578125" bestFit="1" customWidth="1"/>
    <col min="11" max="11" width="11.28515625" customWidth="1"/>
    <col min="12" max="12" width="12" bestFit="1" customWidth="1"/>
    <col min="13" max="14" width="10.42578125" bestFit="1" customWidth="1"/>
    <col min="15" max="15" width="10.85546875" customWidth="1"/>
  </cols>
  <sheetData>
    <row r="1" spans="1:7">
      <c r="A1" s="87" t="s">
        <v>77</v>
      </c>
      <c r="B1" s="88"/>
    </row>
    <row r="2" spans="1:7">
      <c r="A2" s="13" t="s">
        <v>78</v>
      </c>
      <c r="B2" s="46">
        <v>11.72</v>
      </c>
      <c r="D2" s="18" t="s">
        <v>79</v>
      </c>
      <c r="E2" s="21" t="s">
        <v>80</v>
      </c>
      <c r="F2" s="21" t="s">
        <v>81</v>
      </c>
      <c r="G2" s="21" t="s">
        <v>82</v>
      </c>
    </row>
    <row r="3" spans="1:7">
      <c r="A3" s="14" t="s">
        <v>83</v>
      </c>
      <c r="B3" s="66">
        <v>8.11</v>
      </c>
      <c r="D3" s="19" t="s">
        <v>84</v>
      </c>
      <c r="E3" s="22"/>
      <c r="F3" s="22"/>
      <c r="G3" s="22"/>
    </row>
    <row r="4" spans="1:7">
      <c r="A4" s="14" t="s">
        <v>85</v>
      </c>
      <c r="B4" s="66">
        <v>52.98</v>
      </c>
      <c r="D4" s="20" t="s">
        <v>86</v>
      </c>
      <c r="E4" s="22"/>
      <c r="F4" s="22"/>
      <c r="G4" s="22"/>
    </row>
    <row r="5" spans="1:7">
      <c r="A5" s="14" t="s">
        <v>87</v>
      </c>
      <c r="B5" s="66">
        <v>11.84</v>
      </c>
    </row>
    <row r="6" spans="1:7">
      <c r="A6" s="14" t="s">
        <v>88</v>
      </c>
      <c r="B6" s="66">
        <v>29.93</v>
      </c>
      <c r="D6" s="91" t="s">
        <v>89</v>
      </c>
      <c r="E6" s="91"/>
      <c r="F6" s="91"/>
    </row>
    <row r="7" spans="1:7">
      <c r="A7" s="14" t="s">
        <v>90</v>
      </c>
      <c r="B7" s="66">
        <v>99.81</v>
      </c>
    </row>
    <row r="8" spans="1:7">
      <c r="A8" s="14" t="s">
        <v>91</v>
      </c>
      <c r="B8" s="66">
        <v>17.649999999999999</v>
      </c>
      <c r="D8" s="47"/>
      <c r="E8" s="60" t="s">
        <v>92</v>
      </c>
      <c r="F8" s="61"/>
      <c r="G8" s="61"/>
    </row>
    <row r="9" spans="1:7">
      <c r="A9" s="14" t="s">
        <v>93</v>
      </c>
      <c r="B9" s="66">
        <v>5.4</v>
      </c>
      <c r="D9" s="26"/>
      <c r="E9" s="60" t="s">
        <v>94</v>
      </c>
      <c r="F9" s="61"/>
      <c r="G9" s="61"/>
    </row>
    <row r="10" spans="1:7">
      <c r="A10" s="14" t="s">
        <v>95</v>
      </c>
      <c r="B10" s="66">
        <v>8.19</v>
      </c>
      <c r="D10" s="23"/>
      <c r="E10" s="60" t="s">
        <v>96</v>
      </c>
      <c r="F10" s="61"/>
      <c r="G10" s="61"/>
    </row>
    <row r="11" spans="1:7">
      <c r="A11" s="17" t="s">
        <v>97</v>
      </c>
      <c r="B11" s="24"/>
    </row>
    <row r="12" spans="1:7">
      <c r="A12" s="7" t="s">
        <v>98</v>
      </c>
      <c r="B12" s="25"/>
    </row>
    <row r="13" spans="1:7">
      <c r="A13" s="7" t="s">
        <v>99</v>
      </c>
      <c r="B13" s="25"/>
    </row>
    <row r="14" spans="1:7">
      <c r="A14" s="8" t="s">
        <v>100</v>
      </c>
      <c r="B14" s="27"/>
    </row>
    <row r="16" spans="1:7">
      <c r="A16" s="89" t="s">
        <v>101</v>
      </c>
      <c r="B16" s="90"/>
    </row>
    <row r="17" spans="1:11">
      <c r="A17" s="17" t="s">
        <v>102</v>
      </c>
      <c r="B17" s="33"/>
    </row>
    <row r="18" spans="1:11">
      <c r="A18" s="7" t="s">
        <v>31</v>
      </c>
      <c r="B18" s="36"/>
    </row>
    <row r="19" spans="1:11">
      <c r="A19" s="7" t="s">
        <v>103</v>
      </c>
      <c r="B19" s="36"/>
    </row>
    <row r="20" spans="1:11">
      <c r="A20" s="7" t="s">
        <v>104</v>
      </c>
      <c r="B20" s="36"/>
    </row>
    <row r="21" spans="1:11">
      <c r="A21" s="7" t="s">
        <v>105</v>
      </c>
      <c r="B21" s="36"/>
    </row>
    <row r="22" spans="1:11">
      <c r="A22" s="8" t="s">
        <v>106</v>
      </c>
      <c r="B22" s="39"/>
    </row>
    <row r="24" spans="1:11" s="1" customFormat="1">
      <c r="A24" s="85" t="s">
        <v>107</v>
      </c>
      <c r="B24" s="10" t="s">
        <v>108</v>
      </c>
      <c r="C24" s="11" t="s">
        <v>109</v>
      </c>
      <c r="D24" s="11" t="s">
        <v>110</v>
      </c>
      <c r="E24" s="11" t="s">
        <v>111</v>
      </c>
      <c r="F24" s="11" t="s">
        <v>112</v>
      </c>
      <c r="G24" s="11" t="s">
        <v>113</v>
      </c>
      <c r="H24" s="11" t="s">
        <v>114</v>
      </c>
      <c r="I24" s="11" t="s">
        <v>17</v>
      </c>
      <c r="J24" s="12" t="s">
        <v>115</v>
      </c>
      <c r="K24" s="2"/>
    </row>
    <row r="25" spans="1:11">
      <c r="A25" s="86"/>
      <c r="B25" s="63" t="s">
        <v>116</v>
      </c>
      <c r="C25" s="64" t="s">
        <v>117</v>
      </c>
      <c r="D25" s="64" t="s">
        <v>117</v>
      </c>
      <c r="E25" s="64" t="s">
        <v>117</v>
      </c>
      <c r="F25" s="64" t="s">
        <v>117</v>
      </c>
      <c r="G25" s="64" t="s">
        <v>117</v>
      </c>
      <c r="H25" s="64" t="s">
        <v>117</v>
      </c>
      <c r="I25" s="64" t="s">
        <v>117</v>
      </c>
      <c r="J25" s="65" t="s">
        <v>117</v>
      </c>
    </row>
    <row r="26" spans="1:11">
      <c r="A26" s="62" t="s">
        <v>118</v>
      </c>
      <c r="B26" s="48">
        <v>9.98</v>
      </c>
      <c r="C26" s="49">
        <v>224</v>
      </c>
      <c r="D26" s="49">
        <v>77</v>
      </c>
      <c r="E26" s="49">
        <v>31</v>
      </c>
      <c r="F26" s="28"/>
      <c r="G26" s="49">
        <v>98</v>
      </c>
      <c r="H26" s="49">
        <v>33</v>
      </c>
      <c r="I26" s="54">
        <v>14</v>
      </c>
      <c r="J26" s="55">
        <v>34</v>
      </c>
    </row>
    <row r="27" spans="1:11">
      <c r="A27" s="14" t="s">
        <v>119</v>
      </c>
      <c r="B27" s="50">
        <v>14.22</v>
      </c>
      <c r="C27" s="51">
        <v>99</v>
      </c>
      <c r="D27" s="51">
        <v>37</v>
      </c>
      <c r="E27" s="51">
        <v>17</v>
      </c>
      <c r="F27" s="29"/>
      <c r="G27" s="51">
        <v>57</v>
      </c>
      <c r="H27" s="51">
        <v>14</v>
      </c>
      <c r="I27" s="56">
        <v>7</v>
      </c>
      <c r="J27" s="57">
        <v>29</v>
      </c>
    </row>
    <row r="28" spans="1:11">
      <c r="A28" s="14" t="s">
        <v>120</v>
      </c>
      <c r="B28" s="50">
        <v>12.11</v>
      </c>
      <c r="C28" s="51">
        <v>33</v>
      </c>
      <c r="D28" s="51">
        <v>34</v>
      </c>
      <c r="E28" s="51">
        <v>8</v>
      </c>
      <c r="F28" s="29"/>
      <c r="G28" s="51">
        <v>37</v>
      </c>
      <c r="H28" s="51">
        <v>8</v>
      </c>
      <c r="I28" s="56">
        <v>3</v>
      </c>
      <c r="J28" s="57">
        <v>11</v>
      </c>
    </row>
    <row r="29" spans="1:11">
      <c r="A29" s="15" t="s">
        <v>121</v>
      </c>
      <c r="B29" s="52">
        <v>8.44</v>
      </c>
      <c r="C29" s="53">
        <v>113</v>
      </c>
      <c r="D29" s="53">
        <v>81</v>
      </c>
      <c r="E29" s="53">
        <v>23</v>
      </c>
      <c r="F29" s="30"/>
      <c r="G29" s="53">
        <v>155</v>
      </c>
      <c r="H29" s="53">
        <v>26</v>
      </c>
      <c r="I29" s="58">
        <v>7</v>
      </c>
      <c r="J29" s="59">
        <v>21</v>
      </c>
    </row>
    <row r="31" spans="1:11">
      <c r="A31" s="9" t="s">
        <v>122</v>
      </c>
      <c r="B31" s="3" t="s">
        <v>102</v>
      </c>
      <c r="C31" s="4" t="s">
        <v>31</v>
      </c>
      <c r="D31" s="4" t="s">
        <v>123</v>
      </c>
      <c r="E31" s="5" t="s">
        <v>124</v>
      </c>
    </row>
    <row r="32" spans="1:11">
      <c r="A32" s="6" t="s">
        <v>118</v>
      </c>
      <c r="B32" s="31"/>
      <c r="C32" s="32"/>
      <c r="D32" s="32"/>
      <c r="E32" s="33"/>
    </row>
    <row r="33" spans="1:5">
      <c r="A33" s="7" t="s">
        <v>119</v>
      </c>
      <c r="B33" s="34"/>
      <c r="C33" s="35"/>
      <c r="D33" s="35"/>
      <c r="E33" s="36"/>
    </row>
    <row r="34" spans="1:5">
      <c r="A34" s="7" t="s">
        <v>120</v>
      </c>
      <c r="B34" s="34"/>
      <c r="C34" s="35"/>
      <c r="D34" s="35"/>
      <c r="E34" s="36"/>
    </row>
    <row r="35" spans="1:5">
      <c r="A35" s="8" t="s">
        <v>121</v>
      </c>
      <c r="B35" s="37"/>
      <c r="C35" s="38"/>
      <c r="D35" s="38"/>
      <c r="E35" s="39"/>
    </row>
    <row r="36" spans="1:5">
      <c r="A36" s="16" t="s">
        <v>125</v>
      </c>
      <c r="B36" s="40"/>
      <c r="C36" s="41"/>
      <c r="D36" s="41"/>
      <c r="E36" s="42"/>
    </row>
    <row r="38" spans="1:5">
      <c r="A38" s="87" t="s">
        <v>126</v>
      </c>
      <c r="B38" s="88"/>
    </row>
    <row r="39" spans="1:5">
      <c r="A39" s="17" t="s">
        <v>127</v>
      </c>
      <c r="B39" s="43"/>
    </row>
    <row r="40" spans="1:5">
      <c r="A40" s="7" t="s">
        <v>128</v>
      </c>
      <c r="B40" s="44"/>
    </row>
    <row r="41" spans="1:5">
      <c r="A41" s="7" t="s">
        <v>129</v>
      </c>
      <c r="B41" s="36"/>
    </row>
    <row r="42" spans="1:5">
      <c r="A42" s="7" t="s">
        <v>130</v>
      </c>
      <c r="B42" s="44"/>
    </row>
    <row r="43" spans="1:5">
      <c r="A43" s="7" t="s">
        <v>131</v>
      </c>
      <c r="B43" s="36"/>
    </row>
    <row r="44" spans="1:5">
      <c r="A44" s="8" t="s">
        <v>132</v>
      </c>
      <c r="B44" s="45"/>
    </row>
  </sheetData>
  <mergeCells count="5">
    <mergeCell ref="A24:A25"/>
    <mergeCell ref="A38:B38"/>
    <mergeCell ref="A1:B1"/>
    <mergeCell ref="A16:B16"/>
    <mergeCell ref="D6:F6"/>
  </mergeCells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workbookViewId="0">
      <selection activeCell="G19" sqref="G19"/>
    </sheetView>
  </sheetViews>
  <sheetFormatPr defaultRowHeight="15"/>
  <cols>
    <col min="1" max="1" width="29.42578125" customWidth="1"/>
    <col min="4" max="4" width="9.85546875" bestFit="1" customWidth="1"/>
    <col min="8" max="8" width="9.85546875" bestFit="1" customWidth="1"/>
    <col min="9" max="10" width="9.85546875" customWidth="1"/>
  </cols>
  <sheetData>
    <row r="1" spans="1:16">
      <c r="A1" t="s">
        <v>133</v>
      </c>
    </row>
    <row r="3" spans="1:16">
      <c r="A3" t="s">
        <v>134</v>
      </c>
      <c r="B3" t="s">
        <v>26</v>
      </c>
      <c r="C3" t="s">
        <v>135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114</v>
      </c>
      <c r="K3" t="s">
        <v>142</v>
      </c>
      <c r="L3" t="s">
        <v>31</v>
      </c>
      <c r="M3" t="s">
        <v>143</v>
      </c>
      <c r="N3" t="s">
        <v>123</v>
      </c>
      <c r="O3" t="s">
        <v>144</v>
      </c>
    </row>
    <row r="4" spans="1:16">
      <c r="A4" t="s">
        <v>145</v>
      </c>
      <c r="B4" t="s">
        <v>146</v>
      </c>
      <c r="C4" t="s">
        <v>147</v>
      </c>
      <c r="D4">
        <v>161.38659200000001</v>
      </c>
      <c r="E4">
        <v>53.95</v>
      </c>
      <c r="F4">
        <f>D4*E4</f>
        <v>8706.8066384000012</v>
      </c>
      <c r="G4">
        <v>12339</v>
      </c>
      <c r="H4">
        <v>523</v>
      </c>
      <c r="I4">
        <f>D4*E4+G4-H4</f>
        <v>20522.806638400001</v>
      </c>
      <c r="J4">
        <v>1940</v>
      </c>
      <c r="K4">
        <v>672</v>
      </c>
      <c r="L4">
        <f>I4/J4</f>
        <v>10.578766308453609</v>
      </c>
      <c r="M4">
        <f>I4/K4</f>
        <v>30.539890830952384</v>
      </c>
      <c r="N4" s="71">
        <v>106</v>
      </c>
      <c r="O4" t="s">
        <v>148</v>
      </c>
    </row>
    <row r="5" spans="1:16">
      <c r="A5" t="s">
        <v>149</v>
      </c>
      <c r="B5" t="s">
        <v>150</v>
      </c>
      <c r="C5" t="s">
        <v>116</v>
      </c>
      <c r="D5">
        <v>128.036531</v>
      </c>
      <c r="E5">
        <v>11.18</v>
      </c>
      <c r="F5">
        <f t="shared" ref="F5:F17" si="0">D5*E5</f>
        <v>1431.44841658</v>
      </c>
      <c r="G5">
        <v>0.8</v>
      </c>
      <c r="H5">
        <v>25.7</v>
      </c>
      <c r="I5">
        <f>D5*E5+G5-H5</f>
        <v>1406.5484165799999</v>
      </c>
      <c r="J5">
        <v>171.2</v>
      </c>
      <c r="K5">
        <v>81.400000000000006</v>
      </c>
      <c r="L5">
        <f t="shared" ref="L5:L17" si="1">I5/J5</f>
        <v>8.215820190303738</v>
      </c>
      <c r="M5">
        <f t="shared" ref="M5:M17" si="2">I5/K5</f>
        <v>17.279464577149874</v>
      </c>
      <c r="N5">
        <f>E5/0.43</f>
        <v>26</v>
      </c>
      <c r="O5" t="s">
        <v>151</v>
      </c>
    </row>
    <row r="6" spans="1:16">
      <c r="A6" t="s">
        <v>152</v>
      </c>
      <c r="B6" t="s">
        <v>146</v>
      </c>
      <c r="C6" t="s">
        <v>147</v>
      </c>
      <c r="D6" s="67">
        <v>94.617996000000005</v>
      </c>
      <c r="E6" s="68">
        <v>78.5</v>
      </c>
      <c r="F6">
        <f t="shared" si="0"/>
        <v>7427.512686</v>
      </c>
      <c r="G6">
        <v>7969</v>
      </c>
      <c r="H6">
        <v>52</v>
      </c>
      <c r="I6">
        <f>D6*E6+G6-H6</f>
        <v>15344.512686</v>
      </c>
      <c r="J6">
        <v>1370</v>
      </c>
      <c r="K6">
        <v>525</v>
      </c>
      <c r="L6">
        <f t="shared" si="1"/>
        <v>11.200374223357665</v>
      </c>
      <c r="M6">
        <f t="shared" si="2"/>
        <v>29.227643211428571</v>
      </c>
      <c r="N6">
        <f>E6/2.52</f>
        <v>31.150793650793652</v>
      </c>
      <c r="O6" t="s">
        <v>153</v>
      </c>
    </row>
    <row r="7" spans="1:16">
      <c r="A7" t="s">
        <v>154</v>
      </c>
      <c r="B7" t="s">
        <v>155</v>
      </c>
      <c r="C7" t="s">
        <v>116</v>
      </c>
      <c r="D7">
        <v>890.97400000000005</v>
      </c>
      <c r="E7">
        <v>43.52</v>
      </c>
      <c r="F7">
        <f t="shared" si="0"/>
        <v>38775.188480000004</v>
      </c>
      <c r="G7">
        <v>4715</v>
      </c>
      <c r="H7">
        <v>1425</v>
      </c>
      <c r="I7">
        <f>D7*E7+G7-H7</f>
        <v>42065.188480000004</v>
      </c>
      <c r="J7">
        <v>3503</v>
      </c>
      <c r="K7">
        <v>1644</v>
      </c>
      <c r="L7">
        <f t="shared" si="1"/>
        <v>12.008332423636883</v>
      </c>
      <c r="M7">
        <f t="shared" si="2"/>
        <v>25.587097615571778</v>
      </c>
      <c r="N7">
        <f>E7/1.29</f>
        <v>33.736434108527135</v>
      </c>
    </row>
    <row r="8" spans="1:16">
      <c r="A8" t="s">
        <v>156</v>
      </c>
      <c r="B8" t="s">
        <v>157</v>
      </c>
      <c r="C8" t="s">
        <v>116</v>
      </c>
      <c r="D8">
        <v>105.038158</v>
      </c>
      <c r="E8">
        <v>38.72</v>
      </c>
      <c r="F8">
        <f t="shared" si="0"/>
        <v>4067.0774777599995</v>
      </c>
      <c r="G8">
        <v>6575.7389999999996</v>
      </c>
      <c r="H8">
        <v>344.786</v>
      </c>
      <c r="I8">
        <f>D8*E8+G8-H8</f>
        <v>10298.030477759999</v>
      </c>
      <c r="J8">
        <v>531.1</v>
      </c>
      <c r="K8">
        <v>337.7</v>
      </c>
      <c r="L8">
        <f t="shared" si="1"/>
        <v>19.390002782451514</v>
      </c>
      <c r="M8">
        <f t="shared" si="2"/>
        <v>30.494612015872075</v>
      </c>
      <c r="N8">
        <f>E8/1.34</f>
        <v>28.8955223880597</v>
      </c>
      <c r="O8" t="s">
        <v>158</v>
      </c>
      <c r="P8" t="s">
        <v>159</v>
      </c>
    </row>
    <row r="9" spans="1:16">
      <c r="K9" t="s">
        <v>160</v>
      </c>
      <c r="L9">
        <f>AVERAGE(L4:L8)</f>
        <v>12.278659185640683</v>
      </c>
      <c r="M9">
        <f t="shared" ref="M9:N9" si="3">AVERAGE(M4:M8)</f>
        <v>26.625741650194936</v>
      </c>
      <c r="N9">
        <f t="shared" si="3"/>
        <v>45.156550029476094</v>
      </c>
    </row>
    <row r="11" spans="1:16">
      <c r="A11" t="s">
        <v>134</v>
      </c>
      <c r="B11" t="s">
        <v>26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114</v>
      </c>
      <c r="K11" t="s">
        <v>142</v>
      </c>
      <c r="L11" t="s">
        <v>31</v>
      </c>
      <c r="M11" t="s">
        <v>143</v>
      </c>
      <c r="N11" t="s">
        <v>123</v>
      </c>
      <c r="O11" t="s">
        <v>144</v>
      </c>
    </row>
    <row r="12" spans="1:16">
      <c r="A12" t="s">
        <v>161</v>
      </c>
      <c r="B12" t="s">
        <v>162</v>
      </c>
      <c r="C12" t="s">
        <v>163</v>
      </c>
      <c r="D12">
        <v>15.270154</v>
      </c>
      <c r="E12">
        <v>86.43</v>
      </c>
      <c r="F12">
        <f t="shared" si="0"/>
        <v>1319.79941022</v>
      </c>
      <c r="G12">
        <v>370.964</v>
      </c>
      <c r="H12">
        <v>61.01</v>
      </c>
      <c r="I12">
        <f t="shared" ref="I12:I17" si="4">D12*E12+G12-H12</f>
        <v>1629.75341022</v>
      </c>
      <c r="J12">
        <f>K12+42.419</f>
        <v>94.591999999999985</v>
      </c>
      <c r="K12">
        <f>49.038+3.135</f>
        <v>52.172999999999995</v>
      </c>
      <c r="L12">
        <f>I12/J12</f>
        <v>17.229294340113331</v>
      </c>
      <c r="M12">
        <f t="shared" si="2"/>
        <v>31.237487018572828</v>
      </c>
      <c r="N12">
        <f>E12/4.47</f>
        <v>19.335570469798661</v>
      </c>
      <c r="O12" t="s">
        <v>164</v>
      </c>
    </row>
    <row r="13" spans="1:16" s="69" customFormat="1">
      <c r="A13" s="69" t="s">
        <v>165</v>
      </c>
      <c r="B13" s="69" t="s">
        <v>162</v>
      </c>
      <c r="C13" s="69" t="s">
        <v>163</v>
      </c>
      <c r="D13" s="69">
        <v>951</v>
      </c>
      <c r="E13" s="69">
        <v>293.98</v>
      </c>
      <c r="F13" s="69">
        <f t="shared" si="0"/>
        <v>279574.98000000004</v>
      </c>
      <c r="G13" s="69">
        <v>41250</v>
      </c>
      <c r="H13" s="69">
        <v>10985</v>
      </c>
      <c r="I13" s="69">
        <f t="shared" si="4"/>
        <v>309839.98000000004</v>
      </c>
      <c r="J13" s="69">
        <v>22406</v>
      </c>
      <c r="K13" s="69">
        <v>19700</v>
      </c>
      <c r="L13" s="69">
        <f t="shared" si="1"/>
        <v>13.828437918414712</v>
      </c>
      <c r="M13" s="69">
        <f t="shared" si="2"/>
        <v>15.727917766497464</v>
      </c>
      <c r="N13" s="69">
        <f>E13/14.33</f>
        <v>20.515003489183531</v>
      </c>
      <c r="O13" s="69" t="s">
        <v>166</v>
      </c>
    </row>
    <row r="14" spans="1:16">
      <c r="A14" t="s">
        <v>167</v>
      </c>
      <c r="B14" t="s">
        <v>162</v>
      </c>
      <c r="C14" t="s">
        <v>163</v>
      </c>
      <c r="D14">
        <v>372.53</v>
      </c>
      <c r="E14">
        <v>204.49</v>
      </c>
      <c r="F14">
        <f t="shared" si="0"/>
        <v>76178.659700000004</v>
      </c>
      <c r="G14">
        <v>42515</v>
      </c>
      <c r="H14">
        <v>4619</v>
      </c>
      <c r="I14">
        <f t="shared" si="4"/>
        <v>114074.6597</v>
      </c>
      <c r="J14">
        <v>11728</v>
      </c>
      <c r="K14">
        <v>8077</v>
      </c>
      <c r="L14">
        <f t="shared" si="1"/>
        <v>9.7266933577762629</v>
      </c>
      <c r="M14">
        <f t="shared" si="2"/>
        <v>14.123394787668689</v>
      </c>
      <c r="N14">
        <f>E14/13.44</f>
        <v>15.215029761904763</v>
      </c>
    </row>
    <row r="15" spans="1:16">
      <c r="A15" t="s">
        <v>168</v>
      </c>
      <c r="B15" t="s">
        <v>162</v>
      </c>
      <c r="C15" t="s">
        <v>163</v>
      </c>
      <c r="D15">
        <v>417.69600000000003</v>
      </c>
      <c r="E15">
        <v>62.87</v>
      </c>
      <c r="F15">
        <f t="shared" si="0"/>
        <v>26260.54752</v>
      </c>
      <c r="G15">
        <v>13726</v>
      </c>
      <c r="H15">
        <v>12123</v>
      </c>
      <c r="I15">
        <f t="shared" si="4"/>
        <v>27863.54752</v>
      </c>
      <c r="J15">
        <v>2695</v>
      </c>
      <c r="K15">
        <v>1781</v>
      </c>
      <c r="L15">
        <f>I15/J15</f>
        <v>10.3389786716141</v>
      </c>
      <c r="M15">
        <f t="shared" si="2"/>
        <v>15.644889118472769</v>
      </c>
      <c r="N15">
        <f>E16/4.42</f>
        <v>30.699095022624434</v>
      </c>
    </row>
    <row r="16" spans="1:16">
      <c r="A16" t="s">
        <v>169</v>
      </c>
      <c r="B16" t="s">
        <v>162</v>
      </c>
      <c r="C16" t="s">
        <v>163</v>
      </c>
      <c r="D16">
        <v>62</v>
      </c>
      <c r="E16">
        <v>135.69</v>
      </c>
      <c r="F16">
        <f t="shared" si="0"/>
        <v>8412.7800000000007</v>
      </c>
      <c r="G16">
        <v>1515</v>
      </c>
      <c r="H16">
        <v>2452</v>
      </c>
      <c r="I16">
        <f t="shared" si="4"/>
        <v>7475.7800000000007</v>
      </c>
      <c r="J16">
        <v>1138</v>
      </c>
      <c r="K16">
        <v>1044</v>
      </c>
      <c r="L16">
        <f>I16/J16</f>
        <v>6.5692267135325135</v>
      </c>
      <c r="M16">
        <f t="shared" si="2"/>
        <v>7.1607088122605367</v>
      </c>
      <c r="N16">
        <f>E16/11.47</f>
        <v>11.829991281604183</v>
      </c>
      <c r="O16" t="s">
        <v>170</v>
      </c>
    </row>
    <row r="17" spans="1:15">
      <c r="A17" t="s">
        <v>171</v>
      </c>
      <c r="B17" t="s">
        <v>162</v>
      </c>
      <c r="C17" t="s">
        <v>163</v>
      </c>
      <c r="D17">
        <v>24.242999999999999</v>
      </c>
      <c r="E17">
        <v>78.25</v>
      </c>
      <c r="F17">
        <f t="shared" si="0"/>
        <v>1897.0147499999998</v>
      </c>
      <c r="G17">
        <v>682.61599999999999</v>
      </c>
      <c r="H17">
        <v>325.24900000000002</v>
      </c>
      <c r="I17">
        <f t="shared" si="4"/>
        <v>2254.3817499999996</v>
      </c>
      <c r="J17">
        <v>253</v>
      </c>
      <c r="K17">
        <v>98</v>
      </c>
      <c r="L17">
        <f t="shared" si="1"/>
        <v>8.9105998023715394</v>
      </c>
      <c r="M17">
        <f t="shared" si="2"/>
        <v>23.00389540816326</v>
      </c>
      <c r="N17">
        <f>E17/2.28</f>
        <v>34.320175438596493</v>
      </c>
      <c r="O17" t="s">
        <v>172</v>
      </c>
    </row>
    <row r="18" spans="1:15">
      <c r="K18" t="s">
        <v>160</v>
      </c>
      <c r="L18">
        <f>AVERAGE(L12:L17)</f>
        <v>11.100538467303743</v>
      </c>
      <c r="M18">
        <f t="shared" ref="M18:N18" si="5">AVERAGE(M12:M17)</f>
        <v>17.816382151939255</v>
      </c>
      <c r="N18">
        <f t="shared" si="5"/>
        <v>21.985810910618678</v>
      </c>
    </row>
    <row r="19" spans="1:15">
      <c r="A19" s="69" t="s">
        <v>173</v>
      </c>
      <c r="B19" s="69"/>
      <c r="G19" s="70"/>
    </row>
    <row r="20" spans="1:15">
      <c r="L20" t="s">
        <v>174</v>
      </c>
    </row>
    <row r="21" spans="1:15">
      <c r="B21" t="s">
        <v>175</v>
      </c>
      <c r="L21">
        <f>(L9+L18)/2</f>
        <v>11.689598826472213</v>
      </c>
      <c r="M21">
        <f t="shared" ref="M21:N21" si="6">(M9+M18)/2</f>
        <v>22.221061901067095</v>
      </c>
      <c r="N21">
        <f t="shared" si="6"/>
        <v>33.571180470047388</v>
      </c>
    </row>
    <row r="22" spans="1:15">
      <c r="C22" t="s">
        <v>145</v>
      </c>
      <c r="E22">
        <v>40.799999999999997</v>
      </c>
    </row>
    <row r="23" spans="1:15">
      <c r="C23" t="s">
        <v>176</v>
      </c>
      <c r="E23">
        <v>9.68</v>
      </c>
    </row>
    <row r="24" spans="1:15">
      <c r="C24" t="s">
        <v>152</v>
      </c>
      <c r="E24">
        <v>50.1</v>
      </c>
      <c r="G24" t="s">
        <v>177</v>
      </c>
    </row>
    <row r="25" spans="1:15">
      <c r="C25" t="s">
        <v>178</v>
      </c>
      <c r="E25">
        <v>46.55</v>
      </c>
      <c r="G25" t="s">
        <v>179</v>
      </c>
    </row>
    <row r="26" spans="1:15">
      <c r="C26" t="s">
        <v>156</v>
      </c>
      <c r="E26">
        <v>24.18</v>
      </c>
      <c r="G26" t="s">
        <v>180</v>
      </c>
    </row>
    <row r="27" spans="1:15">
      <c r="G27" t="s">
        <v>181</v>
      </c>
    </row>
    <row r="28" spans="1:15">
      <c r="C28" t="s">
        <v>182</v>
      </c>
      <c r="E28">
        <v>63.93</v>
      </c>
    </row>
    <row r="29" spans="1:15">
      <c r="C29" t="s">
        <v>183</v>
      </c>
      <c r="E29">
        <v>163.46</v>
      </c>
    </row>
    <row r="30" spans="1:15">
      <c r="C30" t="s">
        <v>168</v>
      </c>
      <c r="E30">
        <v>58.21</v>
      </c>
    </row>
    <row r="31" spans="1:15">
      <c r="C31" t="s">
        <v>184</v>
      </c>
      <c r="E31">
        <v>187.29</v>
      </c>
    </row>
    <row r="32" spans="1:15">
      <c r="C32" t="s">
        <v>185</v>
      </c>
      <c r="E32">
        <v>56.61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9DD2-0155-474C-825A-376171B445C3}">
  <dimension ref="B2:C22"/>
  <sheetViews>
    <sheetView workbookViewId="0">
      <selection activeCell="H21" sqref="H21"/>
    </sheetView>
  </sheetViews>
  <sheetFormatPr defaultRowHeight="15"/>
  <sheetData>
    <row r="2" spans="2:3">
      <c r="C2" t="s">
        <v>31</v>
      </c>
    </row>
    <row r="3" spans="2:3">
      <c r="B3" t="s">
        <v>145</v>
      </c>
      <c r="C3">
        <f>9.5</f>
        <v>9.5</v>
      </c>
    </row>
    <row r="4" spans="2:3">
      <c r="B4" t="s">
        <v>176</v>
      </c>
      <c r="C4">
        <v>10.5</v>
      </c>
    </row>
    <row r="5" spans="2:3">
      <c r="B5" t="s">
        <v>152</v>
      </c>
      <c r="C5">
        <v>9.1999999999999993</v>
      </c>
    </row>
    <row r="6" spans="2:3">
      <c r="B6" t="s">
        <v>186</v>
      </c>
      <c r="C6">
        <v>12.8</v>
      </c>
    </row>
    <row r="7" spans="2:3">
      <c r="B7" t="s">
        <v>156</v>
      </c>
      <c r="C7">
        <v>16.5</v>
      </c>
    </row>
    <row r="9" spans="2:3">
      <c r="C9" t="s">
        <v>143</v>
      </c>
    </row>
    <row r="10" spans="2:3">
      <c r="B10" t="s">
        <v>145</v>
      </c>
      <c r="C10">
        <v>27.381804990476191</v>
      </c>
    </row>
    <row r="11" spans="2:3">
      <c r="B11" t="s">
        <v>176</v>
      </c>
      <c r="C11">
        <v>22.143660000000001</v>
      </c>
    </row>
    <row r="12" spans="2:3">
      <c r="B12" t="s">
        <v>152</v>
      </c>
      <c r="C12">
        <v>24.109260189714288</v>
      </c>
    </row>
    <row r="13" spans="2:3">
      <c r="B13" t="s">
        <v>186</v>
      </c>
      <c r="C13">
        <v>27.229221228710461</v>
      </c>
    </row>
    <row r="14" spans="2:3">
      <c r="B14" t="s">
        <v>156</v>
      </c>
      <c r="C14">
        <v>25.972092568670412</v>
      </c>
    </row>
    <row r="16" spans="2:3">
      <c r="C16" t="s">
        <v>123</v>
      </c>
    </row>
    <row r="18" spans="2:3">
      <c r="B18" t="s">
        <v>145</v>
      </c>
      <c r="C18">
        <v>22.511627906976745</v>
      </c>
    </row>
    <row r="19" spans="2:3">
      <c r="B19" t="s">
        <v>176</v>
      </c>
      <c r="C19">
        <v>22.510999999999999</v>
      </c>
    </row>
    <row r="20" spans="2:3">
      <c r="B20" t="s">
        <v>152</v>
      </c>
      <c r="C20">
        <v>36.085271317829452</v>
      </c>
    </row>
    <row r="21" spans="2:3">
      <c r="B21" t="s">
        <v>186</v>
      </c>
      <c r="C21">
        <v>18.044776119402982</v>
      </c>
    </row>
    <row r="22" spans="2:3">
      <c r="B22" t="s">
        <v>156</v>
      </c>
      <c r="C22">
        <v>18.044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2EEC-4E83-4718-9DA9-0156DA45B6FE}">
  <dimension ref="A1:W33"/>
  <sheetViews>
    <sheetView topLeftCell="H4" workbookViewId="0">
      <selection activeCell="Q23" sqref="Q23"/>
    </sheetView>
  </sheetViews>
  <sheetFormatPr defaultRowHeight="15"/>
  <cols>
    <col min="1" max="1" width="29.42578125" customWidth="1"/>
    <col min="2" max="2" width="9.5703125" customWidth="1"/>
    <col min="3" max="3" width="10.28515625" customWidth="1"/>
    <col min="4" max="4" width="9.85546875" bestFit="1" customWidth="1"/>
    <col min="5" max="5" width="11.5703125" customWidth="1"/>
    <col min="6" max="6" width="12.28515625" customWidth="1"/>
    <col min="7" max="7" width="20.5703125" customWidth="1"/>
    <col min="8" max="8" width="24.7109375" customWidth="1"/>
    <col min="9" max="10" width="9.85546875" customWidth="1"/>
    <col min="12" max="12" width="11.85546875" customWidth="1"/>
    <col min="13" max="13" width="9.42578125" customWidth="1"/>
  </cols>
  <sheetData>
    <row r="1" spans="1:16">
      <c r="A1" t="s">
        <v>133</v>
      </c>
    </row>
    <row r="3" spans="1:16">
      <c r="A3" t="s">
        <v>134</v>
      </c>
      <c r="B3" t="s">
        <v>26</v>
      </c>
      <c r="C3" t="s">
        <v>135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114</v>
      </c>
      <c r="K3" t="s">
        <v>142</v>
      </c>
      <c r="L3" t="s">
        <v>31</v>
      </c>
      <c r="M3" t="s">
        <v>143</v>
      </c>
      <c r="N3" t="s">
        <v>123</v>
      </c>
      <c r="O3" t="s">
        <v>144</v>
      </c>
    </row>
    <row r="4" spans="1:16">
      <c r="A4" t="s">
        <v>149</v>
      </c>
      <c r="B4" t="s">
        <v>150</v>
      </c>
      <c r="C4" t="s">
        <v>116</v>
      </c>
      <c r="D4">
        <v>128.036531</v>
      </c>
      <c r="E4">
        <v>9.68</v>
      </c>
      <c r="F4">
        <f>D4*E4</f>
        <v>1239.3936200799999</v>
      </c>
      <c r="G4">
        <v>588.79999999999995</v>
      </c>
      <c r="H4">
        <v>25.7</v>
      </c>
      <c r="I4">
        <f>D4*E4+G4-H4</f>
        <v>1802.4936200799998</v>
      </c>
      <c r="J4">
        <v>171.2</v>
      </c>
      <c r="K4">
        <v>81.400000000000006</v>
      </c>
      <c r="L4">
        <f>I4/J4</f>
        <v>10.528584229439252</v>
      </c>
      <c r="M4">
        <f>I4/K4</f>
        <v>22.143656266339061</v>
      </c>
      <c r="N4">
        <f>E4/0.43</f>
        <v>22.511627906976745</v>
      </c>
      <c r="O4" t="s">
        <v>148</v>
      </c>
    </row>
    <row r="5" spans="1:16">
      <c r="A5" t="s">
        <v>156</v>
      </c>
      <c r="B5" t="s">
        <v>157</v>
      </c>
      <c r="C5" t="s">
        <v>116</v>
      </c>
      <c r="D5">
        <v>105.038158</v>
      </c>
      <c r="E5">
        <v>24.18</v>
      </c>
      <c r="F5">
        <f>D5*E5</f>
        <v>2539.8226604399997</v>
      </c>
      <c r="G5">
        <v>3501</v>
      </c>
      <c r="H5">
        <v>344.786</v>
      </c>
      <c r="I5">
        <f>D5*E5+G5-H5</f>
        <v>5696.0366604399997</v>
      </c>
      <c r="J5">
        <v>531.1</v>
      </c>
      <c r="K5">
        <v>337.7</v>
      </c>
      <c r="L5">
        <f>I5/J5</f>
        <v>10.724979590359629</v>
      </c>
      <c r="M5">
        <f>I5/K5</f>
        <v>16.867150312229789</v>
      </c>
      <c r="N5">
        <f>E5/1.34</f>
        <v>18.044776119402982</v>
      </c>
      <c r="O5" t="s">
        <v>151</v>
      </c>
    </row>
    <row r="6" spans="1:16">
      <c r="A6" t="s">
        <v>154</v>
      </c>
      <c r="B6" t="s">
        <v>155</v>
      </c>
      <c r="C6" t="s">
        <v>116</v>
      </c>
      <c r="D6">
        <v>890.97400000000005</v>
      </c>
      <c r="E6">
        <v>46.55</v>
      </c>
      <c r="F6">
        <f>D6*E6</f>
        <v>41474.839699999997</v>
      </c>
      <c r="G6">
        <v>4715</v>
      </c>
      <c r="H6">
        <v>1425</v>
      </c>
      <c r="I6">
        <f>D6*E6+G6-H6</f>
        <v>44764.839699999997</v>
      </c>
      <c r="J6">
        <v>3503</v>
      </c>
      <c r="K6">
        <v>1644</v>
      </c>
      <c r="L6">
        <f>I6/J6</f>
        <v>12.779000770767912</v>
      </c>
      <c r="M6">
        <f>I6/K6</f>
        <v>27.229221228710461</v>
      </c>
      <c r="N6">
        <f>E6/1.29</f>
        <v>36.085271317829452</v>
      </c>
      <c r="O6" t="s">
        <v>153</v>
      </c>
    </row>
    <row r="7" spans="1:16">
      <c r="A7" t="s">
        <v>187</v>
      </c>
      <c r="B7" t="s">
        <v>146</v>
      </c>
      <c r="C7" t="s">
        <v>147</v>
      </c>
      <c r="D7">
        <v>161.38659200000001</v>
      </c>
      <c r="E7">
        <v>40.799999999999997</v>
      </c>
      <c r="F7">
        <f>D7*E7</f>
        <v>6584.5729535999999</v>
      </c>
      <c r="G7">
        <v>12339</v>
      </c>
      <c r="H7">
        <v>523</v>
      </c>
      <c r="I7">
        <f>D7*E7+G7-H7</f>
        <v>18400.5729536</v>
      </c>
      <c r="J7">
        <v>1940</v>
      </c>
      <c r="K7">
        <v>672</v>
      </c>
      <c r="L7">
        <f>I7/J7</f>
        <v>9.4848314193814431</v>
      </c>
      <c r="M7">
        <f>I7/K7</f>
        <v>27.381804990476191</v>
      </c>
      <c r="N7" s="71">
        <f>E7/0.51</f>
        <v>80</v>
      </c>
    </row>
    <row r="8" spans="1:16">
      <c r="A8" t="s">
        <v>152</v>
      </c>
      <c r="B8" t="s">
        <v>146</v>
      </c>
      <c r="C8" t="s">
        <v>147</v>
      </c>
      <c r="D8" s="67">
        <v>94.617996000000005</v>
      </c>
      <c r="E8">
        <v>50.1</v>
      </c>
      <c r="F8">
        <f>D8*E8</f>
        <v>4740.3615996000008</v>
      </c>
      <c r="G8">
        <v>7969</v>
      </c>
      <c r="H8">
        <v>52</v>
      </c>
      <c r="I8">
        <f>D8*E8+G8-H8</f>
        <v>12657.361599600001</v>
      </c>
      <c r="J8">
        <v>1370</v>
      </c>
      <c r="K8">
        <v>525</v>
      </c>
      <c r="L8">
        <f>I8/J8</f>
        <v>9.2389500727007299</v>
      </c>
      <c r="M8">
        <f>I8/K8</f>
        <v>24.109260189714288</v>
      </c>
      <c r="N8">
        <f>E8/2.52</f>
        <v>19.880952380952383</v>
      </c>
      <c r="O8" t="s">
        <v>158</v>
      </c>
      <c r="P8" s="72" t="s">
        <v>188</v>
      </c>
    </row>
    <row r="9" spans="1:16">
      <c r="K9" s="73" t="s">
        <v>189</v>
      </c>
      <c r="L9" s="73">
        <f>MEDIAN(L4:L8)</f>
        <v>10.528584229439252</v>
      </c>
      <c r="M9" s="73">
        <f t="shared" ref="M9:N9" si="0">MEDIAN(M4:M8)</f>
        <v>24.109260189714288</v>
      </c>
      <c r="N9" s="73">
        <f t="shared" si="0"/>
        <v>22.511627906976745</v>
      </c>
    </row>
    <row r="11" spans="1:16">
      <c r="A11" t="s">
        <v>134</v>
      </c>
      <c r="B11" t="s">
        <v>26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114</v>
      </c>
      <c r="K11" t="s">
        <v>142</v>
      </c>
      <c r="L11" t="s">
        <v>31</v>
      </c>
      <c r="M11" t="s">
        <v>143</v>
      </c>
      <c r="N11" t="s">
        <v>123</v>
      </c>
      <c r="O11" t="s">
        <v>144</v>
      </c>
    </row>
    <row r="12" spans="1:16">
      <c r="A12" t="s">
        <v>161</v>
      </c>
      <c r="B12" t="s">
        <v>162</v>
      </c>
      <c r="C12" t="s">
        <v>163</v>
      </c>
      <c r="D12">
        <v>15.270154</v>
      </c>
      <c r="E12">
        <v>63.93</v>
      </c>
      <c r="F12">
        <f>D12*E12</f>
        <v>976.22094521999998</v>
      </c>
      <c r="G12">
        <v>370.964</v>
      </c>
      <c r="H12">
        <v>61.01</v>
      </c>
      <c r="I12">
        <f>D12*E12+G12-H12</f>
        <v>1286.1749452199999</v>
      </c>
      <c r="J12">
        <f>K12+42.419</f>
        <v>94.591999999999985</v>
      </c>
      <c r="K12">
        <f>49.038+3.135</f>
        <v>52.172999999999995</v>
      </c>
      <c r="L12">
        <f>I12/J12</f>
        <v>13.597079512220908</v>
      </c>
      <c r="M12">
        <f>I12/K12</f>
        <v>24.65211786211259</v>
      </c>
      <c r="N12">
        <f>E12/4.47</f>
        <v>14.302013422818792</v>
      </c>
      <c r="O12" t="s">
        <v>164</v>
      </c>
    </row>
    <row r="13" spans="1:16">
      <c r="A13" t="s">
        <v>169</v>
      </c>
      <c r="B13" t="s">
        <v>162</v>
      </c>
      <c r="C13" t="s">
        <v>163</v>
      </c>
      <c r="D13">
        <v>62</v>
      </c>
      <c r="E13">
        <v>187.29</v>
      </c>
      <c r="F13">
        <f>D13*E13</f>
        <v>11611.98</v>
      </c>
      <c r="G13">
        <v>1486</v>
      </c>
      <c r="H13">
        <v>2452</v>
      </c>
      <c r="I13">
        <f>D13*E13+G13-H13</f>
        <v>10645.98</v>
      </c>
      <c r="J13">
        <v>1138</v>
      </c>
      <c r="K13">
        <v>1044</v>
      </c>
      <c r="L13">
        <f>I13/J13</f>
        <v>9.3549912126537773</v>
      </c>
      <c r="M13">
        <f>I13/K13</f>
        <v>10.197298850574713</v>
      </c>
      <c r="N13">
        <f>E13/11.47</f>
        <v>16.328683522231909</v>
      </c>
    </row>
    <row r="14" spans="1:16">
      <c r="A14" t="s">
        <v>171</v>
      </c>
      <c r="B14" t="s">
        <v>162</v>
      </c>
      <c r="C14" t="s">
        <v>163</v>
      </c>
      <c r="D14">
        <v>24.242999999999999</v>
      </c>
      <c r="E14">
        <v>56.61</v>
      </c>
      <c r="F14">
        <f>D14*E14</f>
        <v>1372.3962299999998</v>
      </c>
      <c r="G14">
        <v>682.61599999999999</v>
      </c>
      <c r="H14">
        <v>325.24900000000002</v>
      </c>
      <c r="I14">
        <f>D14*E14+G14-H14</f>
        <v>1729.7632299999998</v>
      </c>
      <c r="J14">
        <v>253</v>
      </c>
      <c r="K14">
        <v>98</v>
      </c>
      <c r="L14">
        <f>I14/J14</f>
        <v>6.8370088142292484</v>
      </c>
      <c r="M14">
        <f>I14/K14</f>
        <v>17.650645204081631</v>
      </c>
      <c r="N14">
        <f>E14/2.28</f>
        <v>24.828947368421055</v>
      </c>
    </row>
    <row r="15" spans="1:16">
      <c r="A15" t="s">
        <v>167</v>
      </c>
      <c r="B15" t="s">
        <v>162</v>
      </c>
      <c r="C15" t="s">
        <v>163</v>
      </c>
      <c r="D15">
        <v>372.53</v>
      </c>
      <c r="E15">
        <v>163.46</v>
      </c>
      <c r="F15">
        <f>D15*E15</f>
        <v>60893.753799999999</v>
      </c>
      <c r="G15">
        <v>42515</v>
      </c>
      <c r="H15">
        <v>4619</v>
      </c>
      <c r="I15">
        <f>D15*E15+G15-H15</f>
        <v>98789.753800000006</v>
      </c>
      <c r="J15">
        <v>11728</v>
      </c>
      <c r="K15">
        <v>8077</v>
      </c>
      <c r="L15">
        <f>I15/J15</f>
        <v>8.42341011255116</v>
      </c>
      <c r="M15">
        <f>I15/K15</f>
        <v>12.230995889562957</v>
      </c>
      <c r="N15">
        <f>E15/13.44</f>
        <v>12.162202380952381</v>
      </c>
      <c r="O15" t="s">
        <v>170</v>
      </c>
    </row>
    <row r="16" spans="1:16">
      <c r="A16" t="s">
        <v>168</v>
      </c>
      <c r="B16" t="s">
        <v>162</v>
      </c>
      <c r="C16" t="s">
        <v>163</v>
      </c>
      <c r="D16">
        <v>417.69600000000003</v>
      </c>
      <c r="E16">
        <v>58.21</v>
      </c>
      <c r="F16">
        <f>D16*E16</f>
        <v>24314.084160000002</v>
      </c>
      <c r="G16">
        <v>13726</v>
      </c>
      <c r="H16">
        <v>12123</v>
      </c>
      <c r="I16">
        <f>D16*E16+G16-H16</f>
        <v>25917.084159999999</v>
      </c>
      <c r="J16">
        <v>2695</v>
      </c>
      <c r="K16">
        <v>1781</v>
      </c>
      <c r="L16">
        <f>I16/J16</f>
        <v>9.6167288163265301</v>
      </c>
      <c r="M16">
        <f>I16/K16</f>
        <v>14.551984368332397</v>
      </c>
      <c r="N16">
        <f>E16/4.42</f>
        <v>13.169683257918553</v>
      </c>
      <c r="O16" t="s">
        <v>172</v>
      </c>
    </row>
    <row r="17" spans="1:23">
      <c r="K17" s="73" t="s">
        <v>189</v>
      </c>
      <c r="L17" s="73">
        <f>MEDIAN(Table4[EV/EBITDA])</f>
        <v>9.3549912126537773</v>
      </c>
      <c r="M17" s="73">
        <f>MEDIAN(Table4[EV/EBIT])</f>
        <v>14.551984368332397</v>
      </c>
      <c r="N17" s="73">
        <f>MEDIAN(Table4[P/E])</f>
        <v>14.302013422818792</v>
      </c>
    </row>
    <row r="18" spans="1:23">
      <c r="A18" t="s">
        <v>190</v>
      </c>
      <c r="C18" t="s">
        <v>147</v>
      </c>
      <c r="D18">
        <v>53.140064000000002</v>
      </c>
      <c r="E18">
        <v>55.5</v>
      </c>
      <c r="F18">
        <f>D18*E18</f>
        <v>2949.2735520000001</v>
      </c>
      <c r="G18">
        <v>4548</v>
      </c>
      <c r="H18">
        <v>863</v>
      </c>
      <c r="I18">
        <f>F18+G18-H18</f>
        <v>6634.2735520000006</v>
      </c>
      <c r="J18">
        <v>699</v>
      </c>
      <c r="K18">
        <v>369</v>
      </c>
      <c r="L18">
        <f>I18/J18</f>
        <v>9.4910923490701009</v>
      </c>
      <c r="M18">
        <f>I18/K18</f>
        <v>17.979061116531167</v>
      </c>
      <c r="N18">
        <f>E18/3.54</f>
        <v>15.677966101694915</v>
      </c>
    </row>
    <row r="19" spans="1:23">
      <c r="I19">
        <f>I18+51.1*(1-0.214)</f>
        <v>6674.4381520000006</v>
      </c>
      <c r="J19">
        <f>J18+51.1</f>
        <v>750.1</v>
      </c>
      <c r="K19">
        <f>K18+51.1</f>
        <v>420.1</v>
      </c>
      <c r="L19">
        <f>I19/J19</f>
        <v>8.8980644607385688</v>
      </c>
      <c r="N19">
        <f>E18/O20</f>
        <v>12.982980411560604</v>
      </c>
    </row>
    <row r="20" spans="1:23">
      <c r="A20" s="69" t="s">
        <v>173</v>
      </c>
      <c r="B20" s="69"/>
      <c r="G20" s="70"/>
      <c r="J20" t="s">
        <v>191</v>
      </c>
      <c r="K20">
        <v>10.220000000000001</v>
      </c>
      <c r="N20">
        <f>187+51.1*(1-0.214)</f>
        <v>227.16460000000001</v>
      </c>
      <c r="O20">
        <f>N20/53.140064</f>
        <v>4.2748273694213088</v>
      </c>
      <c r="Q20">
        <f>O20*N18</f>
        <v>67.020598588384928</v>
      </c>
    </row>
    <row r="21" spans="1:23">
      <c r="L21" t="s">
        <v>174</v>
      </c>
    </row>
    <row r="22" spans="1:23">
      <c r="B22" t="s">
        <v>175</v>
      </c>
      <c r="L22">
        <f>(L9+L17)/2</f>
        <v>9.9417877210465146</v>
      </c>
      <c r="M22">
        <f>(M9+M17)/2</f>
        <v>19.330622279023341</v>
      </c>
      <c r="N22">
        <f>(N9+N17)/2</f>
        <v>18.406820664897769</v>
      </c>
    </row>
    <row r="23" spans="1:23">
      <c r="C23" t="s">
        <v>145</v>
      </c>
      <c r="E23">
        <v>40.799999999999997</v>
      </c>
      <c r="K23" t="s">
        <v>192</v>
      </c>
      <c r="W23" t="s">
        <v>193</v>
      </c>
    </row>
    <row r="24" spans="1:23">
      <c r="C24" t="s">
        <v>176</v>
      </c>
      <c r="E24">
        <v>9.68</v>
      </c>
      <c r="K24" t="s">
        <v>162</v>
      </c>
      <c r="L24" s="74">
        <f>L17*J18</f>
        <v>6539.1388576449899</v>
      </c>
      <c r="M24" s="74">
        <f>M17*K18</f>
        <v>5369.682231914654</v>
      </c>
      <c r="N24" s="74">
        <f>N17*187</f>
        <v>2674.4765100671143</v>
      </c>
      <c r="O24">
        <f>N24+3712</f>
        <v>6386.4765100671138</v>
      </c>
      <c r="U24">
        <f>(L24-3712)/53.140064</f>
        <v>53.201645704547701</v>
      </c>
      <c r="V24">
        <f>(M24-3712)/53.140064</f>
        <v>31.194584784742712</v>
      </c>
      <c r="W24">
        <f>N24/53.140064</f>
        <v>50.328816127641737</v>
      </c>
    </row>
    <row r="25" spans="1:23">
      <c r="C25" t="s">
        <v>152</v>
      </c>
      <c r="E25">
        <v>50.1</v>
      </c>
      <c r="G25" t="s">
        <v>177</v>
      </c>
      <c r="K25" t="s">
        <v>194</v>
      </c>
      <c r="L25">
        <f>L9*J18</f>
        <v>7359.4803763780374</v>
      </c>
      <c r="M25">
        <f>M9*K18</f>
        <v>8896.3170100045718</v>
      </c>
      <c r="N25">
        <f>N9*187</f>
        <v>4209.6744186046517</v>
      </c>
      <c r="O25">
        <f>N25+3712</f>
        <v>7921.6744186046517</v>
      </c>
      <c r="U25">
        <f>(L25-3712)/53.140064</f>
        <v>68.638991032792831</v>
      </c>
      <c r="V25">
        <f>(M25-3712)/53.140064</f>
        <v>97.559479981141379</v>
      </c>
      <c r="W25">
        <f>N25/53.140064</f>
        <v>79.218467230386693</v>
      </c>
    </row>
    <row r="26" spans="1:23">
      <c r="C26" t="s">
        <v>178</v>
      </c>
      <c r="E26">
        <v>46.55</v>
      </c>
      <c r="G26" t="s">
        <v>179</v>
      </c>
    </row>
    <row r="27" spans="1:23">
      <c r="C27" t="s">
        <v>156</v>
      </c>
      <c r="E27">
        <v>24.18</v>
      </c>
      <c r="G27" t="s">
        <v>180</v>
      </c>
      <c r="K27" t="s">
        <v>195</v>
      </c>
      <c r="U27" t="s">
        <v>31</v>
      </c>
      <c r="V27" t="s">
        <v>143</v>
      </c>
      <c r="W27" t="s">
        <v>196</v>
      </c>
    </row>
    <row r="28" spans="1:23">
      <c r="G28" t="s">
        <v>181</v>
      </c>
      <c r="K28" t="s">
        <v>162</v>
      </c>
      <c r="L28" s="74">
        <f>L17*J19</f>
        <v>7017.1789086115987</v>
      </c>
      <c r="M28" s="74">
        <f>M17*K19</f>
        <v>6113.2886331364398</v>
      </c>
      <c r="N28" s="74">
        <f>N17*N20</f>
        <v>3248.9111583892618</v>
      </c>
      <c r="O28">
        <f>N28+3712</f>
        <v>6960.9111583892618</v>
      </c>
      <c r="U28">
        <f>(L28-3712)/53.140064</f>
        <v>62.197495821826607</v>
      </c>
      <c r="V28">
        <f>(M28-3712)/53.140064</f>
        <v>45.187913833457927</v>
      </c>
      <c r="W28">
        <f>N28/53.140064</f>
        <v>61.138638417696704</v>
      </c>
    </row>
    <row r="29" spans="1:23">
      <c r="C29" t="s">
        <v>182</v>
      </c>
      <c r="E29">
        <v>63.93</v>
      </c>
      <c r="K29" t="s">
        <v>194</v>
      </c>
      <c r="L29">
        <f>L9*J19</f>
        <v>7897.4910305023832</v>
      </c>
      <c r="M29">
        <f>M9*K19</f>
        <v>10128.300205698974</v>
      </c>
      <c r="N29">
        <f>N9*N20</f>
        <v>5113.8449488372098</v>
      </c>
      <c r="O29">
        <f>N29+3712</f>
        <v>8825.8449488372098</v>
      </c>
      <c r="U29">
        <f>(L29-3712)/53.140064</f>
        <v>78.763379556757457</v>
      </c>
      <c r="V29">
        <f>(M29-3712)/53.140064</f>
        <v>120.74317798523866</v>
      </c>
      <c r="W29">
        <f>N29/53.140064</f>
        <v>96.233323106972733</v>
      </c>
    </row>
    <row r="30" spans="1:23">
      <c r="C30" t="s">
        <v>183</v>
      </c>
      <c r="E30">
        <v>163.46</v>
      </c>
    </row>
    <row r="31" spans="1:23">
      <c r="C31" t="s">
        <v>168</v>
      </c>
      <c r="E31">
        <v>58.21</v>
      </c>
      <c r="K31" t="s">
        <v>197</v>
      </c>
      <c r="L31">
        <v>12.5</v>
      </c>
      <c r="T31" t="s">
        <v>198</v>
      </c>
    </row>
    <row r="32" spans="1:23">
      <c r="C32" t="s">
        <v>184</v>
      </c>
      <c r="E32">
        <v>187.29</v>
      </c>
      <c r="L32" s="84">
        <f>L31*J19</f>
        <v>9376.25</v>
      </c>
      <c r="M32">
        <f>L31*J18</f>
        <v>8737.5</v>
      </c>
      <c r="U32" s="84">
        <f>(L32-3712)/53.140064</f>
        <v>106.59095179110058</v>
      </c>
      <c r="V32" s="84">
        <f>(M32-3712)/53.140064</f>
        <v>94.57083077656813</v>
      </c>
    </row>
    <row r="33" spans="3:22">
      <c r="C33" t="s">
        <v>185</v>
      </c>
      <c r="E33">
        <v>56.61</v>
      </c>
      <c r="U33" t="s">
        <v>199</v>
      </c>
      <c r="V33" t="s">
        <v>200</v>
      </c>
    </row>
  </sheetData>
  <hyperlinks>
    <hyperlink ref="P8" r:id="rId1" xr:uid="{85E3F815-F467-420C-ABF2-16165533D8BD}"/>
  </hyperlinks>
  <pageMargins left="0.7" right="0.7" top="0.75" bottom="0.75" header="0.3" footer="0.3"/>
  <pageSetup paperSize="9" orientation="portrait" verticalDpi="0"/>
  <legacy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4305-E2B6-42F2-9C44-34EDE07068EB}">
  <dimension ref="B3:U36"/>
  <sheetViews>
    <sheetView tabSelected="1" workbookViewId="0">
      <selection activeCell="G36" sqref="G36"/>
    </sheetView>
  </sheetViews>
  <sheetFormatPr defaultRowHeight="15"/>
  <cols>
    <col min="2" max="2" width="11.85546875" customWidth="1"/>
    <col min="3" max="3" width="13.7109375" bestFit="1" customWidth="1"/>
    <col min="4" max="4" width="11.85546875" customWidth="1"/>
    <col min="5" max="5" width="9.42578125" customWidth="1"/>
    <col min="8" max="8" width="9.85546875" bestFit="1" customWidth="1"/>
  </cols>
  <sheetData>
    <row r="3" spans="2:10">
      <c r="B3" t="s">
        <v>192</v>
      </c>
      <c r="C3" t="s">
        <v>201</v>
      </c>
      <c r="D3" t="s">
        <v>31</v>
      </c>
      <c r="E3" t="s">
        <v>143</v>
      </c>
      <c r="F3" t="s">
        <v>123</v>
      </c>
      <c r="I3" t="s">
        <v>162</v>
      </c>
      <c r="J3" t="s">
        <v>162</v>
      </c>
    </row>
    <row r="4" spans="2:10">
      <c r="B4" t="s">
        <v>162</v>
      </c>
      <c r="C4" s="83">
        <v>6395.9709719229268</v>
      </c>
      <c r="D4">
        <v>6539.1388576449899</v>
      </c>
      <c r="E4">
        <v>5369.682231914654</v>
      </c>
      <c r="F4">
        <v>6386.4765100671138</v>
      </c>
      <c r="H4" t="s">
        <v>202</v>
      </c>
      <c r="I4" cm="1">
        <f t="array" ref="I4:I7">TRANSPOSE(C4:F4)</f>
        <v>6395.9709719229268</v>
      </c>
      <c r="J4" cm="1">
        <f t="array" ref="J4:J7">TRANSPOSE(C5:F5)</f>
        <v>646.73566912810475</v>
      </c>
    </row>
    <row r="5" spans="2:10">
      <c r="B5" t="s">
        <v>162</v>
      </c>
      <c r="C5" s="83">
        <f>E21-C4</f>
        <v>646.73566912810475</v>
      </c>
      <c r="D5">
        <f>C16-D4</f>
        <v>478.04005096660876</v>
      </c>
      <c r="E5">
        <f t="shared" ref="E5:F5" si="0">D16-E4</f>
        <v>743.60640122178575</v>
      </c>
      <c r="F5">
        <f t="shared" si="0"/>
        <v>574.43464832214795</v>
      </c>
      <c r="H5" t="s">
        <v>31</v>
      </c>
      <c r="I5">
        <v>6539.1388576449899</v>
      </c>
      <c r="J5">
        <v>478.04005096660876</v>
      </c>
    </row>
    <row r="6" spans="2:10">
      <c r="B6" t="s">
        <v>194</v>
      </c>
      <c r="C6">
        <v>8737.5</v>
      </c>
      <c r="D6">
        <f>C13</f>
        <v>7359.4803763780374</v>
      </c>
      <c r="E6">
        <f t="shared" ref="E6:F6" si="1">D13</f>
        <v>8896.3170100045718</v>
      </c>
      <c r="F6">
        <f t="shared" si="1"/>
        <v>7921.6744186046517</v>
      </c>
      <c r="H6" t="s">
        <v>143</v>
      </c>
      <c r="I6">
        <v>5369.682231914654</v>
      </c>
      <c r="J6">
        <v>743.60640122178575</v>
      </c>
    </row>
    <row r="7" spans="2:10">
      <c r="B7" t="s">
        <v>194</v>
      </c>
      <c r="C7">
        <f>I26</f>
        <v>638.75</v>
      </c>
      <c r="D7">
        <f>C17-D6</f>
        <v>538.01065412434582</v>
      </c>
      <c r="E7">
        <f t="shared" ref="E7:F7" si="2">D17-E6</f>
        <v>1231.9831956944017</v>
      </c>
      <c r="F7">
        <f t="shared" si="2"/>
        <v>904.17053023255812</v>
      </c>
      <c r="H7" t="s">
        <v>123</v>
      </c>
      <c r="I7">
        <v>6386.4765100671138</v>
      </c>
      <c r="J7">
        <v>574.43464832214795</v>
      </c>
    </row>
    <row r="9" spans="2:10">
      <c r="I9" t="s">
        <v>194</v>
      </c>
      <c r="J9" t="s">
        <v>194</v>
      </c>
    </row>
    <row r="10" spans="2:10">
      <c r="H10" t="s">
        <v>202</v>
      </c>
      <c r="I10" cm="1">
        <f t="array" ref="I10:I13">TRANSPOSE(C6:F6)</f>
        <v>8737.5</v>
      </c>
      <c r="J10" cm="1">
        <f t="array" ref="J10:J13">TRANSPOSE(C7:F7)</f>
        <v>638.75</v>
      </c>
    </row>
    <row r="11" spans="2:10">
      <c r="B11" t="s">
        <v>192</v>
      </c>
      <c r="H11" t="s">
        <v>31</v>
      </c>
      <c r="I11">
        <v>7359.4803763780374</v>
      </c>
      <c r="J11">
        <v>538.01065412434582</v>
      </c>
    </row>
    <row r="12" spans="2:10">
      <c r="B12" t="s">
        <v>162</v>
      </c>
      <c r="H12" t="s">
        <v>143</v>
      </c>
      <c r="I12">
        <v>8896.3170100045718</v>
      </c>
      <c r="J12">
        <v>1231.9831956944017</v>
      </c>
    </row>
    <row r="13" spans="2:10">
      <c r="B13" t="s">
        <v>194</v>
      </c>
      <c r="C13">
        <v>7359.4803763780374</v>
      </c>
      <c r="D13">
        <v>8896.3170100045718</v>
      </c>
      <c r="E13">
        <v>7921.6744186046517</v>
      </c>
      <c r="H13" t="s">
        <v>123</v>
      </c>
      <c r="I13">
        <v>7921.6744186046517</v>
      </c>
      <c r="J13">
        <v>904.17053023255812</v>
      </c>
    </row>
    <row r="15" spans="2:10">
      <c r="B15" t="s">
        <v>195</v>
      </c>
    </row>
    <row r="16" spans="2:10">
      <c r="B16" t="s">
        <v>162</v>
      </c>
      <c r="C16">
        <v>7017.1789086115987</v>
      </c>
      <c r="D16">
        <v>6113.2886331364398</v>
      </c>
      <c r="E16">
        <v>6960.9111583892618</v>
      </c>
    </row>
    <row r="17" spans="2:21">
      <c r="B17" t="s">
        <v>194</v>
      </c>
      <c r="C17">
        <v>7897.4910305023832</v>
      </c>
      <c r="D17">
        <v>10128.300205698974</v>
      </c>
      <c r="E17">
        <v>8825.8449488372098</v>
      </c>
    </row>
    <row r="21" spans="2:21">
      <c r="E21">
        <v>7042.7066410510315</v>
      </c>
    </row>
    <row r="24" spans="2:21">
      <c r="D24" t="s">
        <v>31</v>
      </c>
      <c r="E24" t="s">
        <v>143</v>
      </c>
      <c r="F24" t="s">
        <v>203</v>
      </c>
      <c r="I24" t="s">
        <v>204</v>
      </c>
    </row>
    <row r="25" spans="2:21">
      <c r="C25" t="s">
        <v>205</v>
      </c>
      <c r="D25">
        <v>53.201645704547701</v>
      </c>
      <c r="E25">
        <v>31.194584784742712</v>
      </c>
      <c r="F25">
        <v>50.328816127641737</v>
      </c>
      <c r="I25">
        <v>8737.5</v>
      </c>
    </row>
    <row r="26" spans="2:21">
      <c r="C26" t="s">
        <v>194</v>
      </c>
      <c r="D26">
        <v>68.638991032792831</v>
      </c>
      <c r="E26">
        <v>97.559479981141379</v>
      </c>
      <c r="F26">
        <v>79.218467230386693</v>
      </c>
      <c r="I26">
        <f>I29-I25</f>
        <v>638.75</v>
      </c>
    </row>
    <row r="28" spans="2:21">
      <c r="D28" t="s">
        <v>31</v>
      </c>
      <c r="E28" t="s">
        <v>143</v>
      </c>
      <c r="F28" t="s">
        <v>196</v>
      </c>
    </row>
    <row r="29" spans="2:21">
      <c r="C29" t="s">
        <v>205</v>
      </c>
      <c r="D29">
        <v>62.197495821826607</v>
      </c>
      <c r="E29">
        <v>45.187913833457927</v>
      </c>
      <c r="F29">
        <v>61.138638417696704</v>
      </c>
      <c r="I29">
        <v>9376.25</v>
      </c>
    </row>
    <row r="30" spans="2:21">
      <c r="C30" t="s">
        <v>194</v>
      </c>
      <c r="D30">
        <v>78.763379556757457</v>
      </c>
      <c r="E30">
        <v>120.74317798523866</v>
      </c>
      <c r="F30">
        <v>96.233323106972733</v>
      </c>
    </row>
    <row r="31" spans="2:21">
      <c r="O31" t="s">
        <v>31</v>
      </c>
      <c r="P31" t="s">
        <v>143</v>
      </c>
      <c r="Q31" t="s">
        <v>203</v>
      </c>
      <c r="R31" t="s">
        <v>24</v>
      </c>
      <c r="S31" t="s">
        <v>202</v>
      </c>
    </row>
    <row r="32" spans="2:21">
      <c r="C32" t="s">
        <v>198</v>
      </c>
      <c r="N32" t="s">
        <v>162</v>
      </c>
      <c r="O32">
        <f>D29/D25</f>
        <v>1.169089696345802</v>
      </c>
      <c r="P32">
        <f>E29/E25</f>
        <v>1.4485819941273703</v>
      </c>
      <c r="Q32">
        <f>F29/F25</f>
        <v>1.2147839572192514</v>
      </c>
      <c r="R32">
        <f>D33/E33</f>
        <v>1.1271017809173216</v>
      </c>
      <c r="S32">
        <f>D36/E36</f>
        <v>1.2409622443363282</v>
      </c>
      <c r="U32">
        <f>AVERAGE(O32:S33)</f>
        <v>1.2250552723402035</v>
      </c>
    </row>
    <row r="33" spans="3:17">
      <c r="D33">
        <v>106.59095179110058</v>
      </c>
      <c r="E33">
        <v>94.57083077656813</v>
      </c>
      <c r="N33" t="s">
        <v>194</v>
      </c>
      <c r="O33">
        <f>D30/D26</f>
        <v>1.1475020010000965</v>
      </c>
      <c r="P33">
        <f>E30/E26</f>
        <v>1.2376365475562066</v>
      </c>
      <c r="Q33">
        <f>F30/F26</f>
        <v>1.2147839572192514</v>
      </c>
    </row>
    <row r="34" spans="3:17">
      <c r="D34" t="s">
        <v>199</v>
      </c>
      <c r="E34" t="s">
        <v>200</v>
      </c>
    </row>
    <row r="36" spans="3:17">
      <c r="C36" t="s">
        <v>202</v>
      </c>
      <c r="D36">
        <f>(C4+C5-3712)/53.140064</f>
        <v>62.677881627147293</v>
      </c>
      <c r="E36">
        <f>(C4-3712)/53.140064</f>
        <v>50.507484746780257</v>
      </c>
    </row>
  </sheetData>
  <conditionalFormatting sqref="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E93BE295A754CAA06FA35B0619E69" ma:contentTypeVersion="2" ma:contentTypeDescription="Create a new document." ma:contentTypeScope="" ma:versionID="540294b9ddb9fc9052270d7f216e83e7">
  <xsd:schema xmlns:xsd="http://www.w3.org/2001/XMLSchema" xmlns:xs="http://www.w3.org/2001/XMLSchema" xmlns:p="http://schemas.microsoft.com/office/2006/metadata/properties" xmlns:ns2="e1e4d885-b121-4c0c-b617-6c95a3592061" targetNamespace="http://schemas.microsoft.com/office/2006/metadata/properties" ma:root="true" ma:fieldsID="ef75ff05c15e357dd903ee3a842f5afe" ns2:_="">
    <xsd:import namespace="e1e4d885-b121-4c0c-b617-6c95a35920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4d885-b121-4c0c-b617-6c95a3592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A2E6B6-E0EF-42DE-8B9F-F30F493560A8}"/>
</file>

<file path=customXml/itemProps2.xml><?xml version="1.0" encoding="utf-8"?>
<ds:datastoreItem xmlns:ds="http://schemas.openxmlformats.org/officeDocument/2006/customXml" ds:itemID="{F765B8BB-3DA1-4403-852A-91AB3BDE4E72}"/>
</file>

<file path=customXml/itemProps3.xml><?xml version="1.0" encoding="utf-8"?>
<ds:datastoreItem xmlns:ds="http://schemas.openxmlformats.org/officeDocument/2006/customXml" ds:itemID="{5DB885ED-6A3B-4AF9-8AA6-0ED926DDF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Aalto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Vacca Matteo</dc:creator>
  <cp:keywords/>
  <dc:description/>
  <cp:lastModifiedBy>Korhonen Santeri</cp:lastModifiedBy>
  <cp:revision/>
  <dcterms:created xsi:type="dcterms:W3CDTF">2018-10-27T10:27:20Z</dcterms:created>
  <dcterms:modified xsi:type="dcterms:W3CDTF">2020-11-25T21:02:36Z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0x010100493E93BE295A754CAA06FA35B0619E69</vt:lpwstr>
  </property>
</Properties>
</file>