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.sharepoint.com/sites/FinancialStatementAnalysisgroup/Shared Documents/General/"/>
    </mc:Choice>
  </mc:AlternateContent>
  <xr:revisionPtr revIDLastSave="10161" documentId="11_ABEBC3760533B264D3E4CBF4DF739F1A2C73EDFD" xr6:coauthVersionLast="46" xr6:coauthVersionMax="46" xr10:uidLastSave="{50347490-6C80-4127-ACCD-B481EE8606B2}"/>
  <bookViews>
    <workbookView xWindow="-108" yWindow="-108" windowWidth="23256" windowHeight="12576" firstSheet="4" activeTab="7" xr2:uid="{00000000-000D-0000-FFFF-FFFF00000000}"/>
  </bookViews>
  <sheets>
    <sheet name="income" sheetId="20" r:id="rId1"/>
    <sheet name="balance" sheetId="21" r:id="rId2"/>
    <sheet name="cash" sheetId="22" r:id="rId3"/>
    <sheet name="ratios" sheetId="23" r:id="rId4"/>
    <sheet name="share" sheetId="24" r:id="rId5"/>
    <sheet name="DDM model (Dividents)" sheetId="7" r:id="rId6"/>
    <sheet name="DCF" sheetId="10" r:id="rId7"/>
    <sheet name="Forecasting development (final)" sheetId="17" r:id="rId8"/>
    <sheet name="Forcasts" sheetId="11" r:id="rId9"/>
    <sheet name="Raw data" sheetId="2" r:id="rId10"/>
    <sheet name="backup file" sheetId="12" r:id="rId11"/>
  </sheets>
  <definedNames>
    <definedName name="solver_adj" localSheetId="5" hidden="1">'DDM model (Dividents)'!$A$24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'DDM model (Dividents)'!$A$24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'DDM model (Dividents)'!$D$24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hs1" localSheetId="5" hidden="1">'DDM model (Dividents)'!#REF!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4" l="1"/>
  <c r="D7" i="24"/>
  <c r="C7" i="24"/>
  <c r="B7" i="24"/>
  <c r="F19" i="23"/>
  <c r="E19" i="23"/>
  <c r="D19" i="23"/>
  <c r="C19" i="23"/>
  <c r="B19" i="23"/>
  <c r="F9" i="23"/>
  <c r="E9" i="23"/>
  <c r="D9" i="23"/>
  <c r="C9" i="23"/>
  <c r="B9" i="23"/>
  <c r="F8" i="23"/>
  <c r="E8" i="23"/>
  <c r="D8" i="23"/>
  <c r="C8" i="23"/>
  <c r="B8" i="23"/>
  <c r="F4" i="23"/>
  <c r="E4" i="23"/>
  <c r="D4" i="23"/>
  <c r="C4" i="23"/>
  <c r="B4" i="23"/>
  <c r="D34" i="22"/>
  <c r="L34" i="22" s="1"/>
  <c r="C34" i="22"/>
  <c r="K34" i="22" s="1"/>
  <c r="B34" i="22"/>
  <c r="F34" i="22" s="1"/>
  <c r="H33" i="22"/>
  <c r="G33" i="22"/>
  <c r="F33" i="22"/>
  <c r="L32" i="22"/>
  <c r="K32" i="22"/>
  <c r="H32" i="22"/>
  <c r="G32" i="22"/>
  <c r="F32" i="22"/>
  <c r="L31" i="22"/>
  <c r="K31" i="22"/>
  <c r="H31" i="22"/>
  <c r="G31" i="22"/>
  <c r="F31" i="22"/>
  <c r="H30" i="22"/>
  <c r="G30" i="22"/>
  <c r="F30" i="22"/>
  <c r="L29" i="22"/>
  <c r="K29" i="22"/>
  <c r="H29" i="22"/>
  <c r="G29" i="22"/>
  <c r="F29" i="22"/>
  <c r="H26" i="22"/>
  <c r="D26" i="22"/>
  <c r="C26" i="22"/>
  <c r="G26" i="22" s="1"/>
  <c r="B26" i="22"/>
  <c r="F26" i="22" s="1"/>
  <c r="L25" i="22"/>
  <c r="K25" i="22"/>
  <c r="H25" i="22"/>
  <c r="G25" i="22"/>
  <c r="F25" i="22"/>
  <c r="L24" i="22"/>
  <c r="K24" i="22"/>
  <c r="H24" i="22"/>
  <c r="G24" i="22"/>
  <c r="F24" i="22"/>
  <c r="L23" i="22"/>
  <c r="K23" i="22"/>
  <c r="H23" i="22"/>
  <c r="G23" i="22"/>
  <c r="F23" i="22"/>
  <c r="H22" i="22"/>
  <c r="G22" i="22"/>
  <c r="F22" i="22"/>
  <c r="H21" i="22"/>
  <c r="G21" i="22"/>
  <c r="F21" i="22"/>
  <c r="L20" i="22"/>
  <c r="K20" i="22"/>
  <c r="H20" i="22"/>
  <c r="G20" i="22"/>
  <c r="F20" i="22"/>
  <c r="L19" i="22"/>
  <c r="K19" i="22"/>
  <c r="H19" i="22"/>
  <c r="G19" i="22"/>
  <c r="F19" i="22"/>
  <c r="L18" i="22"/>
  <c r="K18" i="22"/>
  <c r="H18" i="22"/>
  <c r="G18" i="22"/>
  <c r="F18" i="22"/>
  <c r="L14" i="22"/>
  <c r="K14" i="22"/>
  <c r="H14" i="22"/>
  <c r="G14" i="22"/>
  <c r="F14" i="22"/>
  <c r="L13" i="22"/>
  <c r="K13" i="22"/>
  <c r="H13" i="22"/>
  <c r="G13" i="22"/>
  <c r="F13" i="22"/>
  <c r="L12" i="22"/>
  <c r="K12" i="22"/>
  <c r="H12" i="22"/>
  <c r="G12" i="22"/>
  <c r="F12" i="22"/>
  <c r="L11" i="22"/>
  <c r="K11" i="22"/>
  <c r="H11" i="22"/>
  <c r="G11" i="22"/>
  <c r="F11" i="22"/>
  <c r="B10" i="22"/>
  <c r="B15" i="22" s="1"/>
  <c r="L9" i="22"/>
  <c r="K9" i="22"/>
  <c r="H9" i="22"/>
  <c r="G9" i="22"/>
  <c r="F9" i="22"/>
  <c r="L8" i="22"/>
  <c r="K8" i="22"/>
  <c r="H8" i="22"/>
  <c r="G8" i="22"/>
  <c r="F8" i="22"/>
  <c r="L7" i="22"/>
  <c r="K7" i="22"/>
  <c r="H7" i="22"/>
  <c r="G7" i="22"/>
  <c r="F7" i="22"/>
  <c r="L5" i="22"/>
  <c r="K5" i="22"/>
  <c r="H5" i="22"/>
  <c r="G5" i="22"/>
  <c r="D5" i="22"/>
  <c r="D10" i="22" s="1"/>
  <c r="C5" i="22"/>
  <c r="C10" i="22" s="1"/>
  <c r="B5" i="22"/>
  <c r="F5" i="22" s="1"/>
  <c r="L4" i="22"/>
  <c r="K4" i="22"/>
  <c r="H4" i="22"/>
  <c r="G4" i="22"/>
  <c r="F4" i="22"/>
  <c r="L3" i="22"/>
  <c r="K3" i="22"/>
  <c r="H3" i="22"/>
  <c r="G3" i="22"/>
  <c r="F3" i="22"/>
  <c r="K51" i="21"/>
  <c r="G51" i="21"/>
  <c r="F51" i="21"/>
  <c r="D51" i="21"/>
  <c r="L51" i="21" s="1"/>
  <c r="L49" i="21"/>
  <c r="G49" i="21"/>
  <c r="F49" i="21"/>
  <c r="C49" i="21"/>
  <c r="K49" i="21" s="1"/>
  <c r="L47" i="21"/>
  <c r="K47" i="21"/>
  <c r="G47" i="21"/>
  <c r="F47" i="21"/>
  <c r="L46" i="21"/>
  <c r="K46" i="21"/>
  <c r="G46" i="21"/>
  <c r="F46" i="21"/>
  <c r="L45" i="21"/>
  <c r="K45" i="21"/>
  <c r="G45" i="21"/>
  <c r="F45" i="21"/>
  <c r="L44" i="21"/>
  <c r="K44" i="21"/>
  <c r="H44" i="21"/>
  <c r="G44" i="21"/>
  <c r="F44" i="21"/>
  <c r="L43" i="21"/>
  <c r="K43" i="21"/>
  <c r="G43" i="21"/>
  <c r="F43" i="21"/>
  <c r="L40" i="21"/>
  <c r="K40" i="21"/>
  <c r="G40" i="21"/>
  <c r="F40" i="21"/>
  <c r="L39" i="21"/>
  <c r="K39" i="21"/>
  <c r="G39" i="21"/>
  <c r="F39" i="21"/>
  <c r="G38" i="21"/>
  <c r="F38" i="21"/>
  <c r="L37" i="21"/>
  <c r="K37" i="21"/>
  <c r="G37" i="21"/>
  <c r="F37" i="21"/>
  <c r="L36" i="21"/>
  <c r="K36" i="21"/>
  <c r="H36" i="21"/>
  <c r="G36" i="21"/>
  <c r="F36" i="21"/>
  <c r="L35" i="21"/>
  <c r="K35" i="21"/>
  <c r="G35" i="21"/>
  <c r="F35" i="21"/>
  <c r="L34" i="21"/>
  <c r="K34" i="21"/>
  <c r="G34" i="21"/>
  <c r="F34" i="21"/>
  <c r="L30" i="21"/>
  <c r="K30" i="21"/>
  <c r="G30" i="21"/>
  <c r="F30" i="21"/>
  <c r="L24" i="21"/>
  <c r="H22" i="21"/>
  <c r="L20" i="21"/>
  <c r="H20" i="21"/>
  <c r="F20" i="21"/>
  <c r="D20" i="21"/>
  <c r="C20" i="21"/>
  <c r="K20" i="21" s="1"/>
  <c r="L19" i="21"/>
  <c r="K19" i="21"/>
  <c r="H19" i="21"/>
  <c r="F19" i="21"/>
  <c r="L18" i="21"/>
  <c r="K18" i="21"/>
  <c r="H18" i="21"/>
  <c r="F18" i="21"/>
  <c r="L17" i="21"/>
  <c r="K17" i="21"/>
  <c r="H17" i="21"/>
  <c r="F17" i="21"/>
  <c r="L16" i="21"/>
  <c r="K16" i="21"/>
  <c r="H16" i="21"/>
  <c r="F16" i="21"/>
  <c r="L15" i="21"/>
  <c r="K15" i="21"/>
  <c r="H15" i="21"/>
  <c r="F15" i="21"/>
  <c r="L12" i="21"/>
  <c r="K12" i="21"/>
  <c r="H12" i="21"/>
  <c r="F12" i="21"/>
  <c r="L11" i="21"/>
  <c r="K11" i="21"/>
  <c r="H11" i="21"/>
  <c r="F11" i="21"/>
  <c r="L10" i="21"/>
  <c r="K10" i="21"/>
  <c r="H10" i="21"/>
  <c r="F10" i="21"/>
  <c r="L9" i="21"/>
  <c r="K9" i="21"/>
  <c r="H9" i="21"/>
  <c r="F9" i="21"/>
  <c r="L8" i="21"/>
  <c r="K8" i="21"/>
  <c r="H8" i="21"/>
  <c r="F8" i="21"/>
  <c r="L7" i="21"/>
  <c r="K7" i="21"/>
  <c r="H7" i="21"/>
  <c r="F7" i="21"/>
  <c r="L6" i="21"/>
  <c r="K6" i="21"/>
  <c r="H6" i="21"/>
  <c r="F6" i="21"/>
  <c r="L5" i="21"/>
  <c r="K5" i="21"/>
  <c r="H5" i="21"/>
  <c r="F5" i="21"/>
  <c r="L34" i="20"/>
  <c r="K34" i="20"/>
  <c r="H34" i="20"/>
  <c r="G34" i="20"/>
  <c r="F34" i="20"/>
  <c r="L33" i="20"/>
  <c r="K33" i="20"/>
  <c r="H33" i="20"/>
  <c r="G33" i="20"/>
  <c r="F33" i="20"/>
  <c r="L32" i="20"/>
  <c r="K32" i="20"/>
  <c r="H32" i="20"/>
  <c r="G32" i="20"/>
  <c r="F32" i="20"/>
  <c r="L31" i="20"/>
  <c r="K31" i="20"/>
  <c r="H31" i="20"/>
  <c r="G31" i="20"/>
  <c r="F31" i="20"/>
  <c r="L30" i="20"/>
  <c r="K30" i="20"/>
  <c r="H30" i="20"/>
  <c r="G30" i="20"/>
  <c r="F30" i="20"/>
  <c r="L29" i="20"/>
  <c r="K29" i="20"/>
  <c r="H29" i="20"/>
  <c r="G29" i="20"/>
  <c r="F29" i="20"/>
  <c r="L28" i="20"/>
  <c r="K28" i="20"/>
  <c r="H28" i="20"/>
  <c r="G28" i="20"/>
  <c r="F28" i="20"/>
  <c r="L27" i="20"/>
  <c r="K27" i="20"/>
  <c r="H27" i="20"/>
  <c r="G27" i="20"/>
  <c r="F27" i="20"/>
  <c r="L26" i="20"/>
  <c r="K26" i="20"/>
  <c r="H26" i="20"/>
  <c r="G26" i="20"/>
  <c r="F26" i="20"/>
  <c r="L25" i="20"/>
  <c r="K25" i="20"/>
  <c r="H25" i="20"/>
  <c r="G25" i="20"/>
  <c r="F25" i="20"/>
  <c r="L24" i="20"/>
  <c r="K24" i="20"/>
  <c r="H24" i="20"/>
  <c r="G24" i="20"/>
  <c r="F24" i="20"/>
  <c r="L23" i="20"/>
  <c r="K23" i="20"/>
  <c r="H23" i="20"/>
  <c r="G23" i="20"/>
  <c r="F23" i="20"/>
  <c r="L22" i="20"/>
  <c r="K22" i="20"/>
  <c r="F15" i="22" l="1"/>
  <c r="B36" i="22"/>
  <c r="F36" i="22" s="1"/>
  <c r="G10" i="22"/>
  <c r="C15" i="22"/>
  <c r="K10" i="22"/>
  <c r="L10" i="22"/>
  <c r="D15" i="22"/>
  <c r="H10" i="22"/>
  <c r="K26" i="22"/>
  <c r="L26" i="22"/>
  <c r="G34" i="22"/>
  <c r="H34" i="22"/>
  <c r="F10" i="22"/>
  <c r="H38" i="21"/>
  <c r="H40" i="21"/>
  <c r="H35" i="21"/>
  <c r="H47" i="21"/>
  <c r="C24" i="21"/>
  <c r="H37" i="21"/>
  <c r="H39" i="21"/>
  <c r="H34" i="21"/>
  <c r="H46" i="21"/>
  <c r="G20" i="21"/>
  <c r="H43" i="21"/>
  <c r="H51" i="21"/>
  <c r="H30" i="21"/>
  <c r="H45" i="21"/>
  <c r="H49" i="21"/>
  <c r="L15" i="22" l="1"/>
  <c r="H15" i="22"/>
  <c r="D36" i="22"/>
  <c r="G15" i="22"/>
  <c r="K15" i="22"/>
  <c r="C36" i="22"/>
  <c r="G16" i="21"/>
  <c r="G6" i="21"/>
  <c r="G19" i="21"/>
  <c r="G12" i="21"/>
  <c r="G17" i="21"/>
  <c r="G7" i="21"/>
  <c r="G15" i="21"/>
  <c r="G5" i="21"/>
  <c r="K24" i="21"/>
  <c r="G10" i="21"/>
  <c r="G18" i="21"/>
  <c r="G8" i="21"/>
  <c r="G11" i="21"/>
  <c r="G9" i="21"/>
  <c r="K36" i="22" l="1"/>
  <c r="G36" i="22"/>
  <c r="L36" i="22"/>
  <c r="H36" i="22"/>
  <c r="V27" i="7"/>
  <c r="T27" i="7"/>
  <c r="H31" i="7"/>
  <c r="F28" i="7"/>
  <c r="K48" i="7"/>
  <c r="M49" i="7"/>
  <c r="M51" i="7"/>
  <c r="M52" i="7" s="1"/>
  <c r="N51" i="7"/>
  <c r="O51" i="7"/>
  <c r="G28" i="7"/>
  <c r="H28" i="7"/>
  <c r="I28" i="7"/>
  <c r="J28" i="7"/>
  <c r="F29" i="7"/>
  <c r="G29" i="7"/>
  <c r="H29" i="7"/>
  <c r="I29" i="7"/>
  <c r="J29" i="7"/>
  <c r="F30" i="7"/>
  <c r="G30" i="7"/>
  <c r="H30" i="7"/>
  <c r="I30" i="7"/>
  <c r="J30" i="7"/>
  <c r="F31" i="7"/>
  <c r="G31" i="7"/>
  <c r="I31" i="7"/>
  <c r="J31" i="7"/>
  <c r="F32" i="7"/>
  <c r="G32" i="7"/>
  <c r="H32" i="7"/>
  <c r="I32" i="7"/>
  <c r="J32" i="7"/>
  <c r="F33" i="7"/>
  <c r="G33" i="7"/>
  <c r="H33" i="7"/>
  <c r="I33" i="7"/>
  <c r="J33" i="7"/>
  <c r="F34" i="7"/>
  <c r="G34" i="7"/>
  <c r="H34" i="7"/>
  <c r="I34" i="7"/>
  <c r="J34" i="7"/>
  <c r="E29" i="7"/>
  <c r="E30" i="7"/>
  <c r="E31" i="7"/>
  <c r="E32" i="7"/>
  <c r="E33" i="7"/>
  <c r="E34" i="7"/>
  <c r="E28" i="7"/>
  <c r="C6" i="10"/>
  <c r="B7" i="17"/>
  <c r="C7" i="17"/>
  <c r="D7" i="17"/>
  <c r="E7" i="17"/>
  <c r="F7" i="17"/>
  <c r="G7" i="17"/>
  <c r="H7" i="17"/>
  <c r="I7" i="17"/>
  <c r="AB5" i="17"/>
  <c r="AC5" i="17"/>
  <c r="AD5" i="17"/>
  <c r="AE5" i="17"/>
  <c r="AB7" i="17"/>
  <c r="AC7" i="17"/>
  <c r="AD7" i="17"/>
  <c r="AE7" i="17"/>
  <c r="I73" i="10"/>
  <c r="I79" i="10" s="1"/>
  <c r="C30" i="10"/>
  <c r="J16" i="7"/>
  <c r="AF2" i="7"/>
  <c r="F20" i="10"/>
  <c r="K16" i="7"/>
  <c r="L16" i="7"/>
  <c r="AA6" i="10"/>
  <c r="AA14" i="10" s="1"/>
  <c r="AF20" i="17"/>
  <c r="N4" i="7"/>
  <c r="N7" i="7" s="1"/>
  <c r="AE13" i="7" s="1"/>
  <c r="AG2" i="7"/>
  <c r="AH2" i="7"/>
  <c r="AI2" i="7"/>
  <c r="AH67" i="17"/>
  <c r="AI67" i="17"/>
  <c r="AJ67" i="17"/>
  <c r="AK67" i="17"/>
  <c r="AG67" i="17"/>
  <c r="AC57" i="17"/>
  <c r="AD57" i="17"/>
  <c r="AE57" i="17"/>
  <c r="AF57" i="17"/>
  <c r="AC67" i="17"/>
  <c r="AD67" i="17"/>
  <c r="AE67" i="17"/>
  <c r="AF67" i="17"/>
  <c r="AC65" i="17"/>
  <c r="AD65" i="17"/>
  <c r="AE65" i="17"/>
  <c r="AF65" i="17"/>
  <c r="AC63" i="17"/>
  <c r="AD63" i="17"/>
  <c r="AE63" i="17"/>
  <c r="AF63" i="17"/>
  <c r="AC61" i="17"/>
  <c r="AD61" i="17"/>
  <c r="AE61" i="17"/>
  <c r="AF61" i="17"/>
  <c r="AC59" i="17"/>
  <c r="AD59" i="17"/>
  <c r="AE59" i="17"/>
  <c r="AF59" i="17"/>
  <c r="AC68" i="17"/>
  <c r="AD68" i="17"/>
  <c r="AE68" i="17"/>
  <c r="AF68" i="17"/>
  <c r="AC69" i="17"/>
  <c r="AD69" i="17"/>
  <c r="AE69" i="17"/>
  <c r="AF69" i="17"/>
  <c r="AB68" i="17"/>
  <c r="AB69" i="17"/>
  <c r="AB59" i="17"/>
  <c r="AB61" i="17"/>
  <c r="AB63" i="17"/>
  <c r="AB65" i="17"/>
  <c r="AB67" i="17"/>
  <c r="AB57" i="17"/>
  <c r="AC52" i="17"/>
  <c r="AD52" i="17"/>
  <c r="AE52" i="17"/>
  <c r="AF52" i="17"/>
  <c r="AC51" i="17"/>
  <c r="AD51" i="17"/>
  <c r="AE51" i="17"/>
  <c r="AF51" i="17"/>
  <c r="AF48" i="17"/>
  <c r="AC50" i="17"/>
  <c r="AD50" i="17"/>
  <c r="AE50" i="17"/>
  <c r="AF50" i="17"/>
  <c r="AC48" i="17"/>
  <c r="AD48" i="17"/>
  <c r="AE48" i="17"/>
  <c r="AC46" i="17"/>
  <c r="AD46" i="17"/>
  <c r="AE46" i="17"/>
  <c r="AF46" i="17"/>
  <c r="AC44" i="17"/>
  <c r="AD44" i="17"/>
  <c r="AE44" i="17"/>
  <c r="AF44" i="17"/>
  <c r="AC42" i="17"/>
  <c r="AD42" i="17"/>
  <c r="AE42" i="17"/>
  <c r="AF42" i="17"/>
  <c r="AC40" i="17"/>
  <c r="AD40" i="17"/>
  <c r="AE40" i="17"/>
  <c r="AF40" i="17"/>
  <c r="AB52" i="17"/>
  <c r="AB42" i="17"/>
  <c r="AB44" i="17"/>
  <c r="AB46" i="17"/>
  <c r="AB48" i="17"/>
  <c r="AB50" i="17"/>
  <c r="AB51" i="17"/>
  <c r="AB40" i="17"/>
  <c r="AC33" i="17"/>
  <c r="AD33" i="17"/>
  <c r="AE33" i="17"/>
  <c r="AF33" i="17"/>
  <c r="AC31" i="17"/>
  <c r="AD31" i="17"/>
  <c r="AE31" i="17"/>
  <c r="AF31" i="17"/>
  <c r="AC35" i="17"/>
  <c r="AD35" i="17"/>
  <c r="AE35" i="17"/>
  <c r="AF35" i="17"/>
  <c r="AC34" i="17"/>
  <c r="AD34" i="17"/>
  <c r="AE34" i="17"/>
  <c r="AF34" i="17"/>
  <c r="AB35" i="17"/>
  <c r="AC27" i="17"/>
  <c r="AD27" i="17"/>
  <c r="AE27" i="17"/>
  <c r="AF27" i="17"/>
  <c r="AC25" i="17"/>
  <c r="AD25" i="17"/>
  <c r="AE25" i="17"/>
  <c r="AF25" i="17"/>
  <c r="AC23" i="17"/>
  <c r="AD23" i="17"/>
  <c r="AE23" i="17"/>
  <c r="AF23" i="17"/>
  <c r="AB34" i="17"/>
  <c r="AB25" i="17"/>
  <c r="AB27" i="17"/>
  <c r="AB29" i="17"/>
  <c r="AB31" i="17"/>
  <c r="AB33" i="17"/>
  <c r="AB23" i="17"/>
  <c r="AC20" i="17"/>
  <c r="AD20" i="17"/>
  <c r="AE20" i="17"/>
  <c r="AB20" i="17"/>
  <c r="AC19" i="17"/>
  <c r="AD19" i="17"/>
  <c r="AE19" i="17"/>
  <c r="AF19" i="17"/>
  <c r="AB19" i="17"/>
  <c r="AC18" i="17"/>
  <c r="AD18" i="17"/>
  <c r="AE18" i="17"/>
  <c r="AF18" i="17"/>
  <c r="AB18" i="17"/>
  <c r="AC16" i="17"/>
  <c r="AD16" i="17"/>
  <c r="AE16" i="17"/>
  <c r="AF16" i="17"/>
  <c r="AB16" i="17"/>
  <c r="AC14" i="17"/>
  <c r="AD14" i="17"/>
  <c r="AE14" i="17"/>
  <c r="AF14" i="17"/>
  <c r="AB14" i="17"/>
  <c r="AC12" i="17"/>
  <c r="AD12" i="17"/>
  <c r="AE12" i="17"/>
  <c r="AF12" i="17"/>
  <c r="AB12" i="17"/>
  <c r="AF7" i="17"/>
  <c r="AF5" i="17"/>
  <c r="AF29" i="17"/>
  <c r="AE29" i="17"/>
  <c r="AD29" i="17"/>
  <c r="AC29" i="17"/>
  <c r="AD13" i="17" l="1"/>
  <c r="AE6" i="17"/>
  <c r="AD6" i="17"/>
  <c r="AC6" i="17"/>
  <c r="AB6" i="17"/>
  <c r="M53" i="7"/>
  <c r="M55" i="7" s="1"/>
  <c r="AC58" i="17"/>
  <c r="AE71" i="17"/>
  <c r="AF3" i="7" s="1"/>
  <c r="AF4" i="7" s="1"/>
  <c r="AD58" i="17"/>
  <c r="AF71" i="17"/>
  <c r="AE3" i="7" s="1"/>
  <c r="AC71" i="17"/>
  <c r="AB24" i="17"/>
  <c r="AD71" i="17"/>
  <c r="AG3" i="7" s="1"/>
  <c r="AG4" i="7" s="1"/>
  <c r="AE58" i="17"/>
  <c r="AB58" i="17"/>
  <c r="M20" i="7"/>
  <c r="M21" i="7" s="1"/>
  <c r="N20" i="7"/>
  <c r="N21" i="7" s="1"/>
  <c r="O20" i="7"/>
  <c r="O21" i="7" s="1"/>
  <c r="P20" i="7"/>
  <c r="P21" i="7" s="1"/>
  <c r="Q20" i="7"/>
  <c r="Q21" i="7" s="1"/>
  <c r="AL6" i="7"/>
  <c r="AK6" i="7"/>
  <c r="AM6" i="7"/>
  <c r="AJ6" i="7"/>
  <c r="AN6" i="7"/>
  <c r="AI4" i="7"/>
  <c r="AB71" i="17"/>
  <c r="AB28" i="17"/>
  <c r="AB41" i="17"/>
  <c r="AB26" i="17"/>
  <c r="AE41" i="17"/>
  <c r="AD41" i="17"/>
  <c r="AC41" i="17"/>
  <c r="AE24" i="17"/>
  <c r="AD24" i="17"/>
  <c r="AC24" i="17"/>
  <c r="AE26" i="17"/>
  <c r="AD26" i="17"/>
  <c r="AC26" i="17"/>
  <c r="AE28" i="17"/>
  <c r="AD28" i="17"/>
  <c r="AC28" i="17"/>
  <c r="AC13" i="17"/>
  <c r="AB13" i="17"/>
  <c r="H22" i="7" l="1"/>
  <c r="AC72" i="17"/>
  <c r="AH3" i="7"/>
  <c r="AH4" i="7" s="1"/>
  <c r="AD72" i="17"/>
  <c r="AE72" i="17"/>
  <c r="AJ9" i="7"/>
  <c r="AI3" i="7"/>
  <c r="AB72" i="17"/>
  <c r="AF72" i="17"/>
  <c r="O407" i="11" l="1"/>
  <c r="N403" i="11"/>
  <c r="M403" i="11"/>
  <c r="L403" i="11"/>
  <c r="S391" i="11"/>
  <c r="R391" i="11"/>
  <c r="Q391" i="11"/>
  <c r="P391" i="11"/>
  <c r="O391" i="11"/>
  <c r="M391" i="11"/>
  <c r="L391" i="11"/>
  <c r="S389" i="11"/>
  <c r="R389" i="11"/>
  <c r="Q389" i="11"/>
  <c r="P389" i="11"/>
  <c r="O389" i="11"/>
  <c r="N389" i="11"/>
  <c r="N395" i="11" s="1"/>
  <c r="N397" i="11" s="1"/>
  <c r="M389" i="11"/>
  <c r="M395" i="11" s="1"/>
  <c r="M397" i="11" s="1"/>
  <c r="L389" i="11"/>
  <c r="L395" i="11" s="1"/>
  <c r="L397" i="11" s="1"/>
  <c r="S382" i="11"/>
  <c r="R382" i="11"/>
  <c r="Q382" i="11"/>
  <c r="P382" i="11"/>
  <c r="O382" i="11"/>
  <c r="S381" i="11"/>
  <c r="R381" i="11"/>
  <c r="Q381" i="11"/>
  <c r="P381" i="11"/>
  <c r="O381" i="11"/>
  <c r="S380" i="11"/>
  <c r="R380" i="11"/>
  <c r="Q380" i="11"/>
  <c r="P380" i="11"/>
  <c r="O380" i="11"/>
  <c r="O303" i="11"/>
  <c r="L299" i="11"/>
  <c r="M299" i="11"/>
  <c r="N299" i="11"/>
  <c r="T293" i="11"/>
  <c r="AA299" i="11"/>
  <c r="L287" i="11" s="1"/>
  <c r="D14" i="10"/>
  <c r="E14" i="10"/>
  <c r="AB299" i="11"/>
  <c r="M287" i="11" s="1"/>
  <c r="AC299" i="11"/>
  <c r="AD299" i="11"/>
  <c r="AE299" i="11"/>
  <c r="AF299" i="11"/>
  <c r="AG299" i="11"/>
  <c r="AH299" i="11"/>
  <c r="AB295" i="11"/>
  <c r="M285" i="11" s="1"/>
  <c r="AC295" i="11"/>
  <c r="AA295" i="11"/>
  <c r="AJ293" i="11"/>
  <c r="AK293" i="11"/>
  <c r="AL293" i="11"/>
  <c r="AM293" i="11"/>
  <c r="AN293" i="11"/>
  <c r="AO293" i="11"/>
  <c r="AI293" i="11"/>
  <c r="D55" i="10"/>
  <c r="D59" i="10" s="1"/>
  <c r="C55" i="10"/>
  <c r="C54" i="10" s="1"/>
  <c r="B55" i="10"/>
  <c r="B54" i="10" s="1"/>
  <c r="K19" i="12"/>
  <c r="Q27" i="11"/>
  <c r="O33" i="11"/>
  <c r="P33" i="11"/>
  <c r="N32" i="11"/>
  <c r="N110" i="11"/>
  <c r="O27" i="11"/>
  <c r="P27" i="11"/>
  <c r="R27" i="11"/>
  <c r="S27" i="11"/>
  <c r="P21" i="11"/>
  <c r="Q21" i="11"/>
  <c r="R21" i="11"/>
  <c r="S21" i="11"/>
  <c r="O21" i="11"/>
  <c r="M25" i="17"/>
  <c r="O71" i="11"/>
  <c r="O74" i="11" s="1"/>
  <c r="N59" i="11"/>
  <c r="C14" i="10"/>
  <c r="C15" i="10"/>
  <c r="D15" i="10"/>
  <c r="E15" i="10"/>
  <c r="D13" i="10"/>
  <c r="E13" i="10"/>
  <c r="C13" i="10"/>
  <c r="X145" i="11"/>
  <c r="K44" i="17"/>
  <c r="G30" i="17"/>
  <c r="O145" i="11"/>
  <c r="D6" i="10"/>
  <c r="D4" i="10"/>
  <c r="E4" i="10"/>
  <c r="F4" i="10"/>
  <c r="C4" i="10"/>
  <c r="S37" i="17"/>
  <c r="R37" i="17"/>
  <c r="Q37" i="17"/>
  <c r="P37" i="17"/>
  <c r="P36" i="17"/>
  <c r="S36" i="17"/>
  <c r="R36" i="17"/>
  <c r="Q36" i="17"/>
  <c r="N25" i="17"/>
  <c r="O25" i="17"/>
  <c r="L25" i="17"/>
  <c r="K25" i="17"/>
  <c r="K24" i="17" s="1"/>
  <c r="P26" i="17"/>
  <c r="K22" i="12"/>
  <c r="K11" i="17"/>
  <c r="K26" i="17"/>
  <c r="K17" i="17"/>
  <c r="G18" i="17"/>
  <c r="G12" i="17"/>
  <c r="N73" i="17"/>
  <c r="M73" i="17"/>
  <c r="L73" i="17"/>
  <c r="K73" i="17"/>
  <c r="J73" i="17"/>
  <c r="I73" i="17"/>
  <c r="H73" i="17"/>
  <c r="J66" i="17"/>
  <c r="I66" i="17"/>
  <c r="H66" i="17"/>
  <c r="J65" i="17"/>
  <c r="I65" i="17"/>
  <c r="H65" i="17"/>
  <c r="G65" i="17"/>
  <c r="K64" i="17"/>
  <c r="J63" i="17"/>
  <c r="I63" i="17"/>
  <c r="H63" i="17"/>
  <c r="J62" i="17"/>
  <c r="I62" i="17"/>
  <c r="H62" i="17"/>
  <c r="G62" i="17"/>
  <c r="K61" i="17"/>
  <c r="J60" i="17"/>
  <c r="I60" i="17"/>
  <c r="H60" i="17"/>
  <c r="J59" i="17"/>
  <c r="I59" i="17"/>
  <c r="H59" i="17"/>
  <c r="G59" i="17"/>
  <c r="K58" i="17"/>
  <c r="K69" i="17" s="1"/>
  <c r="AD295" i="11" s="1"/>
  <c r="O285" i="11" s="1"/>
  <c r="O291" i="11" s="1"/>
  <c r="J56" i="17"/>
  <c r="I56" i="17"/>
  <c r="H56" i="17"/>
  <c r="Q53" i="17"/>
  <c r="K54" i="17"/>
  <c r="L54" i="17" s="1"/>
  <c r="M54" i="17" s="1"/>
  <c r="N54" i="17" s="1"/>
  <c r="O54" i="17" s="1"/>
  <c r="J52" i="17"/>
  <c r="I52" i="17"/>
  <c r="H52" i="17"/>
  <c r="J51" i="17"/>
  <c r="I51" i="17"/>
  <c r="H51" i="17"/>
  <c r="G51" i="17"/>
  <c r="K50" i="17"/>
  <c r="K52" i="17" s="1"/>
  <c r="O49" i="17"/>
  <c r="N49" i="17"/>
  <c r="M49" i="17"/>
  <c r="J49" i="17"/>
  <c r="I49" i="17"/>
  <c r="H49" i="17"/>
  <c r="J48" i="17"/>
  <c r="I48" i="17"/>
  <c r="H48" i="17"/>
  <c r="G48" i="17"/>
  <c r="J46" i="17"/>
  <c r="I46" i="17"/>
  <c r="H46" i="17"/>
  <c r="J45" i="17"/>
  <c r="I45" i="17"/>
  <c r="H45" i="17"/>
  <c r="G45" i="17"/>
  <c r="J37" i="17"/>
  <c r="I37" i="17"/>
  <c r="H37" i="17"/>
  <c r="G37" i="17"/>
  <c r="J36" i="17"/>
  <c r="I36" i="17"/>
  <c r="H36" i="17"/>
  <c r="G36" i="17"/>
  <c r="S33" i="17"/>
  <c r="R33" i="17"/>
  <c r="Q33" i="17"/>
  <c r="P33" i="17"/>
  <c r="J34" i="17"/>
  <c r="I34" i="17"/>
  <c r="H34" i="17"/>
  <c r="G34" i="17"/>
  <c r="J33" i="17"/>
  <c r="I33" i="17"/>
  <c r="H33" i="17"/>
  <c r="G33" i="17"/>
  <c r="S30" i="17"/>
  <c r="R30" i="17"/>
  <c r="Q30" i="17"/>
  <c r="P30" i="17"/>
  <c r="J31" i="17"/>
  <c r="I31" i="17"/>
  <c r="H31" i="17"/>
  <c r="G31" i="17"/>
  <c r="J30" i="17"/>
  <c r="I30" i="17"/>
  <c r="H30" i="17"/>
  <c r="S26" i="17"/>
  <c r="R26" i="17"/>
  <c r="Q26" i="17"/>
  <c r="J23" i="17"/>
  <c r="I23" i="17"/>
  <c r="H23" i="17"/>
  <c r="G23" i="17"/>
  <c r="J19" i="17"/>
  <c r="I19" i="17"/>
  <c r="H19" i="17"/>
  <c r="G19" i="17"/>
  <c r="J18" i="17"/>
  <c r="I18" i="17"/>
  <c r="H18" i="17"/>
  <c r="F18" i="17"/>
  <c r="J16" i="17"/>
  <c r="I16" i="17"/>
  <c r="H16" i="17"/>
  <c r="G16" i="17"/>
  <c r="J15" i="17"/>
  <c r="I15" i="17"/>
  <c r="H15" i="17"/>
  <c r="G15" i="17"/>
  <c r="F15" i="17"/>
  <c r="J13" i="17"/>
  <c r="I13" i="17"/>
  <c r="H13" i="17"/>
  <c r="G13" i="17"/>
  <c r="J12" i="17"/>
  <c r="I12" i="17"/>
  <c r="I26" i="17" s="1"/>
  <c r="H12" i="17"/>
  <c r="F12" i="17"/>
  <c r="G7" i="12"/>
  <c r="P21" i="12"/>
  <c r="L19" i="12"/>
  <c r="Z138" i="11"/>
  <c r="O157" i="11"/>
  <c r="P157" i="11" s="1"/>
  <c r="O165" i="11"/>
  <c r="O163" i="11" s="1"/>
  <c r="P165" i="11"/>
  <c r="R165" i="11"/>
  <c r="S165" i="11"/>
  <c r="Q165" i="11"/>
  <c r="N146" i="11"/>
  <c r="X138" i="11"/>
  <c r="Y138" i="11"/>
  <c r="E6" i="10"/>
  <c r="X6" i="10"/>
  <c r="X14" i="10" s="1"/>
  <c r="O115" i="11"/>
  <c r="O118" i="11"/>
  <c r="O112" i="11"/>
  <c r="X39" i="11"/>
  <c r="Y42" i="11"/>
  <c r="O86" i="11"/>
  <c r="L139" i="11"/>
  <c r="M139" i="11"/>
  <c r="K139" i="11"/>
  <c r="L138" i="11"/>
  <c r="M138" i="11"/>
  <c r="K138" i="11"/>
  <c r="O13" i="11"/>
  <c r="K66" i="12"/>
  <c r="L66" i="12"/>
  <c r="M66" i="12"/>
  <c r="N66" i="12"/>
  <c r="J66" i="12"/>
  <c r="N73" i="11"/>
  <c r="I66" i="12"/>
  <c r="H66" i="12"/>
  <c r="O92" i="11"/>
  <c r="P92" i="11" s="1"/>
  <c r="N72" i="11"/>
  <c r="O70" i="11"/>
  <c r="P70" i="11"/>
  <c r="Q70" i="11"/>
  <c r="R70" i="11"/>
  <c r="S70" i="11"/>
  <c r="J20" i="10"/>
  <c r="I20" i="10"/>
  <c r="H20" i="10"/>
  <c r="G20" i="10"/>
  <c r="I5" i="7"/>
  <c r="I6" i="7"/>
  <c r="I7" i="7"/>
  <c r="I4" i="7"/>
  <c r="C11" i="7"/>
  <c r="C9" i="7"/>
  <c r="C7" i="7"/>
  <c r="C3" i="7"/>
  <c r="Q395" i="11" l="1"/>
  <c r="O395" i="11"/>
  <c r="AC301" i="11"/>
  <c r="AC303" i="11" s="1"/>
  <c r="L405" i="11"/>
  <c r="R395" i="11"/>
  <c r="H26" i="17"/>
  <c r="T37" i="17"/>
  <c r="T36" i="17"/>
  <c r="P383" i="11"/>
  <c r="Q383" i="11"/>
  <c r="R383" i="11"/>
  <c r="P395" i="11"/>
  <c r="K4" i="7"/>
  <c r="S383" i="11"/>
  <c r="M291" i="11"/>
  <c r="M293" i="11" s="1"/>
  <c r="O39" i="11"/>
  <c r="S395" i="11"/>
  <c r="D3" i="7"/>
  <c r="T30" i="17"/>
  <c r="O383" i="11"/>
  <c r="G26" i="17"/>
  <c r="O385" i="11"/>
  <c r="B59" i="10"/>
  <c r="C59" i="10"/>
  <c r="AB297" i="11"/>
  <c r="AA301" i="11"/>
  <c r="AC304" i="11"/>
  <c r="O51" i="11"/>
  <c r="AD301" i="11"/>
  <c r="AB301" i="11"/>
  <c r="N285" i="11"/>
  <c r="L285" i="11"/>
  <c r="D9" i="7"/>
  <c r="E59" i="10"/>
  <c r="C56" i="10"/>
  <c r="D56" i="10"/>
  <c r="E16" i="10"/>
  <c r="D16" i="10"/>
  <c r="L16" i="10"/>
  <c r="D54" i="10"/>
  <c r="L24" i="17"/>
  <c r="M24" i="17" s="1"/>
  <c r="J26" i="17"/>
  <c r="L44" i="17"/>
  <c r="M44" i="17" s="1"/>
  <c r="N44" i="17" s="1"/>
  <c r="T33" i="17"/>
  <c r="K35" i="17" s="1"/>
  <c r="AG52" i="17" s="1"/>
  <c r="T26" i="17"/>
  <c r="K29" i="17" s="1"/>
  <c r="AG20" i="17" s="1"/>
  <c r="AG5" i="17" s="1"/>
  <c r="K13" i="17"/>
  <c r="K62" i="17"/>
  <c r="K65" i="17"/>
  <c r="L50" i="17"/>
  <c r="L58" i="17"/>
  <c r="K59" i="17"/>
  <c r="M58" i="17"/>
  <c r="L61" i="17"/>
  <c r="L64" i="17"/>
  <c r="M19" i="12"/>
  <c r="P163" i="11"/>
  <c r="D7" i="7"/>
  <c r="O386" i="11" l="1"/>
  <c r="O397" i="11" s="1"/>
  <c r="AG6" i="17"/>
  <c r="AF6" i="17"/>
  <c r="E30" i="10"/>
  <c r="E3" i="7"/>
  <c r="D30" i="10"/>
  <c r="K37" i="17"/>
  <c r="AG40" i="17"/>
  <c r="AG41" i="17" s="1"/>
  <c r="L291" i="11"/>
  <c r="L293" i="11" s="1"/>
  <c r="L301" i="11" s="1"/>
  <c r="AA297" i="11"/>
  <c r="AC297" i="11"/>
  <c r="N291" i="11"/>
  <c r="N293" i="11" s="1"/>
  <c r="L14" i="10"/>
  <c r="F14" i="10"/>
  <c r="AD304" i="11"/>
  <c r="AB303" i="11"/>
  <c r="AB304" i="11" s="1"/>
  <c r="L22" i="17"/>
  <c r="N24" i="17"/>
  <c r="M22" i="17"/>
  <c r="N58" i="17"/>
  <c r="L69" i="17"/>
  <c r="M64" i="17"/>
  <c r="M61" i="17"/>
  <c r="L52" i="17"/>
  <c r="M50" i="17"/>
  <c r="L55" i="17"/>
  <c r="L56" i="17"/>
  <c r="O58" i="17"/>
  <c r="O44" i="17"/>
  <c r="K19" i="17"/>
  <c r="N19" i="12"/>
  <c r="Q163" i="11"/>
  <c r="H27" i="12"/>
  <c r="G27" i="12"/>
  <c r="K25" i="12"/>
  <c r="J27" i="12"/>
  <c r="K28" i="12"/>
  <c r="P25" i="12"/>
  <c r="Q25" i="12"/>
  <c r="E7" i="10"/>
  <c r="D7" i="10"/>
  <c r="J26" i="12"/>
  <c r="G4" i="10" l="1"/>
  <c r="L51" i="17"/>
  <c r="G15" i="10"/>
  <c r="P160" i="11"/>
  <c r="L65" i="17"/>
  <c r="AE295" i="11"/>
  <c r="P145" i="11"/>
  <c r="L28" i="12"/>
  <c r="L14" i="17"/>
  <c r="L32" i="17" s="1"/>
  <c r="AH35" i="17" s="1"/>
  <c r="AH23" i="17" s="1"/>
  <c r="L11" i="17"/>
  <c r="L17" i="17"/>
  <c r="L19" i="17" s="1"/>
  <c r="Q145" i="11"/>
  <c r="H4" i="10"/>
  <c r="M11" i="17"/>
  <c r="M29" i="17" s="1"/>
  <c r="AI20" i="17" s="1"/>
  <c r="AI5" i="17" s="1"/>
  <c r="M17" i="17"/>
  <c r="O24" i="17"/>
  <c r="O22" i="17" s="1"/>
  <c r="N22" i="17"/>
  <c r="M69" i="17"/>
  <c r="K31" i="17"/>
  <c r="L59" i="17"/>
  <c r="M65" i="17"/>
  <c r="N64" i="17"/>
  <c r="M52" i="17"/>
  <c r="N50" i="17"/>
  <c r="M55" i="17"/>
  <c r="M56" i="17"/>
  <c r="M62" i="17"/>
  <c r="N61" i="17"/>
  <c r="L62" i="17"/>
  <c r="L48" i="17"/>
  <c r="L45" i="17"/>
  <c r="O19" i="12"/>
  <c r="R163" i="11"/>
  <c r="K33" i="12"/>
  <c r="E5" i="10"/>
  <c r="L25" i="12"/>
  <c r="M25" i="12" s="1"/>
  <c r="N25" i="12" s="1"/>
  <c r="O25" i="12" s="1"/>
  <c r="L22" i="12"/>
  <c r="D5" i="10"/>
  <c r="P51" i="11" l="1"/>
  <c r="F59" i="10"/>
  <c r="Q51" i="11"/>
  <c r="P148" i="11"/>
  <c r="L35" i="17"/>
  <c r="AH52" i="17" s="1"/>
  <c r="AH40" i="17" s="1"/>
  <c r="AH41" i="17" s="1"/>
  <c r="H15" i="10"/>
  <c r="Q160" i="11"/>
  <c r="M59" i="17"/>
  <c r="AF295" i="11"/>
  <c r="AE301" i="11"/>
  <c r="P285" i="11"/>
  <c r="P291" i="11" s="1"/>
  <c r="P385" i="11" s="1"/>
  <c r="P386" i="11" s="1"/>
  <c r="P397" i="11" s="1"/>
  <c r="G59" i="10"/>
  <c r="L13" i="17"/>
  <c r="L29" i="17"/>
  <c r="L20" i="17"/>
  <c r="L38" i="17" s="1"/>
  <c r="AH69" i="17" s="1"/>
  <c r="AH57" i="17" s="1"/>
  <c r="M19" i="17"/>
  <c r="M35" i="17"/>
  <c r="R145" i="11"/>
  <c r="I4" i="10"/>
  <c r="S145" i="11"/>
  <c r="J4" i="10"/>
  <c r="M31" i="17"/>
  <c r="N17" i="17"/>
  <c r="N11" i="17"/>
  <c r="N29" i="17" s="1"/>
  <c r="O11" i="17"/>
  <c r="O29" i="17" s="1"/>
  <c r="AK20" i="17" s="1"/>
  <c r="AK5" i="17" s="1"/>
  <c r="O17" i="17"/>
  <c r="O35" i="17" s="1"/>
  <c r="AK52" i="17" s="1"/>
  <c r="AK40" i="17" s="1"/>
  <c r="M13" i="17"/>
  <c r="N52" i="17"/>
  <c r="O50" i="17"/>
  <c r="N56" i="17"/>
  <c r="N55" i="17"/>
  <c r="M48" i="17"/>
  <c r="M45" i="17"/>
  <c r="M51" i="17"/>
  <c r="O61" i="17"/>
  <c r="O64" i="17"/>
  <c r="N69" i="17"/>
  <c r="S163" i="11"/>
  <c r="D8" i="10"/>
  <c r="D10" i="10" s="1"/>
  <c r="D11" i="10" s="1"/>
  <c r="E8" i="10"/>
  <c r="E10" i="10" s="1"/>
  <c r="E11" i="10" s="1"/>
  <c r="C8" i="10"/>
  <c r="C10" i="10" s="1"/>
  <c r="W174" i="11"/>
  <c r="AH174" i="11"/>
  <c r="AI174" i="11"/>
  <c r="N26" i="11"/>
  <c r="O48" i="11"/>
  <c r="P48" i="11" s="1"/>
  <c r="Q48" i="11" s="1"/>
  <c r="R48" i="11" s="1"/>
  <c r="S48" i="11" s="1"/>
  <c r="M46" i="11"/>
  <c r="N46" i="11"/>
  <c r="O45" i="11"/>
  <c r="P45" i="11" s="1"/>
  <c r="Q45" i="11" s="1"/>
  <c r="R45" i="11" s="1"/>
  <c r="S45" i="11" s="1"/>
  <c r="M21" i="11"/>
  <c r="L20" i="11"/>
  <c r="O16" i="11"/>
  <c r="L23" i="11"/>
  <c r="O22" i="11"/>
  <c r="P22" i="11" s="1"/>
  <c r="Q22" i="11" s="1"/>
  <c r="R22" i="11" s="1"/>
  <c r="S22" i="11" s="1"/>
  <c r="Q33" i="11"/>
  <c r="R33" i="11"/>
  <c r="S33" i="11"/>
  <c r="N93" i="11"/>
  <c r="W39" i="11"/>
  <c r="O109" i="11"/>
  <c r="Y39" i="11"/>
  <c r="X42" i="11"/>
  <c r="W42" i="11"/>
  <c r="L40" i="11"/>
  <c r="O89" i="11"/>
  <c r="P89" i="11" s="1"/>
  <c r="Q89" i="11" s="1"/>
  <c r="R89" i="11" s="1"/>
  <c r="S89" i="11" s="1"/>
  <c r="P115" i="11"/>
  <c r="Q115" i="11" s="1"/>
  <c r="R115" i="11" s="1"/>
  <c r="S115" i="11" s="1"/>
  <c r="P118" i="11"/>
  <c r="N175" i="11"/>
  <c r="X181" i="11"/>
  <c r="Y181" i="11"/>
  <c r="W181" i="11"/>
  <c r="W175" i="11"/>
  <c r="X174" i="11"/>
  <c r="Y174" i="11"/>
  <c r="X175" i="11"/>
  <c r="Y175" i="11"/>
  <c r="AA164" i="11"/>
  <c r="AB164" i="11"/>
  <c r="Z164" i="11"/>
  <c r="AA163" i="11"/>
  <c r="AB163" i="11"/>
  <c r="Z163" i="11"/>
  <c r="O200" i="11"/>
  <c r="P200" i="11"/>
  <c r="Q200" i="11"/>
  <c r="R200" i="11"/>
  <c r="S200" i="11"/>
  <c r="N199" i="11"/>
  <c r="M199" i="11"/>
  <c r="L199" i="11"/>
  <c r="M196" i="11"/>
  <c r="N196" i="11"/>
  <c r="L196" i="11"/>
  <c r="N152" i="11"/>
  <c r="P153" i="11"/>
  <c r="Q153" i="11"/>
  <c r="R153" i="11"/>
  <c r="S153" i="11"/>
  <c r="O153" i="11"/>
  <c r="O151" i="11" s="1"/>
  <c r="O150" i="11"/>
  <c r="O246" i="11"/>
  <c r="L37" i="17" l="1"/>
  <c r="M37" i="17"/>
  <c r="AI52" i="17"/>
  <c r="N59" i="17"/>
  <c r="AG295" i="11"/>
  <c r="I15" i="10"/>
  <c r="R160" i="11"/>
  <c r="N31" i="17"/>
  <c r="AJ20" i="17"/>
  <c r="AJ5" i="17" s="1"/>
  <c r="AJ6" i="17" s="1"/>
  <c r="L31" i="17"/>
  <c r="AH20" i="17"/>
  <c r="AH5" i="17" s="1"/>
  <c r="AE304" i="11"/>
  <c r="G14" i="10"/>
  <c r="AF301" i="11"/>
  <c r="Q285" i="11"/>
  <c r="Q291" i="11" s="1"/>
  <c r="Q385" i="11" s="1"/>
  <c r="Q386" i="11" s="1"/>
  <c r="Q397" i="11" s="1"/>
  <c r="D12" i="10"/>
  <c r="D17" i="10" s="1"/>
  <c r="H59" i="10"/>
  <c r="R51" i="11"/>
  <c r="I59" i="10"/>
  <c r="S51" i="11"/>
  <c r="O19" i="17"/>
  <c r="N19" i="17"/>
  <c r="N35" i="17"/>
  <c r="AJ52" i="17" s="1"/>
  <c r="AJ40" i="17" s="1"/>
  <c r="O31" i="17"/>
  <c r="N65" i="17"/>
  <c r="N13" i="17"/>
  <c r="N48" i="17"/>
  <c r="N45" i="17"/>
  <c r="O69" i="17"/>
  <c r="N62" i="17"/>
  <c r="N51" i="17"/>
  <c r="O52" i="17"/>
  <c r="O55" i="17"/>
  <c r="Q118" i="11"/>
  <c r="X177" i="11"/>
  <c r="P112" i="11"/>
  <c r="Q112" i="11" s="1"/>
  <c r="R112" i="11" s="1"/>
  <c r="S112" i="11" s="1"/>
  <c r="O121" i="11"/>
  <c r="O123" i="11" s="1"/>
  <c r="P86" i="11"/>
  <c r="O104" i="11"/>
  <c r="P16" i="11"/>
  <c r="E12" i="10"/>
  <c r="E17" i="10" s="1"/>
  <c r="Z40" i="11"/>
  <c r="P109" i="11"/>
  <c r="P151" i="11"/>
  <c r="W251" i="11"/>
  <c r="W252" i="11" s="1"/>
  <c r="X251" i="11"/>
  <c r="X252" i="11" s="1"/>
  <c r="T251" i="11"/>
  <c r="T252" i="11" s="1"/>
  <c r="P246" i="11"/>
  <c r="Q246" i="11"/>
  <c r="R246" i="11"/>
  <c r="S246" i="11"/>
  <c r="W189" i="11"/>
  <c r="X189" i="11"/>
  <c r="T189" i="11"/>
  <c r="M172" i="11"/>
  <c r="P121" i="11" l="1"/>
  <c r="AH71" i="17"/>
  <c r="AH72" i="17" s="1"/>
  <c r="AH6" i="17"/>
  <c r="AI6" i="17"/>
  <c r="AK6" i="17"/>
  <c r="E18" i="10"/>
  <c r="AI40" i="17"/>
  <c r="AI41" i="17" s="1"/>
  <c r="AK41" i="17"/>
  <c r="J15" i="10"/>
  <c r="S160" i="11"/>
  <c r="O59" i="17"/>
  <c r="AH295" i="11"/>
  <c r="AF304" i="11"/>
  <c r="H14" i="10"/>
  <c r="AG301" i="11"/>
  <c r="R285" i="11"/>
  <c r="R291" i="11" s="1"/>
  <c r="R385" i="11" s="1"/>
  <c r="R386" i="11" s="1"/>
  <c r="R397" i="11" s="1"/>
  <c r="P123" i="11"/>
  <c r="Q16" i="11"/>
  <c r="R16" i="11" s="1"/>
  <c r="S16" i="11" s="1"/>
  <c r="R118" i="11"/>
  <c r="S118" i="11" s="1"/>
  <c r="N37" i="17"/>
  <c r="O37" i="17"/>
  <c r="O62" i="17"/>
  <c r="O48" i="17"/>
  <c r="O45" i="17"/>
  <c r="O51" i="17"/>
  <c r="O13" i="17"/>
  <c r="O65" i="17"/>
  <c r="O129" i="11"/>
  <c r="O106" i="11"/>
  <c r="Q86" i="11"/>
  <c r="P104" i="11"/>
  <c r="Q92" i="11"/>
  <c r="Q109" i="11"/>
  <c r="Q121" i="11" s="1"/>
  <c r="Q151" i="11"/>
  <c r="L219" i="11"/>
  <c r="N155" i="11"/>
  <c r="N153" i="11"/>
  <c r="S21" i="12"/>
  <c r="H18" i="12"/>
  <c r="I18" i="12"/>
  <c r="J18" i="12"/>
  <c r="G18" i="12"/>
  <c r="F13" i="12"/>
  <c r="F10" i="12"/>
  <c r="F7" i="12"/>
  <c r="G30" i="12"/>
  <c r="G24" i="12"/>
  <c r="G14" i="12"/>
  <c r="G11" i="12"/>
  <c r="G8" i="12"/>
  <c r="N164" i="11"/>
  <c r="Q21" i="12"/>
  <c r="R21" i="12"/>
  <c r="Q28" i="12"/>
  <c r="R28" i="12"/>
  <c r="S28" i="12"/>
  <c r="P28" i="12"/>
  <c r="R25" i="12"/>
  <c r="S25" i="12"/>
  <c r="K51" i="12"/>
  <c r="K37" i="12"/>
  <c r="L37" i="12" s="1"/>
  <c r="M37" i="12" s="1"/>
  <c r="N37" i="12" s="1"/>
  <c r="O37" i="12" s="1"/>
  <c r="Q48" i="12"/>
  <c r="J44" i="12"/>
  <c r="K42" i="12"/>
  <c r="L42" i="12"/>
  <c r="M42" i="12"/>
  <c r="N42" i="12"/>
  <c r="O42" i="12"/>
  <c r="I42" i="12"/>
  <c r="I49" i="12"/>
  <c r="J49" i="12"/>
  <c r="H49" i="12"/>
  <c r="K47" i="12"/>
  <c r="L47" i="12" s="1"/>
  <c r="M47" i="12" s="1"/>
  <c r="N47" i="12" s="1"/>
  <c r="O47" i="12" s="1"/>
  <c r="K43" i="12"/>
  <c r="K54" i="12"/>
  <c r="L54" i="12" s="1"/>
  <c r="K57" i="12"/>
  <c r="H58" i="12"/>
  <c r="I58" i="12"/>
  <c r="J58" i="12"/>
  <c r="G58" i="12"/>
  <c r="J59" i="12"/>
  <c r="I59" i="12"/>
  <c r="H59" i="12"/>
  <c r="H56" i="12"/>
  <c r="H55" i="12"/>
  <c r="I55" i="12"/>
  <c r="J55" i="12"/>
  <c r="G55" i="12"/>
  <c r="J56" i="12"/>
  <c r="I56" i="12"/>
  <c r="H53" i="12"/>
  <c r="H52" i="12"/>
  <c r="I52" i="12"/>
  <c r="J52" i="12"/>
  <c r="G52" i="12"/>
  <c r="J53" i="12"/>
  <c r="I53" i="12"/>
  <c r="H8" i="12"/>
  <c r="H7" i="12"/>
  <c r="O103" i="11"/>
  <c r="P103" i="11"/>
  <c r="Q103" i="11"/>
  <c r="R103" i="11"/>
  <c r="S103" i="11"/>
  <c r="O100" i="11"/>
  <c r="P100" i="11"/>
  <c r="Q100" i="11"/>
  <c r="R100" i="11"/>
  <c r="S100" i="11"/>
  <c r="O97" i="11"/>
  <c r="P97" i="11"/>
  <c r="Q97" i="11"/>
  <c r="R97" i="11"/>
  <c r="S97" i="11"/>
  <c r="N14" i="11"/>
  <c r="M69" i="11"/>
  <c r="N15" i="11"/>
  <c r="L29" i="11"/>
  <c r="N29" i="11"/>
  <c r="J10" i="12"/>
  <c r="J8" i="12"/>
  <c r="J7" i="12"/>
  <c r="J45" i="12"/>
  <c r="I44" i="12"/>
  <c r="H44" i="12"/>
  <c r="G44" i="12"/>
  <c r="H45" i="12"/>
  <c r="I45" i="12"/>
  <c r="I41" i="12"/>
  <c r="H41" i="12"/>
  <c r="G41" i="12"/>
  <c r="J41" i="12"/>
  <c r="H42" i="12"/>
  <c r="J42" i="12"/>
  <c r="J39" i="12"/>
  <c r="I38" i="12"/>
  <c r="H38" i="12"/>
  <c r="G38" i="12"/>
  <c r="J38" i="12"/>
  <c r="H39" i="12"/>
  <c r="I39" i="12"/>
  <c r="J30" i="12"/>
  <c r="I29" i="12"/>
  <c r="H29" i="12"/>
  <c r="G29" i="12"/>
  <c r="J29" i="12"/>
  <c r="H30" i="12"/>
  <c r="I30" i="12"/>
  <c r="I27" i="12"/>
  <c r="I26" i="12"/>
  <c r="H26" i="12"/>
  <c r="G26" i="12"/>
  <c r="J24" i="12"/>
  <c r="I24" i="12"/>
  <c r="H24" i="12"/>
  <c r="I23" i="12"/>
  <c r="H23" i="12"/>
  <c r="G23" i="12"/>
  <c r="J23" i="12"/>
  <c r="J11" i="12"/>
  <c r="J14" i="12"/>
  <c r="I14" i="12"/>
  <c r="H14" i="12"/>
  <c r="I13" i="12"/>
  <c r="H13" i="12"/>
  <c r="G13" i="12"/>
  <c r="J13" i="12"/>
  <c r="I11" i="12"/>
  <c r="H11" i="12"/>
  <c r="I10" i="12"/>
  <c r="H10" i="12"/>
  <c r="G10" i="12"/>
  <c r="I8" i="12"/>
  <c r="I7" i="12"/>
  <c r="M81" i="11"/>
  <c r="AB352" i="2"/>
  <c r="AA352" i="2"/>
  <c r="AB349" i="2"/>
  <c r="N267" i="11"/>
  <c r="M267" i="11"/>
  <c r="M266" i="11"/>
  <c r="N266" i="11"/>
  <c r="L266" i="11"/>
  <c r="N264" i="11"/>
  <c r="M263" i="11"/>
  <c r="N263" i="11"/>
  <c r="L263" i="11"/>
  <c r="N261" i="11"/>
  <c r="M261" i="11"/>
  <c r="M260" i="11"/>
  <c r="N260" i="11"/>
  <c r="L260" i="11"/>
  <c r="N256" i="11"/>
  <c r="M256" i="11"/>
  <c r="M255" i="11"/>
  <c r="N255" i="11"/>
  <c r="L255" i="11"/>
  <c r="N252" i="11"/>
  <c r="M252" i="11"/>
  <c r="M251" i="11"/>
  <c r="N251" i="11"/>
  <c r="L251" i="11"/>
  <c r="N248" i="11"/>
  <c r="M248" i="11"/>
  <c r="M247" i="11"/>
  <c r="N247" i="11"/>
  <c r="L247" i="11"/>
  <c r="N245" i="11"/>
  <c r="M245" i="11"/>
  <c r="M244" i="11"/>
  <c r="N244" i="11"/>
  <c r="L244" i="11"/>
  <c r="M242" i="11"/>
  <c r="N242" i="11"/>
  <c r="M241" i="11"/>
  <c r="N241" i="11"/>
  <c r="L241" i="11"/>
  <c r="N239" i="11"/>
  <c r="M239" i="11"/>
  <c r="M238" i="11"/>
  <c r="N238" i="11"/>
  <c r="L238" i="11"/>
  <c r="N235" i="11"/>
  <c r="M235" i="11"/>
  <c r="M234" i="11"/>
  <c r="N234" i="11"/>
  <c r="L234" i="11"/>
  <c r="M229" i="11"/>
  <c r="N229" i="11"/>
  <c r="L229" i="11"/>
  <c r="N227" i="11"/>
  <c r="M227" i="11"/>
  <c r="M226" i="11"/>
  <c r="N226" i="11"/>
  <c r="L226" i="11"/>
  <c r="N220" i="11"/>
  <c r="M220" i="11"/>
  <c r="M219" i="11"/>
  <c r="N219" i="11"/>
  <c r="M211" i="11"/>
  <c r="N211" i="11"/>
  <c r="L211" i="11"/>
  <c r="N212" i="11"/>
  <c r="M212" i="11"/>
  <c r="N209" i="11"/>
  <c r="M209" i="11"/>
  <c r="M208" i="11"/>
  <c r="N208" i="11"/>
  <c r="L208" i="11"/>
  <c r="N203" i="11"/>
  <c r="M203" i="11"/>
  <c r="M202" i="11"/>
  <c r="N202" i="11"/>
  <c r="L202" i="11"/>
  <c r="N200" i="11"/>
  <c r="N197" i="11"/>
  <c r="M197" i="11"/>
  <c r="N192" i="11"/>
  <c r="M192" i="11"/>
  <c r="M191" i="11"/>
  <c r="N191" i="11"/>
  <c r="L191" i="11"/>
  <c r="N189" i="11"/>
  <c r="M189" i="11"/>
  <c r="M188" i="11"/>
  <c r="N188" i="11"/>
  <c r="L188" i="11"/>
  <c r="N186" i="11"/>
  <c r="M186" i="11"/>
  <c r="M185" i="11"/>
  <c r="N185" i="11"/>
  <c r="L185" i="11"/>
  <c r="N182" i="11"/>
  <c r="M182" i="11"/>
  <c r="M181" i="11"/>
  <c r="N181" i="11"/>
  <c r="L181" i="11"/>
  <c r="N179" i="11"/>
  <c r="M179" i="11"/>
  <c r="M178" i="11"/>
  <c r="N178" i="11"/>
  <c r="L178" i="11"/>
  <c r="N176" i="11"/>
  <c r="M176" i="11"/>
  <c r="M175" i="11"/>
  <c r="L175" i="11"/>
  <c r="N173" i="11"/>
  <c r="M173" i="11"/>
  <c r="N172" i="11"/>
  <c r="L172" i="11"/>
  <c r="N168" i="11"/>
  <c r="M168" i="11"/>
  <c r="M167" i="11"/>
  <c r="N167" i="11"/>
  <c r="L167" i="11"/>
  <c r="N64" i="11"/>
  <c r="M64" i="11"/>
  <c r="M63" i="11"/>
  <c r="N63" i="11"/>
  <c r="L63" i="11"/>
  <c r="L59" i="11"/>
  <c r="N135" i="11"/>
  <c r="M135" i="11"/>
  <c r="M134" i="11"/>
  <c r="N134" i="11"/>
  <c r="L134" i="11"/>
  <c r="N165" i="11"/>
  <c r="M165" i="11"/>
  <c r="M164" i="11"/>
  <c r="L164" i="11"/>
  <c r="N162" i="11"/>
  <c r="M162" i="11"/>
  <c r="M161" i="11"/>
  <c r="N161" i="11"/>
  <c r="L161" i="11"/>
  <c r="N159" i="11"/>
  <c r="M159" i="11"/>
  <c r="N156" i="11"/>
  <c r="M156" i="11"/>
  <c r="M153" i="11"/>
  <c r="M15" i="11"/>
  <c r="N150" i="11"/>
  <c r="M150" i="11"/>
  <c r="M158" i="11"/>
  <c r="N158" i="11"/>
  <c r="L158" i="11"/>
  <c r="M155" i="11"/>
  <c r="L155" i="11"/>
  <c r="M152" i="11"/>
  <c r="L152" i="11"/>
  <c r="M149" i="11"/>
  <c r="N149" i="11"/>
  <c r="L149" i="11"/>
  <c r="N147" i="11"/>
  <c r="M147" i="11"/>
  <c r="M146" i="11"/>
  <c r="L146" i="11"/>
  <c r="L130" i="11"/>
  <c r="M126" i="11"/>
  <c r="N126" i="11"/>
  <c r="L126" i="11"/>
  <c r="M122" i="11"/>
  <c r="N122" i="11"/>
  <c r="L122" i="11"/>
  <c r="M119" i="11"/>
  <c r="N119" i="11"/>
  <c r="L119" i="11"/>
  <c r="M116" i="11"/>
  <c r="N116" i="11"/>
  <c r="L116" i="11"/>
  <c r="M113" i="11"/>
  <c r="N113" i="11"/>
  <c r="L113" i="11"/>
  <c r="M110" i="11"/>
  <c r="L110" i="11"/>
  <c r="M105" i="11"/>
  <c r="N105" i="11"/>
  <c r="L105" i="11"/>
  <c r="M102" i="11"/>
  <c r="N102" i="11"/>
  <c r="L102" i="11"/>
  <c r="M99" i="11"/>
  <c r="N99" i="11"/>
  <c r="L99" i="11"/>
  <c r="M96" i="11"/>
  <c r="N96" i="11"/>
  <c r="L96" i="11"/>
  <c r="M93" i="11"/>
  <c r="L93" i="11"/>
  <c r="M90" i="11"/>
  <c r="N90" i="11"/>
  <c r="L90" i="11"/>
  <c r="M87" i="11"/>
  <c r="N87" i="11"/>
  <c r="L87" i="11"/>
  <c r="L81" i="11"/>
  <c r="M78" i="11"/>
  <c r="N78" i="11"/>
  <c r="L78" i="11"/>
  <c r="M75" i="11"/>
  <c r="N75" i="11"/>
  <c r="L75" i="11"/>
  <c r="M72" i="11"/>
  <c r="L72" i="11"/>
  <c r="L69" i="11"/>
  <c r="N69" i="11"/>
  <c r="M14" i="11"/>
  <c r="N131" i="11"/>
  <c r="M131" i="11"/>
  <c r="N123" i="11"/>
  <c r="M123" i="11"/>
  <c r="N120" i="11"/>
  <c r="M120" i="11"/>
  <c r="N117" i="11"/>
  <c r="M117" i="11"/>
  <c r="N114" i="11"/>
  <c r="M114" i="11"/>
  <c r="N111" i="11"/>
  <c r="M111" i="11"/>
  <c r="N106" i="11"/>
  <c r="M106" i="11"/>
  <c r="N103" i="11"/>
  <c r="M103" i="11"/>
  <c r="N100" i="11"/>
  <c r="N97" i="11"/>
  <c r="M97" i="11"/>
  <c r="N94" i="11"/>
  <c r="M94" i="11"/>
  <c r="N91" i="11"/>
  <c r="M91" i="11"/>
  <c r="N88" i="11"/>
  <c r="M88" i="11"/>
  <c r="N82" i="11"/>
  <c r="M82" i="11"/>
  <c r="N79" i="11"/>
  <c r="N76" i="11"/>
  <c r="M76" i="11"/>
  <c r="M73" i="11"/>
  <c r="N70" i="11"/>
  <c r="M70" i="11"/>
  <c r="N56" i="11"/>
  <c r="M56" i="11"/>
  <c r="N53" i="11"/>
  <c r="M53" i="11"/>
  <c r="N50" i="11"/>
  <c r="N47" i="11"/>
  <c r="M47" i="11"/>
  <c r="N44" i="11"/>
  <c r="M44" i="11"/>
  <c r="N41" i="11"/>
  <c r="M41" i="11"/>
  <c r="N36" i="11"/>
  <c r="M36" i="11"/>
  <c r="N33" i="11"/>
  <c r="M33" i="11"/>
  <c r="N30" i="11"/>
  <c r="M30" i="11"/>
  <c r="N27" i="11"/>
  <c r="M27" i="11"/>
  <c r="N24" i="11"/>
  <c r="M24" i="11"/>
  <c r="N21" i="11"/>
  <c r="N18" i="11"/>
  <c r="M18" i="11"/>
  <c r="M130" i="11"/>
  <c r="N130" i="11"/>
  <c r="N81" i="11"/>
  <c r="M59" i="11"/>
  <c r="M55" i="11"/>
  <c r="N55" i="11"/>
  <c r="L55" i="11"/>
  <c r="M52" i="11"/>
  <c r="N52" i="11"/>
  <c r="L52" i="11"/>
  <c r="M49" i="11"/>
  <c r="N49" i="11"/>
  <c r="L49" i="11"/>
  <c r="L46" i="11"/>
  <c r="M43" i="11"/>
  <c r="N43" i="11"/>
  <c r="L43" i="11"/>
  <c r="M40" i="11"/>
  <c r="N40" i="11"/>
  <c r="M35" i="11"/>
  <c r="N35" i="11"/>
  <c r="L35" i="11"/>
  <c r="M32" i="11"/>
  <c r="L32" i="11"/>
  <c r="M29" i="11"/>
  <c r="M26" i="11"/>
  <c r="L26" i="11"/>
  <c r="M23" i="11"/>
  <c r="N23" i="11"/>
  <c r="M20" i="11"/>
  <c r="N20" i="11"/>
  <c r="M17" i="11"/>
  <c r="N17" i="11"/>
  <c r="L17" i="11"/>
  <c r="L14" i="11"/>
  <c r="AA343" i="2"/>
  <c r="Z352" i="2"/>
  <c r="Y352" i="2"/>
  <c r="AK3" i="7" l="1"/>
  <c r="T25" i="12"/>
  <c r="K9" i="12" s="1"/>
  <c r="AJ41" i="17"/>
  <c r="T28" i="12"/>
  <c r="K12" i="12" s="1"/>
  <c r="I14" i="10"/>
  <c r="AG304" i="11"/>
  <c r="AH301" i="11"/>
  <c r="S285" i="11"/>
  <c r="S291" i="11" s="1"/>
  <c r="S385" i="11" s="1"/>
  <c r="S386" i="11" s="1"/>
  <c r="S397" i="11" s="1"/>
  <c r="O174" i="11"/>
  <c r="T21" i="12"/>
  <c r="K6" i="12" s="1"/>
  <c r="K17" i="12" s="1"/>
  <c r="P106" i="11"/>
  <c r="P129" i="11"/>
  <c r="R86" i="11"/>
  <c r="Q104" i="11"/>
  <c r="Q106" i="11" s="1"/>
  <c r="O131" i="11"/>
  <c r="K11" i="12"/>
  <c r="M28" i="12"/>
  <c r="R92" i="11"/>
  <c r="W219" i="11"/>
  <c r="R109" i="11"/>
  <c r="W172" i="11"/>
  <c r="R151" i="11"/>
  <c r="K14" i="12"/>
  <c r="L57" i="12"/>
  <c r="M57" i="12" s="1"/>
  <c r="N57" i="12" s="1"/>
  <c r="O57" i="12" s="1"/>
  <c r="K62" i="12"/>
  <c r="K48" i="12"/>
  <c r="W160" i="11" s="1"/>
  <c r="K49" i="12"/>
  <c r="K45" i="12"/>
  <c r="L43" i="12"/>
  <c r="L48" i="12"/>
  <c r="L41" i="12" s="1"/>
  <c r="L49" i="12"/>
  <c r="L44" i="12"/>
  <c r="M54" i="12"/>
  <c r="L51" i="12"/>
  <c r="M51" i="12"/>
  <c r="O51" i="12" s="1"/>
  <c r="P13" i="11"/>
  <c r="J14" i="10" l="1"/>
  <c r="AH304" i="11"/>
  <c r="K38" i="12"/>
  <c r="K41" i="12"/>
  <c r="L6" i="12"/>
  <c r="L8" i="12" s="1"/>
  <c r="K44" i="12"/>
  <c r="K8" i="12"/>
  <c r="K7" i="12"/>
  <c r="J70" i="12"/>
  <c r="Q129" i="11"/>
  <c r="Q131" i="11" s="1"/>
  <c r="Q123" i="11"/>
  <c r="S86" i="11"/>
  <c r="R104" i="11"/>
  <c r="R106" i="11" s="1"/>
  <c r="P131" i="11"/>
  <c r="L12" i="12"/>
  <c r="L14" i="12" s="1"/>
  <c r="S92" i="11"/>
  <c r="Q13" i="11"/>
  <c r="R121" i="11"/>
  <c r="S109" i="11"/>
  <c r="S121" i="11" s="1"/>
  <c r="S151" i="11"/>
  <c r="R172" i="11"/>
  <c r="S172" i="11"/>
  <c r="O172" i="11"/>
  <c r="O171" i="11" s="1"/>
  <c r="P172" i="11"/>
  <c r="Q172" i="11"/>
  <c r="Q157" i="11"/>
  <c r="L38" i="12"/>
  <c r="M22" i="12"/>
  <c r="N28" i="12"/>
  <c r="M12" i="12"/>
  <c r="L45" i="12"/>
  <c r="M43" i="12"/>
  <c r="K52" i="12"/>
  <c r="K58" i="12"/>
  <c r="K55" i="12"/>
  <c r="N51" i="12"/>
  <c r="L62" i="12"/>
  <c r="M62" i="12"/>
  <c r="N54" i="12"/>
  <c r="S104" i="11" l="1"/>
  <c r="S106" i="11" s="1"/>
  <c r="S123" i="11"/>
  <c r="R129" i="11"/>
  <c r="R131" i="11" s="1"/>
  <c r="R123" i="11"/>
  <c r="M14" i="12"/>
  <c r="R13" i="11"/>
  <c r="R157" i="11"/>
  <c r="N22" i="12"/>
  <c r="M6" i="12"/>
  <c r="M8" i="12" s="1"/>
  <c r="O28" i="12"/>
  <c r="O12" i="12" s="1"/>
  <c r="N12" i="12"/>
  <c r="N14" i="12" s="1"/>
  <c r="M45" i="12"/>
  <c r="N43" i="12"/>
  <c r="M48" i="12"/>
  <c r="M38" i="12" s="1"/>
  <c r="M49" i="12"/>
  <c r="L58" i="12"/>
  <c r="L55" i="12"/>
  <c r="L52" i="12"/>
  <c r="M55" i="12"/>
  <c r="M52" i="12"/>
  <c r="M58" i="12"/>
  <c r="N62" i="12"/>
  <c r="O54" i="12"/>
  <c r="O62" i="12" s="1"/>
  <c r="M44" i="12" l="1"/>
  <c r="S129" i="11"/>
  <c r="S131" i="11" s="1"/>
  <c r="Q162" i="11"/>
  <c r="S13" i="11"/>
  <c r="S157" i="11"/>
  <c r="O22" i="12"/>
  <c r="O6" i="12" s="1"/>
  <c r="N6" i="12"/>
  <c r="N8" i="12" s="1"/>
  <c r="O14" i="12"/>
  <c r="M41" i="12"/>
  <c r="N45" i="12"/>
  <c r="O43" i="12"/>
  <c r="N48" i="12"/>
  <c r="N44" i="12" s="1"/>
  <c r="N49" i="12"/>
  <c r="O55" i="12"/>
  <c r="O52" i="12"/>
  <c r="O58" i="12"/>
  <c r="N55" i="12"/>
  <c r="N52" i="12"/>
  <c r="N58" i="12"/>
  <c r="R162" i="11" l="1"/>
  <c r="O8" i="12"/>
  <c r="N38" i="12"/>
  <c r="N41" i="12"/>
  <c r="O45" i="12"/>
  <c r="O48" i="12"/>
  <c r="O44" i="12" s="1"/>
  <c r="S162" i="11" l="1"/>
  <c r="O38" i="12"/>
  <c r="O41" i="12"/>
  <c r="K26" i="12" l="1"/>
  <c r="K29" i="12"/>
  <c r="L33" i="12"/>
  <c r="L9" i="12"/>
  <c r="K23" i="12"/>
  <c r="L26" i="12" l="1"/>
  <c r="M9" i="12"/>
  <c r="M33" i="12"/>
  <c r="L23" i="12"/>
  <c r="L29" i="12"/>
  <c r="K18" i="12"/>
  <c r="L17" i="12"/>
  <c r="L11" i="12"/>
  <c r="K70" i="12" l="1"/>
  <c r="M26" i="12"/>
  <c r="M23" i="12"/>
  <c r="M29" i="12"/>
  <c r="M11" i="12"/>
  <c r="M17" i="12"/>
  <c r="L18" i="12"/>
  <c r="L7" i="12"/>
  <c r="L13" i="12"/>
  <c r="L10" i="12"/>
  <c r="K13" i="12"/>
  <c r="K10" i="12"/>
  <c r="N9" i="12"/>
  <c r="N33" i="12"/>
  <c r="N26" i="12" l="1"/>
  <c r="L70" i="12"/>
  <c r="O33" i="12"/>
  <c r="O9" i="12"/>
  <c r="N29" i="12"/>
  <c r="N23" i="12"/>
  <c r="N11" i="12"/>
  <c r="N17" i="12"/>
  <c r="M13" i="12"/>
  <c r="M7" i="12"/>
  <c r="M18" i="12"/>
  <c r="M10" i="12"/>
  <c r="N10" i="12" l="1"/>
  <c r="M70" i="12"/>
  <c r="O26" i="12"/>
  <c r="O23" i="12"/>
  <c r="O29" i="12"/>
  <c r="O11" i="12"/>
  <c r="O17" i="12"/>
  <c r="N7" i="12"/>
  <c r="N18" i="12"/>
  <c r="N13" i="12"/>
  <c r="N70" i="12" l="1"/>
  <c r="O18" i="12"/>
  <c r="O7" i="12"/>
  <c r="O13" i="12"/>
  <c r="O10" i="12"/>
  <c r="AC163" i="11"/>
  <c r="O176" i="11" l="1"/>
  <c r="Z174" i="11" l="1"/>
  <c r="F8" i="10"/>
  <c r="Z175" i="11"/>
  <c r="R174" i="11" l="1"/>
  <c r="Q174" i="11"/>
  <c r="S174" i="11"/>
  <c r="P174" i="11"/>
  <c r="G8" i="10" l="1"/>
  <c r="R176" i="11"/>
  <c r="Q176" i="11"/>
  <c r="S176" i="11"/>
  <c r="I8" i="10"/>
  <c r="H8" i="10"/>
  <c r="P176" i="11"/>
  <c r="J8" i="10"/>
  <c r="AA175" i="11"/>
  <c r="AA174" i="11"/>
  <c r="O80" i="11" l="1"/>
  <c r="O133" i="11" s="1"/>
  <c r="N139" i="11" l="1"/>
  <c r="P71" i="11"/>
  <c r="P74" i="11" s="1"/>
  <c r="P80" i="11" s="1"/>
  <c r="P133" i="11" s="1"/>
  <c r="O69" i="11" l="1"/>
  <c r="O75" i="11" s="1"/>
  <c r="O81" i="11" s="1"/>
  <c r="O93" i="11"/>
  <c r="N138" i="11"/>
  <c r="O130" i="11"/>
  <c r="O135" i="11"/>
  <c r="O122" i="11"/>
  <c r="O105" i="11"/>
  <c r="P135" i="11"/>
  <c r="O139" i="11"/>
  <c r="O138" i="11"/>
  <c r="P122" i="11"/>
  <c r="P130" i="11"/>
  <c r="P105" i="11"/>
  <c r="P93" i="11"/>
  <c r="P69" i="11"/>
  <c r="P75" i="11" s="1"/>
  <c r="P81" i="11" s="1"/>
  <c r="Q71" i="11"/>
  <c r="Q74" i="11" s="1"/>
  <c r="Q80" i="11" l="1"/>
  <c r="R71" i="11"/>
  <c r="R74" i="11" s="1"/>
  <c r="R80" i="11" s="1"/>
  <c r="R133" i="11" s="1"/>
  <c r="Q133" i="11" l="1"/>
  <c r="Q122" i="11" s="1"/>
  <c r="Q139" i="11"/>
  <c r="R122" i="11"/>
  <c r="Q138" i="11"/>
  <c r="R130" i="11"/>
  <c r="R105" i="11"/>
  <c r="R69" i="11"/>
  <c r="R75" i="11" s="1"/>
  <c r="R81" i="11" s="1"/>
  <c r="R93" i="11"/>
  <c r="S71" i="11"/>
  <c r="S74" i="11" s="1"/>
  <c r="S80" i="11" s="1"/>
  <c r="S133" i="11" s="1"/>
  <c r="P138" i="11" l="1"/>
  <c r="Q135" i="11"/>
  <c r="Q105" i="11"/>
  <c r="P139" i="11"/>
  <c r="R135" i="11"/>
  <c r="Q130" i="11"/>
  <c r="Q69" i="11"/>
  <c r="Q75" i="11" s="1"/>
  <c r="Q81" i="11" s="1"/>
  <c r="Q93" i="11"/>
  <c r="S135" i="11"/>
  <c r="R139" i="11"/>
  <c r="S122" i="11"/>
  <c r="R138" i="11"/>
  <c r="S130" i="11"/>
  <c r="S105" i="11"/>
  <c r="S69" i="11"/>
  <c r="S75" i="11" s="1"/>
  <c r="S81" i="11" s="1"/>
  <c r="S93" i="11"/>
  <c r="F5" i="10"/>
  <c r="O42" i="11"/>
  <c r="O149" i="11"/>
  <c r="O152" i="11"/>
  <c r="O147" i="11"/>
  <c r="O178" i="11"/>
  <c r="O158" i="11"/>
  <c r="O164" i="11"/>
  <c r="O175" i="11"/>
  <c r="O154" i="11"/>
  <c r="O156" i="11" s="1"/>
  <c r="O146" i="11"/>
  <c r="O173" i="11"/>
  <c r="O54" i="11" l="1"/>
  <c r="E55" i="10" s="1"/>
  <c r="O180" i="11"/>
  <c r="Z181" i="11" s="1"/>
  <c r="Z39" i="11"/>
  <c r="O41" i="11"/>
  <c r="Z42" i="11"/>
  <c r="O44" i="11"/>
  <c r="O181" i="11" l="1"/>
  <c r="E54" i="10"/>
  <c r="F16" i="10"/>
  <c r="E56" i="10"/>
  <c r="O278" i="11" s="1"/>
  <c r="O56" i="11"/>
  <c r="O14" i="11"/>
  <c r="O182" i="11"/>
  <c r="R39" i="11" l="1"/>
  <c r="Q39" i="11"/>
  <c r="P171" i="11"/>
  <c r="P180" i="11" s="1"/>
  <c r="P39" i="11"/>
  <c r="P41" i="11" s="1"/>
  <c r="Q171" i="11"/>
  <c r="Q180" i="11" s="1"/>
  <c r="R171" i="11"/>
  <c r="R180" i="11" s="1"/>
  <c r="S39" i="11"/>
  <c r="S171" i="11"/>
  <c r="S180" i="11" s="1"/>
  <c r="R154" i="11"/>
  <c r="P154" i="11"/>
  <c r="P156" i="11" s="1"/>
  <c r="G5" i="10"/>
  <c r="Q42" i="11"/>
  <c r="R148" i="11"/>
  <c r="S42" i="11"/>
  <c r="R175" i="11"/>
  <c r="R164" i="11"/>
  <c r="R161" i="11"/>
  <c r="R147" i="11"/>
  <c r="R158" i="11"/>
  <c r="R152" i="11"/>
  <c r="R178" i="11"/>
  <c r="R146" i="11"/>
  <c r="R42" i="11"/>
  <c r="AC42" i="11" s="1"/>
  <c r="Q148" i="11"/>
  <c r="Q277" i="11" s="1"/>
  <c r="P42" i="11"/>
  <c r="AA42" i="11" s="1"/>
  <c r="P175" i="11"/>
  <c r="P164" i="11"/>
  <c r="P161" i="11"/>
  <c r="P147" i="11"/>
  <c r="P178" i="11"/>
  <c r="P158" i="11"/>
  <c r="P152" i="11"/>
  <c r="P146" i="11"/>
  <c r="P150" i="11"/>
  <c r="Q175" i="11"/>
  <c r="Q164" i="11"/>
  <c r="Q147" i="11"/>
  <c r="Q152" i="11"/>
  <c r="Q158" i="11"/>
  <c r="Q161" i="11"/>
  <c r="Q178" i="11"/>
  <c r="Q146" i="11"/>
  <c r="Q154" i="11"/>
  <c r="S148" i="11"/>
  <c r="S277" i="11" s="1"/>
  <c r="S154" i="11"/>
  <c r="S175" i="11"/>
  <c r="S164" i="11"/>
  <c r="S178" i="11"/>
  <c r="S158" i="11"/>
  <c r="S152" i="11"/>
  <c r="S161" i="11"/>
  <c r="S147" i="11"/>
  <c r="S146" i="11"/>
  <c r="J5" i="10"/>
  <c r="P173" i="11" l="1"/>
  <c r="S156" i="11"/>
  <c r="Q156" i="11"/>
  <c r="Q173" i="11"/>
  <c r="P166" i="11"/>
  <c r="L40" i="17" s="1"/>
  <c r="S41" i="11"/>
  <c r="R166" i="11"/>
  <c r="S173" i="11"/>
  <c r="R173" i="11"/>
  <c r="R277" i="11"/>
  <c r="H5" i="10"/>
  <c r="S150" i="11"/>
  <c r="S166" i="11"/>
  <c r="Q166" i="11"/>
  <c r="P277" i="11"/>
  <c r="Q44" i="11"/>
  <c r="P44" i="11"/>
  <c r="Q150" i="11"/>
  <c r="S44" i="11"/>
  <c r="R44" i="11"/>
  <c r="R150" i="11"/>
  <c r="AB42" i="11"/>
  <c r="I5" i="10"/>
  <c r="R156" i="11"/>
  <c r="S182" i="11"/>
  <c r="S181" i="11"/>
  <c r="S54" i="11"/>
  <c r="R182" i="11"/>
  <c r="R181" i="11"/>
  <c r="Q182" i="11"/>
  <c r="Q181" i="11"/>
  <c r="P54" i="11"/>
  <c r="F55" i="10" s="1"/>
  <c r="AA39" i="11"/>
  <c r="P181" i="11"/>
  <c r="P182" i="11"/>
  <c r="Q54" i="11"/>
  <c r="G55" i="10" s="1"/>
  <c r="G54" i="10" s="1"/>
  <c r="Q41" i="11"/>
  <c r="AB39" i="11"/>
  <c r="R54" i="11"/>
  <c r="H55" i="10" s="1"/>
  <c r="R41" i="11"/>
  <c r="AC39" i="11"/>
  <c r="P184" i="11" l="1"/>
  <c r="S14" i="11"/>
  <c r="I55" i="10"/>
  <c r="G16" i="10"/>
  <c r="F54" i="10"/>
  <c r="F56" i="10"/>
  <c r="P278" i="11" s="1"/>
  <c r="I16" i="10"/>
  <c r="H56" i="10"/>
  <c r="R278" i="11" s="1"/>
  <c r="G56" i="10"/>
  <c r="Q278" i="11" s="1"/>
  <c r="H16" i="10"/>
  <c r="P167" i="11"/>
  <c r="H54" i="10"/>
  <c r="L36" i="17"/>
  <c r="L30" i="17"/>
  <c r="L33" i="17"/>
  <c r="R167" i="11"/>
  <c r="N40" i="17"/>
  <c r="Q184" i="11"/>
  <c r="M40" i="17"/>
  <c r="S184" i="11"/>
  <c r="O40" i="17"/>
  <c r="R184" i="11"/>
  <c r="R168" i="11"/>
  <c r="Q168" i="11"/>
  <c r="Q167" i="11"/>
  <c r="S168" i="11"/>
  <c r="S167" i="11"/>
  <c r="R56" i="11"/>
  <c r="R14" i="11"/>
  <c r="Q56" i="11"/>
  <c r="Q14" i="11"/>
  <c r="P56" i="11"/>
  <c r="P14" i="11"/>
  <c r="S56" i="11"/>
  <c r="P185" i="11" l="1"/>
  <c r="G6" i="10"/>
  <c r="G10" i="10" s="1"/>
  <c r="G11" i="10" s="1"/>
  <c r="P276" i="11"/>
  <c r="P279" i="11" s="1"/>
  <c r="P187" i="11"/>
  <c r="I6" i="10"/>
  <c r="I10" i="10" s="1"/>
  <c r="I11" i="10" s="1"/>
  <c r="S276" i="11"/>
  <c r="J16" i="10"/>
  <c r="I56" i="10"/>
  <c r="S278" i="11" s="1"/>
  <c r="I54" i="10"/>
  <c r="Q187" i="11"/>
  <c r="Q185" i="11"/>
  <c r="Q186" i="11"/>
  <c r="Q276" i="11"/>
  <c r="Q279" i="11" s="1"/>
  <c r="H6" i="10"/>
  <c r="R186" i="11"/>
  <c r="S187" i="11"/>
  <c r="S185" i="11"/>
  <c r="J6" i="10"/>
  <c r="J10" i="10" s="1"/>
  <c r="J11" i="10" s="1"/>
  <c r="S186" i="11"/>
  <c r="R276" i="11"/>
  <c r="R279" i="11" s="1"/>
  <c r="O36" i="17"/>
  <c r="O30" i="17"/>
  <c r="M30" i="17"/>
  <c r="M36" i="17"/>
  <c r="R187" i="11"/>
  <c r="R185" i="11"/>
  <c r="N30" i="17"/>
  <c r="N36" i="17"/>
  <c r="H7" i="10" l="1"/>
  <c r="AK4" i="7"/>
  <c r="Q281" i="11"/>
  <c r="P188" i="11"/>
  <c r="Q190" i="11"/>
  <c r="AC141" i="11" s="1"/>
  <c r="G13" i="10"/>
  <c r="Q188" i="11"/>
  <c r="Q189" i="11"/>
  <c r="P190" i="11"/>
  <c r="AB141" i="11" s="1"/>
  <c r="P281" i="11"/>
  <c r="S279" i="11"/>
  <c r="H13" i="10"/>
  <c r="I7" i="10"/>
  <c r="H10" i="10"/>
  <c r="S281" i="11"/>
  <c r="J13" i="10"/>
  <c r="R189" i="11"/>
  <c r="I13" i="10"/>
  <c r="S188" i="11"/>
  <c r="S190" i="11"/>
  <c r="AE141" i="11" s="1"/>
  <c r="J7" i="10"/>
  <c r="R190" i="11"/>
  <c r="AD141" i="11" s="1"/>
  <c r="R281" i="11"/>
  <c r="R188" i="11"/>
  <c r="S189" i="11"/>
  <c r="J12" i="10"/>
  <c r="Q195" i="11" l="1"/>
  <c r="Q297" i="11" s="1"/>
  <c r="Q299" i="11" s="1"/>
  <c r="Q401" i="11" s="1"/>
  <c r="Q403" i="11" s="1"/>
  <c r="Q405" i="11" s="1"/>
  <c r="Q191" i="11"/>
  <c r="AC138" i="11"/>
  <c r="Q218" i="11"/>
  <c r="Q192" i="11"/>
  <c r="H12" i="10"/>
  <c r="H11" i="10"/>
  <c r="Q199" i="11"/>
  <c r="AK2" i="7"/>
  <c r="P195" i="11"/>
  <c r="P297" i="11" s="1"/>
  <c r="P299" i="11" s="1"/>
  <c r="P401" i="11" s="1"/>
  <c r="P403" i="11" s="1"/>
  <c r="P405" i="11" s="1"/>
  <c r="Q282" i="11"/>
  <c r="Q293" i="11" s="1"/>
  <c r="P218" i="11"/>
  <c r="P219" i="11" s="1"/>
  <c r="P282" i="11"/>
  <c r="P293" i="11" s="1"/>
  <c r="AB138" i="11"/>
  <c r="P199" i="11"/>
  <c r="P191" i="11"/>
  <c r="I12" i="10"/>
  <c r="I17" i="10" s="1"/>
  <c r="I21" i="10" s="1"/>
  <c r="S282" i="11"/>
  <c r="S218" i="11"/>
  <c r="S219" i="11" s="1"/>
  <c r="S195" i="11"/>
  <c r="AE138" i="11"/>
  <c r="S191" i="11"/>
  <c r="S199" i="11"/>
  <c r="R192" i="11"/>
  <c r="S192" i="11"/>
  <c r="J17" i="10"/>
  <c r="R282" i="11"/>
  <c r="R218" i="11"/>
  <c r="R219" i="11" s="1"/>
  <c r="R191" i="11"/>
  <c r="R195" i="11"/>
  <c r="AD138" i="11"/>
  <c r="R199" i="11"/>
  <c r="Q196" i="11" l="1"/>
  <c r="Q201" i="11"/>
  <c r="Q301" i="11"/>
  <c r="P254" i="11"/>
  <c r="P265" i="11" s="1"/>
  <c r="Q220" i="11"/>
  <c r="H17" i="10"/>
  <c r="H21" i="10" s="1"/>
  <c r="Q197" i="11"/>
  <c r="Q219" i="11"/>
  <c r="P301" i="11"/>
  <c r="Q254" i="11"/>
  <c r="Q265" i="11" s="1"/>
  <c r="P201" i="11"/>
  <c r="C29" i="10"/>
  <c r="C31" i="10" s="1"/>
  <c r="P196" i="11"/>
  <c r="N15" i="7"/>
  <c r="AK7" i="7"/>
  <c r="J21" i="10"/>
  <c r="J18" i="10"/>
  <c r="I23" i="10"/>
  <c r="R197" i="11"/>
  <c r="R297" i="11"/>
  <c r="R299" i="11" s="1"/>
  <c r="R401" i="11" s="1"/>
  <c r="R403" i="11" s="1"/>
  <c r="R405" i="11" s="1"/>
  <c r="S201" i="11"/>
  <c r="S297" i="11"/>
  <c r="S299" i="11" s="1"/>
  <c r="R293" i="11"/>
  <c r="S293" i="11"/>
  <c r="S254" i="11"/>
  <c r="S265" i="11" s="1"/>
  <c r="E29" i="10"/>
  <c r="E31" i="10" s="1"/>
  <c r="S196" i="11"/>
  <c r="S220" i="11"/>
  <c r="R254" i="11"/>
  <c r="R265" i="11" s="1"/>
  <c r="R220" i="11"/>
  <c r="R196" i="11"/>
  <c r="R201" i="11"/>
  <c r="S197" i="11"/>
  <c r="D29" i="10"/>
  <c r="D31" i="10" s="1"/>
  <c r="J23" i="10"/>
  <c r="I18" i="10" l="1"/>
  <c r="H23" i="10"/>
  <c r="R301" i="11"/>
  <c r="S401" i="11"/>
  <c r="S403" i="11" s="1"/>
  <c r="S405" i="11" s="1"/>
  <c r="S301" i="11"/>
  <c r="J77" i="17"/>
  <c r="K77" i="17"/>
  <c r="L26" i="17" l="1"/>
  <c r="L77" i="17" l="1"/>
  <c r="M77" i="17" l="1"/>
  <c r="N77" i="17"/>
  <c r="K14" i="17" l="1"/>
  <c r="K32" i="17" s="1"/>
  <c r="AG35" i="17" s="1"/>
  <c r="AG23" i="17" s="1"/>
  <c r="N50" i="7" l="1"/>
  <c r="N52" i="7" s="1"/>
  <c r="O50" i="7"/>
  <c r="O52" i="7" s="1"/>
  <c r="AG24" i="17"/>
  <c r="AH24" i="17"/>
  <c r="K34" i="17"/>
  <c r="L34" i="17"/>
  <c r="K16" i="17"/>
  <c r="K20" i="17"/>
  <c r="L16" i="17"/>
  <c r="M26" i="17"/>
  <c r="M14" i="17"/>
  <c r="N14" i="17"/>
  <c r="N26" i="17"/>
  <c r="O26" i="17"/>
  <c r="O14" i="17"/>
  <c r="O32" i="17" s="1"/>
  <c r="AK35" i="17" s="1"/>
  <c r="AK23" i="17" s="1"/>
  <c r="K27" i="17" l="1"/>
  <c r="K38" i="17"/>
  <c r="AG69" i="17" s="1"/>
  <c r="AG57" i="17" s="1"/>
  <c r="AG71" i="17" s="1"/>
  <c r="N20" i="17"/>
  <c r="N38" i="17" s="1"/>
  <c r="AJ69" i="17" s="1"/>
  <c r="AJ57" i="17" s="1"/>
  <c r="N32" i="17"/>
  <c r="O33" i="17"/>
  <c r="M20" i="17"/>
  <c r="M38" i="17" s="1"/>
  <c r="AI69" i="17" s="1"/>
  <c r="AI57" i="17" s="1"/>
  <c r="M32" i="17"/>
  <c r="AI35" i="17" s="1"/>
  <c r="AI23" i="17" s="1"/>
  <c r="AI24" i="17" s="1"/>
  <c r="N16" i="17"/>
  <c r="M16" i="17"/>
  <c r="O16" i="17"/>
  <c r="O20" i="17"/>
  <c r="O38" i="17" s="1"/>
  <c r="AK69" i="17" s="1"/>
  <c r="AK57" i="17" s="1"/>
  <c r="AK71" i="17" s="1"/>
  <c r="AI71" i="17" l="1"/>
  <c r="AI72" i="17" s="1"/>
  <c r="AL3" i="7"/>
  <c r="AL4" i="7" s="1"/>
  <c r="AJ3" i="7"/>
  <c r="AJ4" i="7" s="1"/>
  <c r="AG72" i="17"/>
  <c r="AN3" i="7"/>
  <c r="AN4" i="7" s="1"/>
  <c r="AK72" i="17"/>
  <c r="O34" i="17"/>
  <c r="AJ35" i="17"/>
  <c r="AJ23" i="17" s="1"/>
  <c r="AJ71" i="17" s="1"/>
  <c r="M34" i="17"/>
  <c r="M33" i="17"/>
  <c r="N34" i="17"/>
  <c r="N33" i="17"/>
  <c r="K55" i="17"/>
  <c r="K56" i="17"/>
  <c r="K49" i="17"/>
  <c r="L49" i="17"/>
  <c r="AJ2" i="7" l="1"/>
  <c r="AN2" i="7"/>
  <c r="AL2" i="7"/>
  <c r="AJ72" i="17"/>
  <c r="AM3" i="7"/>
  <c r="AM4" i="7" s="1"/>
  <c r="AJ24" i="17"/>
  <c r="AK24" i="17"/>
  <c r="K48" i="17"/>
  <c r="F15" i="10"/>
  <c r="O160" i="11"/>
  <c r="O277" i="11" s="1"/>
  <c r="K51" i="17"/>
  <c r="K45" i="17"/>
  <c r="Q15" i="7" l="1"/>
  <c r="Q22" i="7" s="1"/>
  <c r="H23" i="7" s="1"/>
  <c r="AN7" i="7"/>
  <c r="O15" i="7"/>
  <c r="O16" i="7" s="1"/>
  <c r="AL7" i="7"/>
  <c r="M15" i="7"/>
  <c r="AJ7" i="7"/>
  <c r="AM2" i="7"/>
  <c r="O166" i="11"/>
  <c r="O161" i="11"/>
  <c r="O162" i="11"/>
  <c r="P162" i="11"/>
  <c r="M16" i="7" l="1"/>
  <c r="N16" i="7"/>
  <c r="P15" i="7"/>
  <c r="P16" i="7" s="1"/>
  <c r="AM7" i="7"/>
  <c r="AJ8" i="7" s="1"/>
  <c r="AJ10" i="7" s="1"/>
  <c r="K40" i="17"/>
  <c r="O184" i="11"/>
  <c r="O167" i="11"/>
  <c r="P168" i="11"/>
  <c r="O168" i="11"/>
  <c r="Q16" i="7" l="1"/>
  <c r="K5" i="7" s="1"/>
  <c r="O276" i="11"/>
  <c r="O279" i="11" s="1"/>
  <c r="O187" i="11"/>
  <c r="F6" i="10"/>
  <c r="P186" i="11"/>
  <c r="O186" i="11"/>
  <c r="O185" i="11"/>
  <c r="K36" i="17"/>
  <c r="K33" i="17"/>
  <c r="K30" i="17"/>
  <c r="O281" i="11" l="1"/>
  <c r="O282" i="11" s="1"/>
  <c r="O293" i="11" s="1"/>
  <c r="O190" i="11"/>
  <c r="O195" i="11" s="1"/>
  <c r="O297" i="11" s="1"/>
  <c r="O299" i="11" s="1"/>
  <c r="O401" i="11" s="1"/>
  <c r="O403" i="11" s="1"/>
  <c r="O405" i="11" s="1"/>
  <c r="O410" i="11" s="1"/>
  <c r="P407" i="11" s="1"/>
  <c r="P410" i="11" s="1"/>
  <c r="Q407" i="11" s="1"/>
  <c r="Q410" i="11" s="1"/>
  <c r="R407" i="11" s="1"/>
  <c r="R410" i="11" s="1"/>
  <c r="S407" i="11" s="1"/>
  <c r="S410" i="11" s="1"/>
  <c r="F13" i="10"/>
  <c r="P189" i="11"/>
  <c r="O189" i="11"/>
  <c r="O188" i="11"/>
  <c r="F7" i="10"/>
  <c r="G7" i="10"/>
  <c r="F10" i="10"/>
  <c r="F11" i="10" s="1"/>
  <c r="O199" i="11" l="1"/>
  <c r="O218" i="11"/>
  <c r="O254" i="11" s="1"/>
  <c r="O265" i="11" s="1"/>
  <c r="P192" i="11"/>
  <c r="O301" i="11"/>
  <c r="O306" i="11" s="1"/>
  <c r="P303" i="11" s="1"/>
  <c r="AA138" i="11"/>
  <c r="O191" i="11"/>
  <c r="O192" i="11"/>
  <c r="AA141" i="11"/>
  <c r="G12" i="10"/>
  <c r="G17" i="10" s="1"/>
  <c r="G21" i="10" s="1"/>
  <c r="F12" i="10"/>
  <c r="F17" i="10" s="1"/>
  <c r="F18" i="10" s="1"/>
  <c r="O201" i="11"/>
  <c r="P197" i="11"/>
  <c r="O197" i="11"/>
  <c r="O196" i="11"/>
  <c r="N49" i="7" l="1"/>
  <c r="N53" i="7" s="1"/>
  <c r="N55" i="7" s="1"/>
  <c r="O49" i="7"/>
  <c r="O53" i="7" s="1"/>
  <c r="O55" i="7" s="1"/>
  <c r="O220" i="11"/>
  <c r="O219" i="11"/>
  <c r="P220" i="11"/>
  <c r="F21" i="10"/>
  <c r="C22" i="10" s="1"/>
  <c r="C28" i="10" s="1"/>
  <c r="F23" i="10"/>
  <c r="G23" i="10"/>
  <c r="G18" i="10"/>
  <c r="H18" i="10"/>
  <c r="P306" i="11"/>
  <c r="Q303" i="11" s="1"/>
  <c r="Q306" i="11" s="1"/>
  <c r="R303" i="11" s="1"/>
  <c r="R306" i="11" s="1"/>
  <c r="S303" i="11" s="1"/>
  <c r="L18" i="10" l="1"/>
  <c r="D42" i="10"/>
  <c r="G45" i="10"/>
  <c r="D28" i="10"/>
  <c r="D32" i="10" s="1"/>
  <c r="D34" i="10" s="1"/>
  <c r="E28" i="10"/>
  <c r="C24" i="10"/>
  <c r="S306" i="11"/>
  <c r="E32" i="10" l="1"/>
  <c r="E34" i="10" s="1"/>
  <c r="G42" i="10"/>
  <c r="C32" i="10"/>
  <c r="C34" i="10" s="1"/>
  <c r="E47" i="10"/>
  <c r="F47" i="10"/>
  <c r="H46" i="10"/>
  <c r="E45" i="10"/>
  <c r="I42" i="10"/>
  <c r="E42" i="10"/>
  <c r="E44" i="10"/>
  <c r="G48" i="10"/>
  <c r="F46" i="10"/>
  <c r="I44" i="10"/>
  <c r="G49" i="10"/>
  <c r="F42" i="10"/>
  <c r="D48" i="10"/>
  <c r="H44" i="10"/>
  <c r="I45" i="10"/>
  <c r="E49" i="10"/>
  <c r="H48" i="10"/>
  <c r="H45" i="10"/>
  <c r="I43" i="10"/>
  <c r="H49" i="10"/>
  <c r="F43" i="10"/>
  <c r="D47" i="10"/>
  <c r="E46" i="10"/>
  <c r="H43" i="10"/>
  <c r="D43" i="10"/>
  <c r="D45" i="10"/>
  <c r="H47" i="10"/>
  <c r="I47" i="10"/>
  <c r="F48" i="10"/>
  <c r="I46" i="10"/>
  <c r="D49" i="10"/>
  <c r="G46" i="10"/>
  <c r="H42" i="10"/>
  <c r="E48" i="10"/>
  <c r="E43" i="10"/>
  <c r="F49" i="10"/>
  <c r="I49" i="10"/>
  <c r="G44" i="10"/>
  <c r="G47" i="10"/>
  <c r="D46" i="10"/>
  <c r="I48" i="10"/>
  <c r="F45" i="10"/>
  <c r="D44" i="10"/>
  <c r="F44" i="10"/>
  <c r="G43" i="10"/>
  <c r="O34" i="11"/>
  <c r="O62" i="11" s="1"/>
  <c r="O30" i="11"/>
  <c r="O32" i="11" l="1"/>
  <c r="O3" i="11"/>
  <c r="O36" i="11"/>
  <c r="O43" i="11"/>
  <c r="O29" i="11"/>
  <c r="O17" i="11"/>
  <c r="O23" i="11"/>
  <c r="O136" i="11"/>
  <c r="O64" i="11"/>
  <c r="O46" i="11"/>
  <c r="O40" i="11"/>
  <c r="O35" i="11"/>
  <c r="O49" i="11"/>
  <c r="O20" i="11"/>
  <c r="O55" i="11"/>
  <c r="P30" i="11"/>
  <c r="P34" i="11"/>
  <c r="P62" i="11" s="1"/>
  <c r="P32" i="11" s="1"/>
  <c r="P136" i="11" l="1"/>
  <c r="P43" i="11"/>
  <c r="P64" i="11"/>
  <c r="P20" i="11"/>
  <c r="P49" i="11"/>
  <c r="P17" i="11"/>
  <c r="P23" i="11"/>
  <c r="P40" i="11"/>
  <c r="P46" i="11"/>
  <c r="P3" i="11"/>
  <c r="P55" i="11"/>
  <c r="P29" i="11"/>
  <c r="P35" i="11"/>
  <c r="P36" i="11"/>
  <c r="Q30" i="11"/>
  <c r="Q34" i="11"/>
  <c r="Q62" i="11" s="1"/>
  <c r="Q32" i="11" s="1"/>
  <c r="Q55" i="11" l="1"/>
  <c r="Q49" i="11"/>
  <c r="Q23" i="11"/>
  <c r="Q20" i="11"/>
  <c r="Q46" i="11"/>
  <c r="Q29" i="11"/>
  <c r="Q136" i="11"/>
  <c r="Q43" i="11"/>
  <c r="Q40" i="11"/>
  <c r="Q17" i="11"/>
  <c r="Q3" i="11"/>
  <c r="Q64" i="11"/>
  <c r="Q35" i="11"/>
  <c r="Q36" i="11"/>
  <c r="R30" i="11"/>
  <c r="R34" i="11"/>
  <c r="R36" i="11" s="1"/>
  <c r="R62" i="11"/>
  <c r="R136" i="11" l="1"/>
  <c r="R32" i="11"/>
  <c r="R3" i="11"/>
  <c r="R29" i="11"/>
  <c r="R43" i="11"/>
  <c r="R55" i="11"/>
  <c r="R20" i="11"/>
  <c r="R17" i="11"/>
  <c r="R40" i="11"/>
  <c r="R64" i="11"/>
  <c r="R49" i="11"/>
  <c r="R35" i="11"/>
  <c r="R23" i="11"/>
  <c r="R46" i="11"/>
  <c r="S30" i="11"/>
  <c r="S34" i="11"/>
  <c r="S62" i="11" s="1"/>
  <c r="S32" i="11" s="1"/>
  <c r="S23" i="11" l="1"/>
  <c r="S136" i="11"/>
  <c r="S3" i="11"/>
  <c r="S20" i="11"/>
  <c r="S55" i="11"/>
  <c r="S17" i="11"/>
  <c r="S29" i="11"/>
  <c r="S64" i="11"/>
  <c r="S35" i="11"/>
  <c r="S49" i="11"/>
  <c r="S46" i="11"/>
  <c r="S43" i="11"/>
  <c r="S40" i="11"/>
  <c r="S36" i="11"/>
  <c r="AB11" i="17" l="1"/>
  <c r="AC11" i="17"/>
  <c r="AE11" i="17"/>
  <c r="AD1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tc={8FB79C63-F8A1-4AC2-85A5-11F8535B901F}</author>
    <author>tc={B7003118-D174-40D5-B50C-AAF73009B352}</author>
    <author>tc={0FDCC57D-9C5E-41B8-B4ED-946251049B70}</author>
  </authors>
  <commentList>
    <comment ref="AD4" authorId="0" shapeId="0" xr:uid="{8FB79C63-F8A1-4AC2-85A5-11F8535B901F}">
      <text>
        <t>[Threaded comment]
Your version of Excel allows you to read this threaded comment; however, any edits to it will get removed if the file is opened in a newer version of Excel. Learn more: https://go.microsoft.com/fwlink/?linkid=870924
Comment:
    =Comperable operating profits - total financial income and expense- income tax expenses - non-controlling interest - tax on items affecting comparability</t>
      </text>
    </comment>
    <comment ref="M5" authorId="1" shapeId="0" xr:uid="{B7003118-D174-40D5-B50C-AAF73009B352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NESTE.HE 46.39 1.13 2.50% : Neste Oyj - Yahoo Finance</t>
      </text>
    </comment>
    <comment ref="M6" authorId="2" shapeId="0" xr:uid="{0FDCC57D-9C5E-41B8-B4ED-946251049B70}">
      <text>
        <t>[Threaded comment]
Your version of Excel allows you to read this threaded comment; however, any edits to it will get removed if the file is opened in a newer version of Excel. Learn more: https://go.microsoft.com/fwlink/?linkid=870924
Comment:
    Finland Stock market return - data, chart | TheGlobalEconomy.com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torstila</author>
    <author>tc={4AA7E1A4-83A9-44E3-8C24-577AAA08A69A}</author>
    <author>tc={0A1106DE-AF4A-4157-B70E-192204850C48}</author>
    <author>tc={046E5A76-979C-4FBB-971C-D7D570E269B5}</author>
    <author>tc={1D3CC82D-253E-4A7B-B942-BEBA28E0469A}</author>
  </authors>
  <commentList>
    <comment ref="Z3" authorId="0" shapeId="0" xr:uid="{3A81BDE9-E763-4275-AFEC-19B2FABAF923}">
      <text>
        <r>
          <rPr>
            <b/>
            <sz val="8"/>
            <color indexed="81"/>
            <rFont val="Tahoma"/>
            <family val="2"/>
          </rPr>
          <t>torstila:</t>
        </r>
        <r>
          <rPr>
            <sz val="8"/>
            <color indexed="81"/>
            <rFont val="Tahoma"/>
            <family val="2"/>
          </rPr>
          <t xml:space="preserve">
Long government bond
</t>
        </r>
      </text>
    </comment>
    <comment ref="Z4" authorId="0" shapeId="0" xr:uid="{BA52A48A-6A97-4CF1-8EC2-73B8363F619C}">
      <text>
        <r>
          <rPr>
            <b/>
            <sz val="8"/>
            <color indexed="81"/>
            <rFont val="Tahoma"/>
            <family val="2"/>
          </rPr>
          <t>torstila:</t>
        </r>
        <r>
          <rPr>
            <sz val="8"/>
            <color indexed="81"/>
            <rFont val="Tahoma"/>
            <family val="2"/>
          </rPr>
          <t xml:space="preserve">
Historically 6-7%, many would now use a lower figure</t>
        </r>
      </text>
    </comment>
    <comment ref="AD4" authorId="1" shapeId="0" xr:uid="{4AA7E1A4-83A9-44E3-8C24-577AAA08A69A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NESTE.HE 46.39 1.13 2.50% : Neste Oyj - Yahoo Finance</t>
      </text>
    </comment>
    <comment ref="AD5" authorId="2" shapeId="0" xr:uid="{0A1106DE-AF4A-4157-B70E-192204850C48}">
      <text>
        <t>[Threaded comment]
Your version of Excel allows you to read this threaded comment; however, any edits to it will get removed if the file is opened in a newer version of Excel. Learn more: https://go.microsoft.com/fwlink/?linkid=870924
Comment:
    Finland Stock market return - data, chart | TheGlobalEconomy.com</t>
      </text>
    </comment>
    <comment ref="Z6" authorId="0" shapeId="0" xr:uid="{E2B5FCB7-DA71-4F47-A281-B45480557315}">
      <text>
        <r>
          <rPr>
            <b/>
            <sz val="8"/>
            <color indexed="81"/>
            <rFont val="Tahoma"/>
            <family val="2"/>
          </rPr>
          <t>torstila:</t>
        </r>
        <r>
          <rPr>
            <sz val="8"/>
            <color indexed="81"/>
            <rFont val="Tahoma"/>
            <family val="2"/>
          </rPr>
          <t xml:space="preserve">
CAPM formula, re=rf+b*(rm-rf)</t>
        </r>
      </text>
    </comment>
    <comment ref="D70" authorId="3" shapeId="0" xr:uid="{046E5A76-979C-4FBB-971C-D7D570E269B5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NESTE.HE 46.39 1.13 2.50% : Neste Oyj - Yahoo Finance</t>
      </text>
    </comment>
    <comment ref="D71" authorId="4" shapeId="0" xr:uid="{1D3CC82D-253E-4A7B-B942-BEBA28E04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Finland Stock market return - data, chart | TheGlobalEconomy.com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tc={641E67CB-379C-4A2B-92EE-8BACD16241CE}</author>
  </authors>
  <commentList>
    <comment ref="A67" authorId="0" shapeId="0" xr:uid="{641E67CB-379C-4A2B-92EE-8BACD16241CE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leases and property costs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tc={86C5471D-EA2E-4D3C-84E8-F03BDBAAF7C2}</author>
    <author>tc={3B2280C7-C412-4C46-A8E9-2D808B8D4E47}</author>
    <author>tc={50A4A3E8-737B-4D15-939F-F64C522AD4D9}</author>
    <author>tc={64A77778-D1A5-49AF-9470-6CF9ED70942A}</author>
    <author>tc={AA6B2EBF-F147-419F-88D7-B5F05997B7D4}</author>
    <author>tc={F2C89254-0FCA-40F4-83DA-1131FF9AFE8E}</author>
    <author>tc={B41CFFCA-E586-457A-9C65-C10AB1E34DB4}</author>
    <author>tc={0A284A2E-BFF4-4A2F-94C3-16CD3CFD04D1}</author>
    <author>tc={7160928E-B9E0-4C3F-8081-1C52D7BA0142}</author>
    <author>tc={723290D1-82FC-446A-AE48-4BAAE1855C3C}</author>
  </authors>
  <commentList>
    <comment ref="A68" authorId="0" shapeId="0" xr:uid="{86C5471D-EA2E-4D3C-84E8-F03BDBAAF7C2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Neste’s shares are mainly traded on NASDAQ Helsinki Ltd; As of 31 December 2020, the State of Finland owned directly 35.9% (36.0% at the end of 2019) of outstanding shares, 
foreign institutions 40.2% (38.1%), Finnish institutions 16.4% (18.2%), and households 7.5% (7.8%).</t>
      </text>
    </comment>
    <comment ref="A148" authorId="1" shapeId="0" xr:uid="{3B2280C7-C412-4C46-A8E9-2D808B8D4E4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from non-normal operating activities :gain on sales of subsidaires, insurance compensation, income</t>
      </text>
    </comment>
    <comment ref="A177" authorId="2" shapeId="0" xr:uid="{50A4A3E8-737B-4D15-939F-F64C522AD4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instrument at amortized costs  and fair value gain/loss
</t>
      </text>
    </comment>
    <comment ref="A198" authorId="3" shapeId="0" xr:uid="{64A77778-D1A5-49AF-9470-6CF9ED7094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Navidom OY and Neste Demeter BV
</t>
      </text>
    </comment>
    <comment ref="A277" authorId="4" shapeId="0" xr:uid="{AA6B2EBF-F147-419F-88D7-B5F05997B7D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profit/loss in joint ventures + depreciation/ amotization +other non-cash income/loss + profit/ loss from disposal of fixed income</t>
      </text>
    </comment>
    <comment ref="A280" authorId="5" shapeId="0" xr:uid="{F2C89254-0FCA-40F4-83DA-1131FF9AFE8E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cost from short/long term borrowing</t>
      </text>
    </comment>
    <comment ref="W287" authorId="6" shapeId="0" xr:uid="{B41CFFCA-E586-457A-9C65-C10AB1E34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instrument at amortized costs  and fair value gain/loss
</t>
      </text>
    </comment>
    <comment ref="O290" authorId="7" shapeId="0" xr:uid="{0A284A2E-BFF4-4A2F-94C3-16CD3CFD04D1}">
      <text>
        <t>[Threaded comment]
Your version of Excel allows you to read this threaded comment; however, any edits to it will get removed if the file is opened in a newer version of Excel. Learn more: https://go.microsoft.com/fwlink/?linkid=870924
Comment:
    so they havae 10 m&amp;a on going and some other projects, so should be positive
(?)</t>
      </text>
    </comment>
    <comment ref="A381" authorId="8" shapeId="0" xr:uid="{7160928E-B9E0-4C3F-8081-1C52D7BA01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profit/loss in joint ventures + depreciation/ amotization +other non-cash income/loss + profit/ loss from disposal of fixed income</t>
      </text>
    </comment>
    <comment ref="A384" authorId="9" shapeId="0" xr:uid="{723290D1-82FC-446A-AE48-4BAAE1855C3C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cost from short/long term borrowing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tc={A602F96C-5B94-4C38-A493-31F034786212}</author>
  </authors>
  <commentList>
    <comment ref="A60" authorId="0" shapeId="0" xr:uid="{A602F96C-5B94-4C38-A493-31F034786212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leases and property costs</t>
      </text>
    </comment>
  </commentList>
</comments>
</file>

<file path=xl/sharedStrings.xml><?xml version="1.0" encoding="utf-8"?>
<sst xmlns="http://schemas.openxmlformats.org/spreadsheetml/2006/main" count="1830" uniqueCount="621">
  <si>
    <t>Income Statement</t>
  </si>
  <si>
    <t>COMPARATIVE-IS</t>
  </si>
  <si>
    <t>TREND-IS</t>
  </si>
  <si>
    <t>FY 2018</t>
  </si>
  <si>
    <t>FY2019</t>
  </si>
  <si>
    <t>FY2020</t>
  </si>
  <si>
    <t>Revenue</t>
  </si>
  <si>
    <t xml:space="preserve">Cost of revenue (material and services) </t>
  </si>
  <si>
    <t>Gross margin</t>
  </si>
  <si>
    <t>Other income</t>
  </si>
  <si>
    <t>Share of profit (loss) of joint ventures</t>
  </si>
  <si>
    <t>Employee benefit costs</t>
  </si>
  <si>
    <t>Depreciation, amortization and impairments</t>
  </si>
  <si>
    <t>Other expenses</t>
  </si>
  <si>
    <t>Operating profit EBIT</t>
  </si>
  <si>
    <t>Financial net</t>
  </si>
  <si>
    <t>Profit before income taxes EBT</t>
  </si>
  <si>
    <t>Income taxes</t>
  </si>
  <si>
    <t>Profit of the period</t>
  </si>
  <si>
    <t xml:space="preserve">Profit atributed to </t>
  </si>
  <si>
    <t>Owners of the parent</t>
  </si>
  <si>
    <t xml:space="preserve">Non-controlling interests </t>
  </si>
  <si>
    <t xml:space="preserve">Revenue stream per product category </t>
  </si>
  <si>
    <t> </t>
  </si>
  <si>
    <t>EUR million</t>
  </si>
  <si>
    <t>FY 2020</t>
  </si>
  <si>
    <t>Renewable Products</t>
  </si>
  <si>
    <t>Oil Products</t>
  </si>
  <si>
    <t>Marketing &amp; Services</t>
  </si>
  <si>
    <t>Others</t>
  </si>
  <si>
    <t>Eliminations</t>
  </si>
  <si>
    <t xml:space="preserve">Total </t>
  </si>
  <si>
    <t xml:space="preserve">Share of revenue  per product category </t>
  </si>
  <si>
    <t xml:space="preserve">Operating profit  per product category </t>
  </si>
  <si>
    <t xml:space="preserve">Share of operating profit  per product category </t>
  </si>
  <si>
    <t xml:space="preserve">BALANCE SHEET- ASSETS </t>
  </si>
  <si>
    <t>COMPARATIVE-BALANCE SHEET</t>
  </si>
  <si>
    <t>TREND ANALYSIS-BALANCE SHEET</t>
  </si>
  <si>
    <t>Non-current assets</t>
  </si>
  <si>
    <t>Intangible assets</t>
  </si>
  <si>
    <t xml:space="preserve">Tangible assets </t>
  </si>
  <si>
    <t>Investments in associates and joint ventures</t>
  </si>
  <si>
    <t>Non- current Receivables</t>
  </si>
  <si>
    <t>Deferred tax assets</t>
  </si>
  <si>
    <t>Derivative financial instruments</t>
  </si>
  <si>
    <t>Other financial assets</t>
  </si>
  <si>
    <t>Total non-current assets</t>
  </si>
  <si>
    <t>Current-assets</t>
  </si>
  <si>
    <t>Inventories</t>
  </si>
  <si>
    <t>Trade and other recievables</t>
  </si>
  <si>
    <t>Current investements</t>
  </si>
  <si>
    <t>Cash and cash equivalents</t>
  </si>
  <si>
    <t xml:space="preserve">Total current assets </t>
  </si>
  <si>
    <t xml:space="preserve">Assets classified as held for sale </t>
  </si>
  <si>
    <t xml:space="preserve">Total assets </t>
  </si>
  <si>
    <t xml:space="preserve">BALANCE SHEET- EQUITY AND LIABILITIES </t>
  </si>
  <si>
    <t xml:space="preserve">EQUITY </t>
  </si>
  <si>
    <t>LIABILITIES</t>
  </si>
  <si>
    <t>Non-current liabilites</t>
  </si>
  <si>
    <t>Interest-bearing liabilities</t>
  </si>
  <si>
    <t>Deferred tax liabilities</t>
  </si>
  <si>
    <t>Provisions</t>
  </si>
  <si>
    <t>Pension liabilities</t>
  </si>
  <si>
    <t>Other non-current liabilities</t>
  </si>
  <si>
    <t>Total non-current liabilities</t>
  </si>
  <si>
    <t>Current liabilities</t>
  </si>
  <si>
    <t>Current tax liabilities</t>
  </si>
  <si>
    <t>Trade and other payable</t>
  </si>
  <si>
    <t>Total current liabilities</t>
  </si>
  <si>
    <t>Total liabilities</t>
  </si>
  <si>
    <t>Total equity and liabilities</t>
  </si>
  <si>
    <t>Cash Flow Statement</t>
  </si>
  <si>
    <t>Comparative CF</t>
  </si>
  <si>
    <t>Trend CF</t>
  </si>
  <si>
    <t>CF from operations</t>
  </si>
  <si>
    <t>Profit before income taxes</t>
  </si>
  <si>
    <t>Adjustments</t>
  </si>
  <si>
    <t>CFO before changes in WC</t>
  </si>
  <si>
    <t>Change in net working capital</t>
  </si>
  <si>
    <t>Trade and other receivables, increase (-), decrease (+)</t>
  </si>
  <si>
    <t>Inventories, increase (-), decrease (+)</t>
  </si>
  <si>
    <t>Trade and other payables increase (+), decrease (-)</t>
  </si>
  <si>
    <t>CFO before financial items and taxes</t>
  </si>
  <si>
    <t>Interest and other finance cost paid</t>
  </si>
  <si>
    <t>Interest income received</t>
  </si>
  <si>
    <t>Realized foreign exchange gains and losses</t>
  </si>
  <si>
    <t>Income taxes paid</t>
  </si>
  <si>
    <t>∑ CFO</t>
  </si>
  <si>
    <t>CF from investments</t>
  </si>
  <si>
    <t>Purchases of property, plant and equipment</t>
  </si>
  <si>
    <t>Purchases of intangible assets</t>
  </si>
  <si>
    <t>Acquisitions of subsidiaries, net of cash acquired</t>
  </si>
  <si>
    <t>Acquisitions of associates and joint ventures</t>
  </si>
  <si>
    <t>n/a</t>
  </si>
  <si>
    <t>Proceeds from sales of subsidiaries and business operations,  net of cash disposed</t>
  </si>
  <si>
    <t>Proceeds from sales of property, plant and equipment</t>
  </si>
  <si>
    <t>Proceeds from sales of shares in joint arrangements</t>
  </si>
  <si>
    <t>Changes in long-term receivables and other investments</t>
  </si>
  <si>
    <t xml:space="preserve"> ∑ CFI</t>
  </si>
  <si>
    <t>CF from financing</t>
  </si>
  <si>
    <t>Payment of (–) / proceeds from (+) current interest-bearing liabilities</t>
  </si>
  <si>
    <t>Proceeds from non-current interest-bearing liabilities</t>
  </si>
  <si>
    <t>Repayments of non-current interest-bearing liabilities</t>
  </si>
  <si>
    <t>Dividends paid to the owners of the parent</t>
  </si>
  <si>
    <t>Dividends paid to non-controlling interests</t>
  </si>
  <si>
    <t>∑ CFF</t>
  </si>
  <si>
    <t>Change in cash</t>
  </si>
  <si>
    <t>revenue</t>
  </si>
  <si>
    <t>Financial ratios</t>
  </si>
  <si>
    <t>FY2016</t>
  </si>
  <si>
    <t>FY2017</t>
  </si>
  <si>
    <t>FY2018</t>
  </si>
  <si>
    <t>Profitability</t>
  </si>
  <si>
    <t>ROA</t>
  </si>
  <si>
    <t>ROACE</t>
  </si>
  <si>
    <t>ROE</t>
  </si>
  <si>
    <t>Liquidity</t>
  </si>
  <si>
    <t>Current ratio</t>
  </si>
  <si>
    <t>Working capital</t>
  </si>
  <si>
    <t>Activity</t>
  </si>
  <si>
    <t>Accounts receivable turnover</t>
  </si>
  <si>
    <t>Inventory turnover</t>
  </si>
  <si>
    <t>Accounts payable turnover</t>
  </si>
  <si>
    <t>Financial leverage</t>
  </si>
  <si>
    <t>Equity-to-assets ratio</t>
  </si>
  <si>
    <t>Leverage ratio</t>
  </si>
  <si>
    <t>Other</t>
  </si>
  <si>
    <t>Number of employees</t>
  </si>
  <si>
    <t>Revenue per employee (EUR million)</t>
  </si>
  <si>
    <t xml:space="preserve">SHARE RELATED RATIOS </t>
  </si>
  <si>
    <t>Earnings per share (EUR)</t>
  </si>
  <si>
    <t>Equity per share (EUR)</t>
  </si>
  <si>
    <t>Price/earnings ratio</t>
  </si>
  <si>
    <t>P/B</t>
  </si>
  <si>
    <t>Dividend per share (EUR)</t>
  </si>
  <si>
    <t>Dividend yield %</t>
  </si>
  <si>
    <t>Share price Dec 31 (EUR)</t>
  </si>
  <si>
    <t>raw data from yahoo finance</t>
  </si>
  <si>
    <t>Weighted average number of shares outstanding</t>
  </si>
  <si>
    <t>Date</t>
  </si>
  <si>
    <t>Dividends</t>
  </si>
  <si>
    <t>total</t>
  </si>
  <si>
    <t>growth rate of dividends</t>
  </si>
  <si>
    <t>avg</t>
  </si>
  <si>
    <t>Dividends paid</t>
  </si>
  <si>
    <t>Year</t>
  </si>
  <si>
    <t>Dividend per share</t>
  </si>
  <si>
    <t>% growth</t>
  </si>
  <si>
    <t>Column1</t>
  </si>
  <si>
    <t>Comparable operating net profit</t>
  </si>
  <si>
    <t>Risk-free return</t>
  </si>
  <si>
    <t>Comparable net profit</t>
  </si>
  <si>
    <t>beta</t>
  </si>
  <si>
    <t>Average stock return</t>
  </si>
  <si>
    <t>Present Value Factor</t>
  </si>
  <si>
    <t>Cost of equity</t>
  </si>
  <si>
    <t>Present Value net dividends</t>
  </si>
  <si>
    <t>Sum</t>
  </si>
  <si>
    <t>**https://www.neste.com/investors/neste-investment/dividend-policy</t>
  </si>
  <si>
    <t>PV of continuing value</t>
  </si>
  <si>
    <t>g</t>
  </si>
  <si>
    <t>Dividend policy :50% of the comparable net profit</t>
  </si>
  <si>
    <t>r</t>
  </si>
  <si>
    <t>Dividends paid over the past 5 years</t>
  </si>
  <si>
    <t>Contiously growth rate</t>
  </si>
  <si>
    <t>theses numbers are for DDM model</t>
  </si>
  <si>
    <t>Dividends per share</t>
  </si>
  <si>
    <t>Stock Splits</t>
  </si>
  <si>
    <t>1/(1+r)^t</t>
  </si>
  <si>
    <t>Only split once over the past 5 years</t>
  </si>
  <si>
    <t>p0</t>
  </si>
  <si>
    <t>DDM</t>
  </si>
  <si>
    <t>DCF</t>
  </si>
  <si>
    <t>Difference</t>
  </si>
  <si>
    <t>Terminal growth rate of Dividends</t>
  </si>
  <si>
    <t>EV</t>
  </si>
  <si>
    <t>current share price</t>
  </si>
  <si>
    <t>cost of equity</t>
  </si>
  <si>
    <t>Discount rate</t>
  </si>
  <si>
    <t>Terminal growth</t>
  </si>
  <si>
    <t xml:space="preserve"> growth rate</t>
  </si>
  <si>
    <t>value from year 1 to 5</t>
  </si>
  <si>
    <t>terminal value</t>
  </si>
  <si>
    <t>value of cash flows year 1 to 5</t>
  </si>
  <si>
    <t>disount factor</t>
  </si>
  <si>
    <t>Terminal value</t>
  </si>
  <si>
    <t>discount factor</t>
  </si>
  <si>
    <t>terminal value year 6</t>
  </si>
  <si>
    <t>Total entity value</t>
  </si>
  <si>
    <t>Share outstanding (M)</t>
  </si>
  <si>
    <t>price</t>
  </si>
  <si>
    <t>we need to re-organize the number and build our Free cash flow model here</t>
  </si>
  <si>
    <t>Year+1</t>
  </si>
  <si>
    <t>Year+2</t>
  </si>
  <si>
    <t>Year+3</t>
  </si>
  <si>
    <t>Year+4</t>
  </si>
  <si>
    <t>Year+5</t>
  </si>
  <si>
    <t>Free cash flow</t>
  </si>
  <si>
    <t>Risk-free rate</t>
  </si>
  <si>
    <t>Sales</t>
  </si>
  <si>
    <t>DPS</t>
  </si>
  <si>
    <t>Market risk premium</t>
  </si>
  <si>
    <t>MPS</t>
  </si>
  <si>
    <t>Beta</t>
  </si>
  <si>
    <t>EBT</t>
  </si>
  <si>
    <t>Equity return</t>
  </si>
  <si>
    <t>Interest</t>
  </si>
  <si>
    <t>*Average Interest Rate of the loan portfolio is 1.90 %</t>
  </si>
  <si>
    <t>Interest on debt</t>
  </si>
  <si>
    <t>source: https://www.neste.com/investors/credit/financial-risk-management</t>
  </si>
  <si>
    <t>EBIT</t>
  </si>
  <si>
    <t>Equity</t>
  </si>
  <si>
    <t>%margin</t>
  </si>
  <si>
    <t>Debt</t>
  </si>
  <si>
    <t>Less taxes</t>
  </si>
  <si>
    <t>source：https://nordeamarkets.com/fi/commissioned-research-atria/</t>
  </si>
  <si>
    <t>Less Capex</t>
  </si>
  <si>
    <t>WACC</t>
  </si>
  <si>
    <t>Plus depre</t>
  </si>
  <si>
    <t>changes in NWC</t>
  </si>
  <si>
    <t>Unlevered free cash flow</t>
  </si>
  <si>
    <t>NPV of forecast</t>
  </si>
  <si>
    <t>TOTal npv</t>
  </si>
  <si>
    <t>DCF valuation</t>
  </si>
  <si>
    <t>NPV of forecase</t>
  </si>
  <si>
    <t>NPV of terminial value</t>
  </si>
  <si>
    <t>DCF sensitivity analysis</t>
  </si>
  <si>
    <t>Sensitivity for DCF entity value over share outstanding ( market price)</t>
  </si>
  <si>
    <t>based on weighted average cost of capital and terminal growth rate</t>
  </si>
  <si>
    <t>Terminal growth rate of FCF</t>
  </si>
  <si>
    <r>
      <t>NWC %</t>
    </r>
    <r>
      <rPr>
        <sz val="10"/>
        <rFont val="Arial"/>
        <family val="2"/>
      </rPr>
      <t xml:space="preserve"> of sales</t>
    </r>
  </si>
  <si>
    <t>NWC level (€m)</t>
  </si>
  <si>
    <t>change</t>
  </si>
  <si>
    <t>Assumptions</t>
  </si>
  <si>
    <t>NWC</t>
  </si>
  <si>
    <t>cost of debt</t>
  </si>
  <si>
    <t>Equity % of Capital</t>
  </si>
  <si>
    <t>Debt % of Capital</t>
  </si>
  <si>
    <t>Cost of Equity</t>
  </si>
  <si>
    <t>REVENUE</t>
  </si>
  <si>
    <t>Renewable products</t>
  </si>
  <si>
    <t>Y+1</t>
  </si>
  <si>
    <t>y+2</t>
  </si>
  <si>
    <t>y+3</t>
  </si>
  <si>
    <t>y+5</t>
  </si>
  <si>
    <t>Comparable operating profit</t>
  </si>
  <si>
    <t>Rate change</t>
  </si>
  <si>
    <t>Total</t>
  </si>
  <si>
    <t>inventory valuation gains/losses</t>
  </si>
  <si>
    <t>1-12/2019</t>
  </si>
  <si>
    <t>1-12/2020</t>
  </si>
  <si>
    <t>Rate of change</t>
  </si>
  <si>
    <t>Common size</t>
  </si>
  <si>
    <t>changes in the fair value of open commodity and currency derivatives</t>
  </si>
  <si>
    <t>capital gains and losses</t>
  </si>
  <si>
    <t>Insurance</t>
  </si>
  <si>
    <t>Impairment</t>
  </si>
  <si>
    <t>Other adjustment</t>
  </si>
  <si>
    <t>Operating profit</t>
  </si>
  <si>
    <t>* we changed here at 2am， Let's reference this as total revenue</t>
  </si>
  <si>
    <t>Oil products</t>
  </si>
  <si>
    <t>Average operating margin</t>
  </si>
  <si>
    <t>* Just changed</t>
  </si>
  <si>
    <t>Marketing&amp;service</t>
  </si>
  <si>
    <t>DEPRECIATION, AMORTIZATION AND IMPAIRMENTS</t>
  </si>
  <si>
    <t>1-12/2017</t>
  </si>
  <si>
    <t>** use the same rate to project the depreciation of the oil product</t>
  </si>
  <si>
    <t>** same with the year 2020</t>
  </si>
  <si>
    <t>lease and property</t>
  </si>
  <si>
    <t>** use the average</t>
  </si>
  <si>
    <t>CAPITAL EXPENDITURE AND INVESTMENTS IN SHARES</t>
  </si>
  <si>
    <t>Change in trade and other receivables</t>
  </si>
  <si>
    <t>Change in inventories</t>
  </si>
  <si>
    <t>Change in trade and payables</t>
  </si>
  <si>
    <t>Net working capital</t>
  </si>
  <si>
    <t xml:space="preserve">NET WORKING CAPITAL IN DAYS OUTSTANDING </t>
  </si>
  <si>
    <t>Balance or not (</t>
  </si>
  <si>
    <t xml:space="preserve">so here </t>
  </si>
  <si>
    <t>TE+TL-TA</t>
  </si>
  <si>
    <t>Balance Sheet</t>
  </si>
  <si>
    <t>Actual</t>
  </si>
  <si>
    <t>Forecasts</t>
  </si>
  <si>
    <t>Financial target: 1. Leverage ratio below 40%, 2. ROACE(return on average capital employed) annually 15%. 3. Dividend policy: at least 50% of comparable net profits as dividends</t>
  </si>
  <si>
    <t>ASSETS</t>
  </si>
  <si>
    <t>common size</t>
  </si>
  <si>
    <t xml:space="preserve">rate of change </t>
  </si>
  <si>
    <t>Property, plant and equipment</t>
  </si>
  <si>
    <t>Non-current receivables</t>
  </si>
  <si>
    <t>Current assets</t>
  </si>
  <si>
    <t>* inventory is related to sales</t>
  </si>
  <si>
    <t>avg for 3 years</t>
  </si>
  <si>
    <t>*return to normal level</t>
  </si>
  <si>
    <t>Trade and other receivables</t>
  </si>
  <si>
    <t>Current investments</t>
  </si>
  <si>
    <t>Assume ending cash banlance equals 28 days sells</t>
  </si>
  <si>
    <t>Total current assets</t>
  </si>
  <si>
    <t>Assets classified as held for sale</t>
  </si>
  <si>
    <t>Total assets</t>
  </si>
  <si>
    <t>EQUITY</t>
  </si>
  <si>
    <t>Capital and reserves attributable to the owners of the parent</t>
  </si>
  <si>
    <t>Share capital</t>
  </si>
  <si>
    <t>Other equity</t>
  </si>
  <si>
    <t>Non-controlling interests</t>
  </si>
  <si>
    <t>Total equity</t>
  </si>
  <si>
    <t>Non-current liabilities</t>
  </si>
  <si>
    <t>Trade and other payables</t>
  </si>
  <si>
    <t>Liabilities related to assets held for sale</t>
  </si>
  <si>
    <t>Operating margin = Operating income/revenue</t>
  </si>
  <si>
    <t>*opearting income=profits for the period +interest +tax</t>
  </si>
  <si>
    <t>TL/(TL+TE0</t>
  </si>
  <si>
    <t>TE/(TL+TE)</t>
  </si>
  <si>
    <t>Income statement</t>
  </si>
  <si>
    <t>CONSOLIDATED STATEMENT OF INCOME</t>
  </si>
  <si>
    <t>Materials and services</t>
  </si>
  <si>
    <t>*fixed</t>
  </si>
  <si>
    <t xml:space="preserve">*Used the operating profits -others </t>
  </si>
  <si>
    <t>Financial income and expenses</t>
  </si>
  <si>
    <t xml:space="preserve">  Financial income</t>
  </si>
  <si>
    <t>*avg</t>
  </si>
  <si>
    <t>*interest bearing net debt</t>
  </si>
  <si>
    <t xml:space="preserve">  Financial expenses</t>
  </si>
  <si>
    <t>!! Interest expense</t>
  </si>
  <si>
    <t xml:space="preserve">  Exchange rate and fair value gains and losses</t>
  </si>
  <si>
    <t>Total financial income and expenses</t>
  </si>
  <si>
    <t>Leases liabilities and exchange rate, fair value gain an loss</t>
  </si>
  <si>
    <t>(EBT)</t>
  </si>
  <si>
    <t>*Operating profits-total financial income and expenses</t>
  </si>
  <si>
    <t>Income tax expense</t>
  </si>
  <si>
    <t>*Corporate Taxes</t>
  </si>
  <si>
    <t>* Source from Nordea: https://www.nordeatrade.com/fi/explore-new-market/finland/taxes</t>
  </si>
  <si>
    <t>Profit for the period</t>
  </si>
  <si>
    <t>*EBT+tax expense</t>
  </si>
  <si>
    <t>Profit attributable to:</t>
  </si>
  <si>
    <t>*A non-controlling interest, also known as a minority interest, is an ownership position wherein a shareholder owns less than 50% of outstanding shares and has no control over decisions. Non-controlling interests are measured at the net asset value of entities and do not account for potential voting rights.</t>
  </si>
  <si>
    <t>Basic earnings per share</t>
  </si>
  <si>
    <t>Diluted earnings per share</t>
  </si>
  <si>
    <t>CONSOLIDATED STATEMENT OF COMPREHENSIVE  INCOME</t>
  </si>
  <si>
    <t>Other comprehensive income net of tax:</t>
  </si>
  <si>
    <t>Items that will not be reclassified to profit or loss</t>
  </si>
  <si>
    <t>Remeasurements on defined benefit plans</t>
  </si>
  <si>
    <t>Net change of other investments at fair value</t>
  </si>
  <si>
    <t>Items that may be reclassified subsequently to profit or loss</t>
  </si>
  <si>
    <t>Translation differences</t>
  </si>
  <si>
    <t>Cash flow hedges</t>
  </si>
  <si>
    <t>recorded in equity</t>
  </si>
  <si>
    <t>transferred to income statement</t>
  </si>
  <si>
    <t>Share of other comprehensive income of investments accounted for using the equity method</t>
  </si>
  <si>
    <t>Other comprehensive income for the period, net of tax</t>
  </si>
  <si>
    <t>(has deducted from the amount of tax)</t>
  </si>
  <si>
    <t>Total comprehensive income for the period</t>
  </si>
  <si>
    <t>Total comprehensive income attributable to:</t>
  </si>
  <si>
    <t>so FCFE is nice to have,</t>
  </si>
  <si>
    <t>the urgent thing is the DDM model</t>
  </si>
  <si>
    <t>ok !</t>
  </si>
  <si>
    <t>Condensed consolidated Cash Flow Statement</t>
  </si>
  <si>
    <t>Cash flows from operating activities</t>
  </si>
  <si>
    <t xml:space="preserve"> </t>
  </si>
  <si>
    <t>Adjustments, total</t>
  </si>
  <si>
    <t>Cash generated from operations</t>
  </si>
  <si>
    <t>Finance cost, net</t>
  </si>
  <si>
    <t>Net cash generated from operating activities</t>
  </si>
  <si>
    <t>Cash flows from investing activities</t>
  </si>
  <si>
    <t>Capital expenditure</t>
  </si>
  <si>
    <t>Acquisitions of subsidiaries</t>
  </si>
  <si>
    <t>*They have 10 M&amp;A</t>
  </si>
  <si>
    <t>Proceeds from sales of shares in subsidiaries and business operations</t>
  </si>
  <si>
    <t>Cash flow before financing activities</t>
  </si>
  <si>
    <t>Cash flows from financing activities</t>
  </si>
  <si>
    <t>capex&amp;in</t>
  </si>
  <si>
    <t>Net change in loans and other financing activities</t>
  </si>
  <si>
    <t>in</t>
  </si>
  <si>
    <t>Net increase (+) / decrease (-) in cash and cash equivalents</t>
  </si>
  <si>
    <t>capex</t>
  </si>
  <si>
    <t>disclosed number</t>
  </si>
  <si>
    <t>Cash and cash equivalents at the beginning of the period</t>
  </si>
  <si>
    <t>mystery difference</t>
  </si>
  <si>
    <t>Exchange gains (+) / losses (-) on cash and cash equivalents</t>
  </si>
  <si>
    <t>adjusted capex</t>
  </si>
  <si>
    <r>
      <t xml:space="preserve">Cash and cash equivalents at the end of the period </t>
    </r>
    <r>
      <rPr>
        <b/>
        <vertAlign val="superscript"/>
        <sz val="12"/>
        <rFont val="Arial"/>
        <family val="2"/>
      </rPr>
      <t>1)</t>
    </r>
  </si>
  <si>
    <t>1) Including cash and cash equivalents of EUR 1 million classified as held for sale as of 31 December 2020.</t>
  </si>
  <si>
    <t>* info related to M&amp;A</t>
  </si>
  <si>
    <t>10 M&amp;A</t>
  </si>
  <si>
    <t>Back up version</t>
  </si>
  <si>
    <t>https://www.neste.com/investors/financials/interim-reports</t>
  </si>
  <si>
    <t>NESTE GROUP</t>
  </si>
  <si>
    <t>JANUARY - DECEMBER 2020</t>
  </si>
  <si>
    <t>https://finance.yahoo.com/quote/NESTE.HE/balance-sheet/</t>
  </si>
  <si>
    <t>The financial statements release is unaudited</t>
  </si>
  <si>
    <t>FINANCIAL STATEMENT SUMMARY AND NOTES TO THE FINANCIAL STATEMENT</t>
  </si>
  <si>
    <r>
      <t xml:space="preserve">Restated </t>
    </r>
    <r>
      <rPr>
        <vertAlign val="superscript"/>
        <sz val="11"/>
        <rFont val="Arial"/>
        <family val="2"/>
      </rPr>
      <t>3)</t>
    </r>
  </si>
  <si>
    <t>Note</t>
  </si>
  <si>
    <t>COMPARABLE OPERATING PROFIT</t>
  </si>
  <si>
    <t>3, 4</t>
  </si>
  <si>
    <t>5, 9</t>
  </si>
  <si>
    <t>Insuarance</t>
  </si>
  <si>
    <t>impairments</t>
  </si>
  <si>
    <t>other adjustments</t>
  </si>
  <si>
    <t>OPERATING PROFIT</t>
  </si>
  <si>
    <t>Restated</t>
  </si>
  <si>
    <t xml:space="preserve">other adjustments </t>
  </si>
  <si>
    <t>CONSOLIDATED STATEMENT OF FINANCIAL POSITION</t>
  </si>
  <si>
    <t>31 Dec</t>
  </si>
  <si>
    <t>01/2020~12/2020</t>
  </si>
  <si>
    <t>01/2019~12/2019</t>
  </si>
  <si>
    <t>CONDENSED CONSOLIDATED CASH FLOW STATEMENT</t>
  </si>
  <si>
    <r>
      <rPr>
        <vertAlign val="superscript"/>
        <sz val="12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Including cash and cash equivalents of EUR 1 million classified as held for sale as of 31 December 2020. See Note 6 for further information.</t>
    </r>
  </si>
  <si>
    <t>KEY FIGURES</t>
  </si>
  <si>
    <r>
      <t>Earnings per share (EPS), EUR</t>
    </r>
    <r>
      <rPr>
        <vertAlign val="superscript"/>
        <sz val="11"/>
        <rFont val="Arial"/>
        <family val="2"/>
      </rPr>
      <t xml:space="preserve"> </t>
    </r>
  </si>
  <si>
    <t>Alternative performance measures</t>
  </si>
  <si>
    <t>EBITDA, EUR million</t>
  </si>
  <si>
    <t>Capital employed, EUR million</t>
  </si>
  <si>
    <t>Interest-bearing net debt, EUR million</t>
  </si>
  <si>
    <t>Capital expenditure and investment in shares, EUR million</t>
  </si>
  <si>
    <t>Return on average capital employed, after tax, (ROACE) %</t>
  </si>
  <si>
    <t>Return on equity, (ROE) %</t>
  </si>
  <si>
    <t>Equity per share, EUR</t>
  </si>
  <si>
    <t>Cash flow per share, EUR</t>
  </si>
  <si>
    <t>Price/earnings ratio (P/E)</t>
  </si>
  <si>
    <t>Comparable earnings per share, EUR</t>
  </si>
  <si>
    <t>Equity-to-assets ratio, %</t>
  </si>
  <si>
    <t>Leverage ratio, %</t>
  </si>
  <si>
    <t>Dividend payout ratio, %</t>
  </si>
  <si>
    <t>Dividend yield, %</t>
  </si>
  <si>
    <t>Adjusted weighted average number of shares outstanding</t>
  </si>
  <si>
    <t>Adjusted number of shares outstanding at the end of the period</t>
  </si>
  <si>
    <t>Average number of personnel</t>
  </si>
  <si>
    <r>
      <rPr>
        <vertAlign val="superscript"/>
        <sz val="12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Board of Directors proposal to the Annual General Meeting.</t>
    </r>
  </si>
  <si>
    <t>NOTES TO THE CONDENSED CONSOLIDATED INTERIM FINANCIAL STATEMENTS</t>
  </si>
  <si>
    <t xml:space="preserve">1. BASIS OF PREPARATION AND ACCOUNTING POLICIES </t>
  </si>
  <si>
    <t>Key accounting considerations related to COVID-19 pandemic</t>
  </si>
  <si>
    <t>2. TREASURY SHARES</t>
  </si>
  <si>
    <t>3. REVENUE</t>
  </si>
  <si>
    <t>REVENUE BY CATEGORY</t>
  </si>
  <si>
    <t>Oil
Products</t>
  </si>
  <si>
    <t>External revenue</t>
  </si>
  <si>
    <r>
      <t xml:space="preserve">Fuels </t>
    </r>
    <r>
      <rPr>
        <vertAlign val="superscript"/>
        <sz val="12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</t>
    </r>
  </si>
  <si>
    <t>Light distillates</t>
  </si>
  <si>
    <t>Middle distillates</t>
  </si>
  <si>
    <t>Heavy fuel oil</t>
  </si>
  <si>
    <t>Other products</t>
  </si>
  <si>
    <t>Other services</t>
  </si>
  <si>
    <t>TIMING OF REVENUE RECOGNITION</t>
  </si>
  <si>
    <t>10-12/2019</t>
  </si>
  <si>
    <t>Goods transferred at point in time</t>
  </si>
  <si>
    <t>Services transferred at point in time</t>
  </si>
  <si>
    <t>Services transferred over time</t>
  </si>
  <si>
    <t>REVENUE BY OPERATING SEGMENT</t>
  </si>
  <si>
    <t>Oil 
Products</t>
  </si>
  <si>
    <t>10-12/2020</t>
  </si>
  <si>
    <t>Internal revenue</t>
  </si>
  <si>
    <t>Total revenue</t>
  </si>
  <si>
    <t>REVENUE BY OPERATING DESTINATION</t>
  </si>
  <si>
    <t>Finland</t>
  </si>
  <si>
    <t>Other Nordic countries</t>
  </si>
  <si>
    <t>Baltic Rim</t>
  </si>
  <si>
    <t>Other European countries</t>
  </si>
  <si>
    <t>North and South America</t>
  </si>
  <si>
    <t>Other countries</t>
  </si>
  <si>
    <t>4. SEGMENT INFORMATION</t>
  </si>
  <si>
    <t>Sales volume(1000t)</t>
  </si>
  <si>
    <t>Production, 1000t</t>
  </si>
  <si>
    <t>Refining margin, USD/bbl</t>
  </si>
  <si>
    <t>Refining margin, USD/ton</t>
  </si>
  <si>
    <t>Marketing &amp; Service</t>
  </si>
  <si>
    <t>Sales volume(million litters)</t>
  </si>
  <si>
    <t>TOTAL ASSETS</t>
  </si>
  <si>
    <t>Unallocated assets</t>
  </si>
  <si>
    <t xml:space="preserve">NET ASSETS </t>
  </si>
  <si>
    <t>TOTAL LIABILITIES</t>
  </si>
  <si>
    <t>Unallocated liabilities</t>
  </si>
  <si>
    <t>RETURN ON NET ASSETS, %</t>
  </si>
  <si>
    <t>COMPARABLE RETURN ON NET ASSETS, %</t>
  </si>
  <si>
    <t>QUARTERLY SEGMENT INFORMATION</t>
  </si>
  <si>
    <t>QUARTERLY REVENUE</t>
  </si>
  <si>
    <t>1-3/2020</t>
  </si>
  <si>
    <t>4-6/2019</t>
  </si>
  <si>
    <t>1-3/2019</t>
  </si>
  <si>
    <t>QUARTERLY OPERATING PROFIT</t>
  </si>
  <si>
    <t>QUARTERLY COMPARABLE OPERATING PROFIT</t>
  </si>
  <si>
    <t>QUARTERLY DEPRECIATION, AMORTIZATION AND IMPAIRMENTS</t>
  </si>
  <si>
    <t>QUARTERLY CAPITAL EXPENDITURE</t>
  </si>
  <si>
    <t>AND INVESTMENTS IN SHARES</t>
  </si>
  <si>
    <t>QUARTERLY NET ASSETS</t>
  </si>
  <si>
    <t>5. ACQUISITIONS AND DISPOSALS</t>
  </si>
  <si>
    <t>Acquisitions</t>
  </si>
  <si>
    <t>Mahoney Environmental</t>
  </si>
  <si>
    <t>Values of acquired assets and liabilities at time of acquisition:</t>
  </si>
  <si>
    <t>Fair value</t>
  </si>
  <si>
    <t>Recognized values</t>
  </si>
  <si>
    <t>Fair value of net assets total</t>
  </si>
  <si>
    <t xml:space="preserve">Consideration transferred </t>
  </si>
  <si>
    <t>Fair value of acquired net assets</t>
  </si>
  <si>
    <t>Translation differences related to disposal (reclassified from equity)</t>
  </si>
  <si>
    <t>Goodwill</t>
  </si>
  <si>
    <t>Cash flows of acquisition:</t>
  </si>
  <si>
    <t>Consideration, paid in cash</t>
  </si>
  <si>
    <t>Cash and cash equivalents in acquiree</t>
  </si>
  <si>
    <t>Acquiree's liabilities paid off at closing</t>
  </si>
  <si>
    <t>Transaction costs of the acquisition</t>
  </si>
  <si>
    <t>Net cash flow on acquisition</t>
  </si>
  <si>
    <t>Count Terminal Rotterdam</t>
  </si>
  <si>
    <t xml:space="preserve">Deferred tax liabilities </t>
  </si>
  <si>
    <t>Alterra Energy LLC</t>
  </si>
  <si>
    <t>Disposals</t>
  </si>
  <si>
    <t>Sale of shares of Nynas AB</t>
  </si>
  <si>
    <t>Total consideration</t>
  </si>
  <si>
    <t>Sold net assets</t>
  </si>
  <si>
    <t>Translation differences and share of other comprehensive income related to disposal (reclassified from equity)</t>
  </si>
  <si>
    <t>Loss on sale</t>
  </si>
  <si>
    <t>Net cash flow of the disposal</t>
  </si>
  <si>
    <t>6. ASSETS HELD FOR SALE</t>
  </si>
  <si>
    <t>Neste and Futura vessels</t>
  </si>
  <si>
    <t>LPG cylinder business and stake in Oy Innogas Ab</t>
  </si>
  <si>
    <t>7. RECONCILIATION OF KEY FIGURES TO IFRS FINANCIAL STATEMENTS</t>
  </si>
  <si>
    <t>RECONCILIATION BETWEEN COMPARABLE OPERATING PROFIT AND OPERATING PROFIT</t>
  </si>
  <si>
    <t>Group</t>
  </si>
  <si>
    <r>
      <t xml:space="preserve">other adjustments </t>
    </r>
    <r>
      <rPr>
        <vertAlign val="superscript"/>
        <sz val="12"/>
        <rFont val="Arial"/>
        <family val="2"/>
      </rPr>
      <t>1)</t>
    </r>
  </si>
  <si>
    <t xml:space="preserve">RECONCILIATION BETWEEN COMPARABLE OPERATING PROFIT AND COMPARABLE NET PROFIT </t>
  </si>
  <si>
    <t>total financial income and expenses</t>
  </si>
  <si>
    <t>income tax expense</t>
  </si>
  <si>
    <t>non-controlling interests</t>
  </si>
  <si>
    <t>tax on items affecting comparability</t>
  </si>
  <si>
    <t>COMPARABLE NET PROFIT</t>
  </si>
  <si>
    <t>RECONCILIATION OF RETURN ON AVERAGE CAPITAL EMPLOYED, AFTER TAX (ROACE), %</t>
  </si>
  <si>
    <t>COMPARABLE OPERATING PROFIT, LAST 12 MONTHS</t>
  </si>
  <si>
    <t>financial income</t>
  </si>
  <si>
    <t>exchange rate and fair value gains and losses</t>
  </si>
  <si>
    <t>tax on other items affecting ROACE</t>
  </si>
  <si>
    <t>Comparable net profit, net of tax</t>
  </si>
  <si>
    <t>Capital employed average</t>
  </si>
  <si>
    <t>RETURN ON AVERAGE CAPITAL EMPLOYED, AFTER TAX (ROACE), %</t>
  </si>
  <si>
    <t>RECONCILIATION OF EQUITY-TO-ASSETS RATIO, %</t>
  </si>
  <si>
    <t>Advances received</t>
  </si>
  <si>
    <t>EQUITY-TO-ASSETS RATIO, %</t>
  </si>
  <si>
    <t>RECONCILIATION OF NET WORKING CAPITAL IN DAYS OUTSTANDING</t>
  </si>
  <si>
    <t>Operative receivables</t>
  </si>
  <si>
    <t>Operative liabilities</t>
  </si>
  <si>
    <t>Revenue, last 12 months</t>
  </si>
  <si>
    <t>8. CHANGES IN INTANGIBLE ASSETS AND PROPERTY, PLANT AND EQUIPMENT AND COMMITMENTS</t>
  </si>
  <si>
    <t>CHANGES IN INTANGIBLE ASSETS AND PROPERTY, PLANT AND EQUIPMENT</t>
  </si>
  <si>
    <t>Opening balance</t>
  </si>
  <si>
    <t>Change in accounting policy, IFRS 16</t>
  </si>
  <si>
    <t>Restated opening balance</t>
  </si>
  <si>
    <r>
      <t xml:space="preserve">Depreciation, amortization and impairments </t>
    </r>
    <r>
      <rPr>
        <vertAlign val="superscript"/>
        <sz val="12"/>
        <rFont val="Arial"/>
        <family val="2"/>
      </rPr>
      <t>1)</t>
    </r>
  </si>
  <si>
    <t>Assets held for sale</t>
  </si>
  <si>
    <t>Closing balance</t>
  </si>
  <si>
    <t>COMMITMENTS</t>
  </si>
  <si>
    <t xml:space="preserve">Commitments to purchase property, plant and equipment and intangible assets </t>
  </si>
  <si>
    <t>Other commitments</t>
  </si>
  <si>
    <t>Capital commitments are mainly related to the Singapore expansion project which will extend Neste’s renewable product overall capacity in Singapore.</t>
  </si>
  <si>
    <t>9. CHANGES IN INVESTMENTS IN ASSOCIATES AND JOINT VENTURES</t>
  </si>
  <si>
    <t xml:space="preserve">INVESTMENTS IN ASSOCIATES AND JOINT VENTURES </t>
  </si>
  <si>
    <r>
      <rPr>
        <b/>
        <sz val="12"/>
        <rFont val="Arial"/>
        <family val="2"/>
      </rPr>
      <t>Opening balance</t>
    </r>
    <r>
      <rPr>
        <b/>
        <sz val="12"/>
        <color rgb="FFFF0000"/>
        <rFont val="Arial"/>
        <family val="2"/>
      </rPr>
      <t xml:space="preserve"> </t>
    </r>
  </si>
  <si>
    <r>
      <t xml:space="preserve">Share of profit (loss) of joint ventures </t>
    </r>
    <r>
      <rPr>
        <vertAlign val="superscript"/>
        <sz val="10"/>
        <rFont val="Arial"/>
        <family val="2"/>
      </rPr>
      <t>1)</t>
    </r>
  </si>
  <si>
    <r>
      <t xml:space="preserve">Share of other comprehensive income of investments accounted for using the equity method </t>
    </r>
    <r>
      <rPr>
        <vertAlign val="superscript"/>
        <sz val="12"/>
        <rFont val="Arial"/>
        <family val="2"/>
      </rPr>
      <t>1)</t>
    </r>
  </si>
  <si>
    <r>
      <t xml:space="preserve">Investments </t>
    </r>
    <r>
      <rPr>
        <vertAlign val="superscript"/>
        <sz val="12"/>
        <rFont val="Arial"/>
        <family val="2"/>
      </rPr>
      <t>2)</t>
    </r>
  </si>
  <si>
    <t>Impairments</t>
  </si>
  <si>
    <r>
      <t xml:space="preserve">Translation differences </t>
    </r>
    <r>
      <rPr>
        <vertAlign val="superscript"/>
        <sz val="12"/>
        <rFont val="Arial"/>
        <family val="2"/>
      </rPr>
      <t>1)</t>
    </r>
  </si>
  <si>
    <t>Other changes</t>
  </si>
  <si>
    <t xml:space="preserve">Closing balance </t>
  </si>
  <si>
    <r>
      <t xml:space="preserve">1) </t>
    </r>
    <r>
      <rPr>
        <sz val="11"/>
        <color theme="1"/>
        <rFont val="Calibri"/>
        <family val="2"/>
        <scheme val="minor"/>
      </rPr>
      <t>Including the effect of the sale of Nynas AB shares. See Note 5 Acquisitions and disposals for more information.</t>
    </r>
  </si>
  <si>
    <r>
      <t xml:space="preserve">2) </t>
    </r>
    <r>
      <rPr>
        <sz val="11"/>
        <color theme="1"/>
        <rFont val="Calibri"/>
        <family val="2"/>
        <scheme val="minor"/>
      </rPr>
      <t>Neste acquired 40% share of Alterra Energy LLC. See Note 5 Acquisitions and disposals for more information.</t>
    </r>
  </si>
  <si>
    <t>10. INTEREST-BEARING NET DEBT AND LIQUIDITY</t>
  </si>
  <si>
    <t>INTEREST-BEARING NET DEBT</t>
  </si>
  <si>
    <r>
      <t xml:space="preserve">Non-current interest-bearing liabilities </t>
    </r>
    <r>
      <rPr>
        <vertAlign val="superscript"/>
        <sz val="12"/>
        <rFont val="Arial"/>
        <family val="2"/>
      </rPr>
      <t>1)</t>
    </r>
  </si>
  <si>
    <r>
      <t xml:space="preserve">Current interest-bearing liabilities </t>
    </r>
    <r>
      <rPr>
        <vertAlign val="superscript"/>
        <sz val="12"/>
        <rFont val="Arial"/>
        <family val="2"/>
      </rPr>
      <t>2)</t>
    </r>
  </si>
  <si>
    <t>Liquid funds</t>
  </si>
  <si>
    <t>Interest-bearing net debt</t>
  </si>
  <si>
    <r>
      <rPr>
        <vertAlign val="superscript"/>
        <sz val="12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Including EUR 289 million of lease liabilities at 31 December 2020 (31 Dec 2019: EUR 317 million)</t>
    </r>
  </si>
  <si>
    <r>
      <rPr>
        <vertAlign val="superscript"/>
        <sz val="12"/>
        <rFont val="Arial"/>
        <family val="2"/>
      </rPr>
      <t xml:space="preserve">2) </t>
    </r>
    <r>
      <rPr>
        <sz val="11"/>
        <color theme="1"/>
        <rFont val="Calibri"/>
        <family val="2"/>
        <scheme val="minor"/>
      </rPr>
      <t>Including EUR 114 million of lease liabilities at 31 December 2020 (31 Dec 2019: EUR 102 million)</t>
    </r>
  </si>
  <si>
    <t>LIQUIDITY, UNUSED COMMITTED CREDIT FACILITIES AND DEBT PROGRAMS</t>
  </si>
  <si>
    <t>Unused committed credit facilities</t>
  </si>
  <si>
    <t>In addition: Unused commercial paper program (uncommitted)</t>
  </si>
  <si>
    <t>11. FINANCIAL INSTRUMENTS</t>
  </si>
  <si>
    <t>31 Dec 2020</t>
  </si>
  <si>
    <t>31 Dec 2019</t>
  </si>
  <si>
    <t>Nominal</t>
  </si>
  <si>
    <t>Net</t>
  </si>
  <si>
    <t>Interest rate and currency derivatives</t>
  </si>
  <si>
    <t>value</t>
  </si>
  <si>
    <t>fair value</t>
  </si>
  <si>
    <t>Interest rate swaps</t>
  </si>
  <si>
    <t>Hedge accounting</t>
  </si>
  <si>
    <t>Non-hedge accounting</t>
  </si>
  <si>
    <t>Currency derivatives</t>
  </si>
  <si>
    <t>Volume</t>
  </si>
  <si>
    <t>Commodity derivatives</t>
  </si>
  <si>
    <t>GWh</t>
  </si>
  <si>
    <t>million bbl</t>
  </si>
  <si>
    <t>Sales contracts</t>
  </si>
  <si>
    <t>Purchase contracts</t>
  </si>
  <si>
    <t>Financial assets and liabilities by measurement categories and fair value hierarchy as of December 31, 2020</t>
  </si>
  <si>
    <t>Fair value through OCI</t>
  </si>
  <si>
    <t>Carrying amount</t>
  </si>
  <si>
    <t>Balance sheet item</t>
  </si>
  <si>
    <t>Level 2</t>
  </si>
  <si>
    <t>Level 3</t>
  </si>
  <si>
    <t>Non-current financial assets</t>
  </si>
  <si>
    <t>Current financial assets</t>
  </si>
  <si>
    <r>
      <t>Trade and other receivables</t>
    </r>
    <r>
      <rPr>
        <vertAlign val="superscript"/>
        <sz val="12"/>
        <color theme="1"/>
        <rFont val="Arial"/>
        <family val="2"/>
      </rPr>
      <t xml:space="preserve"> 1)</t>
    </r>
  </si>
  <si>
    <t>Financial assets</t>
  </si>
  <si>
    <t>Non-current financial liabilities</t>
  </si>
  <si>
    <t>Current financial liabilities</t>
  </si>
  <si>
    <t>Financial liabilities</t>
  </si>
  <si>
    <r>
      <rPr>
        <vertAlign val="superscript"/>
        <sz val="12"/>
        <rFont val="Arial"/>
        <family val="2"/>
      </rPr>
      <t>1)</t>
    </r>
    <r>
      <rPr>
        <sz val="11"/>
        <color theme="1"/>
        <rFont val="Calibri"/>
        <family val="2"/>
        <scheme val="minor"/>
      </rPr>
      <t xml:space="preserve"> excluding non-financial items</t>
    </r>
  </si>
  <si>
    <t>Derivative financial instruments under Fair value through OCI -category meet criteria for hedge accounting.</t>
  </si>
  <si>
    <t>12. RELATED PARTY TRANSACTIONS</t>
  </si>
  <si>
    <t>Transactions carried out with joint arrangements and other related parties</t>
  </si>
  <si>
    <t>Sales of goods and services</t>
  </si>
  <si>
    <t>Purchases of goods and services</t>
  </si>
  <si>
    <t>Receivables</t>
  </si>
  <si>
    <t>Liabilities</t>
  </si>
  <si>
    <t>13. CONTINGENT LIABILITIES</t>
  </si>
  <si>
    <t>Contingent liabilities</t>
  </si>
  <si>
    <t>On own behalf for commitments</t>
  </si>
  <si>
    <t>On behalf of joint arrangements</t>
  </si>
  <si>
    <t>On behalf of others</t>
  </si>
  <si>
    <t>14. DISPUTES AND POTENTIAL LITIGATIONS</t>
  </si>
  <si>
    <t>Or</t>
  </si>
  <si>
    <t>need to change this !</t>
  </si>
  <si>
    <t>1-12/2016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</si>
</sst>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"/>
    <numFmt numFmtId="165" formatCode="#,##0.000"/>
    <numFmt numFmtId="166" formatCode="0.00000"/>
    <numFmt numFmtId="167" formatCode="[$-F800]dddd\,\ mmmm\ dd\,\ yyyy"/>
    <numFmt numFmtId="168" formatCode="0.0%"/>
    <numFmt numFmtId="169" formatCode="0.0"/>
    <numFmt numFmtId="170" formatCode="#,##0.0000"/>
    <numFmt numFmtId="171" formatCode="0.00_);[Red]\(0.00\)"/>
    <numFmt numFmtId="172" formatCode="0.000"/>
    <numFmt numFmtId="173" formatCode="0.000_);[Red]\(0.000\)"/>
    <numFmt numFmtId="174" formatCode="0.000%"/>
    <numFmt numFmtId="175" formatCode="0.0\ %"/>
  </numFmts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i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1.75"/>
      <name val="Arial"/>
      <family val="2"/>
    </font>
    <font>
      <b/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vertAlign val="superscript"/>
      <sz val="10"/>
      <name val="Arial"/>
      <family val="2"/>
    </font>
    <font>
      <vertAlign val="superscript"/>
      <sz val="12"/>
      <color theme="1"/>
      <name val="Arial"/>
      <family val="2"/>
    </font>
    <font>
      <sz val="10"/>
      <name val="Helv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b/>
      <i/>
      <sz val="12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2"/>
      <color rgb="FF0000FF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18"/>
      <color theme="1"/>
      <name val="Arial"/>
      <family val="2"/>
    </font>
    <font>
      <sz val="10"/>
      <color rgb="FF474748"/>
      <name val="Arial"/>
      <family val="2"/>
    </font>
    <font>
      <b/>
      <sz val="11"/>
      <color theme="0"/>
      <name val="Calibri"/>
      <family val="2"/>
      <scheme val="minor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u/>
      <sz val="10"/>
      <name val="Arial"/>
      <family val="2"/>
    </font>
    <font>
      <b/>
      <sz val="11"/>
      <color theme="0"/>
      <name val="Arial"/>
      <family val="2"/>
    </font>
    <font>
      <sz val="11"/>
      <color rgb="FFC00000"/>
      <name val="Arial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sz val="12"/>
      <color theme="2" tint="-9.9978637043366805E-2"/>
      <name val="Arial"/>
      <family val="2"/>
    </font>
    <font>
      <sz val="11"/>
      <color theme="2" tint="-9.9978637043366805E-2"/>
      <name val="Arial"/>
      <family val="2"/>
    </font>
    <font>
      <sz val="11"/>
      <color theme="2" tint="-9.9978637043366805E-2"/>
      <name val="Calibri"/>
      <family val="2"/>
      <scheme val="minor"/>
    </font>
    <font>
      <sz val="10"/>
      <color theme="2" tint="-9.9978637043366805E-2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sz val="11"/>
      <color rgb="FF444444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8"/>
      <name val="Arial"/>
      <family val="2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0"/>
      <color theme="2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3" fontId="6" fillId="0" borderId="0"/>
    <xf numFmtId="3" fontId="6" fillId="0" borderId="0"/>
    <xf numFmtId="0" fontId="7" fillId="0" borderId="0"/>
    <xf numFmtId="3" fontId="6" fillId="0" borderId="0"/>
    <xf numFmtId="0" fontId="25" fillId="0" borderId="0"/>
    <xf numFmtId="3" fontId="6" fillId="0" borderId="0"/>
    <xf numFmtId="0" fontId="36" fillId="0" borderId="0"/>
    <xf numFmtId="0" fontId="36" fillId="0" borderId="0"/>
    <xf numFmtId="9" fontId="38" fillId="0" borderId="0" applyFont="0" applyFill="0" applyBorder="0" applyAlignment="0" applyProtection="0"/>
  </cellStyleXfs>
  <cellXfs count="1268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37" fillId="0" borderId="0" xfId="0" applyFont="1"/>
    <xf numFmtId="0" fontId="12" fillId="0" borderId="0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3" fontId="6" fillId="0" borderId="10" xfId="0" applyNumberFormat="1" applyFont="1" applyFill="1" applyBorder="1" applyAlignment="1">
      <alignment wrapText="1"/>
    </xf>
    <xf numFmtId="3" fontId="6" fillId="0" borderId="12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3" fontId="6" fillId="0" borderId="1" xfId="0" applyNumberFormat="1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31" fillId="0" borderId="9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31" fillId="0" borderId="11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3" fontId="3" fillId="0" borderId="10" xfId="0" applyNumberFormat="1" applyFont="1" applyFill="1" applyBorder="1" applyAlignment="1">
      <alignment wrapText="1"/>
    </xf>
    <xf numFmtId="3" fontId="3" fillId="0" borderId="12" xfId="0" applyNumberFormat="1" applyFont="1" applyFill="1" applyBorder="1" applyAlignment="1">
      <alignment wrapText="1"/>
    </xf>
    <xf numFmtId="0" fontId="13" fillId="0" borderId="9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3" fillId="0" borderId="1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3" fontId="13" fillId="2" borderId="0" xfId="0" quotePrefix="1" applyNumberFormat="1" applyFont="1" applyFill="1" applyAlignment="1">
      <alignment horizontal="right"/>
    </xf>
    <xf numFmtId="3" fontId="12" fillId="2" borderId="0" xfId="0" quotePrefix="1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1" fontId="13" fillId="2" borderId="1" xfId="0" applyNumberFormat="1" applyFont="1" applyFill="1" applyBorder="1" applyAlignment="1">
      <alignment horizontal="right" vertical="center"/>
    </xf>
    <xf numFmtId="1" fontId="12" fillId="2" borderId="1" xfId="0" applyNumberFormat="1" applyFont="1" applyFill="1" applyBorder="1" applyAlignment="1">
      <alignment horizontal="right" vertical="center"/>
    </xf>
    <xf numFmtId="3" fontId="3" fillId="2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3" fontId="3" fillId="2" borderId="0" xfId="0" applyNumberFormat="1" applyFont="1" applyFill="1" applyAlignment="1">
      <alignment horizontal="right"/>
    </xf>
    <xf numFmtId="3" fontId="8" fillId="2" borderId="0" xfId="0" applyNumberFormat="1" applyFont="1" applyFill="1"/>
    <xf numFmtId="0" fontId="8" fillId="2" borderId="4" xfId="0" applyFont="1" applyFill="1" applyBorder="1"/>
    <xf numFmtId="0" fontId="6" fillId="2" borderId="4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14" fontId="0" fillId="0" borderId="0" xfId="0" applyNumberFormat="1"/>
    <xf numFmtId="20" fontId="0" fillId="0" borderId="0" xfId="0" applyNumberFormat="1"/>
    <xf numFmtId="0" fontId="3" fillId="0" borderId="0" xfId="0" applyFont="1" applyFill="1" applyAlignment="1">
      <alignment vertical="top"/>
    </xf>
    <xf numFmtId="0" fontId="0" fillId="0" borderId="0" xfId="0" applyFill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0" fillId="0" borderId="0" xfId="0" applyFill="1" applyAlignment="1">
      <alignment horizontal="right"/>
    </xf>
    <xf numFmtId="0" fontId="15" fillId="0" borderId="0" xfId="0" applyFont="1" applyFill="1"/>
    <xf numFmtId="0" fontId="15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right" vertical="center" wrapText="1"/>
    </xf>
    <xf numFmtId="2" fontId="12" fillId="0" borderId="1" xfId="0" quotePrefix="1" applyNumberFormat="1" applyFont="1" applyFill="1" applyBorder="1" applyAlignment="1">
      <alignment horizontal="right"/>
    </xf>
    <xf numFmtId="2" fontId="13" fillId="0" borderId="1" xfId="0" quotePrefix="1" applyNumberFormat="1" applyFont="1" applyFill="1" applyBorder="1" applyAlignment="1">
      <alignment horizontal="right"/>
    </xf>
    <xf numFmtId="0" fontId="12" fillId="0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Fill="1"/>
    <xf numFmtId="0" fontId="7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26" fillId="0" borderId="0" xfId="0" applyFont="1" applyFill="1"/>
    <xf numFmtId="0" fontId="0" fillId="0" borderId="0" xfId="0" applyFill="1" applyAlignment="1">
      <alignment horizontal="left"/>
    </xf>
    <xf numFmtId="3" fontId="26" fillId="0" borderId="0" xfId="0" applyNumberFormat="1" applyFont="1" applyFill="1"/>
    <xf numFmtId="0" fontId="0" fillId="0" borderId="1" xfId="0" applyFill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1" xfId="0" applyFill="1" applyBorder="1"/>
    <xf numFmtId="0" fontId="3" fillId="0" borderId="2" xfId="0" applyFont="1" applyFill="1" applyBorder="1"/>
    <xf numFmtId="0" fontId="0" fillId="0" borderId="2" xfId="0" applyFill="1" applyBorder="1"/>
    <xf numFmtId="3" fontId="0" fillId="0" borderId="2" xfId="0" applyNumberFormat="1" applyFill="1" applyBorder="1" applyAlignment="1">
      <alignment horizontal="right"/>
    </xf>
    <xf numFmtId="3" fontId="3" fillId="0" borderId="2" xfId="0" applyNumberFormat="1" applyFont="1" applyFill="1" applyBorder="1" applyAlignment="1">
      <alignment horizontal="right"/>
    </xf>
    <xf numFmtId="0" fontId="5" fillId="0" borderId="0" xfId="0" applyFont="1" applyFill="1"/>
    <xf numFmtId="4" fontId="3" fillId="0" borderId="0" xfId="0" applyNumberFormat="1" applyFont="1" applyFill="1"/>
    <xf numFmtId="4" fontId="0" fillId="0" borderId="0" xfId="0" applyNumberFormat="1" applyFill="1"/>
    <xf numFmtId="4" fontId="0" fillId="0" borderId="0" xfId="0" applyNumberForma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6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2" fontId="12" fillId="0" borderId="0" xfId="0" quotePrefix="1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2" fontId="0" fillId="0" borderId="0" xfId="0" quotePrefix="1" applyNumberFormat="1" applyFill="1" applyAlignment="1">
      <alignment horizontal="right"/>
    </xf>
    <xf numFmtId="2" fontId="3" fillId="0" borderId="0" xfId="0" quotePrefix="1" applyNumberFormat="1" applyFont="1" applyFill="1"/>
    <xf numFmtId="1" fontId="0" fillId="0" borderId="0" xfId="0" quotePrefix="1" applyNumberFormat="1" applyFill="1" applyAlignment="1">
      <alignment horizontal="right" vertical="center" wrapText="1"/>
    </xf>
    <xf numFmtId="3" fontId="3" fillId="0" borderId="0" xfId="0" quotePrefix="1" applyNumberFormat="1" applyFont="1" applyFill="1" applyAlignment="1">
      <alignment vertical="center" wrapText="1"/>
    </xf>
    <xf numFmtId="3" fontId="0" fillId="0" borderId="0" xfId="0" quotePrefix="1" applyNumberFormat="1" applyFill="1" applyAlignment="1">
      <alignment horizontal="right" vertical="center" wrapText="1"/>
    </xf>
    <xf numFmtId="0" fontId="0" fillId="0" borderId="0" xfId="0" applyFill="1" applyAlignment="1">
      <alignment horizontal="left" vertical="center"/>
    </xf>
    <xf numFmtId="1" fontId="0" fillId="0" borderId="0" xfId="0" applyNumberFormat="1" applyFill="1"/>
    <xf numFmtId="0" fontId="0" fillId="0" borderId="0" xfId="0" applyFill="1" applyAlignment="1">
      <alignment horizontal="left" indent="2"/>
    </xf>
    <xf numFmtId="0" fontId="0" fillId="0" borderId="1" xfId="0" applyFill="1" applyBorder="1" applyAlignment="1">
      <alignment vertical="top"/>
    </xf>
    <xf numFmtId="3" fontId="3" fillId="0" borderId="1" xfId="0" applyNumberFormat="1" applyFont="1" applyFill="1" applyBorder="1"/>
    <xf numFmtId="0" fontId="3" fillId="0" borderId="3" xfId="0" applyFont="1" applyFill="1" applyBorder="1"/>
    <xf numFmtId="0" fontId="0" fillId="0" borderId="3" xfId="0" applyFill="1" applyBorder="1"/>
    <xf numFmtId="3" fontId="0" fillId="0" borderId="3" xfId="0" applyNumberFormat="1" applyFill="1" applyBorder="1" applyAlignment="1">
      <alignment horizontal="right"/>
    </xf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0" fontId="7" fillId="0" borderId="0" xfId="0" applyFont="1" applyFill="1"/>
    <xf numFmtId="0" fontId="26" fillId="0" borderId="0" xfId="0" applyFont="1" applyFill="1" applyAlignment="1">
      <alignment horizontal="right"/>
    </xf>
    <xf numFmtId="0" fontId="22" fillId="0" borderId="0" xfId="0" applyFont="1" applyFill="1" applyAlignment="1">
      <alignment horizontal="right"/>
    </xf>
    <xf numFmtId="3" fontId="13" fillId="0" borderId="0" xfId="0" quotePrefix="1" applyNumberFormat="1" applyFont="1" applyFill="1" applyAlignment="1">
      <alignment horizontal="right"/>
    </xf>
    <xf numFmtId="3" fontId="12" fillId="0" borderId="0" xfId="0" quotePrefix="1" applyNumberFormat="1" applyFont="1" applyFill="1" applyAlignment="1">
      <alignment horizontal="right"/>
    </xf>
    <xf numFmtId="0" fontId="6" fillId="0" borderId="1" xfId="0" applyFont="1" applyFill="1" applyBorder="1"/>
    <xf numFmtId="0" fontId="12" fillId="0" borderId="1" xfId="0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right" vertical="center"/>
    </xf>
    <xf numFmtId="0" fontId="8" fillId="0" borderId="0" xfId="0" applyFont="1" applyFill="1"/>
    <xf numFmtId="0" fontId="9" fillId="0" borderId="0" xfId="0" applyFont="1" applyFill="1"/>
    <xf numFmtId="0" fontId="29" fillId="0" borderId="0" xfId="0" applyFont="1" applyFill="1"/>
    <xf numFmtId="0" fontId="9" fillId="0" borderId="1" xfId="0" applyFont="1" applyFill="1" applyBorder="1"/>
    <xf numFmtId="0" fontId="7" fillId="0" borderId="1" xfId="0" applyFont="1" applyFill="1" applyBorder="1"/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/>
    <xf numFmtId="0" fontId="29" fillId="0" borderId="1" xfId="0" applyFont="1" applyFill="1" applyBorder="1"/>
    <xf numFmtId="3" fontId="8" fillId="0" borderId="1" xfId="0" applyNumberFormat="1" applyFont="1" applyFill="1" applyBorder="1" applyAlignment="1">
      <alignment horizontal="right"/>
    </xf>
    <xf numFmtId="0" fontId="8" fillId="0" borderId="4" xfId="0" applyFont="1" applyFill="1" applyBorder="1"/>
    <xf numFmtId="0" fontId="6" fillId="0" borderId="4" xfId="0" applyFont="1" applyFill="1" applyBorder="1"/>
    <xf numFmtId="0" fontId="7" fillId="0" borderId="4" xfId="0" applyFont="1" applyFill="1" applyBorder="1"/>
    <xf numFmtId="3" fontId="3" fillId="0" borderId="4" xfId="0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8" fillId="0" borderId="1" xfId="0" applyFont="1" applyFill="1" applyBorder="1"/>
    <xf numFmtId="0" fontId="15" fillId="0" borderId="1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0" fontId="15" fillId="0" borderId="4" xfId="0" applyFont="1" applyFill="1" applyBorder="1"/>
    <xf numFmtId="3" fontId="30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3" fillId="0" borderId="4" xfId="0" applyFont="1" applyFill="1" applyBorder="1" applyAlignment="1">
      <alignment vertical="top"/>
    </xf>
    <xf numFmtId="0" fontId="0" fillId="0" borderId="4" xfId="0" applyFill="1" applyBorder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right"/>
    </xf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5" xfId="0" applyNumberFormat="1" applyFill="1" applyBorder="1" applyAlignment="1">
      <alignment horizontal="right"/>
    </xf>
    <xf numFmtId="4" fontId="3" fillId="0" borderId="0" xfId="0" applyNumberFormat="1" applyFont="1" applyFill="1" applyAlignment="1">
      <alignment horizontal="right" vertical="top"/>
    </xf>
    <xf numFmtId="14" fontId="0" fillId="0" borderId="0" xfId="0" quotePrefix="1" applyNumberFormat="1" applyFill="1" applyAlignment="1">
      <alignment horizontal="right"/>
    </xf>
    <xf numFmtId="4" fontId="0" fillId="0" borderId="0" xfId="0" applyNumberFormat="1" applyFill="1" applyAlignment="1">
      <alignment vertical="top"/>
    </xf>
    <xf numFmtId="4" fontId="0" fillId="0" borderId="0" xfId="0" applyNumberFormat="1" applyFill="1" applyAlignment="1">
      <alignment horizontal="righ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164" fontId="3" fillId="0" borderId="0" xfId="0" applyNumberFormat="1" applyFont="1" applyFill="1" applyAlignment="1">
      <alignment horizontal="right" vertical="top"/>
    </xf>
    <xf numFmtId="164" fontId="0" fillId="0" borderId="0" xfId="0" applyNumberFormat="1" applyFill="1" applyAlignment="1">
      <alignment vertical="top"/>
    </xf>
    <xf numFmtId="164" fontId="0" fillId="0" borderId="0" xfId="0" applyNumberFormat="1" applyFill="1" applyAlignment="1">
      <alignment horizontal="right" vertical="top"/>
    </xf>
    <xf numFmtId="0" fontId="1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3" fontId="3" fillId="0" borderId="0" xfId="2" applyFont="1" applyFill="1"/>
    <xf numFmtId="0" fontId="3" fillId="0" borderId="0" xfId="0" quotePrefix="1" applyFont="1" applyFill="1" applyAlignment="1">
      <alignment horizontal="left" vertical="top"/>
    </xf>
    <xf numFmtId="0" fontId="0" fillId="0" borderId="0" xfId="0" quotePrefix="1" applyFill="1" applyAlignment="1">
      <alignment horizontal="left" vertical="top" wrapText="1"/>
    </xf>
    <xf numFmtId="0" fontId="0" fillId="0" borderId="0" xfId="0" quotePrefix="1" applyFill="1"/>
    <xf numFmtId="0" fontId="0" fillId="0" borderId="0" xfId="0" applyFill="1" applyAlignment="1">
      <alignment horizontal="left" wrapText="1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vertical="top"/>
    </xf>
    <xf numFmtId="0" fontId="7" fillId="0" borderId="9" xfId="0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right" wrapText="1"/>
    </xf>
    <xf numFmtId="0" fontId="0" fillId="0" borderId="9" xfId="0" applyFill="1" applyBorder="1"/>
    <xf numFmtId="0" fontId="0" fillId="0" borderId="0" xfId="0" applyFill="1" applyAlignment="1">
      <alignment horizontal="left" indent="1"/>
    </xf>
    <xf numFmtId="0" fontId="0" fillId="0" borderId="11" xfId="0" applyFill="1" applyBorder="1"/>
    <xf numFmtId="0" fontId="12" fillId="0" borderId="1" xfId="0" quotePrefix="1" applyFont="1" applyFill="1" applyBorder="1"/>
    <xf numFmtId="0" fontId="0" fillId="0" borderId="1" xfId="0" applyFill="1" applyBorder="1" applyAlignment="1">
      <alignment horizontal="right" wrapText="1"/>
    </xf>
    <xf numFmtId="0" fontId="0" fillId="0" borderId="5" xfId="0" applyFill="1" applyBorder="1"/>
    <xf numFmtId="1" fontId="12" fillId="0" borderId="0" xfId="0" quotePrefix="1" applyNumberFormat="1" applyFont="1" applyFill="1" applyAlignment="1">
      <alignment horizontal="left"/>
    </xf>
    <xf numFmtId="1" fontId="12" fillId="0" borderId="1" xfId="0" quotePrefix="1" applyNumberFormat="1" applyFont="1" applyFill="1" applyBorder="1" applyAlignment="1">
      <alignment horizontal="left"/>
    </xf>
    <xf numFmtId="3" fontId="0" fillId="0" borderId="9" xfId="0" applyNumberFormat="1" applyFill="1" applyBorder="1"/>
    <xf numFmtId="3" fontId="0" fillId="0" borderId="1" xfId="0" applyNumberFormat="1" applyFill="1" applyBorder="1"/>
    <xf numFmtId="3" fontId="0" fillId="0" borderId="11" xfId="0" applyNumberFormat="1" applyFill="1" applyBorder="1"/>
    <xf numFmtId="1" fontId="12" fillId="0" borderId="1" xfId="0" quotePrefix="1" applyNumberFormat="1" applyFont="1" applyFill="1" applyBorder="1" applyAlignment="1">
      <alignment horizontal="right"/>
    </xf>
    <xf numFmtId="166" fontId="13" fillId="0" borderId="1" xfId="0" quotePrefix="1" applyNumberFormat="1" applyFont="1" applyFill="1" applyBorder="1" applyAlignment="1">
      <alignment horizontal="righ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 vertical="center"/>
    </xf>
    <xf numFmtId="3" fontId="16" fillId="0" borderId="0" xfId="0" applyNumberFormat="1" applyFont="1" applyFill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top" wrapText="1"/>
    </xf>
    <xf numFmtId="0" fontId="6" fillId="0" borderId="1" xfId="0" applyFont="1" applyFill="1" applyBorder="1" applyAlignment="1">
      <alignment vertical="center"/>
    </xf>
    <xf numFmtId="0" fontId="16" fillId="0" borderId="0" xfId="0" applyFont="1" applyFill="1"/>
    <xf numFmtId="0" fontId="17" fillId="0" borderId="0" xfId="0" applyFont="1" applyFill="1"/>
    <xf numFmtId="0" fontId="12" fillId="0" borderId="0" xfId="0" quotePrefix="1" applyFont="1" applyFill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1" fontId="12" fillId="0" borderId="1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Alignment="1">
      <alignment horizontal="right" vertical="center"/>
    </xf>
    <xf numFmtId="3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2" fontId="13" fillId="0" borderId="11" xfId="0" quotePrefix="1" applyNumberFormat="1" applyFont="1" applyFill="1" applyBorder="1" applyAlignment="1">
      <alignment horizontal="right"/>
    </xf>
    <xf numFmtId="2" fontId="12" fillId="0" borderId="11" xfId="0" quotePrefix="1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3" fillId="0" borderId="8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2" fontId="13" fillId="0" borderId="11" xfId="0" applyNumberFormat="1" applyFont="1" applyFill="1" applyBorder="1" applyAlignment="1">
      <alignment horizontal="right"/>
    </xf>
    <xf numFmtId="2" fontId="12" fillId="0" borderId="1" xfId="0" applyNumberFormat="1" applyFont="1" applyFill="1" applyBorder="1" applyAlignment="1">
      <alignment horizontal="right"/>
    </xf>
    <xf numFmtId="2" fontId="12" fillId="0" borderId="11" xfId="0" applyNumberFormat="1" applyFont="1" applyFill="1" applyBorder="1" applyAlignment="1">
      <alignment horizontal="right"/>
    </xf>
    <xf numFmtId="0" fontId="18" fillId="0" borderId="1" xfId="0" applyFont="1" applyFill="1" applyBorder="1"/>
    <xf numFmtId="0" fontId="0" fillId="0" borderId="0" xfId="0" applyFill="1" applyAlignment="1">
      <alignment wrapText="1"/>
    </xf>
    <xf numFmtId="3" fontId="6" fillId="0" borderId="0" xfId="0" applyNumberFormat="1" applyFont="1" applyFill="1" applyAlignment="1">
      <alignment vertical="center"/>
    </xf>
    <xf numFmtId="0" fontId="19" fillId="0" borderId="0" xfId="0" applyFont="1" applyFill="1"/>
    <xf numFmtId="3" fontId="6" fillId="0" borderId="0" xfId="3" applyFill="1" applyAlignment="1">
      <alignment vertical="top" wrapText="1"/>
    </xf>
    <xf numFmtId="3" fontId="20" fillId="0" borderId="0" xfId="3" applyFont="1" applyFill="1"/>
    <xf numFmtId="3" fontId="6" fillId="0" borderId="1" xfId="3" applyFill="1" applyBorder="1"/>
    <xf numFmtId="3" fontId="3" fillId="0" borderId="1" xfId="3" applyFont="1" applyFill="1" applyBorder="1" applyAlignment="1">
      <alignment horizontal="right"/>
    </xf>
    <xf numFmtId="3" fontId="6" fillId="0" borderId="1" xfId="3" applyFill="1" applyBorder="1" applyAlignment="1">
      <alignment horizontal="right"/>
    </xf>
    <xf numFmtId="1" fontId="31" fillId="0" borderId="1" xfId="3" applyNumberFormat="1" applyFont="1" applyFill="1" applyBorder="1" applyAlignment="1">
      <alignment horizontal="right" vertical="center"/>
    </xf>
    <xf numFmtId="3" fontId="6" fillId="0" borderId="6" xfId="3" applyFill="1" applyBorder="1"/>
    <xf numFmtId="3" fontId="6" fillId="0" borderId="0" xfId="3" applyFill="1"/>
    <xf numFmtId="3" fontId="3" fillId="0" borderId="0" xfId="3" applyFont="1" applyFill="1" applyAlignment="1">
      <alignment horizontal="right"/>
    </xf>
    <xf numFmtId="3" fontId="6" fillId="0" borderId="0" xfId="3" applyFill="1" applyAlignment="1">
      <alignment horizontal="right"/>
    </xf>
    <xf numFmtId="3" fontId="21" fillId="0" borderId="0" xfId="3" applyFont="1" applyFill="1" applyAlignment="1">
      <alignment horizontal="right"/>
    </xf>
    <xf numFmtId="3" fontId="21" fillId="0" borderId="0" xfId="3" applyFont="1" applyFill="1"/>
    <xf numFmtId="0" fontId="34" fillId="0" borderId="0" xfId="0" applyFont="1" applyFill="1" applyAlignment="1">
      <alignment wrapText="1"/>
    </xf>
    <xf numFmtId="3" fontId="21" fillId="0" borderId="7" xfId="3" applyFont="1" applyFill="1" applyBorder="1"/>
    <xf numFmtId="3" fontId="21" fillId="0" borderId="1" xfId="3" applyFont="1" applyFill="1" applyBorder="1" applyAlignment="1">
      <alignment horizontal="right"/>
    </xf>
    <xf numFmtId="3" fontId="20" fillId="0" borderId="1" xfId="3" applyFont="1" applyFill="1" applyBorder="1"/>
    <xf numFmtId="3" fontId="3" fillId="0" borderId="1" xfId="3" applyFont="1" applyFill="1" applyBorder="1"/>
    <xf numFmtId="3" fontId="20" fillId="0" borderId="1" xfId="3" applyFont="1" applyFill="1" applyBorder="1" applyAlignment="1">
      <alignment horizontal="right"/>
    </xf>
    <xf numFmtId="3" fontId="3" fillId="0" borderId="0" xfId="3" applyFont="1" applyFill="1"/>
    <xf numFmtId="3" fontId="20" fillId="0" borderId="0" xfId="3" applyFont="1" applyFill="1" applyAlignment="1">
      <alignment horizontal="right"/>
    </xf>
    <xf numFmtId="3" fontId="21" fillId="0" borderId="0" xfId="3" applyFont="1" applyFill="1" applyAlignment="1">
      <alignment vertical="top"/>
    </xf>
    <xf numFmtId="3" fontId="21" fillId="0" borderId="0" xfId="3" applyFont="1" applyFill="1" applyAlignment="1">
      <alignment vertical="top" wrapText="1"/>
    </xf>
    <xf numFmtId="3" fontId="21" fillId="0" borderId="1" xfId="3" applyFont="1" applyFill="1" applyBorder="1" applyAlignment="1">
      <alignment vertical="top"/>
    </xf>
    <xf numFmtId="3" fontId="6" fillId="0" borderId="0" xfId="3" applyFill="1" applyBorder="1"/>
    <xf numFmtId="3" fontId="3" fillId="0" borderId="0" xfId="3" applyFont="1" applyFill="1" applyBorder="1" applyAlignment="1">
      <alignment horizontal="right"/>
    </xf>
    <xf numFmtId="3" fontId="6" fillId="0" borderId="0" xfId="3" applyFill="1" applyBorder="1" applyAlignment="1">
      <alignment horizontal="right"/>
    </xf>
    <xf numFmtId="3" fontId="21" fillId="0" borderId="0" xfId="3" applyFont="1" applyFill="1" applyBorder="1" applyAlignment="1">
      <alignment vertical="top" wrapText="1"/>
    </xf>
    <xf numFmtId="3" fontId="21" fillId="0" borderId="0" xfId="3" applyFont="1" applyFill="1" applyBorder="1" applyAlignment="1">
      <alignment vertical="top"/>
    </xf>
    <xf numFmtId="3" fontId="20" fillId="0" borderId="0" xfId="3" applyFont="1" applyFill="1" applyAlignment="1">
      <alignment vertical="top"/>
    </xf>
    <xf numFmtId="3" fontId="3" fillId="0" borderId="6" xfId="3" applyFont="1" applyFill="1" applyBorder="1" applyAlignment="1">
      <alignment horizontal="right"/>
    </xf>
    <xf numFmtId="3" fontId="6" fillId="0" borderId="6" xfId="3" applyFill="1" applyBorder="1" applyAlignment="1">
      <alignment horizontal="right"/>
    </xf>
    <xf numFmtId="3" fontId="20" fillId="0" borderId="6" xfId="3" applyFont="1" applyFill="1" applyBorder="1" applyAlignment="1">
      <alignment vertical="top" wrapText="1"/>
    </xf>
    <xf numFmtId="1" fontId="31" fillId="0" borderId="0" xfId="3" applyNumberFormat="1" applyFont="1" applyFill="1" applyAlignment="1">
      <alignment horizontal="right" vertical="center"/>
    </xf>
    <xf numFmtId="3" fontId="21" fillId="0" borderId="6" xfId="3" applyFont="1" applyFill="1" applyBorder="1"/>
    <xf numFmtId="3" fontId="21" fillId="0" borderId="6" xfId="3" applyFont="1" applyFill="1" applyBorder="1" applyAlignment="1">
      <alignment horizontal="right"/>
    </xf>
    <xf numFmtId="3" fontId="21" fillId="0" borderId="1" xfId="3" applyFont="1" applyFill="1" applyBorder="1" applyAlignment="1">
      <alignment horizontal="right" vertical="top" wrapText="1"/>
    </xf>
    <xf numFmtId="3" fontId="20" fillId="0" borderId="0" xfId="3" applyFont="1" applyFill="1" applyAlignment="1">
      <alignment vertical="top" wrapText="1"/>
    </xf>
    <xf numFmtId="3" fontId="20" fillId="0" borderId="6" xfId="3" applyFont="1" applyFill="1" applyBorder="1"/>
    <xf numFmtId="3" fontId="6" fillId="0" borderId="7" xfId="3" applyFill="1" applyBorder="1"/>
    <xf numFmtId="3" fontId="3" fillId="0" borderId="7" xfId="3" applyFont="1" applyFill="1" applyBorder="1" applyAlignment="1">
      <alignment horizontal="right"/>
    </xf>
    <xf numFmtId="3" fontId="6" fillId="0" borderId="7" xfId="3" applyFill="1" applyBorder="1" applyAlignment="1">
      <alignment horizontal="right"/>
    </xf>
    <xf numFmtId="3" fontId="21" fillId="0" borderId="7" xfId="3" applyFont="1" applyFill="1" applyBorder="1" applyAlignment="1">
      <alignment vertical="top" wrapText="1"/>
    </xf>
    <xf numFmtId="0" fontId="35" fillId="0" borderId="0" xfId="0" applyFont="1" applyFill="1" applyAlignment="1">
      <alignment wrapText="1"/>
    </xf>
    <xf numFmtId="2" fontId="31" fillId="0" borderId="0" xfId="3" applyNumberFormat="1" applyFont="1" applyFill="1" applyAlignment="1">
      <alignment horizontal="right" vertical="center"/>
    </xf>
    <xf numFmtId="3" fontId="21" fillId="0" borderId="0" xfId="3" applyFont="1" applyFill="1" applyAlignment="1">
      <alignment horizontal="left" vertical="top" wrapText="1"/>
    </xf>
    <xf numFmtId="0" fontId="37" fillId="0" borderId="0" xfId="0" applyFont="1" applyFill="1"/>
    <xf numFmtId="3" fontId="37" fillId="0" borderId="0" xfId="3" applyFont="1" applyFill="1"/>
    <xf numFmtId="3" fontId="0" fillId="0" borderId="0" xfId="3" applyFont="1" applyFill="1" applyAlignment="1">
      <alignment horizontal="left" vertical="top" wrapText="1"/>
    </xf>
    <xf numFmtId="3" fontId="0" fillId="0" borderId="0" xfId="3" applyFont="1" applyFill="1" applyAlignment="1">
      <alignment horizontal="right" vertical="top" wrapText="1"/>
    </xf>
    <xf numFmtId="3" fontId="37" fillId="0" borderId="1" xfId="3" applyFont="1" applyFill="1" applyBorder="1"/>
    <xf numFmtId="0" fontId="7" fillId="0" borderId="1" xfId="4" applyFill="1" applyBorder="1"/>
    <xf numFmtId="2" fontId="7" fillId="0" borderId="1" xfId="4" applyNumberFormat="1" applyFill="1" applyBorder="1"/>
    <xf numFmtId="3" fontId="0" fillId="0" borderId="1" xfId="3" applyFont="1" applyFill="1" applyBorder="1" applyAlignment="1">
      <alignment horizontal="left" vertical="top" wrapText="1"/>
    </xf>
    <xf numFmtId="3" fontId="0" fillId="0" borderId="1" xfId="3" applyFont="1" applyFill="1" applyBorder="1" applyAlignment="1">
      <alignment horizontal="right" vertical="top" wrapText="1"/>
    </xf>
    <xf numFmtId="3" fontId="22" fillId="0" borderId="0" xfId="3" applyFont="1" applyFill="1"/>
    <xf numFmtId="0" fontId="16" fillId="0" borderId="0" xfId="4" applyFont="1" applyFill="1"/>
    <xf numFmtId="2" fontId="16" fillId="0" borderId="0" xfId="4" applyNumberFormat="1" applyFont="1" applyFill="1"/>
    <xf numFmtId="3" fontId="3" fillId="0" borderId="0" xfId="3" applyFont="1" applyFill="1" applyAlignment="1">
      <alignment horizontal="left" vertical="top" wrapText="1"/>
    </xf>
    <xf numFmtId="3" fontId="3" fillId="0" borderId="0" xfId="3" applyFont="1" applyFill="1" applyAlignment="1">
      <alignment horizontal="right" vertical="top" wrapText="1"/>
    </xf>
    <xf numFmtId="3" fontId="15" fillId="0" borderId="0" xfId="3" applyFont="1" applyFill="1"/>
    <xf numFmtId="0" fontId="7" fillId="0" borderId="0" xfId="4" applyFill="1"/>
    <xf numFmtId="0" fontId="27" fillId="0" borderId="0" xfId="0" applyFont="1" applyFill="1" applyAlignment="1">
      <alignment horizontal="left" vertical="top" wrapText="1"/>
    </xf>
    <xf numFmtId="3" fontId="32" fillId="0" borderId="0" xfId="7" applyFont="1" applyFill="1" applyAlignment="1">
      <alignment vertical="top" wrapText="1"/>
    </xf>
    <xf numFmtId="3" fontId="3" fillId="0" borderId="0" xfId="0" applyNumberFormat="1" applyFont="1" applyFill="1" applyAlignment="1">
      <alignment vertical="center"/>
    </xf>
    <xf numFmtId="0" fontId="22" fillId="0" borderId="0" xfId="0" applyFont="1" applyFill="1"/>
    <xf numFmtId="0" fontId="37" fillId="0" borderId="0" xfId="0" applyFont="1" applyFill="1" applyAlignment="1">
      <alignment horizontal="left" vertical="top" wrapText="1"/>
    </xf>
    <xf numFmtId="0" fontId="13" fillId="0" borderId="0" xfId="4" applyFont="1" applyFill="1" applyAlignment="1">
      <alignment horizontal="right"/>
    </xf>
    <xf numFmtId="0" fontId="22" fillId="0" borderId="1" xfId="0" applyFont="1" applyFill="1" applyBorder="1"/>
    <xf numFmtId="3" fontId="0" fillId="0" borderId="1" xfId="0" applyNumberFormat="1" applyFill="1" applyBorder="1" applyAlignment="1">
      <alignment vertical="center"/>
    </xf>
    <xf numFmtId="1" fontId="13" fillId="0" borderId="1" xfId="0" quotePrefix="1" applyNumberFormat="1" applyFont="1" applyFill="1" applyBorder="1" applyAlignment="1">
      <alignment horizontal="right" vertical="center"/>
    </xf>
    <xf numFmtId="0" fontId="37" fillId="0" borderId="3" xfId="0" applyFont="1" applyFill="1" applyBorder="1"/>
    <xf numFmtId="3" fontId="0" fillId="0" borderId="3" xfId="0" applyNumberFormat="1" applyFill="1" applyBorder="1" applyAlignment="1">
      <alignment vertical="center"/>
    </xf>
    <xf numFmtId="3" fontId="0" fillId="0" borderId="3" xfId="0" quotePrefix="1" applyNumberFormat="1" applyFill="1" applyBorder="1" applyAlignment="1">
      <alignment horizontal="right" vertical="center"/>
    </xf>
    <xf numFmtId="0" fontId="22" fillId="0" borderId="0" xfId="4" applyFont="1" applyFill="1" applyAlignment="1">
      <alignment horizontal="left"/>
    </xf>
    <xf numFmtId="0" fontId="37" fillId="0" borderId="5" xfId="0" applyFont="1" applyFill="1" applyBorder="1"/>
    <xf numFmtId="0" fontId="37" fillId="0" borderId="1" xfId="0" applyFont="1" applyFill="1" applyBorder="1"/>
    <xf numFmtId="3" fontId="12" fillId="0" borderId="0" xfId="0" applyNumberFormat="1" applyFont="1" applyFill="1" applyAlignment="1">
      <alignment horizontal="right" vertical="center"/>
    </xf>
    <xf numFmtId="3" fontId="26" fillId="0" borderId="0" xfId="0" applyNumberFormat="1" applyFont="1" applyFill="1" applyAlignment="1">
      <alignment horizontal="right" vertical="center"/>
    </xf>
    <xf numFmtId="0" fontId="0" fillId="0" borderId="0" xfId="0" quotePrefix="1" applyFill="1" applyAlignment="1">
      <alignment horizontal="left" indent="1"/>
    </xf>
    <xf numFmtId="3" fontId="3" fillId="0" borderId="0" xfId="5" applyFont="1" applyFill="1"/>
    <xf numFmtId="3" fontId="0" fillId="0" borderId="0" xfId="5" applyFont="1" applyFill="1"/>
    <xf numFmtId="3" fontId="0" fillId="0" borderId="0" xfId="5" quotePrefix="1" applyFont="1" applyFill="1" applyAlignment="1">
      <alignment horizontal="left" indent="1"/>
    </xf>
    <xf numFmtId="3" fontId="0" fillId="0" borderId="2" xfId="5" applyFont="1" applyFill="1" applyBorder="1"/>
    <xf numFmtId="3" fontId="6" fillId="0" borderId="0" xfId="5" applyFill="1"/>
    <xf numFmtId="3" fontId="3" fillId="0" borderId="0" xfId="5" applyFont="1" applyFill="1" applyAlignment="1">
      <alignment vertical="top"/>
    </xf>
    <xf numFmtId="1" fontId="13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right"/>
    </xf>
    <xf numFmtId="3" fontId="6" fillId="0" borderId="0" xfId="5" quotePrefix="1" applyFill="1" applyAlignment="1">
      <alignment horizontal="left" indent="1"/>
    </xf>
    <xf numFmtId="3" fontId="6" fillId="0" borderId="0" xfId="0" applyNumberFormat="1" applyFont="1" applyFill="1" applyAlignment="1">
      <alignment horizontal="left" indent="1"/>
    </xf>
    <xf numFmtId="3" fontId="6" fillId="0" borderId="1" xfId="0" applyNumberFormat="1" applyFont="1" applyFill="1" applyBorder="1" applyAlignment="1">
      <alignment horizontal="left" indent="1"/>
    </xf>
    <xf numFmtId="3" fontId="6" fillId="0" borderId="0" xfId="5" quotePrefix="1" applyFill="1"/>
    <xf numFmtId="3" fontId="6" fillId="0" borderId="0" xfId="5" quotePrefix="1" applyFill="1" applyAlignment="1">
      <alignment horizontal="left"/>
    </xf>
    <xf numFmtId="3" fontId="6" fillId="0" borderId="2" xfId="5" applyFill="1" applyBorder="1"/>
    <xf numFmtId="164" fontId="3" fillId="0" borderId="2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/>
    </xf>
    <xf numFmtId="164" fontId="6" fillId="0" borderId="0" xfId="5" quotePrefix="1" applyNumberFormat="1" applyFill="1" applyAlignment="1">
      <alignment horizontal="left"/>
    </xf>
    <xf numFmtId="1" fontId="6" fillId="0" borderId="0" xfId="0" applyNumberFormat="1" applyFont="1" applyFill="1" applyAlignment="1">
      <alignment horizontal="right"/>
    </xf>
    <xf numFmtId="3" fontId="3" fillId="0" borderId="1" xfId="5" applyFont="1" applyFill="1" applyBorder="1"/>
    <xf numFmtId="1" fontId="6" fillId="0" borderId="1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6" fillId="0" borderId="5" xfId="0" applyNumberFormat="1" applyFont="1" applyFill="1" applyBorder="1" applyAlignment="1">
      <alignment horizontal="right"/>
    </xf>
    <xf numFmtId="3" fontId="6" fillId="0" borderId="1" xfId="5" quotePrefix="1" applyFill="1" applyBorder="1" applyAlignment="1">
      <alignment horizontal="left"/>
    </xf>
    <xf numFmtId="0" fontId="22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3" fontId="15" fillId="0" borderId="0" xfId="0" applyNumberFormat="1" applyFont="1" applyFill="1" applyAlignment="1">
      <alignment horizontal="right"/>
    </xf>
    <xf numFmtId="0" fontId="3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0" fillId="0" borderId="7" xfId="0" applyFill="1" applyBorder="1"/>
    <xf numFmtId="3" fontId="1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11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wrapText="1"/>
    </xf>
    <xf numFmtId="1" fontId="12" fillId="0" borderId="0" xfId="0" quotePrefix="1" applyNumberFormat="1" applyFont="1" applyFill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 vertical="top"/>
    </xf>
    <xf numFmtId="0" fontId="12" fillId="0" borderId="9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11" xfId="0" applyFont="1" applyFill="1" applyBorder="1" applyAlignment="1">
      <alignment horizontal="center" vertical="top"/>
    </xf>
    <xf numFmtId="165" fontId="0" fillId="0" borderId="0" xfId="0" applyNumberFormat="1" applyFill="1" applyAlignment="1">
      <alignment horizontal="right"/>
    </xf>
    <xf numFmtId="165" fontId="0" fillId="0" borderId="9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" fontId="9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top"/>
    </xf>
    <xf numFmtId="3" fontId="9" fillId="0" borderId="0" xfId="0" applyNumberFormat="1" applyFont="1" applyFill="1"/>
    <xf numFmtId="3" fontId="13" fillId="0" borderId="0" xfId="0" applyNumberFormat="1" applyFont="1" applyFill="1" applyAlignment="1">
      <alignment horizontal="center" vertical="top"/>
    </xf>
    <xf numFmtId="3" fontId="33" fillId="0" borderId="0" xfId="0" applyNumberFormat="1" applyFont="1" applyFill="1" applyAlignment="1">
      <alignment horizontal="center" vertical="top"/>
    </xf>
    <xf numFmtId="3" fontId="33" fillId="0" borderId="9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3" fontId="13" fillId="0" borderId="1" xfId="0" applyNumberFormat="1" applyFont="1" applyFill="1" applyBorder="1" applyAlignment="1">
      <alignment horizontal="center" vertical="top"/>
    </xf>
    <xf numFmtId="3" fontId="33" fillId="0" borderId="1" xfId="0" applyNumberFormat="1" applyFont="1" applyFill="1" applyBorder="1" applyAlignment="1">
      <alignment horizontal="center" vertical="top"/>
    </xf>
    <xf numFmtId="3" fontId="33" fillId="0" borderId="11" xfId="0" applyNumberFormat="1" applyFont="1" applyFill="1" applyBorder="1" applyAlignment="1">
      <alignment horizontal="center" vertical="top"/>
    </xf>
    <xf numFmtId="3" fontId="3" fillId="0" borderId="0" xfId="0" quotePrefix="1" applyNumberFormat="1" applyFont="1" applyFill="1" applyAlignment="1">
      <alignment horizontal="right"/>
    </xf>
    <xf numFmtId="3" fontId="0" fillId="0" borderId="0" xfId="0" quotePrefix="1" applyNumberFormat="1" applyFill="1" applyAlignment="1">
      <alignment horizontal="right"/>
    </xf>
    <xf numFmtId="3" fontId="0" fillId="0" borderId="9" xfId="0" quotePrefix="1" applyNumberFormat="1" applyFill="1" applyBorder="1" applyAlignment="1">
      <alignment horizontal="right"/>
    </xf>
    <xf numFmtId="0" fontId="0" fillId="0" borderId="1" xfId="0" applyFill="1" applyBorder="1" applyAlignment="1">
      <alignment horizontal="left" inden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3" fontId="3" fillId="0" borderId="10" xfId="0" applyNumberFormat="1" applyFont="1" applyFill="1" applyBorder="1" applyAlignment="1">
      <alignment horizontal="right"/>
    </xf>
    <xf numFmtId="3" fontId="9" fillId="0" borderId="15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/>
    </xf>
    <xf numFmtId="3" fontId="9" fillId="0" borderId="16" xfId="0" applyNumberFormat="1" applyFont="1" applyFill="1" applyBorder="1" applyAlignment="1">
      <alignment horizontal="right"/>
    </xf>
    <xf numFmtId="165" fontId="9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0" fontId="3" fillId="0" borderId="1" xfId="6" applyFont="1" applyFill="1" applyBorder="1"/>
    <xf numFmtId="0" fontId="6" fillId="0" borderId="5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3" fontId="0" fillId="0" borderId="0" xfId="2" applyFont="1" applyFill="1" applyAlignment="1">
      <alignment horizontal="left" vertical="top" wrapText="1"/>
    </xf>
    <xf numFmtId="0" fontId="3" fillId="0" borderId="0" xfId="6" applyFont="1" applyFill="1"/>
    <xf numFmtId="3" fontId="6" fillId="0" borderId="0" xfId="2" applyFill="1" applyAlignment="1">
      <alignment horizontal="left" vertical="top" wrapText="1"/>
    </xf>
    <xf numFmtId="0" fontId="15" fillId="3" borderId="0" xfId="0" applyFont="1" applyFill="1" applyAlignment="1">
      <alignment horizontal="left" wrapText="1"/>
    </xf>
    <xf numFmtId="0" fontId="0" fillId="3" borderId="0" xfId="0" applyFill="1"/>
    <xf numFmtId="0" fontId="3" fillId="3" borderId="0" xfId="0" applyFont="1" applyFill="1"/>
    <xf numFmtId="3" fontId="3" fillId="3" borderId="0" xfId="2" applyFont="1" applyFill="1"/>
    <xf numFmtId="0" fontId="0" fillId="3" borderId="0" xfId="0" applyFill="1" applyAlignment="1">
      <alignment vertical="top"/>
    </xf>
    <xf numFmtId="0" fontId="16" fillId="0" borderId="0" xfId="0" applyFont="1" applyFill="1" applyBorder="1" applyAlignment="1">
      <alignment wrapText="1"/>
    </xf>
    <xf numFmtId="0" fontId="0" fillId="0" borderId="0" xfId="0" applyAlignment="1"/>
    <xf numFmtId="3" fontId="0" fillId="0" borderId="0" xfId="0" applyNumberForma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>
      <alignment wrapText="1"/>
    </xf>
    <xf numFmtId="0" fontId="7" fillId="0" borderId="9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3" fontId="6" fillId="0" borderId="9" xfId="0" applyNumberFormat="1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39" fillId="0" borderId="0" xfId="0" applyFont="1" applyFill="1"/>
    <xf numFmtId="0" fontId="40" fillId="0" borderId="9" xfId="0" applyFont="1" applyFill="1" applyBorder="1" applyAlignment="1">
      <alignment wrapText="1"/>
    </xf>
    <xf numFmtId="0" fontId="40" fillId="0" borderId="11" xfId="0" applyFont="1" applyFill="1" applyBorder="1" applyAlignment="1">
      <alignment wrapText="1"/>
    </xf>
    <xf numFmtId="3" fontId="40" fillId="0" borderId="0" xfId="0" applyNumberFormat="1" applyFont="1" applyFill="1" applyBorder="1" applyAlignment="1">
      <alignment wrapText="1"/>
    </xf>
    <xf numFmtId="3" fontId="40" fillId="0" borderId="9" xfId="0" applyNumberFormat="1" applyFont="1" applyFill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0" fillId="0" borderId="0" xfId="0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/>
    <xf numFmtId="3" fontId="3" fillId="0" borderId="0" xfId="2" applyFont="1" applyFill="1" applyBorder="1" applyAlignment="1"/>
    <xf numFmtId="0" fontId="0" fillId="0" borderId="0" xfId="0" applyFill="1" applyBorder="1" applyAlignment="1">
      <alignment indent="1"/>
    </xf>
    <xf numFmtId="0" fontId="12" fillId="0" borderId="0" xfId="0" quotePrefix="1" applyFont="1" applyFill="1" applyAlignment="1">
      <alignment wrapText="1"/>
    </xf>
    <xf numFmtId="3" fontId="40" fillId="0" borderId="10" xfId="0" applyNumberFormat="1" applyFont="1" applyFill="1" applyBorder="1" applyAlignment="1">
      <alignment wrapText="1"/>
    </xf>
    <xf numFmtId="0" fontId="40" fillId="0" borderId="10" xfId="0" applyFont="1" applyFill="1" applyBorder="1" applyAlignment="1">
      <alignment wrapText="1"/>
    </xf>
    <xf numFmtId="0" fontId="40" fillId="0" borderId="12" xfId="0" applyFont="1" applyFill="1" applyBorder="1" applyAlignment="1">
      <alignment wrapText="1"/>
    </xf>
    <xf numFmtId="0" fontId="3" fillId="0" borderId="0" xfId="0" applyFont="1" applyFill="1" applyBorder="1"/>
    <xf numFmtId="10" fontId="0" fillId="0" borderId="0" xfId="0" applyNumberFormat="1"/>
    <xf numFmtId="0" fontId="1" fillId="0" borderId="0" xfId="0" applyFont="1"/>
    <xf numFmtId="0" fontId="6" fillId="2" borderId="0" xfId="0" applyFont="1" applyFill="1" applyAlignment="1">
      <alignment wrapText="1"/>
    </xf>
    <xf numFmtId="3" fontId="6" fillId="2" borderId="0" xfId="0" applyNumberFormat="1" applyFont="1" applyFill="1" applyAlignment="1">
      <alignment wrapText="1"/>
    </xf>
    <xf numFmtId="0" fontId="12" fillId="2" borderId="1" xfId="0" applyFont="1" applyFill="1" applyBorder="1" applyAlignment="1">
      <alignment wrapText="1"/>
    </xf>
    <xf numFmtId="3" fontId="6" fillId="2" borderId="4" xfId="0" applyNumberFormat="1" applyFont="1" applyFill="1" applyBorder="1" applyAlignment="1">
      <alignment wrapText="1"/>
    </xf>
    <xf numFmtId="3" fontId="6" fillId="2" borderId="1" xfId="0" applyNumberFormat="1" applyFont="1" applyFill="1" applyBorder="1" applyAlignment="1">
      <alignment wrapText="1"/>
    </xf>
    <xf numFmtId="0" fontId="15" fillId="0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14" fontId="12" fillId="0" borderId="1" xfId="0" applyNumberFormat="1" applyFont="1" applyFill="1" applyBorder="1" applyAlignment="1">
      <alignment wrapText="1"/>
    </xf>
    <xf numFmtId="3" fontId="6" fillId="0" borderId="0" xfId="0" applyNumberFormat="1" applyFont="1" applyFill="1" applyAlignment="1">
      <alignment wrapText="1"/>
    </xf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16" fontId="12" fillId="0" borderId="0" xfId="0" applyNumberFormat="1" applyFont="1" applyFill="1" applyAlignment="1">
      <alignment wrapText="1"/>
    </xf>
    <xf numFmtId="3" fontId="6" fillId="0" borderId="4" xfId="0" applyNumberFormat="1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13" fillId="0" borderId="1" xfId="0" applyFont="1" applyFill="1" applyBorder="1"/>
    <xf numFmtId="0" fontId="13" fillId="0" borderId="5" xfId="0" applyFont="1" applyFill="1" applyBorder="1" applyAlignment="1">
      <alignment horizontal="right"/>
    </xf>
    <xf numFmtId="3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3" fontId="6" fillId="0" borderId="2" xfId="0" applyNumberFormat="1" applyFont="1" applyFill="1" applyBorder="1" applyAlignment="1">
      <alignment wrapText="1"/>
    </xf>
    <xf numFmtId="14" fontId="12" fillId="0" borderId="11" xfId="0" applyNumberFormat="1" applyFont="1" applyFill="1" applyBorder="1" applyAlignment="1">
      <alignment wrapText="1"/>
    </xf>
    <xf numFmtId="3" fontId="6" fillId="0" borderId="13" xfId="0" applyNumberFormat="1" applyFont="1" applyFill="1" applyBorder="1" applyAlignment="1">
      <alignment wrapText="1"/>
    </xf>
    <xf numFmtId="0" fontId="6" fillId="0" borderId="13" xfId="0" applyFont="1" applyFill="1" applyBorder="1" applyAlignment="1">
      <alignment wrapText="1"/>
    </xf>
    <xf numFmtId="0" fontId="21" fillId="0" borderId="0" xfId="0" applyFont="1" applyAlignment="1">
      <alignment wrapText="1"/>
    </xf>
    <xf numFmtId="3" fontId="6" fillId="0" borderId="0" xfId="3" applyFont="1" applyFill="1"/>
    <xf numFmtId="3" fontId="6" fillId="0" borderId="0" xfId="3" applyFont="1" applyFill="1" applyAlignment="1">
      <alignment horizontal="right"/>
    </xf>
    <xf numFmtId="3" fontId="6" fillId="0" borderId="1" xfId="3" applyFont="1" applyFill="1" applyBorder="1"/>
    <xf numFmtId="3" fontId="6" fillId="0" borderId="1" xfId="3" applyFont="1" applyFill="1" applyBorder="1" applyAlignment="1">
      <alignment horizontal="right"/>
    </xf>
    <xf numFmtId="0" fontId="21" fillId="0" borderId="1" xfId="0" applyFont="1" applyFill="1" applyBorder="1" applyAlignment="1">
      <alignment wrapText="1"/>
    </xf>
    <xf numFmtId="0" fontId="20" fillId="0" borderId="0" xfId="0" applyFont="1" applyFill="1" applyAlignment="1">
      <alignment wrapText="1"/>
    </xf>
    <xf numFmtId="0" fontId="21" fillId="0" borderId="1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1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0" fillId="0" borderId="6" xfId="0" applyFont="1" applyFill="1" applyBorder="1" applyAlignment="1">
      <alignment wrapText="1"/>
    </xf>
    <xf numFmtId="14" fontId="12" fillId="0" borderId="1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3" fontId="15" fillId="0" borderId="0" xfId="3" applyFont="1" applyFill="1" applyAlignment="1">
      <alignment vertical="top" wrapText="1"/>
    </xf>
    <xf numFmtId="3" fontId="6" fillId="0" borderId="0" xfId="3" applyFont="1" applyFill="1" applyAlignment="1">
      <alignment vertical="top" wrapText="1"/>
    </xf>
    <xf numFmtId="3" fontId="22" fillId="0" borderId="1" xfId="3" applyFont="1" applyFill="1" applyBorder="1"/>
    <xf numFmtId="0" fontId="7" fillId="0" borderId="1" xfId="4" applyFont="1" applyFill="1" applyBorder="1"/>
    <xf numFmtId="1" fontId="32" fillId="0" borderId="1" xfId="0" applyNumberFormat="1" applyFont="1" applyFill="1" applyBorder="1" applyAlignment="1">
      <alignment horizontal="right" vertical="center"/>
    </xf>
    <xf numFmtId="0" fontId="7" fillId="0" borderId="0" xfId="4" applyFont="1" applyFill="1"/>
    <xf numFmtId="1" fontId="7" fillId="0" borderId="0" xfId="4" applyNumberFormat="1" applyFont="1" applyFill="1"/>
    <xf numFmtId="0" fontId="6" fillId="0" borderId="2" xfId="0" applyFont="1" applyBorder="1" applyAlignment="1">
      <alignment wrapText="1"/>
    </xf>
    <xf numFmtId="167" fontId="12" fillId="0" borderId="1" xfId="0" applyNumberFormat="1" applyFont="1" applyFill="1" applyBorder="1" applyAlignment="1">
      <alignment wrapText="1"/>
    </xf>
    <xf numFmtId="0" fontId="13" fillId="0" borderId="0" xfId="0" applyFont="1" applyFill="1" applyAlignment="1">
      <alignment wrapText="1"/>
    </xf>
    <xf numFmtId="0" fontId="12" fillId="0" borderId="9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167" fontId="6" fillId="0" borderId="0" xfId="0" applyNumberFormat="1" applyFont="1" applyFill="1" applyAlignment="1">
      <alignment wrapText="1"/>
    </xf>
    <xf numFmtId="0" fontId="21" fillId="0" borderId="3" xfId="0" applyFont="1" applyFill="1" applyBorder="1" applyAlignment="1">
      <alignment wrapText="1"/>
    </xf>
    <xf numFmtId="3" fontId="21" fillId="0" borderId="1" xfId="0" applyNumberFormat="1" applyFont="1" applyFill="1" applyBorder="1" applyAlignment="1">
      <alignment wrapText="1"/>
    </xf>
    <xf numFmtId="3" fontId="20" fillId="0" borderId="0" xfId="0" applyNumberFormat="1" applyFont="1" applyFill="1" applyAlignment="1">
      <alignment wrapText="1"/>
    </xf>
    <xf numFmtId="3" fontId="3" fillId="0" borderId="4" xfId="0" applyNumberFormat="1" applyFont="1" applyFill="1" applyBorder="1" applyAlignment="1">
      <alignment wrapText="1"/>
    </xf>
    <xf numFmtId="14" fontId="13" fillId="0" borderId="1" xfId="0" applyNumberFormat="1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16" fontId="13" fillId="0" borderId="0" xfId="0" applyNumberFormat="1" applyFont="1" applyFill="1" applyAlignment="1">
      <alignment wrapText="1"/>
    </xf>
    <xf numFmtId="0" fontId="3" fillId="0" borderId="5" xfId="0" applyFont="1" applyFill="1" applyBorder="1" applyAlignment="1">
      <alignment wrapText="1"/>
    </xf>
    <xf numFmtId="0" fontId="40" fillId="0" borderId="0" xfId="0" applyFont="1" applyFill="1" applyBorder="1" applyAlignment="1"/>
    <xf numFmtId="0" fontId="40" fillId="0" borderId="7" xfId="0" applyFont="1" applyFill="1" applyBorder="1" applyAlignment="1"/>
    <xf numFmtId="3" fontId="6" fillId="0" borderId="0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 wrapText="1"/>
    </xf>
    <xf numFmtId="15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5" xfId="0" applyFont="1" applyFill="1" applyBorder="1" applyAlignment="1">
      <alignment wrapText="1"/>
    </xf>
    <xf numFmtId="0" fontId="21" fillId="0" borderId="0" xfId="0" applyFont="1" applyFill="1" applyAlignment="1">
      <alignment wrapText="1"/>
    </xf>
    <xf numFmtId="0" fontId="27" fillId="0" borderId="0" xfId="0" applyFont="1" applyFill="1" applyAlignment="1">
      <alignment horizontal="right" wrapText="1"/>
    </xf>
    <xf numFmtId="0" fontId="27" fillId="0" borderId="1" xfId="0" applyFont="1" applyFill="1" applyBorder="1" applyAlignment="1">
      <alignment horizontal="right" wrapText="1"/>
    </xf>
    <xf numFmtId="3" fontId="0" fillId="0" borderId="0" xfId="0" applyNumberFormat="1" applyFill="1" applyAlignment="1">
      <alignment horizontal="right" vertical="top"/>
    </xf>
    <xf numFmtId="0" fontId="16" fillId="0" borderId="0" xfId="0" applyFont="1" applyFill="1" applyAlignment="1">
      <alignment horizontal="right" wrapText="1"/>
    </xf>
    <xf numFmtId="0" fontId="13" fillId="0" borderId="0" xfId="0" applyFont="1" applyFill="1" applyBorder="1" applyAlignment="1">
      <alignment wrapText="1"/>
    </xf>
    <xf numFmtId="0" fontId="12" fillId="0" borderId="0" xfId="0" quotePrefix="1" applyFont="1" applyFill="1" applyAlignment="1">
      <alignment horizontal="center" wrapText="1"/>
    </xf>
    <xf numFmtId="3" fontId="33" fillId="0" borderId="0" xfId="0" applyNumberFormat="1" applyFont="1" applyFill="1" applyAlignment="1">
      <alignment horizontal="center" wrapText="1"/>
    </xf>
    <xf numFmtId="0" fontId="16" fillId="0" borderId="1" xfId="0" applyFont="1" applyFill="1" applyBorder="1" applyAlignment="1">
      <alignment horizontal="right" wrapText="1"/>
    </xf>
    <xf numFmtId="3" fontId="13" fillId="0" borderId="1" xfId="3" applyFont="1" applyFill="1" applyBorder="1" applyAlignment="1">
      <alignment horizontal="right" vertical="top" wrapText="1"/>
    </xf>
    <xf numFmtId="49" fontId="12" fillId="0" borderId="0" xfId="0" quotePrefix="1" applyNumberFormat="1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16" fontId="12" fillId="2" borderId="0" xfId="0" applyNumberFormat="1" applyFont="1" applyFill="1" applyAlignment="1">
      <alignment horizontal="right" wrapText="1"/>
    </xf>
    <xf numFmtId="10" fontId="42" fillId="5" borderId="0" xfId="0" applyNumberFormat="1" applyFont="1" applyFill="1" applyAlignment="1">
      <alignment wrapText="1"/>
    </xf>
    <xf numFmtId="10" fontId="42" fillId="6" borderId="0" xfId="0" applyNumberFormat="1" applyFont="1" applyFill="1" applyAlignment="1">
      <alignment wrapText="1"/>
    </xf>
    <xf numFmtId="10" fontId="43" fillId="6" borderId="0" xfId="0" applyNumberFormat="1" applyFont="1" applyFill="1" applyAlignment="1">
      <alignment horizontal="right"/>
    </xf>
    <xf numFmtId="3" fontId="42" fillId="6" borderId="0" xfId="0" applyNumberFormat="1" applyFont="1" applyFill="1" applyAlignment="1">
      <alignment wrapText="1"/>
    </xf>
    <xf numFmtId="10" fontId="42" fillId="5" borderId="0" xfId="0" applyNumberFormat="1" applyFont="1" applyFill="1" applyBorder="1" applyAlignment="1">
      <alignment wrapText="1"/>
    </xf>
    <xf numFmtId="10" fontId="42" fillId="6" borderId="0" xfId="0" applyNumberFormat="1" applyFont="1" applyFill="1" applyBorder="1" applyAlignment="1">
      <alignment wrapText="1"/>
    </xf>
    <xf numFmtId="10" fontId="43" fillId="6" borderId="0" xfId="0" applyNumberFormat="1" applyFont="1" applyFill="1" applyBorder="1" applyAlignment="1">
      <alignment horizontal="right"/>
    </xf>
    <xf numFmtId="10" fontId="43" fillId="5" borderId="0" xfId="0" applyNumberFormat="1" applyFont="1" applyFill="1"/>
    <xf numFmtId="10" fontId="43" fillId="6" borderId="0" xfId="0" applyNumberFormat="1" applyFont="1" applyFill="1"/>
    <xf numFmtId="10" fontId="44" fillId="6" borderId="0" xfId="0" applyNumberFormat="1" applyFont="1" applyFill="1" applyAlignment="1">
      <alignment horizontal="right"/>
    </xf>
    <xf numFmtId="10" fontId="44" fillId="6" borderId="0" xfId="0" applyNumberFormat="1" applyFont="1" applyFill="1" applyBorder="1" applyAlignment="1">
      <alignment horizontal="right"/>
    </xf>
    <xf numFmtId="0" fontId="0" fillId="10" borderId="0" xfId="0" applyFill="1"/>
    <xf numFmtId="0" fontId="0" fillId="10" borderId="7" xfId="0" applyFill="1" applyBorder="1"/>
    <xf numFmtId="14" fontId="12" fillId="0" borderId="0" xfId="0" applyNumberFormat="1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167" fontId="12" fillId="0" borderId="0" xfId="0" applyNumberFormat="1" applyFont="1" applyFill="1" applyBorder="1" applyAlignment="1">
      <alignment wrapText="1"/>
    </xf>
    <xf numFmtId="3" fontId="21" fillId="0" borderId="0" xfId="0" applyNumberFormat="1" applyFont="1" applyFill="1" applyBorder="1" applyAlignment="1">
      <alignment wrapText="1"/>
    </xf>
    <xf numFmtId="14" fontId="13" fillId="0" borderId="0" xfId="0" applyNumberFormat="1" applyFont="1" applyFill="1" applyBorder="1" applyAlignment="1">
      <alignment wrapText="1"/>
    </xf>
    <xf numFmtId="0" fontId="45" fillId="2" borderId="0" xfId="0" applyFont="1" applyFill="1"/>
    <xf numFmtId="16" fontId="12" fillId="0" borderId="0" xfId="0" applyNumberFormat="1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10" fontId="42" fillId="10" borderId="0" xfId="0" applyNumberFormat="1" applyFont="1" applyFill="1" applyAlignment="1">
      <alignment wrapText="1"/>
    </xf>
    <xf numFmtId="0" fontId="45" fillId="2" borderId="7" xfId="0" applyFont="1" applyFill="1" applyBorder="1"/>
    <xf numFmtId="10" fontId="43" fillId="6" borderId="7" xfId="0" applyNumberFormat="1" applyFont="1" applyFill="1" applyBorder="1"/>
    <xf numFmtId="10" fontId="42" fillId="6" borderId="0" xfId="0" applyNumberFormat="1" applyFont="1" applyFill="1"/>
    <xf numFmtId="0" fontId="41" fillId="0" borderId="0" xfId="0" applyFont="1"/>
    <xf numFmtId="10" fontId="50" fillId="2" borderId="0" xfId="0" applyNumberFormat="1" applyFont="1" applyFill="1" applyAlignment="1">
      <alignment horizontal="right"/>
    </xf>
    <xf numFmtId="3" fontId="48" fillId="2" borderId="0" xfId="0" applyNumberFormat="1" applyFont="1" applyFill="1" applyAlignment="1">
      <alignment horizontal="right"/>
    </xf>
    <xf numFmtId="10" fontId="43" fillId="9" borderId="0" xfId="0" applyNumberFormat="1" applyFont="1" applyFill="1" applyAlignment="1">
      <alignment horizontal="right"/>
    </xf>
    <xf numFmtId="10" fontId="44" fillId="9" borderId="0" xfId="0" applyNumberFormat="1" applyFont="1" applyFill="1" applyAlignment="1">
      <alignment horizontal="right"/>
    </xf>
    <xf numFmtId="10" fontId="43" fillId="9" borderId="0" xfId="0" applyNumberFormat="1" applyFont="1" applyFill="1"/>
    <xf numFmtId="10" fontId="43" fillId="9" borderId="7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3" fontId="7" fillId="2" borderId="0" xfId="0" applyNumberFormat="1" applyFont="1" applyFill="1" applyAlignment="1">
      <alignment horizontal="right"/>
    </xf>
    <xf numFmtId="9" fontId="43" fillId="9" borderId="0" xfId="0" applyNumberFormat="1" applyFont="1" applyFill="1"/>
    <xf numFmtId="0" fontId="51" fillId="7" borderId="0" xfId="0" applyFont="1" applyFill="1"/>
    <xf numFmtId="0" fontId="41" fillId="0" borderId="0" xfId="0" applyFont="1" applyBorder="1"/>
    <xf numFmtId="9" fontId="43" fillId="9" borderId="0" xfId="0" applyNumberFormat="1" applyFont="1" applyFill="1" applyBorder="1"/>
    <xf numFmtId="0" fontId="43" fillId="9" borderId="7" xfId="0" applyFont="1" applyFill="1" applyBorder="1"/>
    <xf numFmtId="0" fontId="43" fillId="9" borderId="0" xfId="0" applyFont="1" applyFill="1"/>
    <xf numFmtId="10" fontId="0" fillId="10" borderId="0" xfId="0" applyNumberFormat="1" applyFill="1"/>
    <xf numFmtId="9" fontId="0" fillId="10" borderId="0" xfId="0" applyNumberFormat="1" applyFill="1"/>
    <xf numFmtId="10" fontId="49" fillId="10" borderId="0" xfId="0" applyNumberFormat="1" applyFont="1" applyFill="1"/>
    <xf numFmtId="0" fontId="3" fillId="10" borderId="0" xfId="0" applyFont="1" applyFill="1" applyBorder="1"/>
    <xf numFmtId="0" fontId="7" fillId="10" borderId="1" xfId="0" applyFont="1" applyFill="1" applyBorder="1"/>
    <xf numFmtId="0" fontId="48" fillId="10" borderId="0" xfId="0" applyFont="1" applyFill="1"/>
    <xf numFmtId="0" fontId="7" fillId="10" borderId="0" xfId="0" applyFont="1" applyFill="1"/>
    <xf numFmtId="0" fontId="48" fillId="10" borderId="7" xfId="0" applyFont="1" applyFill="1" applyBorder="1"/>
    <xf numFmtId="0" fontId="7" fillId="2" borderId="7" xfId="0" applyFont="1" applyFill="1" applyBorder="1" applyAlignment="1">
      <alignment wrapText="1"/>
    </xf>
    <xf numFmtId="14" fontId="7" fillId="2" borderId="7" xfId="0" applyNumberFormat="1" applyFont="1" applyFill="1" applyBorder="1" applyAlignment="1">
      <alignment wrapText="1"/>
    </xf>
    <xf numFmtId="2" fontId="7" fillId="2" borderId="7" xfId="0" quotePrefix="1" applyNumberFormat="1" applyFont="1" applyFill="1" applyBorder="1" applyAlignment="1">
      <alignment horizontal="right"/>
    </xf>
    <xf numFmtId="166" fontId="7" fillId="2" borderId="7" xfId="0" quotePrefix="1" applyNumberFormat="1" applyFont="1" applyFill="1" applyBorder="1" applyAlignment="1">
      <alignment horizontal="right"/>
    </xf>
    <xf numFmtId="0" fontId="0" fillId="10" borderId="18" xfId="0" applyFill="1" applyBorder="1"/>
    <xf numFmtId="0" fontId="46" fillId="10" borderId="7" xfId="0" applyFont="1" applyFill="1" applyBorder="1"/>
    <xf numFmtId="0" fontId="46" fillId="0" borderId="0" xfId="0" applyFont="1"/>
    <xf numFmtId="2" fontId="7" fillId="10" borderId="0" xfId="0" applyNumberFormat="1" applyFont="1" applyFill="1"/>
    <xf numFmtId="2" fontId="48" fillId="10" borderId="0" xfId="0" applyNumberFormat="1" applyFont="1" applyFill="1"/>
    <xf numFmtId="2" fontId="0" fillId="10" borderId="0" xfId="0" applyNumberFormat="1" applyFill="1"/>
    <xf numFmtId="2" fontId="7" fillId="2" borderId="0" xfId="0" applyNumberFormat="1" applyFont="1" applyFill="1" applyBorder="1" applyAlignment="1">
      <alignment wrapText="1"/>
    </xf>
    <xf numFmtId="2" fontId="7" fillId="2" borderId="0" xfId="0" applyNumberFormat="1" applyFont="1" applyFill="1" applyAlignment="1">
      <alignment wrapText="1"/>
    </xf>
    <xf numFmtId="2" fontId="48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0" fillId="0" borderId="0" xfId="0" applyNumberFormat="1"/>
    <xf numFmtId="2" fontId="0" fillId="10" borderId="18" xfId="0" applyNumberFormat="1" applyFill="1" applyBorder="1"/>
    <xf numFmtId="2" fontId="7" fillId="10" borderId="2" xfId="0" applyNumberFormat="1" applyFont="1" applyFill="1" applyBorder="1"/>
    <xf numFmtId="2" fontId="48" fillId="10" borderId="18" xfId="0" applyNumberFormat="1" applyFont="1" applyFill="1" applyBorder="1"/>
    <xf numFmtId="2" fontId="7" fillId="2" borderId="18" xfId="0" applyNumberFormat="1" applyFont="1" applyFill="1" applyBorder="1" applyAlignment="1">
      <alignment wrapText="1"/>
    </xf>
    <xf numFmtId="2" fontId="48" fillId="2" borderId="18" xfId="0" applyNumberFormat="1" applyFont="1" applyFill="1" applyBorder="1" applyAlignment="1">
      <alignment horizontal="right"/>
    </xf>
    <xf numFmtId="2" fontId="7" fillId="2" borderId="18" xfId="0" applyNumberFormat="1" applyFont="1" applyFill="1" applyBorder="1" applyAlignment="1">
      <alignment horizontal="right"/>
    </xf>
    <xf numFmtId="3" fontId="0" fillId="10" borderId="0" xfId="0" applyNumberFormat="1" applyFill="1"/>
    <xf numFmtId="9" fontId="47" fillId="10" borderId="0" xfId="0" applyNumberFormat="1" applyFont="1" applyFill="1"/>
    <xf numFmtId="10" fontId="44" fillId="2" borderId="0" xfId="0" applyNumberFormat="1" applyFont="1" applyFill="1" applyAlignment="1">
      <alignment horizontal="right"/>
    </xf>
    <xf numFmtId="10" fontId="47" fillId="10" borderId="0" xfId="0" applyNumberFormat="1" applyFont="1" applyFill="1"/>
    <xf numFmtId="3" fontId="0" fillId="10" borderId="18" xfId="0" applyNumberFormat="1" applyFill="1" applyBorder="1"/>
    <xf numFmtId="3" fontId="0" fillId="10" borderId="0" xfId="0" applyNumberFormat="1" applyFill="1" applyBorder="1"/>
    <xf numFmtId="10" fontId="0" fillId="0" borderId="0" xfId="10" applyNumberFormat="1" applyFont="1"/>
    <xf numFmtId="10" fontId="0" fillId="10" borderId="0" xfId="0" applyNumberFormat="1" applyFill="1" applyBorder="1"/>
    <xf numFmtId="0" fontId="33" fillId="0" borderId="0" xfId="0" applyFont="1"/>
    <xf numFmtId="0" fontId="33" fillId="10" borderId="0" xfId="0" applyFont="1" applyFill="1"/>
    <xf numFmtId="168" fontId="33" fillId="0" borderId="0" xfId="10" applyNumberFormat="1" applyFont="1"/>
    <xf numFmtId="0" fontId="33" fillId="10" borderId="7" xfId="0" applyFont="1" applyFill="1" applyBorder="1"/>
    <xf numFmtId="0" fontId="3" fillId="10" borderId="1" xfId="0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wrapText="1"/>
    </xf>
    <xf numFmtId="0" fontId="12" fillId="10" borderId="1" xfId="0" quotePrefix="1" applyNumberFormat="1" applyFont="1" applyFill="1" applyBorder="1" applyAlignment="1">
      <alignment horizontal="right"/>
    </xf>
    <xf numFmtId="0" fontId="13" fillId="10" borderId="1" xfId="0" quotePrefix="1" applyNumberFormat="1" applyFont="1" applyFill="1" applyBorder="1" applyAlignment="1">
      <alignment horizontal="right"/>
    </xf>
    <xf numFmtId="0" fontId="33" fillId="9" borderId="7" xfId="0" applyFont="1" applyFill="1" applyBorder="1" applyAlignment="1">
      <alignment horizontal="center" vertical="center"/>
    </xf>
    <xf numFmtId="0" fontId="6" fillId="10" borderId="0" xfId="0" applyFont="1" applyFill="1" applyAlignment="1">
      <alignment wrapText="1"/>
    </xf>
    <xf numFmtId="3" fontId="9" fillId="10" borderId="0" xfId="0" applyNumberFormat="1" applyFont="1" applyFill="1" applyAlignment="1">
      <alignment horizontal="right"/>
    </xf>
    <xf numFmtId="3" fontId="6" fillId="10" borderId="0" xfId="0" applyNumberFormat="1" applyFont="1" applyFill="1" applyAlignment="1">
      <alignment horizontal="right"/>
    </xf>
    <xf numFmtId="3" fontId="33" fillId="9" borderId="0" xfId="0" applyNumberFormat="1" applyFont="1" applyFill="1" applyBorder="1" applyAlignment="1">
      <alignment horizontal="right"/>
    </xf>
    <xf numFmtId="0" fontId="6" fillId="10" borderId="1" xfId="0" applyFont="1" applyFill="1" applyBorder="1"/>
    <xf numFmtId="0" fontId="9" fillId="10" borderId="7" xfId="0" applyFont="1" applyFill="1" applyBorder="1"/>
    <xf numFmtId="14" fontId="6" fillId="2" borderId="7" xfId="0" applyNumberFormat="1" applyFont="1" applyFill="1" applyBorder="1" applyAlignment="1">
      <alignment wrapText="1"/>
    </xf>
    <xf numFmtId="2" fontId="6" fillId="2" borderId="7" xfId="0" quotePrefix="1" applyNumberFormat="1" applyFont="1" applyFill="1" applyBorder="1" applyAlignment="1">
      <alignment horizontal="right"/>
    </xf>
    <xf numFmtId="166" fontId="6" fillId="2" borderId="7" xfId="0" quotePrefix="1" applyNumberFormat="1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wrapText="1"/>
    </xf>
    <xf numFmtId="3" fontId="7" fillId="2" borderId="0" xfId="0" applyNumberFormat="1" applyFont="1" applyFill="1" applyAlignment="1">
      <alignment wrapText="1"/>
    </xf>
    <xf numFmtId="3" fontId="36" fillId="2" borderId="0" xfId="0" applyNumberFormat="1" applyFont="1" applyFill="1" applyAlignment="1">
      <alignment horizontal="right"/>
    </xf>
    <xf numFmtId="0" fontId="6" fillId="10" borderId="0" xfId="0" applyFont="1" applyFill="1"/>
    <xf numFmtId="0" fontId="6" fillId="10" borderId="0" xfId="0" applyFont="1" applyFill="1" applyBorder="1"/>
    <xf numFmtId="0" fontId="6" fillId="10" borderId="18" xfId="0" applyFont="1" applyFill="1" applyBorder="1"/>
    <xf numFmtId="0" fontId="33" fillId="10" borderId="18" xfId="0" applyFont="1" applyFill="1" applyBorder="1"/>
    <xf numFmtId="3" fontId="7" fillId="2" borderId="18" xfId="0" applyNumberFormat="1" applyFont="1" applyFill="1" applyBorder="1" applyAlignment="1">
      <alignment wrapText="1"/>
    </xf>
    <xf numFmtId="3" fontId="36" fillId="2" borderId="18" xfId="0" applyNumberFormat="1" applyFont="1" applyFill="1" applyBorder="1" applyAlignment="1">
      <alignment horizontal="right"/>
    </xf>
    <xf numFmtId="3" fontId="7" fillId="2" borderId="18" xfId="0" applyNumberFormat="1" applyFont="1" applyFill="1" applyBorder="1" applyAlignment="1">
      <alignment horizontal="right"/>
    </xf>
    <xf numFmtId="10" fontId="6" fillId="10" borderId="0" xfId="0" applyNumberFormat="1" applyFont="1" applyFill="1" applyBorder="1"/>
    <xf numFmtId="10" fontId="33" fillId="10" borderId="0" xfId="0" applyNumberFormat="1" applyFont="1" applyFill="1" applyBorder="1"/>
    <xf numFmtId="10" fontId="7" fillId="2" borderId="0" xfId="0" applyNumberFormat="1" applyFont="1" applyFill="1" applyBorder="1" applyAlignment="1">
      <alignment wrapText="1"/>
    </xf>
    <xf numFmtId="0" fontId="36" fillId="10" borderId="0" xfId="0" applyFont="1" applyFill="1"/>
    <xf numFmtId="3" fontId="7" fillId="2" borderId="0" xfId="0" applyNumberFormat="1" applyFont="1" applyFill="1" applyAlignment="1">
      <alignment horizontal="right" vertical="center"/>
    </xf>
    <xf numFmtId="3" fontId="16" fillId="2" borderId="0" xfId="0" applyNumberFormat="1" applyFont="1" applyFill="1" applyAlignment="1">
      <alignment horizontal="right"/>
    </xf>
    <xf numFmtId="0" fontId="7" fillId="10" borderId="2" xfId="0" applyFont="1" applyFill="1" applyBorder="1"/>
    <xf numFmtId="0" fontId="36" fillId="10" borderId="18" xfId="0" applyFont="1" applyFill="1" applyBorder="1"/>
    <xf numFmtId="0" fontId="36" fillId="0" borderId="0" xfId="0" applyFont="1" applyFill="1"/>
    <xf numFmtId="0" fontId="36" fillId="10" borderId="7" xfId="0" applyFont="1" applyFill="1" applyBorder="1"/>
    <xf numFmtId="0" fontId="7" fillId="2" borderId="18" xfId="0" applyFont="1" applyFill="1" applyBorder="1" applyAlignment="1">
      <alignment wrapText="1"/>
    </xf>
    <xf numFmtId="0" fontId="33" fillId="7" borderId="0" xfId="0" applyFont="1" applyFill="1"/>
    <xf numFmtId="0" fontId="33" fillId="0" borderId="0" xfId="0" applyFont="1" applyFill="1"/>
    <xf numFmtId="0" fontId="3" fillId="10" borderId="0" xfId="0" applyFont="1" applyFill="1"/>
    <xf numFmtId="0" fontId="33" fillId="2" borderId="0" xfId="0" applyFont="1" applyFill="1"/>
    <xf numFmtId="0" fontId="33" fillId="9" borderId="0" xfId="0" applyFont="1" applyFill="1"/>
    <xf numFmtId="0" fontId="33" fillId="2" borderId="7" xfId="0" applyFont="1" applyFill="1" applyBorder="1"/>
    <xf numFmtId="3" fontId="33" fillId="2" borderId="0" xfId="0" applyNumberFormat="1" applyFont="1" applyFill="1"/>
    <xf numFmtId="3" fontId="9" fillId="2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10" borderId="0" xfId="0" applyNumberFormat="1" applyFont="1" applyFill="1"/>
    <xf numFmtId="0" fontId="6" fillId="2" borderId="0" xfId="0" quotePrefix="1" applyFont="1" applyFill="1"/>
    <xf numFmtId="0" fontId="9" fillId="9" borderId="0" xfId="0" applyFont="1" applyFill="1"/>
    <xf numFmtId="10" fontId="33" fillId="9" borderId="0" xfId="0" applyNumberFormat="1" applyFont="1" applyFill="1"/>
    <xf numFmtId="0" fontId="9" fillId="2" borderId="0" xfId="0" applyFont="1" applyFill="1" applyBorder="1"/>
    <xf numFmtId="0" fontId="33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wrapText="1"/>
    </xf>
    <xf numFmtId="3" fontId="9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6" fillId="2" borderId="7" xfId="0" applyFont="1" applyFill="1" applyBorder="1"/>
    <xf numFmtId="0" fontId="33" fillId="9" borderId="7" xfId="0" applyFont="1" applyFill="1" applyBorder="1"/>
    <xf numFmtId="0" fontId="8" fillId="2" borderId="6" xfId="0" applyFont="1" applyFill="1" applyBorder="1"/>
    <xf numFmtId="0" fontId="33" fillId="2" borderId="6" xfId="0" applyFont="1" applyFill="1" applyBorder="1"/>
    <xf numFmtId="3" fontId="6" fillId="2" borderId="0" xfId="0" applyNumberFormat="1" applyFont="1" applyFill="1" applyBorder="1"/>
    <xf numFmtId="3" fontId="6" fillId="2" borderId="6" xfId="0" applyNumberFormat="1" applyFont="1" applyFill="1" applyBorder="1" applyAlignment="1">
      <alignment wrapText="1"/>
    </xf>
    <xf numFmtId="3" fontId="9" fillId="2" borderId="6" xfId="0" applyNumberFormat="1" applyFont="1" applyFill="1" applyBorder="1" applyAlignment="1">
      <alignment horizontal="right"/>
    </xf>
    <xf numFmtId="0" fontId="33" fillId="2" borderId="17" xfId="0" applyFont="1" applyFill="1" applyBorder="1"/>
    <xf numFmtId="0" fontId="33" fillId="10" borderId="17" xfId="0" applyFont="1" applyFill="1" applyBorder="1"/>
    <xf numFmtId="3" fontId="9" fillId="2" borderId="4" xfId="0" applyNumberFormat="1" applyFont="1" applyFill="1" applyBorder="1" applyAlignment="1">
      <alignment horizontal="right"/>
    </xf>
    <xf numFmtId="3" fontId="6" fillId="2" borderId="4" xfId="0" applyNumberFormat="1" applyFont="1" applyFill="1" applyBorder="1" applyAlignment="1">
      <alignment horizontal="right"/>
    </xf>
    <xf numFmtId="0" fontId="33" fillId="9" borderId="0" xfId="0" applyFont="1" applyFill="1" applyBorder="1"/>
    <xf numFmtId="3" fontId="33" fillId="2" borderId="0" xfId="0" applyNumberFormat="1" applyFont="1" applyFill="1" applyAlignment="1">
      <alignment horizontal="right"/>
    </xf>
    <xf numFmtId="3" fontId="6" fillId="2" borderId="0" xfId="0" applyNumberFormat="1" applyFont="1" applyFill="1" applyBorder="1" applyAlignment="1">
      <alignment wrapText="1"/>
    </xf>
    <xf numFmtId="0" fontId="6" fillId="2" borderId="6" xfId="0" applyFont="1" applyFill="1" applyBorder="1"/>
    <xf numFmtId="3" fontId="6" fillId="2" borderId="6" xfId="0" applyNumberFormat="1" applyFont="1" applyFill="1" applyBorder="1" applyAlignment="1">
      <alignment horizontal="right"/>
    </xf>
    <xf numFmtId="0" fontId="8" fillId="2" borderId="0" xfId="0" applyFont="1" applyFill="1" applyBorder="1"/>
    <xf numFmtId="0" fontId="33" fillId="10" borderId="0" xfId="0" applyFont="1" applyFill="1" applyBorder="1"/>
    <xf numFmtId="0" fontId="33" fillId="0" borderId="0" xfId="0" applyFont="1" applyBorder="1"/>
    <xf numFmtId="0" fontId="3" fillId="2" borderId="6" xfId="0" applyFont="1" applyFill="1" applyBorder="1"/>
    <xf numFmtId="10" fontId="33" fillId="0" borderId="0" xfId="0" applyNumberFormat="1" applyFont="1" applyFill="1"/>
    <xf numFmtId="3" fontId="9" fillId="2" borderId="1" xfId="0" applyNumberFormat="1" applyFont="1" applyFill="1" applyBorder="1" applyAlignment="1">
      <alignment horizontal="right"/>
    </xf>
    <xf numFmtId="3" fontId="6" fillId="2" borderId="7" xfId="0" applyNumberFormat="1" applyFont="1" applyFill="1" applyBorder="1" applyAlignment="1">
      <alignment horizontal="right"/>
    </xf>
    <xf numFmtId="0" fontId="6" fillId="2" borderId="17" xfId="0" applyFont="1" applyFill="1" applyBorder="1"/>
    <xf numFmtId="0" fontId="4" fillId="10" borderId="0" xfId="0" applyFont="1" applyFill="1"/>
    <xf numFmtId="0" fontId="12" fillId="10" borderId="0" xfId="0" applyFont="1" applyFill="1" applyAlignment="1">
      <alignment wrapText="1"/>
    </xf>
    <xf numFmtId="0" fontId="9" fillId="10" borderId="0" xfId="0" applyFont="1" applyFill="1" applyAlignment="1">
      <alignment horizontal="center"/>
    </xf>
    <xf numFmtId="0" fontId="33" fillId="9" borderId="0" xfId="0" applyFont="1" applyFill="1" applyBorder="1" applyAlignment="1">
      <alignment horizontal="center"/>
    </xf>
    <xf numFmtId="3" fontId="6" fillId="10" borderId="0" xfId="0" applyNumberFormat="1" applyFont="1" applyFill="1" applyAlignment="1">
      <alignment wrapText="1"/>
    </xf>
    <xf numFmtId="0" fontId="9" fillId="10" borderId="0" xfId="0" applyFont="1" applyFill="1"/>
    <xf numFmtId="0" fontId="9" fillId="10" borderId="0" xfId="0" applyFont="1" applyFill="1" applyAlignment="1">
      <alignment horizontal="left"/>
    </xf>
    <xf numFmtId="0" fontId="6" fillId="10" borderId="7" xfId="0" applyFont="1" applyFill="1" applyBorder="1" applyAlignment="1">
      <alignment wrapText="1"/>
    </xf>
    <xf numFmtId="3" fontId="9" fillId="10" borderId="7" xfId="0" applyNumberFormat="1" applyFont="1" applyFill="1" applyBorder="1" applyAlignment="1">
      <alignment horizontal="right"/>
    </xf>
    <xf numFmtId="3" fontId="6" fillId="10" borderId="7" xfId="0" applyNumberFormat="1" applyFont="1" applyFill="1" applyBorder="1" applyAlignment="1">
      <alignment horizontal="right"/>
    </xf>
    <xf numFmtId="3" fontId="33" fillId="9" borderId="7" xfId="0" applyNumberFormat="1" applyFont="1" applyFill="1" applyBorder="1" applyAlignment="1">
      <alignment horizontal="right"/>
    </xf>
    <xf numFmtId="3" fontId="9" fillId="10" borderId="0" xfId="0" applyNumberFormat="1" applyFont="1" applyFill="1"/>
    <xf numFmtId="0" fontId="3" fillId="10" borderId="0" xfId="0" applyFont="1" applyFill="1" applyAlignment="1">
      <alignment horizontal="left"/>
    </xf>
    <xf numFmtId="10" fontId="33" fillId="0" borderId="0" xfId="0" applyNumberFormat="1" applyFont="1"/>
    <xf numFmtId="3" fontId="33" fillId="10" borderId="0" xfId="0" applyNumberFormat="1" applyFont="1" applyFill="1"/>
    <xf numFmtId="0" fontId="9" fillId="10" borderId="0" xfId="0" applyFont="1" applyFill="1" applyBorder="1"/>
    <xf numFmtId="9" fontId="33" fillId="0" borderId="0" xfId="0" applyNumberFormat="1" applyFont="1"/>
    <xf numFmtId="0" fontId="3" fillId="10" borderId="4" xfId="0" applyFont="1" applyFill="1" applyBorder="1"/>
    <xf numFmtId="0" fontId="6" fillId="10" borderId="17" xfId="0" applyFont="1" applyFill="1" applyBorder="1" applyAlignment="1">
      <alignment wrapText="1"/>
    </xf>
    <xf numFmtId="3" fontId="9" fillId="10" borderId="17" xfId="0" applyNumberFormat="1" applyFont="1" applyFill="1" applyBorder="1" applyAlignment="1">
      <alignment horizontal="right"/>
    </xf>
    <xf numFmtId="3" fontId="6" fillId="10" borderId="17" xfId="0" applyNumberFormat="1" applyFont="1" applyFill="1" applyBorder="1" applyAlignment="1">
      <alignment horizontal="right"/>
    </xf>
    <xf numFmtId="3" fontId="33" fillId="9" borderId="17" xfId="0" applyNumberFormat="1" applyFont="1" applyFill="1" applyBorder="1" applyAlignment="1">
      <alignment horizontal="right"/>
    </xf>
    <xf numFmtId="0" fontId="33" fillId="10" borderId="4" xfId="0" applyFont="1" applyFill="1" applyBorder="1"/>
    <xf numFmtId="0" fontId="21" fillId="10" borderId="0" xfId="0" applyFont="1" applyFill="1" applyAlignment="1">
      <alignment wrapText="1"/>
    </xf>
    <xf numFmtId="4" fontId="9" fillId="10" borderId="0" xfId="0" applyNumberFormat="1" applyFont="1" applyFill="1"/>
    <xf numFmtId="4" fontId="6" fillId="10" borderId="0" xfId="0" applyNumberFormat="1" applyFont="1" applyFill="1"/>
    <xf numFmtId="4" fontId="33" fillId="9" borderId="0" xfId="0" applyNumberFormat="1" applyFont="1" applyFill="1" applyBorder="1"/>
    <xf numFmtId="4" fontId="9" fillId="10" borderId="0" xfId="0" applyNumberFormat="1" applyFont="1" applyFill="1" applyAlignment="1">
      <alignment horizontal="right"/>
    </xf>
    <xf numFmtId="4" fontId="6" fillId="10" borderId="0" xfId="0" applyNumberFormat="1" applyFont="1" applyFill="1" applyAlignment="1">
      <alignment horizontal="right"/>
    </xf>
    <xf numFmtId="4" fontId="33" fillId="9" borderId="0" xfId="0" applyNumberFormat="1" applyFont="1" applyFill="1" applyBorder="1" applyAlignment="1">
      <alignment horizontal="right"/>
    </xf>
    <xf numFmtId="3" fontId="33" fillId="9" borderId="0" xfId="0" applyNumberFormat="1" applyFont="1" applyFill="1" applyBorder="1"/>
    <xf numFmtId="2" fontId="6" fillId="10" borderId="0" xfId="0" quotePrefix="1" applyNumberFormat="1" applyFont="1" applyFill="1" applyAlignment="1">
      <alignment horizontal="right"/>
    </xf>
    <xf numFmtId="0" fontId="12" fillId="9" borderId="0" xfId="0" applyFont="1" applyFill="1" applyBorder="1" applyAlignment="1">
      <alignment horizontal="right"/>
    </xf>
    <xf numFmtId="0" fontId="3" fillId="10" borderId="7" xfId="0" applyFont="1" applyFill="1" applyBorder="1" applyAlignment="1">
      <alignment horizontal="left" vertical="center"/>
    </xf>
    <xf numFmtId="14" fontId="6" fillId="10" borderId="1" xfId="0" applyNumberFormat="1" applyFont="1" applyFill="1" applyBorder="1" applyAlignment="1">
      <alignment wrapText="1"/>
    </xf>
    <xf numFmtId="2" fontId="6" fillId="10" borderId="1" xfId="0" quotePrefix="1" applyNumberFormat="1" applyFont="1" applyFill="1" applyBorder="1" applyAlignment="1">
      <alignment horizontal="right"/>
    </xf>
    <xf numFmtId="2" fontId="12" fillId="9" borderId="7" xfId="0" quotePrefix="1" applyNumberFormat="1" applyFont="1" applyFill="1" applyBorder="1" applyAlignment="1">
      <alignment horizontal="right"/>
    </xf>
    <xf numFmtId="0" fontId="3" fillId="10" borderId="0" xfId="0" applyFont="1" applyFill="1" applyAlignment="1">
      <alignment horizontal="left" vertical="center"/>
    </xf>
    <xf numFmtId="2" fontId="9" fillId="10" borderId="0" xfId="0" quotePrefix="1" applyNumberFormat="1" applyFont="1" applyFill="1" applyAlignment="1">
      <alignment horizontal="right"/>
    </xf>
    <xf numFmtId="2" fontId="6" fillId="10" borderId="0" xfId="0" quotePrefix="1" applyNumberFormat="1" applyFont="1" applyFill="1"/>
    <xf numFmtId="2" fontId="33" fillId="9" borderId="0" xfId="0" quotePrefix="1" applyNumberFormat="1" applyFont="1" applyFill="1" applyBorder="1" applyAlignment="1">
      <alignment horizontal="right"/>
    </xf>
    <xf numFmtId="3" fontId="9" fillId="10" borderId="0" xfId="0" quotePrefix="1" applyNumberFormat="1" applyFont="1" applyFill="1" applyAlignment="1">
      <alignment horizontal="right" vertical="center" wrapText="1"/>
    </xf>
    <xf numFmtId="3" fontId="6" fillId="10" borderId="0" xfId="0" quotePrefix="1" applyNumberFormat="1" applyFont="1" applyFill="1" applyAlignment="1">
      <alignment vertical="center" wrapText="1"/>
    </xf>
    <xf numFmtId="1" fontId="33" fillId="9" borderId="0" xfId="0" quotePrefix="1" applyNumberFormat="1" applyFont="1" applyFill="1" applyBorder="1" applyAlignment="1">
      <alignment horizontal="right" vertical="center" wrapText="1"/>
    </xf>
    <xf numFmtId="0" fontId="9" fillId="10" borderId="0" xfId="0" applyFont="1" applyFill="1" applyAlignment="1">
      <alignment horizontal="left" vertical="center"/>
    </xf>
    <xf numFmtId="1" fontId="33" fillId="9" borderId="0" xfId="0" applyNumberFormat="1" applyFont="1" applyFill="1" applyBorder="1"/>
    <xf numFmtId="0" fontId="9" fillId="10" borderId="0" xfId="0" applyFont="1" applyFill="1" applyAlignment="1">
      <alignment horizontal="left" indent="2"/>
    </xf>
    <xf numFmtId="0" fontId="9" fillId="10" borderId="7" xfId="0" applyFont="1" applyFill="1" applyBorder="1" applyAlignment="1">
      <alignment vertical="top"/>
    </xf>
    <xf numFmtId="3" fontId="6" fillId="10" borderId="7" xfId="0" applyNumberFormat="1" applyFont="1" applyFill="1" applyBorder="1"/>
    <xf numFmtId="3" fontId="6" fillId="10" borderId="7" xfId="0" applyNumberFormat="1" applyFont="1" applyFill="1" applyBorder="1" applyAlignment="1">
      <alignment wrapText="1"/>
    </xf>
    <xf numFmtId="0" fontId="3" fillId="10" borderId="7" xfId="0" applyFont="1" applyFill="1" applyBorder="1"/>
    <xf numFmtId="10" fontId="33" fillId="0" borderId="0" xfId="10" applyNumberFormat="1" applyFont="1"/>
    <xf numFmtId="3" fontId="6" fillId="10" borderId="17" xfId="0" applyNumberFormat="1" applyFont="1" applyFill="1" applyBorder="1"/>
    <xf numFmtId="0" fontId="3" fillId="2" borderId="0" xfId="0" applyFont="1" applyFill="1" applyAlignment="1">
      <alignment horizontal="right"/>
    </xf>
    <xf numFmtId="0" fontId="3" fillId="9" borderId="0" xfId="0" applyFont="1" applyFill="1" applyBorder="1" applyAlignment="1">
      <alignment horizontal="right"/>
    </xf>
    <xf numFmtId="3" fontId="3" fillId="9" borderId="0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 vertical="center"/>
    </xf>
    <xf numFmtId="3" fontId="6" fillId="2" borderId="0" xfId="0" applyNumberFormat="1" applyFont="1" applyFill="1" applyAlignment="1">
      <alignment horizontal="right" vertical="center"/>
    </xf>
    <xf numFmtId="3" fontId="3" fillId="9" borderId="0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top"/>
    </xf>
    <xf numFmtId="0" fontId="33" fillId="0" borderId="0" xfId="0" applyFont="1" applyFill="1" applyAlignment="1">
      <alignment vertical="top"/>
    </xf>
    <xf numFmtId="0" fontId="33" fillId="0" borderId="0" xfId="0" applyFont="1" applyFill="1" applyBorder="1"/>
    <xf numFmtId="3" fontId="33" fillId="0" borderId="0" xfId="0" applyNumberFormat="1" applyFont="1" applyFill="1" applyBorder="1" applyAlignment="1">
      <alignment horizontal="right"/>
    </xf>
    <xf numFmtId="10" fontId="43" fillId="5" borderId="0" xfId="0" applyNumberFormat="1" applyFont="1" applyFill="1" applyBorder="1"/>
    <xf numFmtId="10" fontId="43" fillId="0" borderId="0" xfId="0" applyNumberFormat="1" applyFont="1" applyFill="1"/>
    <xf numFmtId="9" fontId="43" fillId="6" borderId="0" xfId="0" applyNumberFormat="1" applyFont="1" applyFill="1" applyBorder="1"/>
    <xf numFmtId="9" fontId="33" fillId="0" borderId="0" xfId="10" applyFont="1"/>
    <xf numFmtId="0" fontId="43" fillId="9" borderId="0" xfId="0" applyNumberFormat="1" applyFont="1" applyFill="1"/>
    <xf numFmtId="9" fontId="43" fillId="6" borderId="0" xfId="0" applyNumberFormat="1" applyFont="1" applyFill="1"/>
    <xf numFmtId="0" fontId="43" fillId="6" borderId="0" xfId="0" applyFont="1" applyFill="1"/>
    <xf numFmtId="10" fontId="3" fillId="2" borderId="0" xfId="0" applyNumberFormat="1" applyFont="1" applyFill="1" applyAlignment="1">
      <alignment horizontal="right"/>
    </xf>
    <xf numFmtId="0" fontId="43" fillId="0" borderId="0" xfId="0" applyFont="1"/>
    <xf numFmtId="168" fontId="33" fillId="0" borderId="0" xfId="0" applyNumberFormat="1" applyFont="1"/>
    <xf numFmtId="169" fontId="0" fillId="0" borderId="0" xfId="0" applyNumberFormat="1"/>
    <xf numFmtId="9" fontId="0" fillId="0" borderId="0" xfId="10" applyFont="1"/>
    <xf numFmtId="168" fontId="0" fillId="0" borderId="0" xfId="10" applyNumberFormat="1" applyFont="1"/>
    <xf numFmtId="0" fontId="52" fillId="0" borderId="0" xfId="0" applyFont="1"/>
    <xf numFmtId="9" fontId="9" fillId="10" borderId="0" xfId="10" applyFont="1" applyFill="1" applyAlignment="1">
      <alignment horizontal="right"/>
    </xf>
    <xf numFmtId="0" fontId="54" fillId="2" borderId="0" xfId="0" applyFont="1" applyFill="1" applyBorder="1"/>
    <xf numFmtId="0" fontId="54" fillId="2" borderId="0" xfId="0" applyFont="1" applyFill="1"/>
    <xf numFmtId="0" fontId="55" fillId="2" borderId="6" xfId="0" applyFont="1" applyFill="1" applyBorder="1"/>
    <xf numFmtId="14" fontId="0" fillId="12" borderId="0" xfId="0" applyNumberFormat="1" applyFill="1"/>
    <xf numFmtId="0" fontId="0" fillId="12" borderId="0" xfId="0" applyFill="1"/>
    <xf numFmtId="2" fontId="0" fillId="12" borderId="0" xfId="0" applyNumberFormat="1" applyFill="1"/>
    <xf numFmtId="1" fontId="0" fillId="0" borderId="0" xfId="0" applyNumberFormat="1"/>
    <xf numFmtId="0" fontId="0" fillId="12" borderId="16" xfId="0" applyFill="1" applyBorder="1"/>
    <xf numFmtId="2" fontId="0" fillId="12" borderId="16" xfId="0" applyNumberFormat="1" applyFill="1" applyBorder="1"/>
    <xf numFmtId="0" fontId="0" fillId="11" borderId="16" xfId="0" applyFont="1" applyFill="1" applyBorder="1"/>
    <xf numFmtId="2" fontId="0" fillId="11" borderId="16" xfId="0" applyNumberFormat="1" applyFont="1" applyFill="1" applyBorder="1"/>
    <xf numFmtId="9" fontId="0" fillId="0" borderId="0" xfId="0" applyNumberFormat="1"/>
    <xf numFmtId="0" fontId="57" fillId="13" borderId="0" xfId="0" applyFont="1" applyFill="1"/>
    <xf numFmtId="2" fontId="57" fillId="13" borderId="0" xfId="0" applyNumberFormat="1" applyFont="1" applyFill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53" fillId="13" borderId="19" xfId="0" applyFont="1" applyFill="1" applyBorder="1"/>
    <xf numFmtId="10" fontId="0" fillId="0" borderId="20" xfId="10" applyNumberFormat="1" applyFont="1" applyBorder="1"/>
    <xf numFmtId="10" fontId="43" fillId="9" borderId="0" xfId="0" applyNumberFormat="1" applyFont="1" applyFill="1" applyBorder="1"/>
    <xf numFmtId="0" fontId="0" fillId="0" borderId="28" xfId="0" applyFill="1" applyBorder="1"/>
    <xf numFmtId="0" fontId="56" fillId="12" borderId="29" xfId="0" applyFont="1" applyFill="1" applyBorder="1"/>
    <xf numFmtId="0" fontId="0" fillId="12" borderId="30" xfId="0" applyFill="1" applyBorder="1"/>
    <xf numFmtId="0" fontId="0" fillId="12" borderId="31" xfId="0" applyFill="1" applyBorder="1"/>
    <xf numFmtId="10" fontId="0" fillId="12" borderId="32" xfId="0" applyNumberFormat="1" applyFill="1" applyBorder="1"/>
    <xf numFmtId="0" fontId="0" fillId="12" borderId="32" xfId="0" applyFill="1" applyBorder="1"/>
    <xf numFmtId="9" fontId="0" fillId="12" borderId="32" xfId="0" applyNumberFormat="1" applyFill="1" applyBorder="1"/>
    <xf numFmtId="0" fontId="16" fillId="12" borderId="33" xfId="0" applyFont="1" applyFill="1" applyBorder="1"/>
    <xf numFmtId="10" fontId="16" fillId="12" borderId="34" xfId="0" applyNumberFormat="1" applyFont="1" applyFill="1" applyBorder="1"/>
    <xf numFmtId="0" fontId="1" fillId="0" borderId="28" xfId="0" applyFont="1" applyBorder="1"/>
    <xf numFmtId="1" fontId="33" fillId="9" borderId="7" xfId="0" applyNumberFormat="1" applyFont="1" applyFill="1" applyBorder="1"/>
    <xf numFmtId="1" fontId="33" fillId="9" borderId="0" xfId="0" applyNumberFormat="1" applyFont="1" applyFill="1"/>
    <xf numFmtId="1" fontId="33" fillId="9" borderId="17" xfId="0" applyNumberFormat="1" applyFont="1" applyFill="1" applyBorder="1"/>
    <xf numFmtId="0" fontId="53" fillId="13" borderId="26" xfId="0" applyFont="1" applyFill="1" applyBorder="1"/>
    <xf numFmtId="10" fontId="0" fillId="0" borderId="35" xfId="10" applyNumberFormat="1" applyFont="1" applyBorder="1"/>
    <xf numFmtId="0" fontId="0" fillId="0" borderId="35" xfId="0" applyBorder="1"/>
    <xf numFmtId="0" fontId="0" fillId="0" borderId="36" xfId="0" applyBorder="1"/>
    <xf numFmtId="0" fontId="1" fillId="0" borderId="0" xfId="0" applyFont="1" applyBorder="1"/>
    <xf numFmtId="0" fontId="0" fillId="0" borderId="0" xfId="0" applyFill="1" applyBorder="1"/>
    <xf numFmtId="0" fontId="53" fillId="14" borderId="0" xfId="0" applyFont="1" applyFill="1"/>
    <xf numFmtId="168" fontId="53" fillId="14" borderId="0" xfId="10" applyNumberFormat="1" applyFont="1" applyFill="1"/>
    <xf numFmtId="10" fontId="53" fillId="14" borderId="0" xfId="0" applyNumberFormat="1" applyFont="1" applyFill="1"/>
    <xf numFmtId="0" fontId="43" fillId="0" borderId="0" xfId="0" applyNumberFormat="1" applyFont="1" applyFill="1"/>
    <xf numFmtId="0" fontId="60" fillId="0" borderId="0" xfId="0" applyFont="1"/>
    <xf numFmtId="169" fontId="7" fillId="2" borderId="0" xfId="10" applyNumberFormat="1" applyFont="1" applyFill="1" applyBorder="1" applyAlignment="1">
      <alignment wrapText="1"/>
    </xf>
    <xf numFmtId="169" fontId="6" fillId="10" borderId="0" xfId="0" applyNumberFormat="1" applyFont="1" applyFill="1" applyAlignment="1">
      <alignment wrapText="1"/>
    </xf>
    <xf numFmtId="168" fontId="0" fillId="0" borderId="0" xfId="0" applyNumberFormat="1"/>
    <xf numFmtId="0" fontId="59" fillId="10" borderId="0" xfId="0" applyFont="1" applyFill="1" applyBorder="1"/>
    <xf numFmtId="0" fontId="60" fillId="10" borderId="0" xfId="0" applyFont="1" applyFill="1" applyBorder="1"/>
    <xf numFmtId="3" fontId="59" fillId="2" borderId="0" xfId="0" applyNumberFormat="1" applyFont="1" applyFill="1" applyBorder="1" applyAlignment="1">
      <alignment wrapText="1"/>
    </xf>
    <xf numFmtId="3" fontId="59" fillId="2" borderId="0" xfId="0" applyNumberFormat="1" applyFont="1" applyFill="1" applyBorder="1" applyAlignment="1">
      <alignment horizontal="right"/>
    </xf>
    <xf numFmtId="3" fontId="61" fillId="2" borderId="0" xfId="0" applyNumberFormat="1" applyFont="1" applyFill="1" applyBorder="1" applyAlignment="1">
      <alignment horizontal="right"/>
    </xf>
    <xf numFmtId="10" fontId="62" fillId="10" borderId="0" xfId="0" applyNumberFormat="1" applyFont="1" applyFill="1" applyBorder="1"/>
    <xf numFmtId="10" fontId="63" fillId="10" borderId="0" xfId="0" applyNumberFormat="1" applyFont="1" applyFill="1" applyBorder="1"/>
    <xf numFmtId="10" fontId="64" fillId="10" borderId="0" xfId="0" applyNumberFormat="1" applyFont="1" applyFill="1" applyBorder="1"/>
    <xf numFmtId="10" fontId="65" fillId="2" borderId="0" xfId="0" applyNumberFormat="1" applyFont="1" applyFill="1" applyBorder="1" applyAlignment="1">
      <alignment wrapText="1"/>
    </xf>
    <xf numFmtId="10" fontId="64" fillId="0" borderId="0" xfId="0" applyNumberFormat="1" applyFont="1"/>
    <xf numFmtId="0" fontId="64" fillId="0" borderId="0" xfId="0" applyFont="1" applyFill="1"/>
    <xf numFmtId="168" fontId="64" fillId="0" borderId="0" xfId="10" applyNumberFormat="1" applyFont="1" applyFill="1"/>
    <xf numFmtId="1" fontId="0" fillId="10" borderId="0" xfId="0" applyNumberFormat="1" applyFill="1"/>
    <xf numFmtId="10" fontId="64" fillId="0" borderId="0" xfId="0" applyNumberFormat="1" applyFont="1" applyFill="1"/>
    <xf numFmtId="3" fontId="33" fillId="15" borderId="0" xfId="0" applyNumberFormat="1" applyFont="1" applyFill="1"/>
    <xf numFmtId="0" fontId="33" fillId="15" borderId="0" xfId="0" applyFont="1" applyFill="1"/>
    <xf numFmtId="0" fontId="56" fillId="0" borderId="0" xfId="0" applyFont="1"/>
    <xf numFmtId="0" fontId="7" fillId="0" borderId="0" xfId="0" applyFont="1"/>
    <xf numFmtId="3" fontId="0" fillId="15" borderId="0" xfId="0" applyNumberFormat="1" applyFill="1"/>
    <xf numFmtId="1" fontId="43" fillId="0" borderId="0" xfId="0" applyNumberFormat="1" applyFont="1" applyFill="1"/>
    <xf numFmtId="1" fontId="57" fillId="13" borderId="0" xfId="0" applyNumberFormat="1" applyFont="1" applyFill="1"/>
    <xf numFmtId="1" fontId="33" fillId="9" borderId="6" xfId="0" applyNumberFormat="1" applyFont="1" applyFill="1" applyBorder="1"/>
    <xf numFmtId="0" fontId="66" fillId="0" borderId="0" xfId="0" applyFont="1" applyFill="1"/>
    <xf numFmtId="0" fontId="0" fillId="0" borderId="28" xfId="0" applyFont="1" applyFill="1" applyBorder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2" fontId="33" fillId="0" borderId="0" xfId="0" applyNumberFormat="1" applyFont="1"/>
    <xf numFmtId="2" fontId="55" fillId="2" borderId="0" xfId="0" applyNumberFormat="1" applyFont="1" applyFill="1" applyAlignment="1">
      <alignment wrapText="1"/>
    </xf>
    <xf numFmtId="0" fontId="33" fillId="0" borderId="29" xfId="0" applyFont="1" applyBorder="1"/>
    <xf numFmtId="165" fontId="6" fillId="10" borderId="0" xfId="0" applyNumberFormat="1" applyFont="1" applyFill="1" applyAlignment="1">
      <alignment horizontal="right"/>
    </xf>
    <xf numFmtId="0" fontId="6" fillId="9" borderId="0" xfId="0" applyFont="1" applyFill="1" applyAlignment="1">
      <alignment wrapText="1"/>
    </xf>
    <xf numFmtId="170" fontId="9" fillId="10" borderId="0" xfId="0" applyNumberFormat="1" applyFont="1" applyFill="1" applyAlignment="1">
      <alignment horizontal="right"/>
    </xf>
    <xf numFmtId="2" fontId="6" fillId="2" borderId="0" xfId="0" applyNumberFormat="1" applyFont="1" applyFill="1" applyAlignment="1">
      <alignment wrapText="1"/>
    </xf>
    <xf numFmtId="2" fontId="6" fillId="2" borderId="6" xfId="0" applyNumberFormat="1" applyFont="1" applyFill="1" applyBorder="1" applyAlignment="1">
      <alignment wrapText="1"/>
    </xf>
    <xf numFmtId="0" fontId="9" fillId="9" borderId="0" xfId="0" applyFont="1" applyFill="1" applyBorder="1" applyAlignment="1">
      <alignment horizontal="right"/>
    </xf>
    <xf numFmtId="0" fontId="9" fillId="9" borderId="0" xfId="0" applyFont="1" applyFill="1" applyBorder="1"/>
    <xf numFmtId="0" fontId="6" fillId="9" borderId="0" xfId="0" applyFont="1" applyFill="1" applyBorder="1" applyAlignment="1">
      <alignment horizontal="right"/>
    </xf>
    <xf numFmtId="0" fontId="6" fillId="2" borderId="1" xfId="0" applyNumberFormat="1" applyFont="1" applyFill="1" applyBorder="1" applyAlignment="1">
      <alignment wrapText="1"/>
    </xf>
    <xf numFmtId="0" fontId="6" fillId="2" borderId="1" xfId="0" quotePrefix="1" applyNumberFormat="1" applyFont="1" applyFill="1" applyBorder="1" applyAlignment="1">
      <alignment horizontal="right"/>
    </xf>
    <xf numFmtId="0" fontId="3" fillId="2" borderId="1" xfId="0" quotePrefix="1" applyNumberFormat="1" applyFont="1" applyFill="1" applyBorder="1" applyAlignment="1">
      <alignment horizontal="right"/>
    </xf>
    <xf numFmtId="0" fontId="9" fillId="9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/>
    </xf>
    <xf numFmtId="3" fontId="9" fillId="9" borderId="0" xfId="0" applyNumberFormat="1" applyFont="1" applyFill="1" applyBorder="1"/>
    <xf numFmtId="3" fontId="9" fillId="9" borderId="0" xfId="0" applyNumberFormat="1" applyFont="1" applyFill="1"/>
    <xf numFmtId="3" fontId="9" fillId="9" borderId="7" xfId="0" applyNumberFormat="1" applyFont="1" applyFill="1" applyBorder="1"/>
    <xf numFmtId="1" fontId="9" fillId="9" borderId="0" xfId="0" applyNumberFormat="1" applyFont="1" applyFill="1" applyBorder="1"/>
    <xf numFmtId="1" fontId="9" fillId="9" borderId="0" xfId="0" applyNumberFormat="1" applyFont="1" applyFill="1"/>
    <xf numFmtId="2" fontId="6" fillId="9" borderId="0" xfId="0" applyNumberFormat="1" applyFont="1" applyFill="1"/>
    <xf numFmtId="0" fontId="9" fillId="9" borderId="7" xfId="0" applyFont="1" applyFill="1" applyBorder="1"/>
    <xf numFmtId="2" fontId="9" fillId="9" borderId="0" xfId="0" applyNumberFormat="1" applyFont="1" applyFill="1" applyBorder="1"/>
    <xf numFmtId="0" fontId="9" fillId="10" borderId="6" xfId="0" applyFont="1" applyFill="1" applyBorder="1"/>
    <xf numFmtId="3" fontId="9" fillId="9" borderId="17" xfId="0" applyNumberFormat="1" applyFont="1" applyFill="1" applyBorder="1"/>
    <xf numFmtId="0" fontId="48" fillId="0" borderId="0" xfId="0" applyFont="1"/>
    <xf numFmtId="4" fontId="6" fillId="2" borderId="0" xfId="0" applyNumberFormat="1" applyFont="1" applyFill="1" applyAlignment="1">
      <alignment wrapText="1"/>
    </xf>
    <xf numFmtId="0" fontId="69" fillId="0" borderId="0" xfId="0" applyFont="1"/>
    <xf numFmtId="0" fontId="70" fillId="12" borderId="29" xfId="0" applyFont="1" applyFill="1" applyBorder="1"/>
    <xf numFmtId="0" fontId="69" fillId="12" borderId="30" xfId="0" applyFont="1" applyFill="1" applyBorder="1"/>
    <xf numFmtId="0" fontId="69" fillId="12" borderId="31" xfId="0" applyFont="1" applyFill="1" applyBorder="1"/>
    <xf numFmtId="10" fontId="69" fillId="12" borderId="32" xfId="0" applyNumberFormat="1" applyFont="1" applyFill="1" applyBorder="1"/>
    <xf numFmtId="0" fontId="69" fillId="12" borderId="32" xfId="0" applyFont="1" applyFill="1" applyBorder="1"/>
    <xf numFmtId="9" fontId="69" fillId="12" borderId="32" xfId="0" applyNumberFormat="1" applyFont="1" applyFill="1" applyBorder="1"/>
    <xf numFmtId="0" fontId="71" fillId="12" borderId="33" xfId="0" applyFont="1" applyFill="1" applyBorder="1"/>
    <xf numFmtId="10" fontId="71" fillId="12" borderId="34" xfId="0" applyNumberFormat="1" applyFont="1" applyFill="1" applyBorder="1"/>
    <xf numFmtId="0" fontId="72" fillId="0" borderId="0" xfId="0" applyFont="1"/>
    <xf numFmtId="0" fontId="0" fillId="16" borderId="0" xfId="0" applyFill="1" applyAlignment="1">
      <alignment horizontal="center"/>
    </xf>
    <xf numFmtId="0" fontId="73" fillId="7" borderId="0" xfId="0" applyFont="1" applyFill="1"/>
    <xf numFmtId="0" fontId="73" fillId="7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168" fontId="0" fillId="0" borderId="7" xfId="0" applyNumberFormat="1" applyBorder="1"/>
    <xf numFmtId="9" fontId="0" fillId="0" borderId="7" xfId="0" applyNumberFormat="1" applyBorder="1"/>
    <xf numFmtId="0" fontId="1" fillId="0" borderId="0" xfId="0" applyFont="1" applyAlignment="1">
      <alignment horizontal="right"/>
    </xf>
    <xf numFmtId="168" fontId="1" fillId="0" borderId="6" xfId="0" applyNumberFormat="1" applyFont="1" applyBorder="1"/>
    <xf numFmtId="168" fontId="1" fillId="0" borderId="0" xfId="0" applyNumberFormat="1" applyFont="1"/>
    <xf numFmtId="9" fontId="1" fillId="0" borderId="0" xfId="0" applyNumberFormat="1" applyFont="1"/>
    <xf numFmtId="0" fontId="0" fillId="0" borderId="7" xfId="0" applyBorder="1"/>
    <xf numFmtId="0" fontId="0" fillId="0" borderId="0" xfId="0" applyAlignment="1">
      <alignment horizontal="left" indent="1"/>
    </xf>
    <xf numFmtId="168" fontId="0" fillId="0" borderId="6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right"/>
    </xf>
    <xf numFmtId="0" fontId="74" fillId="0" borderId="0" xfId="0" applyFont="1" applyAlignment="1">
      <alignment horizontal="right"/>
    </xf>
    <xf numFmtId="0" fontId="0" fillId="0" borderId="7" xfId="0" applyBorder="1" applyAlignment="1">
      <alignment horizontal="left" wrapText="1"/>
    </xf>
    <xf numFmtId="0" fontId="75" fillId="0" borderId="0" xfId="0" applyFont="1" applyAlignment="1">
      <alignment horizontal="center" wrapText="1"/>
    </xf>
    <xf numFmtId="9" fontId="74" fillId="0" borderId="0" xfId="0" applyNumberFormat="1" applyFont="1" applyAlignment="1">
      <alignment horizontal="right"/>
    </xf>
    <xf numFmtId="168" fontId="74" fillId="0" borderId="0" xfId="0" applyNumberFormat="1" applyFont="1" applyAlignment="1">
      <alignment horizontal="right"/>
    </xf>
    <xf numFmtId="0" fontId="0" fillId="0" borderId="7" xfId="0" applyBorder="1" applyAlignment="1">
      <alignment wrapText="1"/>
    </xf>
    <xf numFmtId="0" fontId="74" fillId="0" borderId="7" xfId="0" applyFont="1" applyBorder="1" applyAlignment="1">
      <alignment horizontal="right"/>
    </xf>
    <xf numFmtId="9" fontId="73" fillId="0" borderId="0" xfId="0" applyNumberFormat="1" applyFont="1" applyAlignment="1">
      <alignment horizontal="right"/>
    </xf>
    <xf numFmtId="168" fontId="73" fillId="0" borderId="0" xfId="0" applyNumberFormat="1" applyFont="1" applyAlignment="1">
      <alignment horizontal="right"/>
    </xf>
    <xf numFmtId="168" fontId="74" fillId="0" borderId="7" xfId="0" applyNumberFormat="1" applyFont="1" applyBorder="1" applyAlignment="1">
      <alignment horizontal="right"/>
    </xf>
    <xf numFmtId="0" fontId="1" fillId="0" borderId="7" xfId="0" applyFont="1" applyBorder="1"/>
    <xf numFmtId="168" fontId="1" fillId="0" borderId="7" xfId="0" applyNumberFormat="1" applyFont="1" applyBorder="1"/>
    <xf numFmtId="9" fontId="1" fillId="0" borderId="7" xfId="0" applyNumberFormat="1" applyFont="1" applyBorder="1"/>
    <xf numFmtId="168" fontId="73" fillId="0" borderId="7" xfId="0" applyNumberFormat="1" applyFont="1" applyBorder="1" applyAlignment="1">
      <alignment horizontal="right"/>
    </xf>
    <xf numFmtId="0" fontId="0" fillId="0" borderId="40" xfId="0" applyBorder="1"/>
    <xf numFmtId="0" fontId="1" fillId="0" borderId="6" xfId="0" applyFont="1" applyBorder="1"/>
    <xf numFmtId="0" fontId="1" fillId="0" borderId="41" xfId="0" applyFont="1" applyBorder="1"/>
    <xf numFmtId="0" fontId="1" fillId="0" borderId="42" xfId="0" applyFont="1" applyBorder="1"/>
    <xf numFmtId="0" fontId="0" fillId="0" borderId="43" xfId="0" applyBorder="1"/>
    <xf numFmtId="0" fontId="73" fillId="0" borderId="0" xfId="0" applyFont="1"/>
    <xf numFmtId="0" fontId="7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 indent="1"/>
    </xf>
    <xf numFmtId="0" fontId="76" fillId="0" borderId="0" xfId="0" applyFont="1" applyAlignment="1">
      <alignment wrapText="1"/>
    </xf>
    <xf numFmtId="3" fontId="9" fillId="17" borderId="0" xfId="0" applyNumberFormat="1" applyFont="1" applyFill="1" applyBorder="1"/>
    <xf numFmtId="4" fontId="33" fillId="10" borderId="0" xfId="0" applyNumberFormat="1" applyFont="1" applyFill="1"/>
    <xf numFmtId="0" fontId="7" fillId="0" borderId="2" xfId="0" applyFont="1" applyFill="1" applyBorder="1" applyAlignment="1">
      <alignment wrapText="1"/>
    </xf>
    <xf numFmtId="0" fontId="7" fillId="0" borderId="0" xfId="0" applyFont="1" applyFill="1" applyBorder="1" applyAlignment="1"/>
    <xf numFmtId="0" fontId="16" fillId="0" borderId="1" xfId="0" applyFont="1" applyFill="1" applyBorder="1" applyAlignment="1"/>
    <xf numFmtId="10" fontId="48" fillId="0" borderId="0" xfId="0" applyNumberFormat="1" applyFont="1"/>
    <xf numFmtId="0" fontId="48" fillId="0" borderId="0" xfId="0" applyFont="1" applyFill="1"/>
    <xf numFmtId="10" fontId="48" fillId="0" borderId="0" xfId="10" applyNumberFormat="1" applyFont="1"/>
    <xf numFmtId="0" fontId="46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48" fillId="0" borderId="0" xfId="0" applyFont="1" applyAlignment="1"/>
    <xf numFmtId="0" fontId="7" fillId="0" borderId="2" xfId="0" applyFont="1" applyFill="1" applyBorder="1" applyAlignment="1"/>
    <xf numFmtId="0" fontId="7" fillId="0" borderId="1" xfId="0" applyFont="1" applyFill="1" applyBorder="1" applyAlignment="1"/>
    <xf numFmtId="14" fontId="16" fillId="0" borderId="1" xfId="0" applyNumberFormat="1" applyFont="1" applyFill="1" applyBorder="1" applyAlignment="1">
      <alignment wrapText="1"/>
    </xf>
    <xf numFmtId="3" fontId="16" fillId="18" borderId="0" xfId="0" applyNumberFormat="1" applyFont="1" applyFill="1" applyBorder="1" applyAlignment="1">
      <alignment wrapText="1"/>
    </xf>
    <xf numFmtId="0" fontId="16" fillId="18" borderId="0" xfId="0" applyFont="1" applyFill="1" applyBorder="1" applyAlignment="1">
      <alignment wrapText="1"/>
    </xf>
    <xf numFmtId="3" fontId="16" fillId="18" borderId="2" xfId="0" applyNumberFormat="1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14" fontId="7" fillId="0" borderId="1" xfId="0" applyNumberFormat="1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3" fontId="7" fillId="0" borderId="2" xfId="0" applyNumberFormat="1" applyFont="1" applyFill="1" applyBorder="1" applyAlignment="1">
      <alignment wrapText="1"/>
    </xf>
    <xf numFmtId="0" fontId="77" fillId="0" borderId="0" xfId="0" applyFont="1"/>
    <xf numFmtId="10" fontId="1" fillId="0" borderId="0" xfId="0" applyNumberFormat="1" applyFont="1"/>
    <xf numFmtId="2" fontId="1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0" fontId="0" fillId="0" borderId="0" xfId="0" applyFont="1" applyFill="1"/>
    <xf numFmtId="0" fontId="0" fillId="0" borderId="0" xfId="0" applyNumberFormat="1"/>
    <xf numFmtId="1" fontId="60" fillId="0" borderId="0" xfId="0" applyNumberFormat="1" applyFont="1"/>
    <xf numFmtId="169" fontId="7" fillId="2" borderId="0" xfId="10" applyNumberFormat="1" applyFont="1" applyFill="1" applyAlignment="1">
      <alignment wrapText="1"/>
    </xf>
    <xf numFmtId="0" fontId="12" fillId="10" borderId="1" xfId="0" applyFont="1" applyFill="1" applyBorder="1" applyAlignment="1">
      <alignment wrapText="1"/>
    </xf>
    <xf numFmtId="0" fontId="12" fillId="10" borderId="1" xfId="0" applyFont="1" applyFill="1" applyBorder="1" applyAlignment="1">
      <alignment horizontal="right"/>
    </xf>
    <xf numFmtId="0" fontId="13" fillId="10" borderId="1" xfId="0" applyFont="1" applyFill="1" applyBorder="1" applyAlignment="1">
      <alignment horizontal="right"/>
    </xf>
    <xf numFmtId="169" fontId="6" fillId="9" borderId="0" xfId="10" applyNumberFormat="1" applyFont="1" applyFill="1" applyAlignment="1">
      <alignment wrapText="1"/>
    </xf>
    <xf numFmtId="3" fontId="6" fillId="9" borderId="0" xfId="0" applyNumberFormat="1" applyFont="1" applyFill="1" applyAlignment="1">
      <alignment horizontal="right"/>
    </xf>
    <xf numFmtId="0" fontId="33" fillId="0" borderId="38" xfId="0" applyFont="1" applyBorder="1"/>
    <xf numFmtId="0" fontId="33" fillId="0" borderId="30" xfId="0" applyFont="1" applyBorder="1"/>
    <xf numFmtId="3" fontId="33" fillId="0" borderId="0" xfId="0" applyNumberFormat="1" applyFont="1"/>
    <xf numFmtId="0" fontId="33" fillId="0" borderId="31" xfId="0" applyFont="1" applyBorder="1"/>
    <xf numFmtId="0" fontId="33" fillId="0" borderId="32" xfId="0" applyFont="1" applyBorder="1"/>
    <xf numFmtId="0" fontId="33" fillId="0" borderId="33" xfId="0" applyFont="1" applyBorder="1"/>
    <xf numFmtId="0" fontId="33" fillId="0" borderId="39" xfId="0" applyFont="1" applyBorder="1"/>
    <xf numFmtId="0" fontId="33" fillId="0" borderId="34" xfId="0" applyFont="1" applyBorder="1"/>
    <xf numFmtId="1" fontId="6" fillId="10" borderId="0" xfId="0" applyNumberFormat="1" applyFont="1" applyFill="1" applyAlignment="1">
      <alignment wrapText="1"/>
    </xf>
    <xf numFmtId="10" fontId="1" fillId="12" borderId="32" xfId="0" applyNumberFormat="1" applyFont="1" applyFill="1" applyBorder="1"/>
    <xf numFmtId="168" fontId="0" fillId="0" borderId="16" xfId="0" applyNumberFormat="1" applyBorder="1"/>
    <xf numFmtId="168" fontId="0" fillId="0" borderId="21" xfId="0" applyNumberFormat="1" applyBorder="1"/>
    <xf numFmtId="168" fontId="48" fillId="0" borderId="0" xfId="10" applyNumberFormat="1" applyFont="1"/>
    <xf numFmtId="0" fontId="69" fillId="2" borderId="0" xfId="0" applyFont="1" applyFill="1"/>
    <xf numFmtId="0" fontId="53" fillId="0" borderId="0" xfId="0" applyFont="1" applyFill="1"/>
    <xf numFmtId="2" fontId="0" fillId="0" borderId="16" xfId="0" applyNumberFormat="1" applyBorder="1"/>
    <xf numFmtId="0" fontId="56" fillId="0" borderId="16" xfId="0" applyFont="1" applyFill="1" applyBorder="1"/>
    <xf numFmtId="0" fontId="0" fillId="0" borderId="16" xfId="0" applyFill="1" applyBorder="1"/>
    <xf numFmtId="0" fontId="6" fillId="11" borderId="19" xfId="0" applyFont="1" applyFill="1" applyBorder="1" applyAlignment="1">
      <alignment horizontal="right"/>
    </xf>
    <xf numFmtId="10" fontId="33" fillId="11" borderId="44" xfId="0" applyNumberFormat="1" applyFont="1" applyFill="1" applyBorder="1" applyAlignment="1">
      <alignment horizontal="center"/>
    </xf>
    <xf numFmtId="0" fontId="6" fillId="11" borderId="20" xfId="0" applyFont="1" applyFill="1" applyBorder="1" applyAlignment="1">
      <alignment horizontal="right"/>
    </xf>
    <xf numFmtId="10" fontId="33" fillId="11" borderId="21" xfId="0" applyNumberFormat="1" applyFont="1" applyFill="1" applyBorder="1" applyAlignment="1">
      <alignment horizontal="center"/>
    </xf>
    <xf numFmtId="0" fontId="33" fillId="11" borderId="21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right"/>
    </xf>
    <xf numFmtId="0" fontId="33" fillId="0" borderId="21" xfId="0" applyFont="1" applyFill="1" applyBorder="1" applyAlignment="1">
      <alignment horizontal="center"/>
    </xf>
    <xf numFmtId="10" fontId="33" fillId="0" borderId="21" xfId="0" applyNumberFormat="1" applyFont="1" applyFill="1" applyBorder="1" applyAlignment="1">
      <alignment horizontal="center"/>
    </xf>
    <xf numFmtId="9" fontId="33" fillId="11" borderId="21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right"/>
    </xf>
    <xf numFmtId="0" fontId="3" fillId="19" borderId="22" xfId="0" applyFont="1" applyFill="1" applyBorder="1" applyAlignment="1">
      <alignment horizontal="right"/>
    </xf>
    <xf numFmtId="10" fontId="16" fillId="19" borderId="24" xfId="0" applyNumberFormat="1" applyFont="1" applyFill="1" applyBorder="1" applyAlignment="1">
      <alignment horizontal="center"/>
    </xf>
    <xf numFmtId="10" fontId="6" fillId="10" borderId="0" xfId="10" applyNumberFormat="1" applyFont="1" applyFill="1" applyAlignment="1">
      <alignment wrapText="1"/>
    </xf>
    <xf numFmtId="0" fontId="53" fillId="20" borderId="0" xfId="0" applyFont="1" applyFill="1" applyBorder="1" applyAlignment="1">
      <alignment horizontal="center"/>
    </xf>
    <xf numFmtId="10" fontId="53" fillId="20" borderId="0" xfId="0" applyNumberFormat="1" applyFont="1" applyFill="1" applyBorder="1" applyAlignment="1">
      <alignment horizontal="center"/>
    </xf>
    <xf numFmtId="10" fontId="53" fillId="20" borderId="32" xfId="0" applyNumberFormat="1" applyFont="1" applyFill="1" applyBorder="1" applyAlignment="1">
      <alignment horizontal="center"/>
    </xf>
    <xf numFmtId="168" fontId="53" fillId="20" borderId="0" xfId="1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78" fillId="0" borderId="16" xfId="0" applyNumberFormat="1" applyFont="1" applyBorder="1" applyAlignment="1">
      <alignment horizontal="center"/>
    </xf>
    <xf numFmtId="2" fontId="78" fillId="0" borderId="21" xfId="0" applyNumberFormat="1" applyFont="1" applyBorder="1" applyAlignment="1">
      <alignment horizontal="center"/>
    </xf>
    <xf numFmtId="168" fontId="53" fillId="20" borderId="39" xfId="10" applyNumberFormat="1" applyFont="1" applyFill="1" applyBorder="1" applyAlignment="1">
      <alignment horizontal="center"/>
    </xf>
    <xf numFmtId="2" fontId="78" fillId="0" borderId="23" xfId="0" applyNumberFormat="1" applyFont="1" applyBorder="1" applyAlignment="1">
      <alignment horizontal="center"/>
    </xf>
    <xf numFmtId="2" fontId="78" fillId="0" borderId="24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2" fontId="0" fillId="0" borderId="23" xfId="0" applyNumberFormat="1" applyBorder="1"/>
    <xf numFmtId="10" fontId="33" fillId="19" borderId="24" xfId="0" applyNumberFormat="1" applyFont="1" applyFill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53" fillId="20" borderId="16" xfId="0" applyFont="1" applyFill="1" applyBorder="1"/>
    <xf numFmtId="10" fontId="53" fillId="20" borderId="16" xfId="0" applyNumberFormat="1" applyFont="1" applyFill="1" applyBorder="1"/>
    <xf numFmtId="168" fontId="53" fillId="20" borderId="16" xfId="10" applyNumberFormat="1" applyFont="1" applyFill="1" applyBorder="1"/>
    <xf numFmtId="2" fontId="0" fillId="0" borderId="21" xfId="0" applyNumberFormat="1" applyBorder="1"/>
    <xf numFmtId="168" fontId="53" fillId="20" borderId="23" xfId="10" applyNumberFormat="1" applyFont="1" applyFill="1" applyBorder="1"/>
    <xf numFmtId="2" fontId="0" fillId="0" borderId="24" xfId="0" applyNumberFormat="1" applyBorder="1"/>
    <xf numFmtId="2" fontId="1" fillId="0" borderId="16" xfId="0" applyNumberFormat="1" applyFont="1" applyBorder="1"/>
    <xf numFmtId="1" fontId="6" fillId="2" borderId="7" xfId="0" applyNumberFormat="1" applyFont="1" applyFill="1" applyBorder="1" applyAlignment="1">
      <alignment wrapText="1"/>
    </xf>
    <xf numFmtId="1" fontId="6" fillId="2" borderId="7" xfId="0" quotePrefix="1" applyNumberFormat="1" applyFont="1" applyFill="1" applyBorder="1" applyAlignment="1">
      <alignment horizontal="right"/>
    </xf>
    <xf numFmtId="1" fontId="46" fillId="10" borderId="7" xfId="0" applyNumberFormat="1" applyFont="1" applyFill="1" applyBorder="1"/>
    <xf numFmtId="0" fontId="0" fillId="0" borderId="0" xfId="0" applyAlignment="1">
      <alignment horizontal="center"/>
    </xf>
    <xf numFmtId="14" fontId="40" fillId="0" borderId="0" xfId="0" applyNumberFormat="1" applyFont="1" applyFill="1" applyBorder="1" applyAlignment="1">
      <alignment wrapText="1"/>
    </xf>
    <xf numFmtId="0" fontId="40" fillId="0" borderId="0" xfId="0" applyFont="1" applyFill="1" applyBorder="1" applyAlignment="1">
      <alignment wrapText="1"/>
    </xf>
    <xf numFmtId="0" fontId="40" fillId="0" borderId="7" xfId="0" applyFont="1" applyFill="1" applyBorder="1" applyAlignment="1">
      <alignment wrapText="1"/>
    </xf>
    <xf numFmtId="10" fontId="69" fillId="0" borderId="0" xfId="0" applyNumberFormat="1" applyFont="1"/>
    <xf numFmtId="3" fontId="69" fillId="0" borderId="0" xfId="0" applyNumberFormat="1" applyFont="1"/>
    <xf numFmtId="0" fontId="82" fillId="0" borderId="0" xfId="0" applyFont="1"/>
    <xf numFmtId="2" fontId="82" fillId="2" borderId="18" xfId="0" applyNumberFormat="1" applyFont="1" applyFill="1" applyBorder="1" applyAlignment="1">
      <alignment wrapText="1"/>
    </xf>
    <xf numFmtId="2" fontId="69" fillId="0" borderId="0" xfId="0" applyNumberFormat="1" applyFont="1"/>
    <xf numFmtId="174" fontId="0" fillId="3" borderId="0" xfId="0" applyNumberFormat="1" applyFill="1"/>
    <xf numFmtId="0" fontId="70" fillId="0" borderId="0" xfId="0" applyFont="1"/>
    <xf numFmtId="10" fontId="69" fillId="0" borderId="0" xfId="10" applyNumberFormat="1" applyFont="1"/>
    <xf numFmtId="3" fontId="53" fillId="0" borderId="0" xfId="0" applyNumberFormat="1" applyFont="1"/>
    <xf numFmtId="9" fontId="69" fillId="0" borderId="0" xfId="0" applyNumberFormat="1" applyFont="1"/>
    <xf numFmtId="0" fontId="82" fillId="0" borderId="0" xfId="0" applyFont="1" applyAlignment="1">
      <alignment wrapText="1"/>
    </xf>
    <xf numFmtId="0" fontId="83" fillId="0" borderId="0" xfId="0" applyFont="1"/>
    <xf numFmtId="1" fontId="82" fillId="0" borderId="0" xfId="0" applyNumberFormat="1" applyFont="1" applyAlignment="1"/>
    <xf numFmtId="171" fontId="69" fillId="0" borderId="0" xfId="0" applyNumberFormat="1" applyFont="1"/>
    <xf numFmtId="0" fontId="53" fillId="0" borderId="0" xfId="0" applyFont="1"/>
    <xf numFmtId="172" fontId="69" fillId="0" borderId="0" xfId="0" applyNumberFormat="1" applyFont="1"/>
    <xf numFmtId="173" fontId="69" fillId="0" borderId="0" xfId="0" applyNumberFormat="1" applyFont="1"/>
    <xf numFmtId="0" fontId="69" fillId="0" borderId="0" xfId="0" applyFont="1" applyFill="1"/>
    <xf numFmtId="10" fontId="69" fillId="0" borderId="20" xfId="10" applyNumberFormat="1" applyFont="1" applyBorder="1"/>
    <xf numFmtId="10" fontId="69" fillId="0" borderId="35" xfId="10" applyNumberFormat="1" applyFont="1" applyBorder="1"/>
    <xf numFmtId="168" fontId="69" fillId="0" borderId="16" xfId="0" applyNumberFormat="1" applyFont="1" applyBorder="1"/>
    <xf numFmtId="168" fontId="69" fillId="0" borderId="21" xfId="0" applyNumberFormat="1" applyFont="1" applyBorder="1"/>
    <xf numFmtId="0" fontId="69" fillId="0" borderId="20" xfId="0" applyFont="1" applyBorder="1"/>
    <xf numFmtId="0" fontId="69" fillId="0" borderId="35" xfId="0" applyFont="1" applyBorder="1"/>
    <xf numFmtId="2" fontId="69" fillId="0" borderId="16" xfId="0" applyNumberFormat="1" applyFont="1" applyBorder="1"/>
    <xf numFmtId="0" fontId="69" fillId="0" borderId="16" xfId="0" applyFont="1" applyBorder="1"/>
    <xf numFmtId="0" fontId="69" fillId="0" borderId="21" xfId="0" applyFont="1" applyBorder="1"/>
    <xf numFmtId="0" fontId="69" fillId="0" borderId="22" xfId="0" applyFont="1" applyBorder="1"/>
    <xf numFmtId="0" fontId="69" fillId="0" borderId="36" xfId="0" applyFont="1" applyBorder="1"/>
    <xf numFmtId="0" fontId="69" fillId="0" borderId="23" xfId="0" applyFont="1" applyBorder="1"/>
    <xf numFmtId="0" fontId="69" fillId="0" borderId="24" xfId="0" applyFont="1" applyBorder="1"/>
    <xf numFmtId="0" fontId="53" fillId="0" borderId="28" xfId="0" applyFont="1" applyBorder="1"/>
    <xf numFmtId="0" fontId="53" fillId="0" borderId="0" xfId="0" applyFont="1" applyBorder="1"/>
    <xf numFmtId="0" fontId="69" fillId="0" borderId="28" xfId="0" applyFont="1" applyFill="1" applyBorder="1"/>
    <xf numFmtId="0" fontId="69" fillId="0" borderId="0" xfId="0" applyFont="1" applyFill="1" applyBorder="1"/>
    <xf numFmtId="0" fontId="1" fillId="3" borderId="0" xfId="0" applyFont="1" applyFill="1"/>
    <xf numFmtId="2" fontId="1" fillId="3" borderId="0" xfId="0" applyNumberFormat="1" applyFont="1" applyFill="1"/>
    <xf numFmtId="0" fontId="0" fillId="12" borderId="29" xfId="0" applyFill="1" applyBorder="1"/>
    <xf numFmtId="0" fontId="0" fillId="12" borderId="38" xfId="0" applyFill="1" applyBorder="1"/>
    <xf numFmtId="0" fontId="0" fillId="12" borderId="33" xfId="0" applyFill="1" applyBorder="1"/>
    <xf numFmtId="2" fontId="0" fillId="12" borderId="39" xfId="0" applyNumberFormat="1" applyFill="1" applyBorder="1"/>
    <xf numFmtId="2" fontId="0" fillId="12" borderId="24" xfId="0" applyNumberFormat="1" applyFill="1" applyBorder="1"/>
    <xf numFmtId="168" fontId="53" fillId="0" borderId="0" xfId="10" applyNumberFormat="1" applyFont="1" applyFill="1"/>
    <xf numFmtId="10" fontId="53" fillId="20" borderId="21" xfId="0" applyNumberFormat="1" applyFont="1" applyFill="1" applyBorder="1"/>
    <xf numFmtId="0" fontId="74" fillId="7" borderId="0" xfId="0" applyFont="1" applyFill="1"/>
    <xf numFmtId="0" fontId="0" fillId="0" borderId="7" xfId="0" applyBorder="1" applyAlignment="1">
      <alignment horizontal="left" indent="1"/>
    </xf>
    <xf numFmtId="175" fontId="0" fillId="0" borderId="0" xfId="0" applyNumberFormat="1"/>
    <xf numFmtId="3" fontId="0" fillId="0" borderId="7" xfId="0" applyNumberFormat="1" applyBorder="1"/>
    <xf numFmtId="175" fontId="0" fillId="0" borderId="6" xfId="0" applyNumberFormat="1" applyBorder="1"/>
    <xf numFmtId="0" fontId="0" fillId="0" borderId="6" xfId="0" applyBorder="1"/>
    <xf numFmtId="3" fontId="0" fillId="0" borderId="6" xfId="0" applyNumberFormat="1" applyBorder="1"/>
    <xf numFmtId="3" fontId="1" fillId="0" borderId="6" xfId="0" applyNumberFormat="1" applyFont="1" applyBorder="1"/>
    <xf numFmtId="0" fontId="84" fillId="21" borderId="0" xfId="0" applyFont="1" applyFill="1" applyAlignment="1">
      <alignment wrapText="1"/>
    </xf>
    <xf numFmtId="0" fontId="85" fillId="22" borderId="0" xfId="0" applyFont="1" applyFill="1" applyAlignment="1">
      <alignment wrapText="1"/>
    </xf>
    <xf numFmtId="0" fontId="84" fillId="22" borderId="0" xfId="0" applyFont="1" applyFill="1" applyAlignment="1">
      <alignment wrapText="1"/>
    </xf>
    <xf numFmtId="0" fontId="85" fillId="0" borderId="0" xfId="0" applyFont="1" applyAlignment="1">
      <alignment wrapText="1"/>
    </xf>
    <xf numFmtId="0" fontId="85" fillId="0" borderId="5" xfId="0" applyFont="1" applyBorder="1" applyAlignment="1">
      <alignment wrapText="1"/>
    </xf>
    <xf numFmtId="175" fontId="85" fillId="0" borderId="0" xfId="0" applyNumberFormat="1" applyFont="1" applyAlignment="1">
      <alignment wrapText="1"/>
    </xf>
    <xf numFmtId="175" fontId="85" fillId="0" borderId="5" xfId="0" applyNumberFormat="1" applyFont="1" applyBorder="1" applyAlignment="1">
      <alignment wrapText="1"/>
    </xf>
    <xf numFmtId="0" fontId="73" fillId="0" borderId="0" xfId="0" applyFont="1" applyAlignment="1">
      <alignment horizontal="left"/>
    </xf>
    <xf numFmtId="0" fontId="73" fillId="7" borderId="48" xfId="0" applyFont="1" applyFill="1" applyBorder="1" applyAlignment="1">
      <alignment horizontal="right"/>
    </xf>
    <xf numFmtId="0" fontId="0" fillId="0" borderId="6" xfId="0" applyBorder="1" applyAlignment="1">
      <alignment wrapText="1"/>
    </xf>
    <xf numFmtId="0" fontId="1" fillId="16" borderId="0" xfId="0" applyFont="1" applyFill="1" applyAlignment="1">
      <alignment horizontal="left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0" borderId="7" xfId="0" applyFont="1" applyBorder="1" applyAlignment="1">
      <alignment horizontal="right"/>
    </xf>
    <xf numFmtId="168" fontId="0" fillId="0" borderId="0" xfId="0" applyNumberFormat="1" applyAlignment="1">
      <alignment horizontal="right"/>
    </xf>
    <xf numFmtId="0" fontId="7" fillId="10" borderId="18" xfId="0" applyFont="1" applyFill="1" applyBorder="1"/>
    <xf numFmtId="0" fontId="86" fillId="10" borderId="18" xfId="0" applyFont="1" applyFill="1" applyBorder="1"/>
    <xf numFmtId="3" fontId="16" fillId="2" borderId="18" xfId="0" applyNumberFormat="1" applyFont="1" applyFill="1" applyBorder="1" applyAlignment="1">
      <alignment horizontal="right"/>
    </xf>
    <xf numFmtId="0" fontId="86" fillId="0" borderId="0" xfId="0" applyFont="1"/>
    <xf numFmtId="0" fontId="87" fillId="0" borderId="0" xfId="0" applyFont="1"/>
    <xf numFmtId="1" fontId="86" fillId="10" borderId="18" xfId="0" applyNumberFormat="1" applyFont="1" applyFill="1" applyBorder="1"/>
    <xf numFmtId="0" fontId="86" fillId="0" borderId="0" xfId="0" applyFont="1" applyFill="1"/>
    <xf numFmtId="3" fontId="86" fillId="0" borderId="0" xfId="0" applyNumberFormat="1" applyFont="1" applyFill="1"/>
    <xf numFmtId="0" fontId="12" fillId="10" borderId="0" xfId="0" applyFont="1" applyFill="1"/>
    <xf numFmtId="3" fontId="12" fillId="10" borderId="0" xfId="0" applyNumberFormat="1" applyFont="1" applyFill="1"/>
    <xf numFmtId="3" fontId="12" fillId="9" borderId="0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0" xfId="0" applyFont="1" applyBorder="1"/>
    <xf numFmtId="0" fontId="6" fillId="10" borderId="7" xfId="0" applyFont="1" applyFill="1" applyBorder="1" applyAlignment="1">
      <alignment horizontal="left"/>
    </xf>
    <xf numFmtId="0" fontId="12" fillId="10" borderId="7" xfId="0" applyFont="1" applyFill="1" applyBorder="1"/>
    <xf numFmtId="3" fontId="12" fillId="9" borderId="7" xfId="0" applyNumberFormat="1" applyFont="1" applyFill="1" applyBorder="1" applyAlignment="1">
      <alignment horizontal="right"/>
    </xf>
    <xf numFmtId="10" fontId="12" fillId="0" borderId="0" xfId="10" applyNumberFormat="1" applyFont="1"/>
    <xf numFmtId="0" fontId="12" fillId="2" borderId="0" xfId="0" applyFont="1" applyFill="1"/>
    <xf numFmtId="3" fontId="6" fillId="9" borderId="0" xfId="0" applyNumberFormat="1" applyFont="1" applyFill="1" applyBorder="1"/>
    <xf numFmtId="0" fontId="12" fillId="12" borderId="0" xfId="0" applyFont="1" applyFill="1"/>
    <xf numFmtId="0" fontId="12" fillId="9" borderId="0" xfId="0" applyFont="1" applyFill="1" applyBorder="1"/>
    <xf numFmtId="0" fontId="12" fillId="2" borderId="0" xfId="0" applyFont="1" applyFill="1" applyBorder="1"/>
    <xf numFmtId="3" fontId="6" fillId="9" borderId="7" xfId="0" applyNumberFormat="1" applyFont="1" applyFill="1" applyBorder="1"/>
    <xf numFmtId="0" fontId="12" fillId="2" borderId="6" xfId="0" applyFont="1" applyFill="1" applyBorder="1"/>
    <xf numFmtId="2" fontId="6" fillId="17" borderId="0" xfId="0" applyNumberFormat="1" applyFont="1" applyFill="1" applyBorder="1"/>
    <xf numFmtId="0" fontId="88" fillId="2" borderId="0" xfId="0" applyFont="1" applyFill="1"/>
    <xf numFmtId="2" fontId="3" fillId="2" borderId="0" xfId="0" applyNumberFormat="1" applyFont="1" applyFill="1" applyAlignment="1">
      <alignment wrapText="1"/>
    </xf>
    <xf numFmtId="10" fontId="42" fillId="5" borderId="0" xfId="0" applyNumberFormat="1" applyFont="1" applyFill="1"/>
    <xf numFmtId="0" fontId="69" fillId="0" borderId="0" xfId="0" applyFont="1" applyAlignment="1"/>
    <xf numFmtId="0" fontId="81" fillId="10" borderId="1" xfId="0" applyFont="1" applyFill="1" applyBorder="1"/>
    <xf numFmtId="0" fontId="81" fillId="10" borderId="7" xfId="0" applyFont="1" applyFill="1" applyBorder="1"/>
    <xf numFmtId="14" fontId="89" fillId="10" borderId="7" xfId="0" applyNumberFormat="1" applyFont="1" applyFill="1" applyBorder="1"/>
    <xf numFmtId="14" fontId="81" fillId="2" borderId="7" xfId="0" applyNumberFormat="1" applyFont="1" applyFill="1" applyBorder="1" applyAlignment="1">
      <alignment wrapText="1"/>
    </xf>
    <xf numFmtId="2" fontId="81" fillId="2" borderId="7" xfId="0" quotePrefix="1" applyNumberFormat="1" applyFont="1" applyFill="1" applyBorder="1" applyAlignment="1">
      <alignment horizontal="right"/>
    </xf>
    <xf numFmtId="166" fontId="81" fillId="2" borderId="7" xfId="0" quotePrefix="1" applyNumberFormat="1" applyFont="1" applyFill="1" applyBorder="1" applyAlignment="1">
      <alignment horizontal="right"/>
    </xf>
    <xf numFmtId="0" fontId="89" fillId="10" borderId="7" xfId="0" applyFont="1" applyFill="1" applyBorder="1"/>
    <xf numFmtId="0" fontId="89" fillId="0" borderId="0" xfId="0" applyFont="1"/>
    <xf numFmtId="14" fontId="79" fillId="0" borderId="0" xfId="0" applyNumberFormat="1" applyFont="1" applyFill="1" applyBorder="1" applyAlignment="1">
      <alignment wrapText="1"/>
    </xf>
    <xf numFmtId="0" fontId="89" fillId="0" borderId="0" xfId="0" applyFont="1" applyBorder="1"/>
    <xf numFmtId="0" fontId="71" fillId="0" borderId="0" xfId="0" applyFont="1" applyFill="1" applyBorder="1" applyAlignment="1"/>
    <xf numFmtId="0" fontId="90" fillId="0" borderId="0" xfId="0" applyFont="1"/>
    <xf numFmtId="0" fontId="79" fillId="10" borderId="0" xfId="0" applyFont="1" applyFill="1"/>
    <xf numFmtId="0" fontId="69" fillId="10" borderId="0" xfId="0" applyFont="1" applyFill="1"/>
    <xf numFmtId="3" fontId="82" fillId="2" borderId="0" xfId="0" applyNumberFormat="1" applyFont="1" applyFill="1" applyBorder="1" applyAlignment="1">
      <alignment wrapText="1"/>
    </xf>
    <xf numFmtId="3" fontId="82" fillId="2" borderId="0" xfId="0" applyNumberFormat="1" applyFont="1" applyFill="1" applyAlignment="1">
      <alignment wrapText="1"/>
    </xf>
    <xf numFmtId="3" fontId="82" fillId="2" borderId="0" xfId="0" applyNumberFormat="1" applyFont="1" applyFill="1" applyAlignment="1">
      <alignment horizontal="right"/>
    </xf>
    <xf numFmtId="2" fontId="69" fillId="10" borderId="0" xfId="0" applyNumberFormat="1" applyFont="1" applyFill="1"/>
    <xf numFmtId="3" fontId="81" fillId="0" borderId="0" xfId="0" applyNumberFormat="1" applyFont="1" applyFill="1" applyBorder="1" applyAlignment="1">
      <alignment wrapText="1"/>
    </xf>
    <xf numFmtId="0" fontId="69" fillId="0" borderId="0" xfId="0" applyFont="1" applyBorder="1"/>
    <xf numFmtId="0" fontId="81" fillId="0" borderId="0" xfId="0" applyFont="1" applyFill="1" applyBorder="1" applyAlignment="1">
      <alignment wrapText="1"/>
    </xf>
    <xf numFmtId="0" fontId="82" fillId="0" borderId="0" xfId="0" applyFont="1" applyFill="1" applyBorder="1" applyAlignment="1"/>
    <xf numFmtId="3" fontId="80" fillId="0" borderId="0" xfId="0" applyNumberFormat="1" applyFont="1" applyFill="1" applyBorder="1" applyAlignment="1">
      <alignment wrapText="1"/>
    </xf>
    <xf numFmtId="3" fontId="82" fillId="0" borderId="0" xfId="0" applyNumberFormat="1" applyFont="1" applyFill="1" applyBorder="1" applyAlignment="1">
      <alignment wrapText="1"/>
    </xf>
    <xf numFmtId="10" fontId="91" fillId="10" borderId="0" xfId="0" applyNumberFormat="1" applyFont="1" applyFill="1"/>
    <xf numFmtId="10" fontId="69" fillId="10" borderId="0" xfId="0" applyNumberFormat="1" applyFont="1" applyFill="1"/>
    <xf numFmtId="10" fontId="91" fillId="2" borderId="0" xfId="0" applyNumberFormat="1" applyFont="1" applyFill="1" applyAlignment="1">
      <alignment horizontal="right"/>
    </xf>
    <xf numFmtId="10" fontId="69" fillId="0" borderId="0" xfId="0" applyNumberFormat="1" applyFont="1" applyBorder="1"/>
    <xf numFmtId="0" fontId="80" fillId="0" borderId="0" xfId="0" applyFont="1" applyFill="1" applyBorder="1" applyAlignment="1">
      <alignment wrapText="1"/>
    </xf>
    <xf numFmtId="10" fontId="83" fillId="0" borderId="0" xfId="0" applyNumberFormat="1" applyFont="1"/>
    <xf numFmtId="0" fontId="82" fillId="0" borderId="0" xfId="0" applyFont="1" applyFill="1" applyBorder="1" applyAlignment="1">
      <alignment wrapText="1"/>
    </xf>
    <xf numFmtId="0" fontId="81" fillId="10" borderId="0" xfId="0" applyFont="1" applyFill="1"/>
    <xf numFmtId="3" fontId="81" fillId="0" borderId="2" xfId="0" applyNumberFormat="1" applyFont="1" applyFill="1" applyBorder="1" applyAlignment="1">
      <alignment wrapText="1"/>
    </xf>
    <xf numFmtId="10" fontId="69" fillId="0" borderId="0" xfId="0" applyNumberFormat="1" applyFont="1" applyAlignment="1"/>
    <xf numFmtId="0" fontId="69" fillId="0" borderId="0" xfId="0" applyNumberFormat="1" applyFont="1"/>
    <xf numFmtId="0" fontId="82" fillId="2" borderId="0" xfId="0" applyFont="1" applyFill="1" applyBorder="1" applyAlignment="1">
      <alignment wrapText="1"/>
    </xf>
    <xf numFmtId="0" fontId="82" fillId="2" borderId="0" xfId="0" applyFont="1" applyFill="1" applyAlignment="1">
      <alignment wrapText="1"/>
    </xf>
    <xf numFmtId="0" fontId="83" fillId="0" borderId="0" xfId="0" applyFont="1" applyFill="1"/>
    <xf numFmtId="0" fontId="81" fillId="10" borderId="0" xfId="0" applyFont="1" applyFill="1" applyBorder="1"/>
    <xf numFmtId="10" fontId="83" fillId="0" borderId="0" xfId="10" applyNumberFormat="1" applyFont="1"/>
    <xf numFmtId="0" fontId="81" fillId="10" borderId="18" xfId="0" applyFont="1" applyFill="1" applyBorder="1"/>
    <xf numFmtId="0" fontId="79" fillId="10" borderId="18" xfId="0" applyFont="1" applyFill="1" applyBorder="1"/>
    <xf numFmtId="0" fontId="69" fillId="10" borderId="18" xfId="0" applyFont="1" applyFill="1" applyBorder="1"/>
    <xf numFmtId="3" fontId="82" fillId="2" borderId="18" xfId="0" applyNumberFormat="1" applyFont="1" applyFill="1" applyBorder="1" applyAlignment="1">
      <alignment wrapText="1"/>
    </xf>
    <xf numFmtId="3" fontId="82" fillId="2" borderId="18" xfId="0" applyNumberFormat="1" applyFont="1" applyFill="1" applyBorder="1" applyAlignment="1">
      <alignment horizontal="right"/>
    </xf>
    <xf numFmtId="4" fontId="82" fillId="10" borderId="18" xfId="0" applyNumberFormat="1" applyFont="1" applyFill="1" applyBorder="1"/>
    <xf numFmtId="10" fontId="81" fillId="10" borderId="0" xfId="0" applyNumberFormat="1" applyFont="1" applyFill="1" applyBorder="1"/>
    <xf numFmtId="10" fontId="79" fillId="10" borderId="0" xfId="0" applyNumberFormat="1" applyFont="1" applyFill="1" applyBorder="1"/>
    <xf numFmtId="10" fontId="69" fillId="10" borderId="0" xfId="0" applyNumberFormat="1" applyFont="1" applyFill="1" applyBorder="1"/>
    <xf numFmtId="10" fontId="82" fillId="2" borderId="0" xfId="0" applyNumberFormat="1" applyFont="1" applyFill="1" applyBorder="1" applyAlignment="1">
      <alignment wrapText="1"/>
    </xf>
    <xf numFmtId="169" fontId="82" fillId="2" borderId="0" xfId="10" applyNumberFormat="1" applyFont="1" applyFill="1" applyBorder="1" applyAlignment="1">
      <alignment wrapText="1"/>
    </xf>
    <xf numFmtId="169" fontId="82" fillId="2" borderId="0" xfId="10" applyNumberFormat="1" applyFont="1" applyFill="1" applyAlignment="1">
      <alignment wrapText="1"/>
    </xf>
    <xf numFmtId="3" fontId="69" fillId="0" borderId="0" xfId="0" applyNumberFormat="1" applyFont="1" applyFill="1"/>
    <xf numFmtId="168" fontId="69" fillId="0" borderId="0" xfId="0" applyNumberFormat="1" applyFont="1" applyFill="1"/>
    <xf numFmtId="168" fontId="69" fillId="0" borderId="0" xfId="0" applyNumberFormat="1" applyFont="1"/>
    <xf numFmtId="0" fontId="80" fillId="10" borderId="0" xfId="0" applyFont="1" applyFill="1" applyBorder="1"/>
    <xf numFmtId="0" fontId="82" fillId="10" borderId="0" xfId="0" applyFont="1" applyFill="1"/>
    <xf numFmtId="3" fontId="82" fillId="2" borderId="0" xfId="0" applyNumberFormat="1" applyFont="1" applyFill="1" applyAlignment="1">
      <alignment horizontal="right" vertical="center"/>
    </xf>
    <xf numFmtId="10" fontId="92" fillId="2" borderId="0" xfId="0" applyNumberFormat="1" applyFont="1" applyFill="1" applyAlignment="1">
      <alignment horizontal="right"/>
    </xf>
    <xf numFmtId="10" fontId="93" fillId="10" borderId="0" xfId="0" applyNumberFormat="1" applyFont="1" applyFill="1"/>
    <xf numFmtId="3" fontId="71" fillId="2" borderId="0" xfId="0" applyNumberFormat="1" applyFont="1" applyFill="1" applyAlignment="1">
      <alignment horizontal="right"/>
    </xf>
    <xf numFmtId="9" fontId="93" fillId="10" borderId="0" xfId="0" applyNumberFormat="1" applyFont="1" applyFill="1"/>
    <xf numFmtId="9" fontId="93" fillId="2" borderId="0" xfId="0" applyNumberFormat="1" applyFont="1" applyFill="1"/>
    <xf numFmtId="0" fontId="82" fillId="10" borderId="1" xfId="0" applyFont="1" applyFill="1" applyBorder="1"/>
    <xf numFmtId="0" fontId="82" fillId="10" borderId="2" xfId="0" applyFont="1" applyFill="1" applyBorder="1"/>
    <xf numFmtId="0" fontId="82" fillId="10" borderId="18" xfId="0" applyFont="1" applyFill="1" applyBorder="1"/>
    <xf numFmtId="3" fontId="71" fillId="2" borderId="18" xfId="0" applyNumberFormat="1" applyFont="1" applyFill="1" applyBorder="1" applyAlignment="1">
      <alignment horizontal="right"/>
    </xf>
    <xf numFmtId="0" fontId="82" fillId="10" borderId="0" xfId="0" applyFont="1" applyFill="1" applyBorder="1"/>
    <xf numFmtId="0" fontId="69" fillId="10" borderId="0" xfId="0" applyFont="1" applyFill="1" applyBorder="1"/>
    <xf numFmtId="3" fontId="82" fillId="2" borderId="0" xfId="0" applyNumberFormat="1" applyFont="1" applyFill="1" applyBorder="1" applyAlignment="1">
      <alignment horizontal="right"/>
    </xf>
    <xf numFmtId="3" fontId="71" fillId="2" borderId="0" xfId="0" applyNumberFormat="1" applyFont="1" applyFill="1" applyBorder="1" applyAlignment="1">
      <alignment horizontal="right"/>
    </xf>
    <xf numFmtId="0" fontId="82" fillId="0" borderId="0" xfId="0" applyFont="1" applyFill="1"/>
    <xf numFmtId="3" fontId="79" fillId="9" borderId="0" xfId="0" applyNumberFormat="1" applyFont="1" applyFill="1" applyBorder="1" applyAlignment="1">
      <alignment horizontal="right"/>
    </xf>
    <xf numFmtId="0" fontId="69" fillId="0" borderId="0" xfId="0" applyFont="1" applyFill="1" applyAlignment="1"/>
    <xf numFmtId="0" fontId="82" fillId="10" borderId="7" xfId="0" applyFont="1" applyFill="1" applyBorder="1"/>
    <xf numFmtId="0" fontId="69" fillId="10" borderId="7" xfId="0" applyFont="1" applyFill="1" applyBorder="1"/>
    <xf numFmtId="0" fontId="82" fillId="2" borderId="7" xfId="0" applyFont="1" applyFill="1" applyBorder="1" applyAlignment="1">
      <alignment wrapText="1"/>
    </xf>
    <xf numFmtId="14" fontId="82" fillId="2" borderId="7" xfId="0" applyNumberFormat="1" applyFont="1" applyFill="1" applyBorder="1" applyAlignment="1">
      <alignment wrapText="1"/>
    </xf>
    <xf numFmtId="2" fontId="82" fillId="2" borderId="7" xfId="0" quotePrefix="1" applyNumberFormat="1" applyFont="1" applyFill="1" applyBorder="1" applyAlignment="1">
      <alignment horizontal="right"/>
    </xf>
    <xf numFmtId="166" fontId="82" fillId="2" borderId="7" xfId="0" quotePrefix="1" applyNumberFormat="1" applyFont="1" applyFill="1" applyBorder="1" applyAlignment="1">
      <alignment horizontal="right"/>
    </xf>
    <xf numFmtId="9" fontId="69" fillId="10" borderId="0" xfId="0" applyNumberFormat="1" applyFont="1" applyFill="1"/>
    <xf numFmtId="3" fontId="69" fillId="10" borderId="0" xfId="0" applyNumberFormat="1" applyFont="1" applyFill="1"/>
    <xf numFmtId="2" fontId="83" fillId="0" borderId="0" xfId="0" applyNumberFormat="1" applyFont="1"/>
    <xf numFmtId="0" fontId="82" fillId="2" borderId="18" xfId="0" applyFont="1" applyFill="1" applyBorder="1" applyAlignment="1">
      <alignment wrapText="1"/>
    </xf>
    <xf numFmtId="3" fontId="69" fillId="10" borderId="18" xfId="0" applyNumberFormat="1" applyFont="1" applyFill="1" applyBorder="1"/>
    <xf numFmtId="3" fontId="69" fillId="10" borderId="0" xfId="0" applyNumberFormat="1" applyFont="1" applyFill="1" applyBorder="1"/>
    <xf numFmtId="0" fontId="83" fillId="10" borderId="7" xfId="0" applyFont="1" applyFill="1" applyBorder="1"/>
    <xf numFmtId="2" fontId="83" fillId="10" borderId="0" xfId="0" applyNumberFormat="1" applyFont="1" applyFill="1"/>
    <xf numFmtId="2" fontId="82" fillId="2" borderId="0" xfId="0" applyNumberFormat="1" applyFont="1" applyFill="1" applyBorder="1" applyAlignment="1">
      <alignment wrapText="1"/>
    </xf>
    <xf numFmtId="2" fontId="82" fillId="2" borderId="0" xfId="0" applyNumberFormat="1" applyFont="1" applyFill="1" applyAlignment="1">
      <alignment wrapText="1"/>
    </xf>
    <xf numFmtId="2" fontId="83" fillId="2" borderId="0" xfId="0" applyNumberFormat="1" applyFont="1" applyFill="1" applyAlignment="1">
      <alignment horizontal="right"/>
    </xf>
    <xf numFmtId="2" fontId="82" fillId="2" borderId="0" xfId="0" applyNumberFormat="1" applyFont="1" applyFill="1" applyAlignment="1">
      <alignment horizontal="right"/>
    </xf>
    <xf numFmtId="2" fontId="69" fillId="0" borderId="0" xfId="0" applyNumberFormat="1" applyFont="1" applyAlignment="1"/>
    <xf numFmtId="2" fontId="82" fillId="10" borderId="0" xfId="0" applyNumberFormat="1" applyFont="1" applyFill="1"/>
    <xf numFmtId="0" fontId="83" fillId="10" borderId="0" xfId="0" applyFont="1" applyFill="1"/>
    <xf numFmtId="3" fontId="83" fillId="2" borderId="0" xfId="0" applyNumberFormat="1" applyFont="1" applyFill="1" applyAlignment="1">
      <alignment horizontal="right"/>
    </xf>
    <xf numFmtId="2" fontId="82" fillId="10" borderId="2" xfId="0" applyNumberFormat="1" applyFont="1" applyFill="1" applyBorder="1"/>
    <xf numFmtId="2" fontId="83" fillId="10" borderId="18" xfId="0" applyNumberFormat="1" applyFont="1" applyFill="1" applyBorder="1"/>
    <xf numFmtId="2" fontId="69" fillId="10" borderId="18" xfId="0" applyNumberFormat="1" applyFont="1" applyFill="1" applyBorder="1"/>
    <xf numFmtId="2" fontId="83" fillId="2" borderId="18" xfId="0" applyNumberFormat="1" applyFont="1" applyFill="1" applyBorder="1" applyAlignment="1">
      <alignment horizontal="right"/>
    </xf>
    <xf numFmtId="2" fontId="82" fillId="2" borderId="18" xfId="0" applyNumberFormat="1" applyFont="1" applyFill="1" applyBorder="1" applyAlignment="1">
      <alignment horizontal="right"/>
    </xf>
    <xf numFmtId="14" fontId="69" fillId="0" borderId="0" xfId="0" applyNumberFormat="1" applyFont="1"/>
    <xf numFmtId="14" fontId="69" fillId="0" borderId="0" xfId="0" applyNumberFormat="1" applyFont="1" applyFill="1"/>
    <xf numFmtId="0" fontId="81" fillId="0" borderId="0" xfId="0" applyFont="1" applyAlignment="1">
      <alignment wrapText="1"/>
    </xf>
    <xf numFmtId="3" fontId="80" fillId="0" borderId="0" xfId="0" applyNumberFormat="1" applyFont="1" applyAlignment="1">
      <alignment wrapText="1"/>
    </xf>
    <xf numFmtId="1" fontId="69" fillId="0" borderId="0" xfId="0" applyNumberFormat="1" applyFont="1" applyFill="1"/>
    <xf numFmtId="1" fontId="69" fillId="0" borderId="0" xfId="0" applyNumberFormat="1" applyFont="1"/>
    <xf numFmtId="0" fontId="81" fillId="0" borderId="2" xfId="0" applyFont="1" applyBorder="1" applyAlignment="1">
      <alignment wrapText="1"/>
    </xf>
    <xf numFmtId="0" fontId="80" fillId="0" borderId="2" xfId="0" applyFont="1" applyBorder="1" applyAlignment="1">
      <alignment wrapText="1"/>
    </xf>
    <xf numFmtId="0" fontId="74" fillId="0" borderId="0" xfId="0" applyFont="1" applyFill="1" applyBorder="1"/>
    <xf numFmtId="0" fontId="73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right" indent="1"/>
    </xf>
    <xf numFmtId="0" fontId="0" fillId="0" borderId="0" xfId="0" applyFill="1" applyBorder="1" applyAlignment="1">
      <alignment horizontal="right"/>
    </xf>
    <xf numFmtId="0" fontId="9" fillId="0" borderId="0" xfId="0" applyFont="1" applyFill="1" applyBorder="1"/>
    <xf numFmtId="1" fontId="33" fillId="0" borderId="0" xfId="0" applyNumberFormat="1" applyFont="1" applyFill="1"/>
    <xf numFmtId="0" fontId="55" fillId="0" borderId="0" xfId="0" applyFont="1" applyFill="1" applyAlignment="1">
      <alignment wrapText="1"/>
    </xf>
    <xf numFmtId="3" fontId="55" fillId="0" borderId="0" xfId="0" applyNumberFormat="1" applyFont="1" applyFill="1" applyAlignment="1">
      <alignment horizontal="right"/>
    </xf>
    <xf numFmtId="4" fontId="33" fillId="0" borderId="0" xfId="0" applyNumberFormat="1" applyFont="1" applyFill="1"/>
    <xf numFmtId="2" fontId="3" fillId="9" borderId="0" xfId="0" applyNumberFormat="1" applyFont="1" applyFill="1" applyAlignment="1">
      <alignment wrapText="1"/>
    </xf>
    <xf numFmtId="3" fontId="58" fillId="0" borderId="0" xfId="0" applyNumberFormat="1" applyFont="1" applyFill="1" applyBorder="1" applyAlignment="1">
      <alignment horizontal="right"/>
    </xf>
    <xf numFmtId="14" fontId="0" fillId="10" borderId="0" xfId="0" applyNumberFormat="1" applyFill="1"/>
    <xf numFmtId="3" fontId="3" fillId="10" borderId="0" xfId="0" applyNumberFormat="1" applyFont="1" applyFill="1" applyAlignment="1">
      <alignment wrapText="1"/>
    </xf>
    <xf numFmtId="0" fontId="6" fillId="10" borderId="18" xfId="0" applyFont="1" applyFill="1" applyBorder="1" applyAlignment="1">
      <alignment wrapText="1"/>
    </xf>
    <xf numFmtId="0" fontId="3" fillId="10" borderId="18" xfId="0" applyFont="1" applyFill="1" applyBorder="1" applyAlignment="1">
      <alignment wrapText="1"/>
    </xf>
    <xf numFmtId="14" fontId="0" fillId="10" borderId="7" xfId="0" applyNumberFormat="1" applyFill="1" applyBorder="1"/>
    <xf numFmtId="10" fontId="0" fillId="0" borderId="0" xfId="0" applyNumberFormat="1" applyFill="1"/>
    <xf numFmtId="10" fontId="0" fillId="0" borderId="0" xfId="0" applyNumberFormat="1" applyFill="1" applyBorder="1"/>
    <xf numFmtId="2" fontId="0" fillId="0" borderId="0" xfId="0" applyNumberFormat="1" applyFill="1"/>
    <xf numFmtId="3" fontId="36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169" fontId="7" fillId="0" borderId="0" xfId="10" applyNumberFormat="1" applyFont="1" applyFill="1" applyBorder="1" applyAlignment="1">
      <alignment wrapText="1"/>
    </xf>
    <xf numFmtId="169" fontId="7" fillId="0" borderId="0" xfId="10" applyNumberFormat="1" applyFont="1" applyFill="1" applyAlignment="1">
      <alignment wrapText="1"/>
    </xf>
    <xf numFmtId="10" fontId="69" fillId="0" borderId="0" xfId="0" applyNumberFormat="1" applyFont="1" applyFill="1"/>
    <xf numFmtId="168" fontId="69" fillId="0" borderId="0" xfId="10" applyNumberFormat="1" applyFont="1" applyFill="1"/>
    <xf numFmtId="1" fontId="69" fillId="0" borderId="0" xfId="10" applyNumberFormat="1" applyFont="1" applyFill="1"/>
    <xf numFmtId="169" fontId="94" fillId="2" borderId="0" xfId="10" applyNumberFormat="1" applyFont="1" applyFill="1" applyBorder="1" applyAlignment="1">
      <alignment wrapText="1"/>
    </xf>
    <xf numFmtId="169" fontId="94" fillId="2" borderId="0" xfId="10" applyNumberFormat="1" applyFont="1" applyFill="1" applyAlignment="1">
      <alignment wrapText="1"/>
    </xf>
    <xf numFmtId="168" fontId="95" fillId="0" borderId="0" xfId="0" applyNumberFormat="1" applyFont="1" applyFill="1"/>
    <xf numFmtId="0" fontId="73" fillId="0" borderId="0" xfId="0" applyFont="1" applyFill="1" applyBorder="1" applyAlignment="1">
      <alignment horizontal="left"/>
    </xf>
    <xf numFmtId="0" fontId="73" fillId="16" borderId="0" xfId="0" applyFont="1" applyFill="1" applyAlignment="1">
      <alignment horizontal="left"/>
    </xf>
    <xf numFmtId="0" fontId="73" fillId="16" borderId="6" xfId="0" applyFont="1" applyFill="1" applyBorder="1" applyAlignment="1">
      <alignment horizontal="left"/>
    </xf>
    <xf numFmtId="0" fontId="73" fillId="16" borderId="41" xfId="0" applyFont="1" applyFill="1" applyBorder="1" applyAlignment="1">
      <alignment horizontal="left"/>
    </xf>
    <xf numFmtId="0" fontId="1" fillId="16" borderId="0" xfId="0" applyFont="1" applyFill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3" fillId="13" borderId="25" xfId="0" applyFont="1" applyFill="1" applyBorder="1" applyAlignment="1">
      <alignment horizontal="center"/>
    </xf>
    <xf numFmtId="0" fontId="53" fillId="13" borderId="26" xfId="0" applyFont="1" applyFill="1" applyBorder="1" applyAlignment="1">
      <alignment horizontal="center"/>
    </xf>
    <xf numFmtId="0" fontId="53" fillId="13" borderId="27" xfId="0" applyFont="1" applyFill="1" applyBorder="1" applyAlignment="1">
      <alignment horizontal="center"/>
    </xf>
    <xf numFmtId="0" fontId="53" fillId="0" borderId="37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7" fillId="13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 wrapText="1"/>
    </xf>
    <xf numFmtId="0" fontId="33" fillId="8" borderId="0" xfId="0" applyFont="1" applyFill="1" applyBorder="1" applyAlignment="1">
      <alignment horizontal="center"/>
    </xf>
    <xf numFmtId="0" fontId="33" fillId="0" borderId="0" xfId="0" applyFont="1" applyAlignment="1">
      <alignment horizontal="center" wrapText="1"/>
    </xf>
    <xf numFmtId="0" fontId="43" fillId="9" borderId="7" xfId="0" applyFont="1" applyFill="1" applyBorder="1" applyAlignment="1">
      <alignment horizontal="center"/>
    </xf>
    <xf numFmtId="14" fontId="40" fillId="0" borderId="0" xfId="0" applyNumberFormat="1" applyFont="1" applyFill="1" applyBorder="1" applyAlignment="1">
      <alignment wrapText="1"/>
    </xf>
    <xf numFmtId="0" fontId="40" fillId="0" borderId="0" xfId="0" applyFont="1" applyFill="1" applyBorder="1" applyAlignment="1">
      <alignment wrapText="1"/>
    </xf>
    <xf numFmtId="0" fontId="40" fillId="0" borderId="7" xfId="0" applyFont="1" applyFill="1" applyBorder="1" applyAlignment="1">
      <alignment wrapText="1"/>
    </xf>
  </cellXfs>
  <cellStyles count="11">
    <cellStyle name="Hyperlink" xfId="1" xr:uid="{00000000-000B-0000-0000-000008000000}"/>
    <cellStyle name="Normal" xfId="0" builtinId="0"/>
    <cellStyle name="Normal 14" xfId="7" xr:uid="{E066313C-1826-4E12-9EB4-B4722CFCF6F4}"/>
    <cellStyle name="Normal 2" xfId="4" xr:uid="{DF605A3C-3D6A-4615-A1DD-F57BD4144672}"/>
    <cellStyle name="Normal 6" xfId="5" xr:uid="{1E6C63DB-07BF-4C7C-870D-1C8E8F8EAD25}"/>
    <cellStyle name="Normal 7" xfId="8" xr:uid="{AC633208-6FAF-45A5-B19E-F9B06E124A0E}"/>
    <cellStyle name="Normal 7 2" xfId="9" xr:uid="{357B6B04-D9EB-47F6-B8EE-63B0506BF9BE}"/>
    <cellStyle name="Normal_LIITTEET" xfId="6" xr:uid="{8A1569AB-5ED2-44DB-8E7C-C29497045C25}"/>
    <cellStyle name="Normal_Sheet1" xfId="3" xr:uid="{8D4CC254-994A-4FB9-822A-BDEAC6370802}"/>
    <cellStyle name="Normal_tp1299-versio1virall." xfId="2" xr:uid="{14A5F163-7CC0-4C68-8278-610E1875B069}"/>
    <cellStyle name="Percent" xfId="10" builtinId="5"/>
  </cellStyles>
  <dxfs count="8">
    <dxf>
      <font>
        <color theme="5"/>
      </font>
    </dxf>
    <dxf>
      <numFmt numFmtId="0" formatCode="General"/>
    </dxf>
    <dxf>
      <numFmt numFmtId="176" formatCode="h:mm"/>
    </dxf>
    <dxf>
      <numFmt numFmtId="177" formatCode="yyyy/m/d"/>
    </dxf>
    <dxf>
      <numFmt numFmtId="0" formatCode="General"/>
    </dxf>
    <dxf>
      <numFmt numFmtId="2" formatCode="0.00"/>
    </dxf>
    <dxf>
      <numFmt numFmtId="0" formatCode="General"/>
    </dxf>
    <dxf>
      <numFmt numFmtId="177" formatCode="yyyy/m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Comparable 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'DDM model (Dividents)'!$AD$4</c:f>
              <c:strCache>
                <c:ptCount val="1"/>
                <c:pt idx="0">
                  <c:v>Comparable net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'DDM model (Dividents)'!$AG$4:$AN$4</c:f>
              <c:numCache>
                <c:formatCode>#,##0</c:formatCode>
                <c:ptCount val="8"/>
                <c:pt idx="0">
                  <c:v>1142</c:v>
                </c:pt>
                <c:pt idx="1">
                  <c:v>1890</c:v>
                </c:pt>
                <c:pt idx="2">
                  <c:v>28.93937201562726</c:v>
                </c:pt>
                <c:pt idx="3">
                  <c:v>1011.7000910908032</c:v>
                </c:pt>
                <c:pt idx="4">
                  <c:v>1216.2191348425504</c:v>
                </c:pt>
                <c:pt idx="5">
                  <c:v>1644.6951635853716</c:v>
                </c:pt>
                <c:pt idx="6">
                  <c:v>1943.2318417849597</c:v>
                </c:pt>
                <c:pt idx="7">
                  <c:v>2594.7781786205942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1-45E0-BBF2-3344EC9D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64207"/>
        <c:axId val="685459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'DDM model (Dividents)'!$G$15</c15:sqref>
                        </c15:formulaRef>
                      </c:ext>
                    </c:extLst>
                    <c:strCache>
                      <c:ptCount val="1"/>
                      <c:pt idx="0">
                        <c:v>Dividends per share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DCF!$C$2:$J$2</c15:sqref>
                        </c15:formulaRef>
                      </c:ext>
                    </c:extLst>
                    <c:strCach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Year+1</c:v>
                      </c:pt>
                      <c:pt idx="4">
                        <c:v>Year+2</c:v>
                      </c:pt>
                      <c:pt idx="5">
                        <c:v>Year+3</c:v>
                      </c:pt>
                      <c:pt idx="6">
                        <c:v>Year+4</c:v>
                      </c:pt>
                      <c:pt idx="7">
                        <c:v>Year+5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'DDM model (Dividents)'!$J$15:$Q$15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2.2799999999999998</c:v>
                      </c:pt>
                      <c:pt idx="1">
                        <c:v>1.02</c:v>
                      </c:pt>
                      <c:pt idx="2">
                        <c:v>0.8</c:v>
                      </c:pt>
                      <c:pt idx="3" formatCode="0.00">
                        <c:v>0.67238328581802742</c:v>
                      </c:pt>
                      <c:pt idx="4" formatCode="0.00">
                        <c:v>0.80830813930093404</c:v>
                      </c:pt>
                      <c:pt idx="5" formatCode="0.00">
                        <c:v>1.0930764442931098</c:v>
                      </c:pt>
                      <c:pt idx="6" formatCode="0.00">
                        <c:v>1.2914861058051614</c:v>
                      </c:pt>
                      <c:pt idx="7" formatCode="0.00">
                        <c:v>1.7245085703498675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31-45E0-BBF2-3344EC9D4568}"/>
                  </c:ext>
                </c:extLst>
              </c15:ser>
            </c15:filteredLineSeries>
          </c:ext>
        </c:extLst>
      </c:lineChart>
      <c:catAx>
        <c:axId val="68546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631"/>
        <c:crosses val="autoZero"/>
        <c:auto val="1"/>
        <c:lblAlgn val="ctr"/>
        <c:lblOffset val="100"/>
        <c:noMultiLvlLbl val="0"/>
      </c:catAx>
      <c:valAx>
        <c:axId val="6854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 Capex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DCF!$C$14:$J$14</c:f>
              <c:numCache>
                <c:formatCode>0.00</c:formatCode>
                <c:ptCount val="8"/>
                <c:pt idx="0">
                  <c:v>-438</c:v>
                </c:pt>
                <c:pt idx="1">
                  <c:v>-568</c:v>
                </c:pt>
                <c:pt idx="2">
                  <c:v>-972</c:v>
                </c:pt>
                <c:pt idx="3">
                  <c:v>-1377.15</c:v>
                </c:pt>
                <c:pt idx="4">
                  <c:v>-1713.7375000000002</c:v>
                </c:pt>
                <c:pt idx="5">
                  <c:v>-1670.6147500000002</c:v>
                </c:pt>
                <c:pt idx="6">
                  <c:v>-2197.4109625000006</c:v>
                </c:pt>
                <c:pt idx="7">
                  <c:v>-2133.7476977500005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3-40DA-AC43-C6BF0FAA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536528"/>
        <c:axId val="1899530704"/>
      </c:lineChart>
      <c:catAx>
        <c:axId val="189953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30704"/>
        <c:crosses val="autoZero"/>
        <c:auto val="1"/>
        <c:lblAlgn val="ctr"/>
        <c:lblOffset val="100"/>
        <c:noMultiLvlLbl val="0"/>
      </c:catAx>
      <c:valAx>
        <c:axId val="1899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'Forecasting development (final)'!$A$2</c:f>
              <c:strCache>
                <c:ptCount val="1"/>
                <c:pt idx="0">
                  <c:v>Renewable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(final)'!$B$2:$I$2</c:f>
              <c:numCache>
                <c:formatCode>#,##0</c:formatCode>
                <c:ptCount val="8"/>
                <c:pt idx="0">
                  <c:v>3241</c:v>
                </c:pt>
                <c:pt idx="1">
                  <c:v>4033</c:v>
                </c:pt>
                <c:pt idx="2">
                  <c:v>4270</c:v>
                </c:pt>
                <c:pt idx="3" formatCode="0.00">
                  <c:v>4518.9645600000003</c:v>
                </c:pt>
                <c:pt idx="4" formatCode="0.00">
                  <c:v>4780.6358280000004</c:v>
                </c:pt>
                <c:pt idx="5" formatCode="0.00">
                  <c:v>5535.4730640000016</c:v>
                </c:pt>
                <c:pt idx="6" formatCode="0.00">
                  <c:v>6199.7298316800016</c:v>
                </c:pt>
                <c:pt idx="7" formatCode="0.00">
                  <c:v>7129.689306432002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F-4C37-9F11-246A68613E4A}"/>
            </c:ext>
          </c:extLst>
        </c:ser>
        <c:ser>
          <c:idx val="1"/>
          <c:order val="1"/>
          <c:tx>
            <c:strRef>
              <c:f>'Forecasting development (final)'!$A$3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(final)'!$B$3:$I$3</c:f>
              <c:numCache>
                <c:formatCode>#,##0</c:formatCode>
                <c:ptCount val="8"/>
                <c:pt idx="0">
                  <c:v>10105</c:v>
                </c:pt>
                <c:pt idx="1">
                  <c:v>10416</c:v>
                </c:pt>
                <c:pt idx="2">
                  <c:v>6063</c:v>
                </c:pt>
                <c:pt idx="3" formatCode="General">
                  <c:v>6064.9261200000001</c:v>
                </c:pt>
                <c:pt idx="4" formatCode="General">
                  <c:v>6038.6978879999997</c:v>
                </c:pt>
                <c:pt idx="5" formatCode="General">
                  <c:v>6227.4071970000014</c:v>
                </c:pt>
                <c:pt idx="6" formatCode="General">
                  <c:v>6974.6960606400016</c:v>
                </c:pt>
                <c:pt idx="7" formatCode="General">
                  <c:v>8020.9004697360015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F-4C37-9F11-246A68613E4A}"/>
            </c:ext>
          </c:extLst>
        </c:ser>
        <c:ser>
          <c:idx val="2"/>
          <c:order val="2"/>
          <c:tx>
            <c:strRef>
              <c:f>'Forecasting development (final)'!$A$4</c:f>
              <c:strCache>
                <c:ptCount val="1"/>
                <c:pt idx="0">
                  <c:v>Marketing &amp;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(final)'!$B$4:$I$4</c:f>
              <c:numCache>
                <c:formatCode>#,##0</c:formatCode>
                <c:ptCount val="8"/>
                <c:pt idx="0">
                  <c:v>4315</c:v>
                </c:pt>
                <c:pt idx="1">
                  <c:v>4193</c:v>
                </c:pt>
                <c:pt idx="2">
                  <c:v>3055</c:v>
                </c:pt>
                <c:pt idx="3" formatCode="General">
                  <c:v>3091.9231200000004</c:v>
                </c:pt>
                <c:pt idx="4" formatCode="General">
                  <c:v>3396.7675620000005</c:v>
                </c:pt>
                <c:pt idx="5" formatCode="General">
                  <c:v>3874.8311448000009</c:v>
                </c:pt>
                <c:pt idx="6" formatCode="General">
                  <c:v>4339.8108821760015</c:v>
                </c:pt>
                <c:pt idx="7" formatCode="General">
                  <c:v>4990.7825145024017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F-4C37-9F11-246A68613E4A}"/>
            </c:ext>
          </c:extLst>
        </c:ser>
        <c:ser>
          <c:idx val="3"/>
          <c:order val="3"/>
          <c:tx>
            <c:strRef>
              <c:f>'Forecasting development (final)'!$A$5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(final)'!$B$5:$I$5</c:f>
              <c:numCache>
                <c:formatCode>#,##0</c:formatCode>
                <c:ptCount val="8"/>
                <c:pt idx="0" formatCode="General">
                  <c:v>264</c:v>
                </c:pt>
                <c:pt idx="1">
                  <c:v>246</c:v>
                </c:pt>
                <c:pt idx="2">
                  <c:v>177</c:v>
                </c:pt>
                <c:pt idx="3" formatCode="0">
                  <c:v>216.19819999999982</c:v>
                </c:pt>
                <c:pt idx="4" formatCode="0">
                  <c:v>164.51932199999965</c:v>
                </c:pt>
                <c:pt idx="5" formatCode="0">
                  <c:v>200.97125419999838</c:v>
                </c:pt>
                <c:pt idx="6" formatCode="0">
                  <c:v>-214.91219529600221</c:v>
                </c:pt>
                <c:pt idx="7" formatCode="0">
                  <c:v>-317.14902459040241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F-4C37-9F11-246A68613E4A}"/>
            </c:ext>
          </c:extLst>
        </c:ser>
        <c:ser>
          <c:idx val="4"/>
          <c:order val="4"/>
          <c:tx>
            <c:strRef>
              <c:f>'Forecasting development (final)'!$A$6</c:f>
              <c:strCache>
                <c:ptCount val="1"/>
                <c:pt idx="0">
                  <c:v>Eliminations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(final)'!$B$6:$I$6</c:f>
              <c:numCache>
                <c:formatCode>#,##0</c:formatCode>
                <c:ptCount val="8"/>
                <c:pt idx="0">
                  <c:v>-3007</c:v>
                </c:pt>
                <c:pt idx="1">
                  <c:v>-3049</c:v>
                </c:pt>
                <c:pt idx="2">
                  <c:v>-1813</c:v>
                </c:pt>
                <c:pt idx="3" formatCode="0">
                  <c:v>-2000</c:v>
                </c:pt>
                <c:pt idx="4" formatCode="0">
                  <c:v>-1800</c:v>
                </c:pt>
                <c:pt idx="5" formatCode="0">
                  <c:v>-2000</c:v>
                </c:pt>
                <c:pt idx="6" formatCode="0">
                  <c:v>-1800</c:v>
                </c:pt>
                <c:pt idx="7" formatCode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F-4C37-9F11-246A68613E4A}"/>
            </c:ext>
          </c:extLst>
        </c:ser>
        <c:ser>
          <c:idx val="5"/>
          <c:order val="5"/>
          <c:tx>
            <c:strRef>
              <c:f>'Forecasting development (final)'!$A$7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(final)'!$B$7:$I$7</c:f>
              <c:numCache>
                <c:formatCode>General</c:formatCode>
                <c:ptCount val="8"/>
                <c:pt idx="0">
                  <c:v>14918</c:v>
                </c:pt>
                <c:pt idx="1">
                  <c:v>15839</c:v>
                </c:pt>
                <c:pt idx="2">
                  <c:v>11752</c:v>
                </c:pt>
                <c:pt idx="3">
                  <c:v>11892.011999999999</c:v>
                </c:pt>
                <c:pt idx="4">
                  <c:v>12580.620600000002</c:v>
                </c:pt>
                <c:pt idx="5">
                  <c:v>13838.68266</c:v>
                </c:pt>
                <c:pt idx="6">
                  <c:v>15499.324579200005</c:v>
                </c:pt>
                <c:pt idx="7">
                  <c:v>17824.223266080004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7F-4C37-9F11-246A686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52032"/>
        <c:axId val="1917243712"/>
      </c:barChart>
      <c:catAx>
        <c:axId val="19172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43712"/>
        <c:crosses val="autoZero"/>
        <c:auto val="1"/>
        <c:lblAlgn val="ctr"/>
        <c:lblOffset val="100"/>
        <c:noMultiLvlLbl val="0"/>
      </c:catAx>
      <c:valAx>
        <c:axId val="1917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</a:t>
            </a:r>
            <a:r>
              <a:rPr lang="en-US" baseline="0"/>
              <a:t> Segments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'Forecasting development (final)'!$A$2</c:f>
              <c:strCache>
                <c:ptCount val="1"/>
                <c:pt idx="0">
                  <c:v>Renewable Products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(final)'!$B$2:$I$2</c:f>
              <c:numCache>
                <c:formatCode>#,##0</c:formatCode>
                <c:ptCount val="8"/>
                <c:pt idx="0">
                  <c:v>3241</c:v>
                </c:pt>
                <c:pt idx="1">
                  <c:v>4033</c:v>
                </c:pt>
                <c:pt idx="2">
                  <c:v>4270</c:v>
                </c:pt>
                <c:pt idx="3" formatCode="0.00">
                  <c:v>4518.9645600000003</c:v>
                </c:pt>
                <c:pt idx="4" formatCode="0.00">
                  <c:v>4780.6358280000004</c:v>
                </c:pt>
                <c:pt idx="5" formatCode="0.00">
                  <c:v>5535.4730640000016</c:v>
                </c:pt>
                <c:pt idx="6" formatCode="0.00">
                  <c:v>6199.7298316800016</c:v>
                </c:pt>
                <c:pt idx="7" formatCode="0.00">
                  <c:v>7129.689306432002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C-4AE6-BC2D-549251B55F50}"/>
            </c:ext>
          </c:extLst>
        </c:ser>
        <c:ser>
          <c:idx val="1"/>
          <c:order val="1"/>
          <c:tx>
            <c:strRef>
              <c:f>'Forecasting development (final)'!$A$3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(final)'!$B$3:$I$3</c:f>
              <c:numCache>
                <c:formatCode>#,##0</c:formatCode>
                <c:ptCount val="8"/>
                <c:pt idx="0">
                  <c:v>10105</c:v>
                </c:pt>
                <c:pt idx="1">
                  <c:v>10416</c:v>
                </c:pt>
                <c:pt idx="2">
                  <c:v>6063</c:v>
                </c:pt>
                <c:pt idx="3" formatCode="General">
                  <c:v>6064.9261200000001</c:v>
                </c:pt>
                <c:pt idx="4" formatCode="General">
                  <c:v>6038.6978879999997</c:v>
                </c:pt>
                <c:pt idx="5" formatCode="General">
                  <c:v>6227.4071970000014</c:v>
                </c:pt>
                <c:pt idx="6" formatCode="General">
                  <c:v>6974.6960606400016</c:v>
                </c:pt>
                <c:pt idx="7" formatCode="General">
                  <c:v>8020.9004697360015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C-4AE6-BC2D-549251B55F50}"/>
            </c:ext>
          </c:extLst>
        </c:ser>
        <c:ser>
          <c:idx val="2"/>
          <c:order val="2"/>
          <c:tx>
            <c:strRef>
              <c:f>'Forecasting development (final)'!$A$4</c:f>
              <c:strCache>
                <c:ptCount val="1"/>
                <c:pt idx="0">
                  <c:v>Marketing &amp; Services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'Forecasting development (final)'!$B$1:$I$1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'Forecasting development (final)'!$B$4:$I$4</c:f>
              <c:numCache>
                <c:formatCode>#,##0</c:formatCode>
                <c:ptCount val="8"/>
                <c:pt idx="0">
                  <c:v>4315</c:v>
                </c:pt>
                <c:pt idx="1">
                  <c:v>4193</c:v>
                </c:pt>
                <c:pt idx="2">
                  <c:v>3055</c:v>
                </c:pt>
                <c:pt idx="3" formatCode="General">
                  <c:v>3091.9231200000004</c:v>
                </c:pt>
                <c:pt idx="4" formatCode="General">
                  <c:v>3396.7675620000005</c:v>
                </c:pt>
                <c:pt idx="5" formatCode="General">
                  <c:v>3874.8311448000009</c:v>
                </c:pt>
                <c:pt idx="6" formatCode="General">
                  <c:v>4339.8108821760015</c:v>
                </c:pt>
                <c:pt idx="7" formatCode="General">
                  <c:v>4990.7825145024017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C-4AE6-BC2D-549251B5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55360"/>
        <c:axId val="1917261184"/>
      </c:barChart>
      <c:catAx>
        <c:axId val="19172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61184"/>
        <c:crosses val="autoZero"/>
        <c:auto val="1"/>
        <c:lblAlgn val="ctr"/>
        <c:lblOffset val="100"/>
        <c:noMultiLvlLbl val="0"/>
      </c:catAx>
      <c:valAx>
        <c:axId val="1917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'Forecasting development (final)'!$A$2:$A$5</c:f>
              <c:strCache>
                <c:ptCount val="4"/>
                <c:pt idx="0">
                  <c:v>Renewable Products</c:v>
                </c:pt>
                <c:pt idx="1">
                  <c:v>Oil Products</c:v>
                </c:pt>
                <c:pt idx="2">
                  <c:v>Marketing &amp; Services</c:v>
                </c:pt>
                <c:pt idx="3">
                  <c:v>Others</c:v>
                </c:pt>
              </c:strCache>
            </c:strRef>
          </c:cat>
          <c:val>
            <c:numRef>
              <c:f>'Forecasting development (final)'!$E$2:$E$5</c:f>
              <c:numCache>
                <c:formatCode>General</c:formatCode>
                <c:ptCount val="4"/>
                <c:pt idx="0" formatCode="0.00">
                  <c:v>4518.9645600000003</c:v>
                </c:pt>
                <c:pt idx="1">
                  <c:v>6064.9261200000001</c:v>
                </c:pt>
                <c:pt idx="2">
                  <c:v>3091.9231200000004</c:v>
                </c:pt>
                <c:pt idx="3" formatCode="0">
                  <c:v>216.19819999999982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D-49B7-AD4A-D5BC72B5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'DDM model (Dividents)'!$J$15:$Q$15</c:f>
              <c:numCache>
                <c:formatCode>General</c:formatCode>
                <c:ptCount val="8"/>
                <c:pt idx="0">
                  <c:v>2.2799999999999998</c:v>
                </c:pt>
                <c:pt idx="1">
                  <c:v>1.02</c:v>
                </c:pt>
                <c:pt idx="2">
                  <c:v>0.8</c:v>
                </c:pt>
                <c:pt idx="3" formatCode="0.00">
                  <c:v>0.67238328581802742</c:v>
                </c:pt>
                <c:pt idx="4" formatCode="0.00">
                  <c:v>0.80830813930093404</c:v>
                </c:pt>
                <c:pt idx="5" formatCode="0.00">
                  <c:v>1.0930764442931098</c:v>
                </c:pt>
                <c:pt idx="6" formatCode="0.00">
                  <c:v>1.2914861058051614</c:v>
                </c:pt>
                <c:pt idx="7" formatCode="0.00">
                  <c:v>1.7245085703498675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'DDM model (Dividents)'!#REF!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34-496A-8E9A-3CCC695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20208"/>
        <c:axId val="1990321040"/>
      </c:lineChart>
      <c:catAx>
        <c:axId val="199032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21040"/>
        <c:crosses val="autoZero"/>
        <c:auto val="1"/>
        <c:lblAlgn val="ctr"/>
        <c:lblOffset val="100"/>
        <c:noMultiLvlLbl val="0"/>
      </c:catAx>
      <c:valAx>
        <c:axId val="1990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Enterprise Value (EUR </a:t>
            </a:r>
            <a:r>
              <a:rPr lang="en-US" altLang="zh-CN"/>
              <a:t>million)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'DDM model (Dividents)'!$S$27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'DDM model (Dividents)'!$T$26:$V$26</c:f>
              <c:strCache>
                <c:ptCount val="3"/>
                <c:pt idx="0">
                  <c:v>DDM</c:v>
                </c:pt>
                <c:pt idx="1">
                  <c:v>DCF</c:v>
                </c:pt>
                <c:pt idx="2">
                  <c:v>Difference</c:v>
                </c:pt>
              </c:strCache>
            </c:strRef>
          </c:cat>
          <c:val>
            <c:numRef>
              <c:f>'DDM model (Dividents)'!$T$27:$V$27</c:f>
              <c:numCache>
                <c:formatCode>0.00</c:formatCode>
                <c:ptCount val="3"/>
                <c:pt idx="0">
                  <c:v>27723.717000000001</c:v>
                </c:pt>
                <c:pt idx="1">
                  <c:v>29967.787481321502</c:v>
                </c:pt>
                <c:pt idx="2">
                  <c:v>2244.0704813215016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3C8-8803-8BE6811B3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4381247"/>
        <c:axId val="1964377087"/>
      </c:barChart>
      <c:catAx>
        <c:axId val="196438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77087"/>
        <c:crosses val="autoZero"/>
        <c:auto val="1"/>
        <c:lblAlgn val="ctr"/>
        <c:lblOffset val="100"/>
        <c:noMultiLvlLbl val="0"/>
      </c:catAx>
      <c:valAx>
        <c:axId val="196437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8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DCF!$A$32</c:f>
              <c:strCache>
                <c:ptCount val="1"/>
                <c:pt idx="0">
                  <c:v>Total entity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DCF!$C$27:$E$27</c:f>
              <c:numCache>
                <c:formatCode>0.0%</c:formatCode>
                <c:ptCount val="3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</c:numCache>
            </c:numRef>
          </c:cat>
          <c:val>
            <c:numRef>
              <c:f>DCF!$C$32:$E$32</c:f>
              <c:numCache>
                <c:formatCode>General</c:formatCode>
                <c:ptCount val="3"/>
                <c:pt idx="0">
                  <c:v>27740.835296735539</c:v>
                </c:pt>
                <c:pt idx="1">
                  <c:v>29967.787481321502</c:v>
                </c:pt>
                <c:pt idx="2">
                  <c:v>32622.999701404777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3-41E2-8349-EE373F7D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71728"/>
        <c:axId val="95373808"/>
      </c:barChart>
      <c:catAx>
        <c:axId val="953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3808"/>
        <c:crosses val="autoZero"/>
        <c:auto val="1"/>
        <c:lblAlgn val="ctr"/>
        <c:lblOffset val="100"/>
        <c:noMultiLvlLbl val="0"/>
      </c:catAx>
      <c:valAx>
        <c:axId val="953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 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 CAPEX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DCF!$A$14</c:f>
              <c:strCache>
                <c:ptCount val="1"/>
                <c:pt idx="0">
                  <c:v>Less Capex</c:v>
                </c:pt>
              </c:strCache>
            </c:strRef>
          </c:tx>
          <c:spPr>
            <a:ln w="317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DCF!$C$14:$J$14</c:f>
              <c:numCache>
                <c:formatCode>0.00</c:formatCode>
                <c:ptCount val="8"/>
                <c:pt idx="0">
                  <c:v>-438</c:v>
                </c:pt>
                <c:pt idx="1">
                  <c:v>-568</c:v>
                </c:pt>
                <c:pt idx="2">
                  <c:v>-972</c:v>
                </c:pt>
                <c:pt idx="3">
                  <c:v>-1377.15</c:v>
                </c:pt>
                <c:pt idx="4">
                  <c:v>-1713.7375000000002</c:v>
                </c:pt>
                <c:pt idx="5">
                  <c:v>-1670.6147500000002</c:v>
                </c:pt>
                <c:pt idx="6">
                  <c:v>-2197.4109625000006</c:v>
                </c:pt>
                <c:pt idx="7">
                  <c:v>-2133.7476977500005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1-4689-9390-32987C6F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78367"/>
        <c:axId val="2033379199"/>
      </c:lineChart>
      <c:catAx>
        <c:axId val="2033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9199"/>
        <c:crosses val="autoZero"/>
        <c:auto val="1"/>
        <c:lblAlgn val="ctr"/>
        <c:lblOffset val="100"/>
        <c:noMultiLvlLbl val="0"/>
      </c:catAx>
      <c:valAx>
        <c:axId val="20333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Unlevered Free Cash Flow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DCF!$D$17:$J$17</c:f>
              <c:numCache>
                <c:formatCode>General</c:formatCode>
                <c:ptCount val="7"/>
                <c:pt idx="0">
                  <c:v>5471.5069905649107</c:v>
                </c:pt>
                <c:pt idx="1">
                  <c:v>888.83287201629332</c:v>
                </c:pt>
                <c:pt idx="2" formatCode="0">
                  <c:v>1206.7986818635018</c:v>
                </c:pt>
                <c:pt idx="3">
                  <c:v>1063.4342102554924</c:v>
                </c:pt>
                <c:pt idx="4">
                  <c:v>1218.557480307639</c:v>
                </c:pt>
                <c:pt idx="5">
                  <c:v>1375.0697318242637</c:v>
                </c:pt>
                <c:pt idx="6">
                  <c:v>2078.6749123400464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E-4B9B-941E-50B4CEBD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403087"/>
        <c:axId val="1358403503"/>
      </c:lineChart>
      <c:catAx>
        <c:axId val="135840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03503"/>
        <c:crosses val="autoZero"/>
        <c:auto val="1"/>
        <c:lblAlgn val="ctr"/>
        <c:lblOffset val="100"/>
        <c:noMultiLvlLbl val="0"/>
      </c:catAx>
      <c:valAx>
        <c:axId val="1358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DCF!$C$10:$J$10</c:f>
              <c:numCache>
                <c:formatCode>0.0</c:formatCode>
                <c:ptCount val="8"/>
                <c:pt idx="0">
                  <c:v>995</c:v>
                </c:pt>
                <c:pt idx="1">
                  <c:v>2176</c:v>
                </c:pt>
                <c:pt idx="2">
                  <c:v>831</c:v>
                </c:pt>
                <c:pt idx="3">
                  <c:v>786.43364904525856</c:v>
                </c:pt>
                <c:pt idx="4">
                  <c:v>839.09611654017135</c:v>
                </c:pt>
                <c:pt idx="5">
                  <c:v>991.78359819418847</c:v>
                </c:pt>
                <c:pt idx="6">
                  <c:v>1265.7338988774918</c:v>
                </c:pt>
                <c:pt idx="7">
                  <c:v>1676.715637059114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4895-A96A-5770E59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51055"/>
        <c:axId val="538037743"/>
      </c:lineChart>
      <c:catAx>
        <c:axId val="53805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37743"/>
        <c:crosses val="autoZero"/>
        <c:auto val="1"/>
        <c:lblAlgn val="ctr"/>
        <c:lblOffset val="100"/>
        <c:noMultiLvlLbl val="0"/>
      </c:catAx>
      <c:valAx>
        <c:axId val="5380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DCF!$C$4:$J$4</c:f>
              <c:numCache>
                <c:formatCode>#,##0</c:formatCode>
                <c:ptCount val="8"/>
                <c:pt idx="0">
                  <c:v>14918</c:v>
                </c:pt>
                <c:pt idx="1">
                  <c:v>15840</c:v>
                </c:pt>
                <c:pt idx="2">
                  <c:v>11751</c:v>
                </c:pt>
                <c:pt idx="3">
                  <c:v>11892.012000000001</c:v>
                </c:pt>
                <c:pt idx="4">
                  <c:v>12580.6206</c:v>
                </c:pt>
                <c:pt idx="5">
                  <c:v>13838.682660000002</c:v>
                </c:pt>
                <c:pt idx="6">
                  <c:v>15499.324579200003</c:v>
                </c:pt>
                <c:pt idx="7">
                  <c:v>17824.223266080004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4-44DF-81AF-15CFBBFA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277408"/>
        <c:axId val="1917284480"/>
      </c:lineChart>
      <c:catAx>
        <c:axId val="19172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84480"/>
        <c:crosses val="autoZero"/>
        <c:auto val="1"/>
        <c:lblAlgn val="ctr"/>
        <c:lblOffset val="100"/>
        <c:noMultiLvlLbl val="0"/>
      </c:catAx>
      <c:valAx>
        <c:axId val="19172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 (EUR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DCF!$C$2:$J$2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Year+1</c:v>
                </c:pt>
                <c:pt idx="4">
                  <c:v>Year+2</c:v>
                </c:pt>
                <c:pt idx="5">
                  <c:v>Year+3</c:v>
                </c:pt>
                <c:pt idx="6">
                  <c:v>Year+4</c:v>
                </c:pt>
                <c:pt idx="7">
                  <c:v>Year+5</c:v>
                </c:pt>
              </c:strCache>
            </c:strRef>
          </c:cat>
          <c:val>
            <c:numRef>
              <c:f>DCF!$C$10:$J$10</c:f>
              <c:numCache>
                <c:formatCode>0.0</c:formatCode>
                <c:ptCount val="8"/>
                <c:pt idx="0">
                  <c:v>995</c:v>
                </c:pt>
                <c:pt idx="1">
                  <c:v>2176</c:v>
                </c:pt>
                <c:pt idx="2">
                  <c:v>831</c:v>
                </c:pt>
                <c:pt idx="3">
                  <c:v>786.43364904525856</c:v>
                </c:pt>
                <c:pt idx="4">
                  <c:v>839.09611654017135</c:v>
                </c:pt>
                <c:pt idx="5">
                  <c:v>991.78359819418847</c:v>
                </c:pt>
                <c:pt idx="6">
                  <c:v>1265.7338988774918</c:v>
                </c:pt>
                <c:pt idx="7">
                  <c:v>1676.715637059114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1-4E33-92CF-296C82E9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9360"/>
        <c:axId val="1726520608"/>
      </c:lineChart>
      <c:catAx>
        <c:axId val="17265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20608"/>
        <c:crosses val="autoZero"/>
        <c:auto val="1"/>
        <c:lblAlgn val="ctr"/>
        <c:lblOffset val="100"/>
        <c:noMultiLvlLbl val="0"/>
      </c:catAx>
      <c:valAx>
        <c:axId val="1726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3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249911</xdr:colOff>
      <xdr:row>2</xdr:row>
      <xdr:rowOff>169598</xdr:rowOff>
    </xdr:from>
    <xdr:to>
      <xdr:col>17</xdr:col>
      <xdr:colOff>2225</xdr:colOff>
      <xdr:row>12</xdr:row>
      <xdr:rowOff>20564</xdr:rowOff>
    </xdr:to>
    <xdr:pic>
      <xdr:nvPicPr>
        <xdr:cNvPr id="2" name="Picture 2" descr="ALL about Cost of Equity - 12manage">
          <a:extLst>
            <a:ext uri="{FF2B5EF4-FFF2-40B4-BE49-F238E27FC236}">
              <a16:creationId xmlns:a16="http://schemas.microsoft.com/office/drawing/2014/main" id="{B1DB86C5-DF65-453E-BF47-2F2042BE0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7238" y="539916"/>
          <a:ext cx="2609814" cy="1755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490301</xdr:colOff>
      <xdr:row>22</xdr:row>
      <xdr:rowOff>160986</xdr:rowOff>
    </xdr:from>
    <xdr:to>
      <xdr:col>17</xdr:col>
      <xdr:colOff>11164</xdr:colOff>
      <xdr:row>36</xdr:row>
      <xdr:rowOff>125355</xdr:rowOff>
    </xdr:to>
    <xdr:pic>
      <xdr:nvPicPr>
        <xdr:cNvPr id="4" name="Picture 3" descr="Dividend Discount Model (DDM) of Stock Valuation">
          <a:extLst>
            <a:ext uri="{FF2B5EF4-FFF2-40B4-BE49-F238E27FC236}">
              <a16:creationId xmlns:a16="http://schemas.microsoft.com/office/drawing/2014/main" id="{00BA71C8-0087-49C1-830F-4921F567C87A}"/>
            </a:ext>
            <a:ext uri="{147F2762-F138-4A5C-976F-8EAC2B608ADB}">
              <a16:predDERef xmlns:a16="http://schemas.microsoft.com/office/drawing/2014/main" pred="{6E892F1E-2AD2-4DA1-A050-D5F00352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2329" y="5001296"/>
          <a:ext cx="3470384" cy="2550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530349</xdr:colOff>
      <xdr:row>10</xdr:row>
      <xdr:rowOff>47389</xdr:rowOff>
    </xdr:from>
    <xdr:to>
      <xdr:col>32</xdr:col>
      <xdr:colOff>222817</xdr:colOff>
      <xdr:row>17</xdr:row>
      <xdr:rowOff>32657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3DE996-62CC-46BD-90FE-551716E1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283028</xdr:colOff>
      <xdr:row>9</xdr:row>
      <xdr:rowOff>144103</xdr:rowOff>
    </xdr:from>
    <xdr:to>
      <xdr:col>25</xdr:col>
      <xdr:colOff>240628</xdr:colOff>
      <xdr:row>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2F4E0D-ECD4-43D9-9D5E-8B362F36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27</xdr:row>
      <xdr:rowOff>20697</xdr:rowOff>
    </xdr:from>
    <xdr:to>
      <xdr:col>24</xdr:col>
      <xdr:colOff>131705</xdr:colOff>
      <xdr:row>42</xdr:row>
      <xdr:rowOff>73378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F222F2-188D-4012-8184-556830C2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295131</xdr:colOff>
      <xdr:row>24</xdr:row>
      <xdr:rowOff>20484</xdr:rowOff>
    </xdr:from>
    <xdr:to>
      <xdr:col>26</xdr:col>
      <xdr:colOff>93046</xdr:colOff>
      <xdr:row>47</xdr:row>
      <xdr:rowOff>118268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607C18AE-91A3-4C0B-873D-9F780E911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3685" y="3830484"/>
          <a:ext cx="9584790" cy="4364523"/>
        </a:xfrm>
        <a:prstGeom prst="rect">
          <a:avLst/>
        </a:prstGeom>
      </xdr:spPr>
    </xdr:pic>
    <xdr:clientData/>
  </xdr:twoCellAnchor>
  <xdr:twoCellAnchor>
    <xdr:from>
      <xdr:col>28</xdr:col>
      <xdr:colOff>3621</xdr:colOff>
      <xdr:row>14</xdr:row>
      <xdr:rowOff>188200</xdr:rowOff>
    </xdr:from>
    <xdr:to>
      <xdr:col>38</xdr:col>
      <xdr:colOff>102870</xdr:colOff>
      <xdr:row>28</xdr:row>
      <xdr:rowOff>119522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620959F-2A3E-4229-9B25-26D9469DD66F}"/>
            </a:ext>
            <a:ext uri="{147F2762-F138-4A5C-976F-8EAC2B608ADB}">
              <a16:predDERef xmlns:a16="http://schemas.microsoft.com/office/drawing/2014/main" pred="{607C18AE-91A3-4C0B-873D-9F780E91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578804</xdr:colOff>
      <xdr:row>3</xdr:row>
      <xdr:rowOff>76338</xdr:rowOff>
    </xdr:from>
    <xdr:to>
      <xdr:col>36</xdr:col>
      <xdr:colOff>278274</xdr:colOff>
      <xdr:row>12</xdr:row>
      <xdr:rowOff>178393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C2EE-6881-41A9-8C1D-6E7571C2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73476</xdr:colOff>
      <xdr:row>50</xdr:row>
      <xdr:rowOff>72814</xdr:rowOff>
    </xdr:from>
    <xdr:to>
      <xdr:col>28</xdr:col>
      <xdr:colOff>78326</xdr:colOff>
      <xdr:row>70</xdr:row>
      <xdr:rowOff>67150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7EC00-F573-4E4E-ABBC-96B76165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564371</xdr:colOff>
      <xdr:row>30</xdr:row>
      <xdr:rowOff>119138</xdr:rowOff>
    </xdr:from>
    <xdr:to>
      <xdr:col>34</xdr:col>
      <xdr:colOff>187378</xdr:colOff>
      <xdr:row>45</xdr:row>
      <xdr:rowOff>85855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9EF20-CDCC-4007-8F57-8B04C51E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285142</xdr:colOff>
      <xdr:row>30</xdr:row>
      <xdr:rowOff>76200</xdr:rowOff>
    </xdr:from>
    <xdr:to>
      <xdr:col>41</xdr:col>
      <xdr:colOff>587105</xdr:colOff>
      <xdr:row>45</xdr:row>
      <xdr:rowOff>74376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FE3AE-35EE-47AE-A03A-86378080A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25737</xdr:colOff>
      <xdr:row>48</xdr:row>
      <xdr:rowOff>59987</xdr:rowOff>
    </xdr:from>
    <xdr:to>
      <xdr:col>35</xdr:col>
      <xdr:colOff>295275</xdr:colOff>
      <xdr:row>67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BBD3B0-26E9-49D4-9226-294A3139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556706</xdr:colOff>
      <xdr:row>49</xdr:row>
      <xdr:rowOff>34249</xdr:rowOff>
    </xdr:from>
    <xdr:to>
      <xdr:col>44</xdr:col>
      <xdr:colOff>216035</xdr:colOff>
      <xdr:row>68</xdr:row>
      <xdr:rowOff>58163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5C123F-5414-4CA6-844B-E0FFFFC3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542514</xdr:colOff>
      <xdr:row>47</xdr:row>
      <xdr:rowOff>122813</xdr:rowOff>
    </xdr:from>
    <xdr:to>
      <xdr:col>22</xdr:col>
      <xdr:colOff>464129</xdr:colOff>
      <xdr:row>53</xdr:row>
      <xdr:rowOff>15756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8E1C85-6F60-4BD1-BD2A-4660AC8A6097}"/>
            </a:ext>
          </a:extLst>
        </xdr:cNvPr>
        <xdr:cNvSpPr txBox="1"/>
      </xdr:nvSpPr>
      <xdr:spPr>
        <a:xfrm>
          <a:off x="13290774" y="8017133"/>
          <a:ext cx="3068675" cy="990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construction of our production capacity expansion in Singapore, which will bring the total global renewable product capacity to 4.5 million tons annually in 2023, is proceeding well.-&gt; an</a:t>
          </a:r>
          <a:r>
            <a:rPr lang="en-US" baseline="0"/>
            <a:t> increasement in renewable products, thus, depre will increase</a:t>
          </a:r>
          <a:endParaRPr lang="en-US" sz="1100"/>
        </a:p>
      </xdr:txBody>
    </xdr:sp>
    <xdr:clientData/>
  </xdr:twoCellAnchor>
  <xdr:twoCellAnchor>
    <xdr:from>
      <xdr:col>15</xdr:col>
      <xdr:colOff>216795</xdr:colOff>
      <xdr:row>38</xdr:row>
      <xdr:rowOff>173652</xdr:rowOff>
    </xdr:from>
    <xdr:to>
      <xdr:col>21</xdr:col>
      <xdr:colOff>462399</xdr:colOff>
      <xdr:row>44</xdr:row>
      <xdr:rowOff>64073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C85ECC-3B0C-449E-9FC1-336CADF02FB7}"/>
            </a:ext>
          </a:extLst>
        </xdr:cNvPr>
        <xdr:cNvSpPr txBox="1"/>
      </xdr:nvSpPr>
      <xdr:spPr>
        <a:xfrm>
          <a:off x="11322540" y="6845205"/>
          <a:ext cx="4501455" cy="1017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2021.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Financial reporting in the oil and gas industry International Financial Reporting Standards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[online] Available at: &lt;https://www.pwc.com/gx/en/services/audit-assurance/assets/pwc-financial-reporting-in-the-oil-and-gas-industry-2017.pdf&gt; [Accessed 2 April 2021].</a:t>
          </a:r>
          <a:r>
            <a:rPr lang="en-US" sz="1100"/>
            <a:t>( for the</a:t>
          </a:r>
          <a:r>
            <a:rPr lang="en-US" sz="1100" baseline="0"/>
            <a:t> report citation)</a:t>
          </a:r>
        </a:p>
        <a:p>
          <a:r>
            <a:rPr lang="en-US" sz="1100" baseline="0"/>
            <a:t>-&gt; How to depreciate oil </a:t>
          </a:r>
          <a:endParaRPr lang="en-US" sz="1100"/>
        </a:p>
      </xdr:txBody>
    </xdr:sp>
    <xdr:clientData/>
  </xdr:twoCellAnchor>
  <xdr:twoCellAnchor>
    <xdr:from>
      <xdr:col>37</xdr:col>
      <xdr:colOff>48395</xdr:colOff>
      <xdr:row>0</xdr:row>
      <xdr:rowOff>423549</xdr:rowOff>
    </xdr:from>
    <xdr:to>
      <xdr:col>46</xdr:col>
      <xdr:colOff>352937</xdr:colOff>
      <xdr:row>22</xdr:row>
      <xdr:rowOff>113424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9AAD8-F57C-4F17-B51B-DAD72936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107521</xdr:colOff>
      <xdr:row>2</xdr:row>
      <xdr:rowOff>91726</xdr:rowOff>
    </xdr:from>
    <xdr:to>
      <xdr:col>22</xdr:col>
      <xdr:colOff>335966</xdr:colOff>
      <xdr:row>17</xdr:row>
      <xdr:rowOff>86074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FE672CF2-BB9B-4AEE-9FB0-21A79DAC100A}"/>
            </a:ext>
            <a:ext uri="{147F2762-F138-4A5C-976F-8EAC2B608ADB}">
              <a16:predDERef xmlns:a16="http://schemas.microsoft.com/office/drawing/2014/main" pred="{C5F9AAD8-F57C-4F17-B51B-DAD72936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274177</xdr:colOff>
      <xdr:row>3</xdr:row>
      <xdr:rowOff>109671</xdr:rowOff>
    </xdr:from>
    <xdr:to>
      <xdr:col>9</xdr:col>
      <xdr:colOff>494944</xdr:colOff>
      <xdr:row>17</xdr:row>
      <xdr:rowOff>103974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22B86-D36C-453D-BEDF-FC8DA0C2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171450</xdr:colOff>
      <xdr:row>254</xdr:row>
      <xdr:rowOff>78724</xdr:rowOff>
    </xdr:from>
    <xdr:to>
      <xdr:col>32</xdr:col>
      <xdr:colOff>273369</xdr:colOff>
      <xdr:row>273</xdr:row>
      <xdr:rowOff>891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B27ECE5-6864-4437-ADAF-3EA7C6DAB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4650" y="46722649"/>
          <a:ext cx="7691438" cy="3502368"/>
        </a:xfrm>
        <a:prstGeom prst="rect">
          <a:avLst/>
        </a:prstGeom>
      </xdr:spPr>
    </xdr:pic>
    <xdr:clientData/>
  </xdr:twoCellAnchor>
  <xdr:twoCellAnchor editAs="oneCell">
    <xdr:from>
      <xdr:col>19</xdr:col>
      <xdr:colOff>613832</xdr:colOff>
      <xdr:row>312</xdr:row>
      <xdr:rowOff>178519</xdr:rowOff>
    </xdr:from>
    <xdr:to>
      <xdr:col>29</xdr:col>
      <xdr:colOff>211666</xdr:colOff>
      <xdr:row>332</xdr:row>
      <xdr:rowOff>121623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21BC7A-822B-429F-A7C2-FADE804E9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249" y="59297019"/>
          <a:ext cx="7101417" cy="3541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335</xdr:row>
      <xdr:rowOff>0</xdr:rowOff>
    </xdr:from>
    <xdr:to>
      <xdr:col>25</xdr:col>
      <xdr:colOff>545594</xdr:colOff>
      <xdr:row>350</xdr:row>
      <xdr:rowOff>34585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96EFFD-17AE-491E-B24C-A51F36484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3833" y="63256583"/>
          <a:ext cx="4038095" cy="27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542514</xdr:colOff>
      <xdr:row>42</xdr:row>
      <xdr:rowOff>122813</xdr:rowOff>
    </xdr:from>
    <xdr:to>
      <xdr:col>22</xdr:col>
      <xdr:colOff>464129</xdr:colOff>
      <xdr:row>48</xdr:row>
      <xdr:rowOff>15756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408D83-7D74-4C53-B333-D1B77ADB1FFB}"/>
            </a:ext>
          </a:extLst>
        </xdr:cNvPr>
        <xdr:cNvSpPr txBox="1"/>
      </xdr:nvSpPr>
      <xdr:spPr>
        <a:xfrm>
          <a:off x="13374918" y="7880622"/>
          <a:ext cx="3050679" cy="10116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construction of our production capacity expansion in Singapore, which will bring the total global renewable product capacity to 4.5 million tons annually in 2023, is proceeding well.-&gt; an</a:t>
          </a:r>
          <a:r>
            <a:rPr lang="en-US" baseline="0"/>
            <a:t> increasement in renewable products, thus, depre will increase</a:t>
          </a:r>
          <a:endParaRPr lang="en-US" sz="1100"/>
        </a:p>
      </xdr:txBody>
    </xdr:sp>
    <xdr:clientData/>
  </xdr:twoCellAnchor>
  <xdr:twoCellAnchor>
    <xdr:from>
      <xdr:col>19</xdr:col>
      <xdr:colOff>233008</xdr:colOff>
      <xdr:row>34</xdr:row>
      <xdr:rowOff>157439</xdr:rowOff>
    </xdr:from>
    <xdr:to>
      <xdr:col>26</xdr:col>
      <xdr:colOff>478612</xdr:colOff>
      <xdr:row>40</xdr:row>
      <xdr:rowOff>55966</xdr:rowOff>
    </xdr:to>
    <xdr:sp macro="" textlink="">
      <xdr:nvSpPr>
        <xdr:cNvPr id="217" name="TextBox 2">
          <a:extLst>
            <a:ext uri="{FF2B5EF4-FFF2-40B4-BE49-F238E27FC236}">
              <a16:creationId xmlns:a16="http://schemas.microsoft.com/office/drawing/2014/main" id="{921900BC-BE30-462B-B9EF-DECB535AAE32}"/>
            </a:ext>
          </a:extLst>
        </xdr:cNvPr>
        <xdr:cNvSpPr txBox="1"/>
      </xdr:nvSpPr>
      <xdr:spPr>
        <a:xfrm>
          <a:off x="12562771" y="5891812"/>
          <a:ext cx="4524858" cy="1155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2021.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Financial reporting in the oil and gas industry International Financial Reporting Standards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[online] Available at: &lt;https://www.pwc.com/gx/en/services/audit-assurance/assets/pwc-financial-reporting-in-the-oil-and-gas-industry-2017.pdf&gt; [Accessed 2 April 2021].</a:t>
          </a:r>
          <a:r>
            <a:rPr lang="en-US" sz="1100"/>
            <a:t>( for the</a:t>
          </a:r>
          <a:r>
            <a:rPr lang="en-US" sz="1100" baseline="0"/>
            <a:t> report citation)</a:t>
          </a:r>
        </a:p>
        <a:p>
          <a:r>
            <a:rPr lang="en-US" sz="1100" baseline="0"/>
            <a:t>-&gt; How to depreciate oil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ng Jiaqi" id="{F6443199-9DE4-42A8-A672-237B910D1C41}" userId="Yang Jiaqi" providerId="None"/>
  <person displayName="Ma Xijie" id="{7CFFCBBE-8105-4018-B331-DA82A9C9DF4E}" userId="S::xijie.ma@aalto.fi::f0798b27-249f-4fa0-a00f-a770499d517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90E4E-3D44-4576-9D7D-64B52B881349}" name="Table1" displayName="Table1" ref="A2:E12" totalsRowShown="0">
  <autoFilter ref="A2:E12" xr:uid="{2251BD26-98B4-4A8D-90A0-18CD6A1237A1}"/>
  <sortState xmlns:xlrd2="http://schemas.microsoft.com/office/spreadsheetml/2017/richdata2" ref="A3:B12">
    <sortCondition descending="1" ref="A2:A12"/>
  </sortState>
  <tableColumns count="5">
    <tableColumn id="1" xr3:uid="{6CE19C01-406C-4F7A-BEE5-D1318E36BEA8}" name="Date" dataDxfId="7"/>
    <tableColumn id="2" xr3:uid="{21E45099-C62C-4110-9B3F-B836657F5F65}" name="Dividends"/>
    <tableColumn id="4" xr3:uid="{D327FC55-317A-4281-917B-2465EA7C089F}" name="total" dataDxfId="6">
      <calculatedColumnFormula>SUM(B3:B6)</calculatedColumnFormula>
    </tableColumn>
    <tableColumn id="3" xr3:uid="{20A073A9-6269-4A54-97C2-09ABF65D14EE}" name="growth rate of dividends" dataDxfId="5">
      <calculatedColumnFormula>(C3-C7)/C7</calculatedColumnFormula>
    </tableColumn>
    <tableColumn id="5" xr3:uid="{108E4F7F-616D-4B6F-A658-7D3690F71F14}" name="avg" dataDxfId="4">
      <calculatedColumnFormula>(D3+D7+D9)/3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5AF47-8F92-428B-96CC-FC7D013C309A}" name="Table2" displayName="Table2" ref="A19:B20" totalsRowShown="0">
  <autoFilter ref="A19:B20" xr:uid="{149664E4-1BEB-4D3B-AB9D-9E0BAAC7FD21}"/>
  <tableColumns count="2">
    <tableColumn id="1" xr3:uid="{A788924A-EF92-4265-B85A-6C12292A3FD3}" name="Date" dataDxfId="3"/>
    <tableColumn id="2" xr3:uid="{22782443-5230-4F25-8C00-47779FE6A809}" name="Stock Splits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CB9397-262F-48C7-A6FE-F9CECB8F3FF3}" name="Table3" displayName="Table3" ref="G3:K9" totalsRowShown="0">
  <autoFilter ref="G3:K9" xr:uid="{D5F16003-BFEE-45C2-973B-DD8A6FE49A7D}"/>
  <tableColumns count="5">
    <tableColumn id="1" xr3:uid="{0DF08CBA-64A9-40E7-88F7-9EADA784A402}" name="Year"/>
    <tableColumn id="2" xr3:uid="{D6F8A8F7-7774-4687-8B24-71DAC0D85F7B}" name="Dividend per share"/>
    <tableColumn id="3" xr3:uid="{5FF560DA-499A-4CF5-A2CD-5CA32D8ADF6F}" name="% growth"/>
    <tableColumn id="4" xr3:uid="{8D01D28B-05BA-41DD-8944-0DF03A6D472A}" name="Column1" dataDxfId="1"/>
    <tableColumn id="5" xr3:uid="{BC14902D-149C-451C-8EB3-AA8DA7DA404C}" name="av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4" dT="2021-04-04T12:10:12.40" personId="{7CFFCBBE-8105-4018-B331-DA82A9C9DF4E}" id="{8FB79C63-F8A1-4AC2-85A5-11F8535B901F}">
    <text>=Comperable operating profits - total financial income and expense- income tax expenses - non-controlling interest - tax on items affecting comparability</text>
  </threadedComment>
  <threadedComment ref="M5" dT="2021-04-04T08:48:21.69" personId="{7CFFCBBE-8105-4018-B331-DA82A9C9DF4E}" id="{B7003118-D174-40D5-B50C-AAF73009B352}">
    <text>NESTE.HE 46.39 1.13 2.50% : Neste Oyj - Yahoo Finance</text>
  </threadedComment>
  <threadedComment ref="M6" dT="2021-04-04T08:49:31.71" personId="{7CFFCBBE-8105-4018-B331-DA82A9C9DF4E}" id="{0FDCC57D-9C5E-41B8-B4ED-946251049B70}">
    <text>Finland Stock market return - data, chart | TheGlobalEconomy.com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4" dT="2021-04-04T08:48:21.69" personId="{7CFFCBBE-8105-4018-B331-DA82A9C9DF4E}" id="{4AA7E1A4-83A9-44E3-8C24-577AAA08A69A}">
    <text>NESTE.HE 46.39 1.13 2.50% : Neste Oyj - Yahoo Finance</text>
  </threadedComment>
  <threadedComment ref="AD5" dT="2021-04-04T08:49:31.71" personId="{7CFFCBBE-8105-4018-B331-DA82A9C9DF4E}" id="{0A1106DE-AF4A-4157-B70E-192204850C48}">
    <text>Finland Stock market return - data, chart | TheGlobalEconomy.com</text>
  </threadedComment>
  <threadedComment ref="D70" dT="2021-04-04T08:48:21.69" personId="{7CFFCBBE-8105-4018-B331-DA82A9C9DF4E}" id="{046E5A76-979C-4FBB-971C-D7D570E269B5}">
    <text>NESTE.HE 46.39 1.13 2.50% : Neste Oyj - Yahoo Finance</text>
  </threadedComment>
  <threadedComment ref="D71" dT="2021-04-04T08:49:31.71" personId="{7CFFCBBE-8105-4018-B331-DA82A9C9DF4E}" id="{1D3CC82D-253E-4A7B-B942-BEBA28E0469A}">
    <text>Finland Stock market return - data, chart | TheGlobalEconomy.com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7" dT="2021-04-02T09:04:36.29" personId="{7CFFCBBE-8105-4018-B331-DA82A9C9DF4E}" id="{641E67CB-379C-4A2B-92EE-8BACD16241CE}">
    <text>Operating leases and property costs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8" dT="2021-04-03T11:52:00.02" personId="{7CFFCBBE-8105-4018-B331-DA82A9C9DF4E}" id="{86C5471D-EA2E-4D3C-84E8-F03BDBAAF7C2}">
    <text>Neste’s shares are mainly traded on NASDAQ Helsinki Ltd; As of 31 December 2020, the State of Finland owned directly 35.9% (36.0% at the end of 2019) of outstanding shares, 
foreign institutions 40.2% (38.1%), Finnish institutions 16.4% (18.2%), and households 7.5% (7.8%).</text>
  </threadedComment>
  <threadedComment ref="A148" dT="2021-04-03T10:29:39.25" personId="{7CFFCBBE-8105-4018-B331-DA82A9C9DF4E}" id="{3B2280C7-C412-4C46-A8E9-2D808B8D4E47}">
    <text>revenue from non-normal operating activities :gain on sales of subsidaires, insurance compensation, income</text>
  </threadedComment>
  <threadedComment ref="A177" dT="2021-04-03T07:27:02.96" personId="{7CFFCBBE-8105-4018-B331-DA82A9C9DF4E}" id="{50A4A3E8-737B-4D15-939F-F64C522AD4D9}">
    <text xml:space="preserve">financial instrument at amortized costs  and fair value gain/loss
</text>
  </threadedComment>
  <threadedComment ref="A198" dT="2021-04-03T10:55:36.45" personId="{7CFFCBBE-8105-4018-B331-DA82A9C9DF4E}" id="{64A77778-D1A5-49AF-9470-6CF9ED70942A}">
    <text xml:space="preserve">Navidom OY and Neste Demeter BV
</text>
  </threadedComment>
  <threadedComment ref="A277" dT="2021-04-03T13:03:29.78" personId="{7CFFCBBE-8105-4018-B331-DA82A9C9DF4E}" id="{AA6B2EBF-F147-419F-88D7-B5F05997B7D4}">
    <text>profit/loss in joint ventures + depreciation/ amotization +other non-cash income/loss + profit/ loss from disposal of fixed income</text>
  </threadedComment>
  <threadedComment ref="A280" dT="2021-04-03T13:04:42.43" personId="{7CFFCBBE-8105-4018-B331-DA82A9C9DF4E}" id="{F2C89254-0FCA-40F4-83DA-1131FF9AFE8E}">
    <text>interest cost from short/long term borrowing</text>
  </threadedComment>
  <threadedComment ref="W287" dT="2021-04-03T07:27:02.96" personId="{7CFFCBBE-8105-4018-B331-DA82A9C9DF4E}" id="{B41CFFCA-E586-457A-9C65-C10AB1E34DB4}">
    <text xml:space="preserve">financial instrument at amortized costs  and fair value gain/loss
</text>
  </threadedComment>
  <threadedComment ref="O290" dT="2021-04-04T12:43:24.36" personId="{F6443199-9DE4-42A8-A672-237B910D1C41}" id="{0A284A2E-BFF4-4A2F-94C3-16CD3CFD04D1}">
    <text>so they havae 10 m&amp;a on going and some other projects, so should be positive
(?)</text>
  </threadedComment>
  <threadedComment ref="A381" dT="2021-04-03T13:03:29.78" personId="{7CFFCBBE-8105-4018-B331-DA82A9C9DF4E}" id="{7160928E-B9E0-4C3F-8081-1C52D7BA0142}">
    <text>profit/loss in joint ventures + depreciation/ amotization +other non-cash income/loss + profit/ loss from disposal of fixed income</text>
  </threadedComment>
  <threadedComment ref="A384" dT="2021-04-03T13:04:42.43" personId="{7CFFCBBE-8105-4018-B331-DA82A9C9DF4E}" id="{723290D1-82FC-446A-AE48-4BAAE1855C3C}">
    <text>interest cost from short/long term borrowing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60" dT="2021-04-02T09:04:36.29" personId="{7CFFCBBE-8105-4018-B331-DA82A9C9DF4E}" id="{A602F96C-5B94-4C38-A493-31F034786212}">
    <text>Operating leases and property costs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.yahoo.com/quote/NESTE.HE/balance-sheet/" TargetMode="External"/><Relationship Id="rId1" Type="http://schemas.openxmlformats.org/officeDocument/2006/relationships/hyperlink" Target="https://www.neste.com/investors/financials/interim-report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6C19-35EA-49C7-9811-E3C45131965A}">
  <dimension ref="A1:L78"/>
  <sheetViews>
    <sheetView workbookViewId="0">
      <selection activeCell="A2" sqref="A1:A1048576"/>
    </sheetView>
  </sheetViews>
  <sheetFormatPr defaultRowHeight="14.4" x14ac:dyDescent="0.3"/>
  <cols>
    <col min="1" max="1" width="38.5546875" customWidth="1"/>
  </cols>
  <sheetData>
    <row r="1" spans="1:4" x14ac:dyDescent="0.3">
      <c r="A1" s="1238"/>
      <c r="B1" s="1238"/>
      <c r="C1" s="1238"/>
      <c r="D1" s="1238"/>
    </row>
    <row r="2" spans="1:4" x14ac:dyDescent="0.3">
      <c r="A2" s="1206"/>
      <c r="B2" s="1207"/>
      <c r="C2" s="1207"/>
      <c r="D2" s="1207"/>
    </row>
    <row r="3" spans="1:4" x14ac:dyDescent="0.3">
      <c r="A3" s="1208"/>
      <c r="B3" s="1209"/>
      <c r="C3" s="1209"/>
      <c r="D3" s="1209"/>
    </row>
    <row r="4" spans="1:4" x14ac:dyDescent="0.3">
      <c r="A4" s="1210"/>
      <c r="B4" s="1211"/>
      <c r="C4" s="1211"/>
      <c r="D4" s="1211"/>
    </row>
    <row r="5" spans="1:4" x14ac:dyDescent="0.3">
      <c r="A5" s="1208"/>
      <c r="B5" s="1209"/>
      <c r="C5" s="1209"/>
      <c r="D5" s="1209"/>
    </row>
    <row r="6" spans="1:4" x14ac:dyDescent="0.3">
      <c r="A6" s="1210"/>
      <c r="B6" s="1212"/>
      <c r="C6" s="1212"/>
      <c r="D6" s="1212"/>
    </row>
    <row r="7" spans="1:4" x14ac:dyDescent="0.3">
      <c r="A7" s="1210"/>
      <c r="B7" s="1212"/>
      <c r="C7" s="1212"/>
      <c r="D7" s="1212"/>
    </row>
    <row r="8" spans="1:4" x14ac:dyDescent="0.3">
      <c r="A8" s="1210"/>
      <c r="B8" s="1212"/>
      <c r="C8" s="1212"/>
      <c r="D8" s="1212"/>
    </row>
    <row r="9" spans="1:4" x14ac:dyDescent="0.3">
      <c r="A9" s="1210"/>
      <c r="B9" s="1212"/>
      <c r="C9" s="1212"/>
      <c r="D9" s="1212"/>
    </row>
    <row r="10" spans="1:4" x14ac:dyDescent="0.3">
      <c r="A10" s="1208"/>
      <c r="B10" s="1209"/>
      <c r="C10" s="1209"/>
      <c r="D10" s="1209"/>
    </row>
    <row r="11" spans="1:4" x14ac:dyDescent="0.3">
      <c r="A11" s="1210"/>
      <c r="B11" s="1212"/>
      <c r="C11" s="1212"/>
      <c r="D11" s="1212"/>
    </row>
    <row r="12" spans="1:4" x14ac:dyDescent="0.3">
      <c r="A12" s="1208"/>
      <c r="B12" s="1209"/>
      <c r="C12" s="1209"/>
      <c r="D12" s="1209"/>
    </row>
    <row r="13" spans="1:4" x14ac:dyDescent="0.3">
      <c r="A13" s="1210"/>
      <c r="B13" s="1212"/>
      <c r="C13" s="1212"/>
      <c r="D13" s="1212"/>
    </row>
    <row r="14" spans="1:4" x14ac:dyDescent="0.3">
      <c r="A14" s="1208"/>
      <c r="B14" s="1209"/>
      <c r="C14" s="1209"/>
      <c r="D14" s="1209"/>
    </row>
    <row r="15" spans="1:4" x14ac:dyDescent="0.3">
      <c r="A15" s="787"/>
      <c r="B15" s="1212"/>
      <c r="C15" s="1212"/>
      <c r="D15" s="1212"/>
    </row>
    <row r="16" spans="1:4" x14ac:dyDescent="0.3">
      <c r="A16" s="1210"/>
      <c r="B16" s="1212"/>
      <c r="C16" s="1212"/>
      <c r="D16" s="1212"/>
    </row>
    <row r="17" spans="1:12" x14ac:dyDescent="0.3">
      <c r="A17" s="425"/>
      <c r="B17" s="869"/>
      <c r="C17" s="869"/>
      <c r="D17" s="869"/>
    </row>
    <row r="18" spans="1:12" x14ac:dyDescent="0.3">
      <c r="A18" s="425"/>
      <c r="B18" s="869"/>
      <c r="C18" s="869"/>
      <c r="D18" s="869"/>
    </row>
    <row r="19" spans="1:12" x14ac:dyDescent="0.3">
      <c r="A19" s="425"/>
      <c r="B19" s="869"/>
      <c r="C19" s="869"/>
      <c r="D19" s="869"/>
    </row>
    <row r="20" spans="1:12" x14ac:dyDescent="0.3">
      <c r="A20" s="1239" t="s">
        <v>0</v>
      </c>
      <c r="B20" s="1239"/>
      <c r="C20" s="1239"/>
      <c r="D20" s="1239"/>
      <c r="F20" s="1240" t="s">
        <v>1</v>
      </c>
      <c r="G20" s="1240"/>
      <c r="H20" s="1241"/>
      <c r="J20" s="1240" t="s">
        <v>2</v>
      </c>
      <c r="K20" s="1240"/>
      <c r="L20" s="1241"/>
    </row>
    <row r="21" spans="1:12" x14ac:dyDescent="0.3">
      <c r="A21" s="1045"/>
      <c r="B21" s="863" t="s">
        <v>3</v>
      </c>
      <c r="C21" s="863" t="s">
        <v>4</v>
      </c>
      <c r="D21" s="863" t="s">
        <v>5</v>
      </c>
      <c r="F21" s="863" t="s">
        <v>3</v>
      </c>
      <c r="G21" s="863" t="s">
        <v>4</v>
      </c>
      <c r="H21" s="863" t="s">
        <v>5</v>
      </c>
      <c r="J21" s="863" t="s">
        <v>3</v>
      </c>
      <c r="K21" s="863" t="s">
        <v>4</v>
      </c>
      <c r="L21" s="863" t="s">
        <v>5</v>
      </c>
    </row>
    <row r="22" spans="1:12" x14ac:dyDescent="0.3">
      <c r="A22" t="s">
        <v>6</v>
      </c>
      <c r="B22" s="399">
        <v>14918</v>
      </c>
      <c r="C22" s="399">
        <v>15840</v>
      </c>
      <c r="D22" s="399">
        <v>11751</v>
      </c>
      <c r="F22" s="1047">
        <v>1</v>
      </c>
      <c r="G22" s="1047">
        <v>1</v>
      </c>
      <c r="H22" s="1047">
        <v>1</v>
      </c>
      <c r="I22" s="1047"/>
      <c r="J22" s="1047">
        <v>1</v>
      </c>
      <c r="K22" s="1047">
        <f>C22/B22</f>
        <v>1.0618045314385307</v>
      </c>
      <c r="L22" s="1047">
        <f>D22/B22</f>
        <v>0.78770612682665242</v>
      </c>
    </row>
    <row r="23" spans="1:12" x14ac:dyDescent="0.3">
      <c r="A23" s="873" t="s">
        <v>7</v>
      </c>
      <c r="B23" s="1048">
        <v>12462</v>
      </c>
      <c r="C23" s="873">
        <v>12238</v>
      </c>
      <c r="D23" s="873">
        <v>9253</v>
      </c>
      <c r="F23" s="1047">
        <f>B23/B22</f>
        <v>0.83536667113554097</v>
      </c>
      <c r="G23" s="1047">
        <f>C23/C22</f>
        <v>0.77260101010101012</v>
      </c>
      <c r="H23" s="1047">
        <f>D23/D22</f>
        <v>0.78742234703429492</v>
      </c>
      <c r="I23" s="1047"/>
      <c r="J23" s="1047">
        <v>1</v>
      </c>
      <c r="K23" s="1047">
        <f t="shared" ref="K23:K34" si="0">C23/B23</f>
        <v>0.98202535708554006</v>
      </c>
      <c r="L23" s="1047">
        <f t="shared" ref="L23:L34" si="1">D23/B23</f>
        <v>0.74249719146204463</v>
      </c>
    </row>
    <row r="24" spans="1:12" x14ac:dyDescent="0.3">
      <c r="A24" t="s">
        <v>8</v>
      </c>
      <c r="B24" s="399">
        <v>2456</v>
      </c>
      <c r="C24" s="399">
        <v>3602</v>
      </c>
      <c r="D24">
        <v>2498</v>
      </c>
      <c r="F24" s="1049">
        <f>B24/B22</f>
        <v>0.16463332886445906</v>
      </c>
      <c r="G24" s="1049">
        <f>C24/C22</f>
        <v>0.22739898989898991</v>
      </c>
      <c r="H24" s="1049">
        <f>D24/D22</f>
        <v>0.21257765296570505</v>
      </c>
      <c r="I24" s="1047"/>
      <c r="J24" s="1049">
        <v>1</v>
      </c>
      <c r="K24" s="1049">
        <f t="shared" si="0"/>
        <v>1.466612377850163</v>
      </c>
      <c r="L24" s="1049">
        <f t="shared" si="1"/>
        <v>1.017100977198697</v>
      </c>
    </row>
    <row r="25" spans="1:12" x14ac:dyDescent="0.3">
      <c r="A25" t="s">
        <v>9</v>
      </c>
      <c r="B25">
        <v>17</v>
      </c>
      <c r="C25">
        <v>50</v>
      </c>
      <c r="D25">
        <v>17</v>
      </c>
      <c r="F25" s="1047">
        <f>B25/B22</f>
        <v>1.1395629440943825E-3</v>
      </c>
      <c r="G25" s="1047">
        <f>C25/C22</f>
        <v>3.1565656565656565E-3</v>
      </c>
      <c r="H25" s="1047">
        <f>D25/D22</f>
        <v>1.4466853884775764E-3</v>
      </c>
      <c r="I25" s="1047"/>
      <c r="J25" s="1047">
        <v>1</v>
      </c>
      <c r="K25" s="1047">
        <f t="shared" si="0"/>
        <v>2.9411764705882355</v>
      </c>
      <c r="L25" s="1047">
        <f t="shared" si="1"/>
        <v>1</v>
      </c>
    </row>
    <row r="26" spans="1:12" x14ac:dyDescent="0.3">
      <c r="A26" t="s">
        <v>10</v>
      </c>
      <c r="B26">
        <v>9</v>
      </c>
      <c r="C26">
        <v>52</v>
      </c>
      <c r="D26">
        <v>38</v>
      </c>
      <c r="F26" s="1047">
        <f>B26/B22</f>
        <v>6.0329802922643784E-4</v>
      </c>
      <c r="G26" s="1047">
        <f>C26/C22</f>
        <v>3.2828282828282827E-3</v>
      </c>
      <c r="H26" s="1047">
        <f>D26/D22</f>
        <v>3.2337673389498767E-3</v>
      </c>
      <c r="I26" s="1047"/>
      <c r="J26" s="1047">
        <v>1</v>
      </c>
      <c r="K26" s="1047">
        <f t="shared" si="0"/>
        <v>5.7777777777777777</v>
      </c>
      <c r="L26" s="1047">
        <f t="shared" si="1"/>
        <v>4.2222222222222223</v>
      </c>
    </row>
    <row r="27" spans="1:12" x14ac:dyDescent="0.3">
      <c r="A27" t="s">
        <v>11</v>
      </c>
      <c r="B27">
        <v>400</v>
      </c>
      <c r="C27">
        <v>395</v>
      </c>
      <c r="D27">
        <v>431</v>
      </c>
      <c r="F27" s="1047">
        <f>B27/B22</f>
        <v>2.6813245743397239E-2</v>
      </c>
      <c r="G27" s="1047">
        <f>C27/C22</f>
        <v>2.4936868686868688E-2</v>
      </c>
      <c r="H27" s="1047">
        <f>D27/D22</f>
        <v>3.6677729554931496E-2</v>
      </c>
      <c r="I27" s="1047"/>
      <c r="J27" s="1047">
        <v>1</v>
      </c>
      <c r="K27" s="1047">
        <f t="shared" si="0"/>
        <v>0.98750000000000004</v>
      </c>
      <c r="L27" s="1047">
        <f t="shared" si="1"/>
        <v>1.0774999999999999</v>
      </c>
    </row>
    <row r="28" spans="1:12" x14ac:dyDescent="0.3">
      <c r="A28" t="s">
        <v>12</v>
      </c>
      <c r="B28">
        <v>614</v>
      </c>
      <c r="C28">
        <v>502</v>
      </c>
      <c r="D28">
        <v>680</v>
      </c>
      <c r="F28" s="1047">
        <f>B28/B22</f>
        <v>4.1158332216114764E-2</v>
      </c>
      <c r="G28" s="1047">
        <f>C28/C22</f>
        <v>3.1691919191919195E-2</v>
      </c>
      <c r="H28" s="1047">
        <f>D28/D22</f>
        <v>5.7867415539103052E-2</v>
      </c>
      <c r="I28" s="1047"/>
      <c r="J28" s="1047">
        <v>1</v>
      </c>
      <c r="K28" s="1047">
        <f t="shared" si="0"/>
        <v>0.8175895765472313</v>
      </c>
      <c r="L28" s="1047">
        <f t="shared" si="1"/>
        <v>1.1074918566775245</v>
      </c>
    </row>
    <row r="29" spans="1:12" x14ac:dyDescent="0.3">
      <c r="A29" t="s">
        <v>13</v>
      </c>
      <c r="B29">
        <v>429</v>
      </c>
      <c r="C29">
        <v>474</v>
      </c>
      <c r="D29">
        <v>538</v>
      </c>
      <c r="F29" s="1047">
        <f>B29/B22</f>
        <v>2.8757206059793539E-2</v>
      </c>
      <c r="G29" s="1047">
        <f>C29/C22</f>
        <v>2.9924242424242423E-2</v>
      </c>
      <c r="H29" s="1047">
        <f>D29/D22</f>
        <v>4.5783337588290361E-2</v>
      </c>
      <c r="I29" s="1047"/>
      <c r="J29" s="1047">
        <v>1</v>
      </c>
      <c r="K29" s="1047">
        <f t="shared" si="0"/>
        <v>1.1048951048951048</v>
      </c>
      <c r="L29" s="1047">
        <f t="shared" si="1"/>
        <v>1.254079254079254</v>
      </c>
    </row>
    <row r="30" spans="1:12" x14ac:dyDescent="0.3">
      <c r="A30" s="1050" t="s">
        <v>14</v>
      </c>
      <c r="B30" s="1051">
        <v>1022</v>
      </c>
      <c r="C30" s="1051">
        <v>2229</v>
      </c>
      <c r="D30" s="1050">
        <v>828</v>
      </c>
      <c r="F30" s="1049">
        <f>B30/B22</f>
        <v>6.8507842874379943E-2</v>
      </c>
      <c r="G30" s="1049">
        <f>C30/C22</f>
        <v>0.14071969696969697</v>
      </c>
      <c r="H30" s="1049">
        <f>D30/D22</f>
        <v>7.0462088332907832E-2</v>
      </c>
      <c r="I30" s="1047"/>
      <c r="J30" s="1049">
        <v>1</v>
      </c>
      <c r="K30" s="1049">
        <f t="shared" si="0"/>
        <v>2.181017612524462</v>
      </c>
      <c r="L30" s="1049">
        <f t="shared" si="1"/>
        <v>0.81017612524461835</v>
      </c>
    </row>
    <row r="31" spans="1:12" x14ac:dyDescent="0.3">
      <c r="A31" t="s">
        <v>15</v>
      </c>
      <c r="B31">
        <v>75</v>
      </c>
      <c r="C31">
        <v>163</v>
      </c>
      <c r="D31">
        <v>41</v>
      </c>
      <c r="F31" s="1047">
        <f>B31/B22</f>
        <v>5.0274835768869819E-3</v>
      </c>
      <c r="G31" s="1047">
        <f>C31/C22</f>
        <v>1.0290404040404041E-2</v>
      </c>
      <c r="H31" s="1047">
        <f>D31/D22</f>
        <v>3.4890647604459194E-3</v>
      </c>
      <c r="I31" s="1047"/>
      <c r="J31" s="1047">
        <v>1</v>
      </c>
      <c r="K31" s="1047">
        <f t="shared" si="0"/>
        <v>2.1733333333333333</v>
      </c>
      <c r="L31" s="1047">
        <f t="shared" si="1"/>
        <v>0.54666666666666663</v>
      </c>
    </row>
    <row r="32" spans="1:12" x14ac:dyDescent="0.3">
      <c r="A32" s="1050" t="s">
        <v>16</v>
      </c>
      <c r="B32" s="1050">
        <v>947</v>
      </c>
      <c r="C32" s="1051">
        <v>2067</v>
      </c>
      <c r="D32" s="1050">
        <v>786</v>
      </c>
      <c r="F32" s="1049">
        <f>B32/B22</f>
        <v>6.3480359297492961E-2</v>
      </c>
      <c r="G32" s="1049">
        <f>C32/C22</f>
        <v>0.13049242424242424</v>
      </c>
      <c r="H32" s="1049">
        <f>D32/D22</f>
        <v>6.688792443196323E-2</v>
      </c>
      <c r="I32" s="1047"/>
      <c r="J32" s="1049">
        <v>1</v>
      </c>
      <c r="K32" s="1049">
        <f t="shared" si="0"/>
        <v>2.1826821541710664</v>
      </c>
      <c r="L32" s="1049">
        <f t="shared" si="1"/>
        <v>0.82998944033790922</v>
      </c>
    </row>
    <row r="33" spans="1:12" x14ac:dyDescent="0.3">
      <c r="A33" t="s">
        <v>17</v>
      </c>
      <c r="B33">
        <v>172</v>
      </c>
      <c r="C33">
        <v>278</v>
      </c>
      <c r="D33">
        <v>72</v>
      </c>
      <c r="F33" s="1047">
        <f>B33/B22</f>
        <v>1.1529695669660812E-2</v>
      </c>
      <c r="G33" s="1047">
        <f>C33/C22</f>
        <v>1.7550505050505049E-2</v>
      </c>
      <c r="H33" s="1047">
        <f>D33/D22</f>
        <v>6.1271381159050294E-3</v>
      </c>
      <c r="I33" s="1047"/>
      <c r="J33" s="1047">
        <v>1</v>
      </c>
      <c r="K33" s="1047">
        <f t="shared" si="0"/>
        <v>1.6162790697674418</v>
      </c>
      <c r="L33" s="1047">
        <f t="shared" si="1"/>
        <v>0.41860465116279072</v>
      </c>
    </row>
    <row r="34" spans="1:12" x14ac:dyDescent="0.3">
      <c r="A34" s="895" t="s">
        <v>18</v>
      </c>
      <c r="B34" s="895">
        <v>775</v>
      </c>
      <c r="C34" s="1052">
        <v>1789</v>
      </c>
      <c r="D34" s="895">
        <v>714</v>
      </c>
      <c r="F34" s="1049">
        <f>B34/B22</f>
        <v>5.1950663627832148E-2</v>
      </c>
      <c r="G34" s="1049">
        <f>C34/C22</f>
        <v>0.11294191919191919</v>
      </c>
      <c r="H34" s="1049">
        <f>D34/D22</f>
        <v>6.0760786316058205E-2</v>
      </c>
      <c r="I34" s="1047"/>
      <c r="J34" s="1049">
        <v>1</v>
      </c>
      <c r="K34" s="1049">
        <f t="shared" si="0"/>
        <v>2.3083870967741937</v>
      </c>
      <c r="L34" s="1049">
        <f t="shared" si="1"/>
        <v>0.92129032258064514</v>
      </c>
    </row>
    <row r="35" spans="1:12" x14ac:dyDescent="0.3">
      <c r="F35" s="424"/>
      <c r="G35" s="424"/>
      <c r="H35" s="424"/>
    </row>
    <row r="36" spans="1:12" x14ac:dyDescent="0.3">
      <c r="A36" t="s">
        <v>19</v>
      </c>
      <c r="F36" s="424"/>
      <c r="G36" s="424"/>
      <c r="H36" s="424"/>
    </row>
    <row r="37" spans="1:12" x14ac:dyDescent="0.3">
      <c r="A37" t="s">
        <v>20</v>
      </c>
      <c r="B37">
        <v>775</v>
      </c>
      <c r="C37" s="399">
        <v>1788</v>
      </c>
      <c r="D37">
        <v>712</v>
      </c>
      <c r="F37" s="424"/>
      <c r="G37" s="424"/>
      <c r="H37" s="424"/>
    </row>
    <row r="38" spans="1:12" x14ac:dyDescent="0.3">
      <c r="A38" t="s">
        <v>21</v>
      </c>
      <c r="B38">
        <v>0</v>
      </c>
      <c r="C38">
        <v>1</v>
      </c>
      <c r="D38">
        <v>2</v>
      </c>
      <c r="F38" s="424"/>
      <c r="G38" s="424"/>
      <c r="H38" s="424"/>
    </row>
    <row r="39" spans="1:12" x14ac:dyDescent="0.3">
      <c r="B39">
        <v>775</v>
      </c>
      <c r="C39" s="399">
        <v>1789</v>
      </c>
      <c r="D39">
        <v>714</v>
      </c>
      <c r="F39" s="424"/>
      <c r="G39" s="424"/>
      <c r="H39" s="424"/>
    </row>
    <row r="42" spans="1:12" x14ac:dyDescent="0.3">
      <c r="A42" s="1053" t="s">
        <v>22</v>
      </c>
      <c r="B42" s="1053" t="s">
        <v>23</v>
      </c>
      <c r="C42" s="1053" t="s">
        <v>23</v>
      </c>
    </row>
    <row r="43" spans="1:12" x14ac:dyDescent="0.3">
      <c r="A43" s="1054" t="s">
        <v>24</v>
      </c>
      <c r="B43" s="1055" t="s">
        <v>25</v>
      </c>
      <c r="C43" s="1055" t="s">
        <v>4</v>
      </c>
    </row>
    <row r="44" spans="1:12" x14ac:dyDescent="0.3">
      <c r="A44" s="1056" t="s">
        <v>26</v>
      </c>
      <c r="B44" s="1056">
        <v>4270</v>
      </c>
      <c r="C44" s="1056">
        <v>4033</v>
      </c>
    </row>
    <row r="45" spans="1:12" x14ac:dyDescent="0.3">
      <c r="A45" s="1056" t="s">
        <v>27</v>
      </c>
      <c r="B45" s="1056">
        <v>6063</v>
      </c>
      <c r="C45" s="1056">
        <v>10416</v>
      </c>
    </row>
    <row r="46" spans="1:12" x14ac:dyDescent="0.3">
      <c r="A46" s="1056" t="s">
        <v>28</v>
      </c>
      <c r="B46" s="1056">
        <v>3055</v>
      </c>
      <c r="C46" s="1056">
        <v>4193</v>
      </c>
    </row>
    <row r="47" spans="1:12" x14ac:dyDescent="0.3">
      <c r="A47" s="1056" t="s">
        <v>29</v>
      </c>
      <c r="B47" s="1056">
        <v>177</v>
      </c>
      <c r="C47" s="1056">
        <v>246</v>
      </c>
    </row>
    <row r="48" spans="1:12" x14ac:dyDescent="0.3">
      <c r="A48" s="1056" t="s">
        <v>30</v>
      </c>
      <c r="B48" s="1056">
        <v>-1813</v>
      </c>
      <c r="C48" s="1056">
        <v>-3049</v>
      </c>
    </row>
    <row r="49" spans="1:3" x14ac:dyDescent="0.3">
      <c r="A49" s="1057" t="s">
        <v>31</v>
      </c>
      <c r="B49" s="1057">
        <v>11751</v>
      </c>
      <c r="C49" s="1057">
        <v>15840</v>
      </c>
    </row>
    <row r="52" spans="1:3" x14ac:dyDescent="0.3">
      <c r="A52" s="1053" t="s">
        <v>32</v>
      </c>
      <c r="B52" s="1053" t="s">
        <v>23</v>
      </c>
      <c r="C52" s="1053" t="s">
        <v>23</v>
      </c>
    </row>
    <row r="53" spans="1:3" x14ac:dyDescent="0.3">
      <c r="A53" s="1054" t="s">
        <v>23</v>
      </c>
      <c r="B53" s="1055" t="s">
        <v>25</v>
      </c>
      <c r="C53" s="1055" t="s">
        <v>4</v>
      </c>
    </row>
    <row r="54" spans="1:3" x14ac:dyDescent="0.3">
      <c r="A54" s="1056" t="s">
        <v>26</v>
      </c>
      <c r="B54" s="1058">
        <v>0.3634</v>
      </c>
      <c r="C54" s="1058">
        <v>0.25459999999999999</v>
      </c>
    </row>
    <row r="55" spans="1:3" x14ac:dyDescent="0.3">
      <c r="A55" s="1056" t="s">
        <v>27</v>
      </c>
      <c r="B55" s="1058">
        <v>0.51600000000000001</v>
      </c>
      <c r="C55" s="1058">
        <v>0.65759999999999996</v>
      </c>
    </row>
    <row r="56" spans="1:3" x14ac:dyDescent="0.3">
      <c r="A56" s="1056" t="s">
        <v>28</v>
      </c>
      <c r="B56" s="1058">
        <v>0.26</v>
      </c>
      <c r="C56" s="1058">
        <v>0.26469999999999999</v>
      </c>
    </row>
    <row r="57" spans="1:3" x14ac:dyDescent="0.3">
      <c r="A57" s="1056" t="s">
        <v>29</v>
      </c>
      <c r="B57" s="1058">
        <v>1.5100000000000001E-2</v>
      </c>
      <c r="C57" s="1058">
        <v>1.55E-2</v>
      </c>
    </row>
    <row r="58" spans="1:3" x14ac:dyDescent="0.3">
      <c r="A58" s="1056" t="s">
        <v>30</v>
      </c>
      <c r="B58" s="1058">
        <v>-0.15429999999999999</v>
      </c>
      <c r="C58" s="1058">
        <v>-0.1925</v>
      </c>
    </row>
    <row r="59" spans="1:3" x14ac:dyDescent="0.3">
      <c r="A59" s="1057" t="s">
        <v>31</v>
      </c>
      <c r="B59" s="1059">
        <v>1</v>
      </c>
      <c r="C59" s="1059">
        <v>1</v>
      </c>
    </row>
    <row r="62" spans="1:3" x14ac:dyDescent="0.3">
      <c r="A62" s="1053" t="s">
        <v>33</v>
      </c>
      <c r="B62" s="1053" t="s">
        <v>23</v>
      </c>
      <c r="C62" s="1053" t="s">
        <v>23</v>
      </c>
    </row>
    <row r="63" spans="1:3" x14ac:dyDescent="0.3">
      <c r="A63" s="1054" t="s">
        <v>24</v>
      </c>
      <c r="B63" s="1055" t="s">
        <v>25</v>
      </c>
      <c r="C63" s="1055" t="s">
        <v>4</v>
      </c>
    </row>
    <row r="64" spans="1:3" x14ac:dyDescent="0.3">
      <c r="A64" s="1056" t="s">
        <v>26</v>
      </c>
      <c r="B64" s="1056">
        <v>1239</v>
      </c>
      <c r="C64" s="1056">
        <v>1847</v>
      </c>
    </row>
    <row r="65" spans="1:3" x14ac:dyDescent="0.3">
      <c r="A65" s="1056" t="s">
        <v>27</v>
      </c>
      <c r="B65" s="1056">
        <v>-396</v>
      </c>
      <c r="C65" s="1056">
        <v>406</v>
      </c>
    </row>
    <row r="66" spans="1:3" x14ac:dyDescent="0.3">
      <c r="A66" s="1056" t="s">
        <v>28</v>
      </c>
      <c r="B66" s="1056">
        <v>68</v>
      </c>
      <c r="C66" s="1056">
        <v>102</v>
      </c>
    </row>
    <row r="67" spans="1:3" x14ac:dyDescent="0.3">
      <c r="A67" s="1056" t="s">
        <v>29</v>
      </c>
      <c r="B67" s="1056">
        <v>-84</v>
      </c>
      <c r="C67" s="1056">
        <v>-123</v>
      </c>
    </row>
    <row r="68" spans="1:3" x14ac:dyDescent="0.3">
      <c r="A68" s="1056" t="s">
        <v>30</v>
      </c>
      <c r="B68" s="1056">
        <v>1</v>
      </c>
      <c r="C68" s="1056">
        <v>-2</v>
      </c>
    </row>
    <row r="69" spans="1:3" x14ac:dyDescent="0.3">
      <c r="A69" s="1057" t="s">
        <v>31</v>
      </c>
      <c r="B69" s="1057">
        <v>828</v>
      </c>
      <c r="C69" s="1057">
        <v>2229</v>
      </c>
    </row>
    <row r="71" spans="1:3" ht="28.8" x14ac:dyDescent="0.3">
      <c r="A71" s="1053" t="s">
        <v>34</v>
      </c>
      <c r="B71" s="1053" t="s">
        <v>23</v>
      </c>
      <c r="C71" s="1053" t="s">
        <v>23</v>
      </c>
    </row>
    <row r="72" spans="1:3" x14ac:dyDescent="0.3">
      <c r="A72" s="1054" t="s">
        <v>23</v>
      </c>
      <c r="B72" s="1055" t="s">
        <v>25</v>
      </c>
      <c r="C72" s="1055" t="s">
        <v>4</v>
      </c>
    </row>
    <row r="73" spans="1:3" x14ac:dyDescent="0.3">
      <c r="A73" s="1056" t="s">
        <v>26</v>
      </c>
      <c r="B73" s="1058">
        <v>1.4964</v>
      </c>
      <c r="C73" s="1058">
        <v>0.8286</v>
      </c>
    </row>
    <row r="74" spans="1:3" x14ac:dyDescent="0.3">
      <c r="A74" s="1056" t="s">
        <v>27</v>
      </c>
      <c r="B74" s="1058">
        <v>-0.4783</v>
      </c>
      <c r="C74" s="1058">
        <v>0.18210000000000001</v>
      </c>
    </row>
    <row r="75" spans="1:3" x14ac:dyDescent="0.3">
      <c r="A75" s="1056" t="s">
        <v>28</v>
      </c>
      <c r="B75" s="1058">
        <v>8.2100000000000006E-2</v>
      </c>
      <c r="C75" s="1058">
        <v>4.58E-2</v>
      </c>
    </row>
    <row r="76" spans="1:3" x14ac:dyDescent="0.3">
      <c r="A76" s="1056" t="s">
        <v>29</v>
      </c>
      <c r="B76" s="1058">
        <v>-0.1014</v>
      </c>
      <c r="C76" s="1058">
        <v>-5.5199999999999999E-2</v>
      </c>
    </row>
    <row r="77" spans="1:3" x14ac:dyDescent="0.3">
      <c r="A77" s="1056" t="s">
        <v>30</v>
      </c>
      <c r="B77" s="1058">
        <v>1.1999999999999999E-3</v>
      </c>
      <c r="C77" s="1058">
        <v>-8.9999999999999998E-4</v>
      </c>
    </row>
    <row r="78" spans="1:3" x14ac:dyDescent="0.3">
      <c r="A78" s="1057" t="s">
        <v>31</v>
      </c>
      <c r="B78" s="1059">
        <v>1</v>
      </c>
      <c r="C78" s="1059">
        <v>1</v>
      </c>
    </row>
  </sheetData>
  <mergeCells count="4">
    <mergeCell ref="A1:D1"/>
    <mergeCell ref="A20:D20"/>
    <mergeCell ref="F20:H20"/>
    <mergeCell ref="J20:L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5B2C-E213-458E-8685-83AC7CFBDC57}">
  <dimension ref="A1:AG943"/>
  <sheetViews>
    <sheetView topLeftCell="A555" zoomScale="71" workbookViewId="0">
      <selection activeCell="AC1" sqref="AC1:AG1048576"/>
    </sheetView>
  </sheetViews>
  <sheetFormatPr defaultRowHeight="15.6" x14ac:dyDescent="0.3"/>
  <cols>
    <col min="1" max="1" width="18.88671875" customWidth="1"/>
    <col min="3" max="3" width="8.5546875" style="13" customWidth="1"/>
    <col min="4" max="12" width="8.88671875" style="50"/>
    <col min="13" max="13" width="11.6640625" style="13" customWidth="1"/>
    <col min="14" max="14" width="8.88671875" style="50"/>
    <col min="15" max="16" width="11.6640625" style="14" customWidth="1"/>
    <col min="17" max="17" width="11.6640625" style="13" customWidth="1"/>
    <col min="18" max="18" width="11.44140625" style="50" bestFit="1" customWidth="1"/>
    <col min="19" max="19" width="11.44140625" style="413" customWidth="1"/>
    <col min="22" max="22" width="12.5546875" customWidth="1"/>
    <col min="29" max="29" width="10.6640625" style="849" bestFit="1" customWidth="1"/>
    <col min="30" max="33" width="10.6640625" bestFit="1" customWidth="1"/>
  </cols>
  <sheetData>
    <row r="1" spans="1:33" ht="43.2" x14ac:dyDescent="0.3">
      <c r="A1" s="2" t="s">
        <v>383</v>
      </c>
      <c r="C1" s="49" t="s">
        <v>384</v>
      </c>
      <c r="O1" s="51"/>
      <c r="P1" s="52"/>
      <c r="R1" s="493"/>
      <c r="S1" s="493"/>
    </row>
    <row r="2" spans="1:33" x14ac:dyDescent="0.3">
      <c r="C2" s="53" t="s">
        <v>385</v>
      </c>
      <c r="M2" s="50"/>
      <c r="O2" s="54"/>
      <c r="R2" s="493"/>
      <c r="S2" s="493"/>
    </row>
    <row r="3" spans="1:33" x14ac:dyDescent="0.3">
      <c r="A3" s="3" t="s">
        <v>386</v>
      </c>
      <c r="C3" s="55" t="s">
        <v>387</v>
      </c>
      <c r="M3" s="50"/>
      <c r="R3" s="493"/>
      <c r="S3" s="493"/>
    </row>
    <row r="4" spans="1:33" x14ac:dyDescent="0.3">
      <c r="C4" s="55"/>
      <c r="M4" s="50"/>
      <c r="O4" s="56"/>
      <c r="R4" s="493"/>
      <c r="S4" s="493"/>
    </row>
    <row r="5" spans="1:33" x14ac:dyDescent="0.3">
      <c r="C5" s="53" t="s">
        <v>388</v>
      </c>
      <c r="M5" s="57"/>
      <c r="O5" s="58"/>
      <c r="P5" s="58"/>
      <c r="Q5" s="57"/>
      <c r="R5" s="431"/>
      <c r="S5" s="431"/>
    </row>
    <row r="6" spans="1:33" x14ac:dyDescent="0.3">
      <c r="C6" s="55"/>
      <c r="M6" s="50"/>
      <c r="O6" s="56"/>
      <c r="R6" s="493"/>
      <c r="S6" s="493"/>
    </row>
    <row r="7" spans="1:33" x14ac:dyDescent="0.3">
      <c r="C7" s="53" t="s">
        <v>312</v>
      </c>
      <c r="M7" s="59"/>
      <c r="O7" s="56"/>
      <c r="P7" s="56"/>
      <c r="Q7" s="50"/>
      <c r="R7" s="493"/>
      <c r="S7" s="493"/>
    </row>
    <row r="8" spans="1:33" ht="16.8" x14ac:dyDescent="0.3">
      <c r="C8" s="55"/>
      <c r="M8" s="50"/>
      <c r="O8" s="60"/>
      <c r="P8" s="61"/>
      <c r="Q8" s="60"/>
      <c r="R8" s="432" t="s">
        <v>389</v>
      </c>
      <c r="S8" s="432"/>
    </row>
    <row r="9" spans="1:33" x14ac:dyDescent="0.3">
      <c r="C9" s="62" t="s">
        <v>24</v>
      </c>
      <c r="M9" s="63" t="s">
        <v>390</v>
      </c>
      <c r="O9" s="64"/>
      <c r="P9" s="65" t="s">
        <v>250</v>
      </c>
      <c r="Q9" s="64" t="s">
        <v>249</v>
      </c>
      <c r="R9" s="433">
        <v>43112</v>
      </c>
      <c r="S9" s="433">
        <v>42747</v>
      </c>
      <c r="Y9" s="908" t="s">
        <v>26</v>
      </c>
      <c r="Z9" s="915"/>
      <c r="AC9" s="918">
        <v>43842</v>
      </c>
      <c r="AD9" s="923">
        <v>43477</v>
      </c>
      <c r="AE9" s="918">
        <v>43112</v>
      </c>
      <c r="AF9" s="923">
        <v>42747</v>
      </c>
      <c r="AG9" s="923">
        <v>42381</v>
      </c>
    </row>
    <row r="10" spans="1:33" x14ac:dyDescent="0.3">
      <c r="C10" s="50"/>
      <c r="M10" s="66"/>
      <c r="O10" s="67"/>
      <c r="P10" s="68"/>
      <c r="Q10" s="67"/>
      <c r="R10" s="493"/>
      <c r="S10" s="7"/>
      <c r="Y10" s="907" t="s">
        <v>391</v>
      </c>
      <c r="Z10" s="915"/>
      <c r="AC10" s="919">
        <v>1334</v>
      </c>
      <c r="AD10" s="924">
        <v>1599</v>
      </c>
      <c r="AE10" s="397">
        <v>983</v>
      </c>
      <c r="AF10" s="415">
        <v>561</v>
      </c>
      <c r="AG10" s="415">
        <v>469</v>
      </c>
    </row>
    <row r="11" spans="1:33" x14ac:dyDescent="0.3">
      <c r="C11" s="53" t="s">
        <v>6</v>
      </c>
      <c r="M11" s="69" t="s">
        <v>392</v>
      </c>
      <c r="O11" s="70"/>
      <c r="P11" s="71">
        <v>11751</v>
      </c>
      <c r="Q11" s="70">
        <v>15840</v>
      </c>
      <c r="R11" s="434">
        <v>14918</v>
      </c>
      <c r="S11" s="488">
        <v>13217</v>
      </c>
      <c r="Y11" s="907" t="s">
        <v>248</v>
      </c>
      <c r="Z11" s="915"/>
      <c r="AC11" s="920">
        <v>10</v>
      </c>
      <c r="AD11" s="415">
        <v>137</v>
      </c>
      <c r="AE11" s="397">
        <v>-162</v>
      </c>
      <c r="AF11" s="415">
        <v>-80</v>
      </c>
      <c r="AG11" s="415">
        <v>123</v>
      </c>
    </row>
    <row r="12" spans="1:33" ht="15.75" customHeight="1" x14ac:dyDescent="0.3">
      <c r="C12" s="50" t="s">
        <v>9</v>
      </c>
      <c r="M12" s="72"/>
      <c r="O12" s="70"/>
      <c r="P12" s="71">
        <v>17</v>
      </c>
      <c r="Q12" s="70">
        <v>50</v>
      </c>
      <c r="R12" s="493">
        <v>17</v>
      </c>
      <c r="S12" s="7">
        <v>22</v>
      </c>
      <c r="Y12" s="907" t="s">
        <v>253</v>
      </c>
      <c r="Z12" s="915"/>
      <c r="AC12" s="920">
        <v>-105</v>
      </c>
      <c r="AD12" s="415">
        <v>101</v>
      </c>
      <c r="AE12" s="397">
        <v>82</v>
      </c>
      <c r="AF12" s="415">
        <v>-5</v>
      </c>
      <c r="AG12" s="415">
        <v>-60</v>
      </c>
    </row>
    <row r="13" spans="1:33" ht="15.75" customHeight="1" x14ac:dyDescent="0.3">
      <c r="C13" s="50" t="s">
        <v>10</v>
      </c>
      <c r="M13" s="69" t="s">
        <v>393</v>
      </c>
      <c r="O13" s="70"/>
      <c r="P13" s="71">
        <v>-38</v>
      </c>
      <c r="Q13" s="70">
        <v>-52</v>
      </c>
      <c r="R13" s="493">
        <v>-9</v>
      </c>
      <c r="S13" s="7">
        <v>1</v>
      </c>
      <c r="Y13" s="907" t="s">
        <v>254</v>
      </c>
      <c r="Z13" s="915"/>
      <c r="AC13" s="920">
        <v>0</v>
      </c>
      <c r="AD13" s="415">
        <v>0</v>
      </c>
      <c r="AE13" s="397">
        <v>0</v>
      </c>
      <c r="AF13" s="415">
        <v>0</v>
      </c>
      <c r="AG13" s="415">
        <v>0</v>
      </c>
    </row>
    <row r="14" spans="1:33" ht="15.75" customHeight="1" x14ac:dyDescent="0.3">
      <c r="C14" s="50"/>
      <c r="M14" s="69"/>
      <c r="O14" s="70"/>
      <c r="P14" s="71"/>
      <c r="Q14" s="70"/>
      <c r="R14" s="493"/>
      <c r="S14" s="7"/>
      <c r="Y14" s="907" t="s">
        <v>394</v>
      </c>
      <c r="Z14" s="915"/>
      <c r="AC14" s="920">
        <v>0</v>
      </c>
      <c r="AD14" s="415">
        <v>0</v>
      </c>
      <c r="AE14" s="397">
        <v>0</v>
      </c>
      <c r="AF14" s="415">
        <v>0</v>
      </c>
      <c r="AG14" s="415">
        <v>0</v>
      </c>
    </row>
    <row r="15" spans="1:33" x14ac:dyDescent="0.3">
      <c r="C15" s="73" t="s">
        <v>313</v>
      </c>
      <c r="M15" s="74"/>
      <c r="O15" s="70"/>
      <c r="P15" s="71">
        <v>-9253</v>
      </c>
      <c r="Q15" s="70">
        <v>-12238</v>
      </c>
      <c r="R15" s="434">
        <v>-12462</v>
      </c>
      <c r="S15" s="488">
        <v>-10927</v>
      </c>
      <c r="Y15" s="907" t="s">
        <v>395</v>
      </c>
      <c r="Z15" s="915"/>
      <c r="AC15" s="920">
        <v>0</v>
      </c>
      <c r="AD15" s="415">
        <v>0</v>
      </c>
      <c r="AE15" s="397">
        <v>0</v>
      </c>
      <c r="AF15" s="415">
        <v>0</v>
      </c>
      <c r="AG15">
        <v>0</v>
      </c>
    </row>
    <row r="16" spans="1:33" ht="15.75" customHeight="1" x14ac:dyDescent="0.3">
      <c r="C16" s="73" t="s">
        <v>11</v>
      </c>
      <c r="M16" s="74"/>
      <c r="O16" s="70"/>
      <c r="P16" s="71">
        <v>-431</v>
      </c>
      <c r="Q16" s="70">
        <v>-395</v>
      </c>
      <c r="R16" s="493">
        <v>-400</v>
      </c>
      <c r="S16" s="7">
        <v>-372</v>
      </c>
      <c r="Y16" s="907" t="s">
        <v>396</v>
      </c>
      <c r="Z16" s="915"/>
      <c r="AC16" s="920">
        <v>0</v>
      </c>
      <c r="AD16" s="415">
        <v>10</v>
      </c>
      <c r="AE16" s="397">
        <v>-4</v>
      </c>
      <c r="AF16" s="415">
        <v>0</v>
      </c>
      <c r="AG16" s="415">
        <v>-13</v>
      </c>
    </row>
    <row r="17" spans="3:33" ht="15.75" customHeight="1" x14ac:dyDescent="0.3">
      <c r="C17" s="73" t="s">
        <v>12</v>
      </c>
      <c r="M17" s="69">
        <v>4</v>
      </c>
      <c r="O17" s="70"/>
      <c r="P17" s="71">
        <v>-680</v>
      </c>
      <c r="Q17" s="70">
        <v>-502</v>
      </c>
      <c r="R17" s="493">
        <v>-614</v>
      </c>
      <c r="S17" s="7">
        <v>-371</v>
      </c>
      <c r="Y17" s="916" t="s">
        <v>397</v>
      </c>
      <c r="Z17" s="915"/>
      <c r="AC17" s="921">
        <v>1239</v>
      </c>
      <c r="AD17" s="925">
        <v>1847</v>
      </c>
      <c r="AE17" s="922">
        <v>899</v>
      </c>
      <c r="AF17" s="906">
        <v>476</v>
      </c>
      <c r="AG17" s="906">
        <v>518</v>
      </c>
    </row>
    <row r="18" spans="3:33" x14ac:dyDescent="0.3">
      <c r="C18" s="75" t="s">
        <v>13</v>
      </c>
      <c r="M18" s="76"/>
      <c r="O18" s="77"/>
      <c r="P18" s="78">
        <v>-538</v>
      </c>
      <c r="Q18" s="77">
        <v>-474</v>
      </c>
      <c r="R18" s="12">
        <v>-429</v>
      </c>
      <c r="S18" s="12">
        <v>-399</v>
      </c>
      <c r="Y18" s="907"/>
      <c r="Z18" s="907"/>
      <c r="AC18" s="397"/>
      <c r="AD18" s="415"/>
      <c r="AE18" s="397"/>
      <c r="AF18" s="415"/>
      <c r="AG18" s="415"/>
    </row>
    <row r="19" spans="3:33" x14ac:dyDescent="0.3">
      <c r="C19" s="53" t="s">
        <v>258</v>
      </c>
      <c r="M19" s="69">
        <v>4</v>
      </c>
      <c r="O19" s="70"/>
      <c r="P19" s="71">
        <v>828</v>
      </c>
      <c r="Q19" s="70">
        <v>2229</v>
      </c>
      <c r="R19" s="434">
        <v>1022</v>
      </c>
      <c r="S19" s="488">
        <v>1171</v>
      </c>
      <c r="Y19" s="908" t="s">
        <v>27</v>
      </c>
      <c r="Z19" s="915"/>
      <c r="AC19" s="918">
        <v>43842</v>
      </c>
      <c r="AD19" s="923">
        <v>43477</v>
      </c>
      <c r="AE19" s="918">
        <v>43112</v>
      </c>
      <c r="AF19" s="923">
        <v>42747</v>
      </c>
      <c r="AG19" s="923">
        <v>42381</v>
      </c>
    </row>
    <row r="20" spans="3:33" x14ac:dyDescent="0.3">
      <c r="C20" s="53"/>
      <c r="M20" s="57"/>
      <c r="O20" s="70"/>
      <c r="P20" s="71"/>
      <c r="Q20" s="70"/>
      <c r="R20" s="493"/>
      <c r="S20" s="7"/>
      <c r="Y20" s="907" t="s">
        <v>391</v>
      </c>
      <c r="Z20" s="915"/>
      <c r="AC20" s="397">
        <v>50</v>
      </c>
      <c r="AD20" s="415">
        <v>386</v>
      </c>
      <c r="AE20" s="397">
        <v>397</v>
      </c>
      <c r="AF20" s="415">
        <v>495</v>
      </c>
      <c r="AG20" s="415">
        <v>453</v>
      </c>
    </row>
    <row r="21" spans="3:33" x14ac:dyDescent="0.3">
      <c r="C21" s="79" t="s">
        <v>316</v>
      </c>
      <c r="M21" s="50"/>
      <c r="O21" s="70"/>
      <c r="P21" s="71"/>
      <c r="Q21" s="70"/>
      <c r="R21" s="493"/>
      <c r="S21" s="7"/>
      <c r="Y21" s="907" t="s">
        <v>248</v>
      </c>
      <c r="Z21" s="915"/>
      <c r="AC21" s="397">
        <v>-130</v>
      </c>
      <c r="AD21" s="415">
        <v>43</v>
      </c>
      <c r="AE21" s="397">
        <v>-108</v>
      </c>
      <c r="AF21" s="415">
        <v>111</v>
      </c>
      <c r="AG21" s="415">
        <v>157</v>
      </c>
    </row>
    <row r="22" spans="3:33" ht="15.75" customHeight="1" x14ac:dyDescent="0.3">
      <c r="C22" s="50" t="s">
        <v>317</v>
      </c>
      <c r="M22" s="50"/>
      <c r="O22" s="70"/>
      <c r="P22" s="71">
        <v>4</v>
      </c>
      <c r="Q22" s="70">
        <v>10</v>
      </c>
      <c r="R22" s="493">
        <v>7</v>
      </c>
      <c r="S22" s="7">
        <v>4</v>
      </c>
      <c r="Y22" s="907" t="s">
        <v>253</v>
      </c>
      <c r="Z22" s="915"/>
      <c r="AC22" s="397">
        <v>-7</v>
      </c>
      <c r="AD22" s="415">
        <v>-32</v>
      </c>
      <c r="AE22" s="397">
        <v>35</v>
      </c>
      <c r="AF22" s="415">
        <v>29</v>
      </c>
      <c r="AG22" s="415">
        <v>-57</v>
      </c>
    </row>
    <row r="23" spans="3:33" ht="15.75" customHeight="1" x14ac:dyDescent="0.3">
      <c r="C23" s="50" t="s">
        <v>320</v>
      </c>
      <c r="M23" s="50"/>
      <c r="O23" s="70"/>
      <c r="P23" s="71">
        <v>-45</v>
      </c>
      <c r="Q23" s="70">
        <v>-109</v>
      </c>
      <c r="R23" s="493">
        <v>-48</v>
      </c>
      <c r="S23" s="7">
        <v>-79</v>
      </c>
      <c r="Y23" s="907" t="s">
        <v>254</v>
      </c>
      <c r="Z23" s="915"/>
      <c r="AC23" s="397">
        <v>0</v>
      </c>
      <c r="AD23" s="415">
        <v>0</v>
      </c>
      <c r="AE23" s="397">
        <v>2</v>
      </c>
      <c r="AF23" s="415">
        <v>3</v>
      </c>
      <c r="AG23" s="415">
        <v>11</v>
      </c>
    </row>
    <row r="24" spans="3:33" ht="15.75" customHeight="1" x14ac:dyDescent="0.3">
      <c r="C24" s="50"/>
      <c r="M24" s="50"/>
      <c r="O24" s="70"/>
      <c r="P24" s="71"/>
      <c r="Q24" s="70"/>
      <c r="R24" s="493"/>
      <c r="S24" s="7"/>
      <c r="Y24" s="907" t="s">
        <v>394</v>
      </c>
      <c r="Z24" s="915"/>
      <c r="AC24" s="397">
        <v>0</v>
      </c>
      <c r="AD24" s="415">
        <v>0</v>
      </c>
      <c r="AE24" s="397">
        <v>0</v>
      </c>
      <c r="AF24" s="415">
        <v>0</v>
      </c>
      <c r="AG24" s="415">
        <v>0</v>
      </c>
    </row>
    <row r="25" spans="3:33" x14ac:dyDescent="0.3">
      <c r="C25" s="80" t="s">
        <v>322</v>
      </c>
      <c r="M25" s="80"/>
      <c r="O25" s="77"/>
      <c r="P25" s="78">
        <v>0</v>
      </c>
      <c r="Q25" s="77">
        <v>-64</v>
      </c>
      <c r="R25" s="12">
        <v>-34</v>
      </c>
      <c r="S25" s="12">
        <v>-2</v>
      </c>
      <c r="Y25" s="907" t="s">
        <v>395</v>
      </c>
      <c r="Z25" s="915"/>
      <c r="AC25" s="397">
        <v>0</v>
      </c>
      <c r="AD25" s="415">
        <v>23</v>
      </c>
      <c r="AE25" s="397">
        <v>-112</v>
      </c>
      <c r="AF25" s="415">
        <v>0</v>
      </c>
      <c r="AG25" s="415">
        <v>0</v>
      </c>
    </row>
    <row r="26" spans="3:33" ht="15.75" customHeight="1" x14ac:dyDescent="0.3">
      <c r="C26" s="53" t="s">
        <v>323</v>
      </c>
      <c r="M26" s="50"/>
      <c r="O26" s="70"/>
      <c r="P26" s="71">
        <v>-41</v>
      </c>
      <c r="Q26" s="70">
        <v>-163</v>
      </c>
      <c r="R26" s="493">
        <v>-75</v>
      </c>
      <c r="S26" s="7">
        <v>-77</v>
      </c>
      <c r="Y26" s="907" t="s">
        <v>396</v>
      </c>
      <c r="Z26" s="915"/>
      <c r="AC26" s="397">
        <v>-310</v>
      </c>
      <c r="AD26" s="415">
        <v>-15</v>
      </c>
      <c r="AE26" s="397">
        <v>-44</v>
      </c>
      <c r="AF26" s="415">
        <v>12</v>
      </c>
      <c r="AG26">
        <v>0</v>
      </c>
    </row>
    <row r="27" spans="3:33" x14ac:dyDescent="0.3">
      <c r="C27" s="50"/>
      <c r="M27" s="50"/>
      <c r="O27" s="70"/>
      <c r="P27" s="71"/>
      <c r="Q27" s="70"/>
      <c r="R27" s="493"/>
      <c r="S27" s="7"/>
      <c r="Y27" s="916" t="s">
        <v>397</v>
      </c>
      <c r="Z27" s="915"/>
      <c r="AC27" s="922">
        <v>-396</v>
      </c>
      <c r="AD27" s="906">
        <v>406</v>
      </c>
      <c r="AE27" s="922">
        <v>170</v>
      </c>
      <c r="AF27" s="906">
        <v>650</v>
      </c>
      <c r="AG27" s="906">
        <v>563</v>
      </c>
    </row>
    <row r="28" spans="3:33" ht="15.75" customHeight="1" x14ac:dyDescent="0.3">
      <c r="C28" s="53" t="s">
        <v>75</v>
      </c>
      <c r="M28" s="50"/>
      <c r="O28" s="70"/>
      <c r="P28" s="71">
        <v>786</v>
      </c>
      <c r="Q28" s="70">
        <v>2067</v>
      </c>
      <c r="R28" s="493">
        <v>947</v>
      </c>
      <c r="S28" s="488">
        <v>1094</v>
      </c>
      <c r="Y28" s="907"/>
      <c r="Z28" s="907"/>
      <c r="AC28" s="397"/>
      <c r="AD28" s="415"/>
      <c r="AG28" s="415"/>
    </row>
    <row r="29" spans="3:33" ht="15.75" customHeight="1" x14ac:dyDescent="0.3">
      <c r="C29" s="80" t="s">
        <v>327</v>
      </c>
      <c r="M29" s="50"/>
      <c r="O29" s="70"/>
      <c r="P29" s="71">
        <v>-72</v>
      </c>
      <c r="Q29" s="70">
        <v>-278</v>
      </c>
      <c r="R29" s="493">
        <v>-172</v>
      </c>
      <c r="S29" s="7">
        <v>-180</v>
      </c>
      <c r="Y29" s="908" t="s">
        <v>28</v>
      </c>
      <c r="Z29" s="915"/>
      <c r="AC29" s="918">
        <v>43842</v>
      </c>
      <c r="AD29" s="923">
        <v>43477</v>
      </c>
      <c r="AE29" s="918">
        <v>43112</v>
      </c>
      <c r="AF29" s="923">
        <v>42747</v>
      </c>
      <c r="AG29" s="923">
        <v>42381</v>
      </c>
    </row>
    <row r="30" spans="3:33" x14ac:dyDescent="0.3">
      <c r="C30" s="81" t="s">
        <v>330</v>
      </c>
      <c r="M30" s="82"/>
      <c r="O30" s="83"/>
      <c r="P30" s="84">
        <v>714</v>
      </c>
      <c r="Q30" s="83">
        <v>1789</v>
      </c>
      <c r="R30" s="435">
        <v>775</v>
      </c>
      <c r="S30" s="435">
        <v>914</v>
      </c>
      <c r="Y30" s="907" t="s">
        <v>391</v>
      </c>
      <c r="Z30" s="915"/>
      <c r="AC30" s="397">
        <v>68</v>
      </c>
      <c r="AD30" s="415">
        <v>77</v>
      </c>
      <c r="AE30" s="397">
        <v>77</v>
      </c>
      <c r="AF30" s="415">
        <v>68</v>
      </c>
      <c r="AG30" s="415">
        <v>90</v>
      </c>
    </row>
    <row r="31" spans="3:33" x14ac:dyDescent="0.3">
      <c r="C31" s="53"/>
      <c r="M31" s="50"/>
      <c r="O31" s="70"/>
      <c r="P31" s="71"/>
      <c r="Q31" s="70"/>
      <c r="R31" s="493"/>
      <c r="S31" s="7"/>
      <c r="Y31" s="907" t="s">
        <v>248</v>
      </c>
      <c r="Z31" s="915"/>
      <c r="AC31" s="397">
        <v>0</v>
      </c>
      <c r="AD31" s="415">
        <v>0</v>
      </c>
      <c r="AE31" s="397">
        <v>0</v>
      </c>
      <c r="AF31" s="415">
        <v>0</v>
      </c>
      <c r="AG31" s="415">
        <v>0</v>
      </c>
    </row>
    <row r="32" spans="3:33" x14ac:dyDescent="0.3">
      <c r="C32" s="53" t="s">
        <v>332</v>
      </c>
      <c r="M32" s="50"/>
      <c r="O32" s="70"/>
      <c r="P32" s="71"/>
      <c r="Q32" s="70"/>
      <c r="R32" s="493"/>
      <c r="S32" s="7"/>
      <c r="Y32" s="907" t="s">
        <v>253</v>
      </c>
      <c r="Z32" s="915"/>
      <c r="AC32" s="397">
        <v>0</v>
      </c>
      <c r="AD32" s="415">
        <v>0</v>
      </c>
      <c r="AE32" s="397">
        <v>0</v>
      </c>
      <c r="AF32" s="415">
        <v>0</v>
      </c>
      <c r="AG32" s="415">
        <v>0</v>
      </c>
    </row>
    <row r="33" spans="3:33" ht="15.75" customHeight="1" x14ac:dyDescent="0.3">
      <c r="C33" s="50" t="s">
        <v>20</v>
      </c>
      <c r="M33" s="50"/>
      <c r="O33" s="70"/>
      <c r="P33" s="71">
        <v>712</v>
      </c>
      <c r="Q33" s="70">
        <v>1788</v>
      </c>
      <c r="R33" s="493">
        <v>775</v>
      </c>
      <c r="S33" s="7">
        <v>911</v>
      </c>
      <c r="Y33" s="907" t="s">
        <v>254</v>
      </c>
      <c r="Z33" s="915"/>
      <c r="AC33" s="397">
        <v>0</v>
      </c>
      <c r="AD33" s="415">
        <v>27</v>
      </c>
      <c r="AE33" s="397">
        <v>0</v>
      </c>
      <c r="AF33" s="415">
        <v>0</v>
      </c>
      <c r="AG33" s="415">
        <v>0</v>
      </c>
    </row>
    <row r="34" spans="3:33" ht="15.75" customHeight="1" x14ac:dyDescent="0.3">
      <c r="C34" s="80" t="s">
        <v>302</v>
      </c>
      <c r="M34" s="50"/>
      <c r="O34" s="70"/>
      <c r="P34" s="71">
        <v>2</v>
      </c>
      <c r="Q34" s="70">
        <v>1</v>
      </c>
      <c r="R34" s="493">
        <v>0</v>
      </c>
      <c r="S34" s="7">
        <v>3</v>
      </c>
      <c r="Y34" t="s">
        <v>255</v>
      </c>
      <c r="AC34" s="849">
        <v>0</v>
      </c>
      <c r="AD34">
        <v>0</v>
      </c>
      <c r="AE34" s="397">
        <v>0</v>
      </c>
      <c r="AF34" s="415">
        <v>0</v>
      </c>
      <c r="AG34" s="415">
        <v>0</v>
      </c>
    </row>
    <row r="35" spans="3:33" x14ac:dyDescent="0.3">
      <c r="C35" s="82"/>
      <c r="M35" s="82"/>
      <c r="O35" s="83"/>
      <c r="P35" s="84">
        <v>714</v>
      </c>
      <c r="Q35" s="83">
        <v>1789</v>
      </c>
      <c r="R35" s="435">
        <v>775</v>
      </c>
      <c r="S35" s="435">
        <v>914</v>
      </c>
      <c r="Y35" s="907" t="s">
        <v>395</v>
      </c>
      <c r="Z35" s="915"/>
      <c r="AC35" s="397">
        <v>0</v>
      </c>
      <c r="AD35" s="415">
        <v>0</v>
      </c>
      <c r="AE35" s="397">
        <v>0</v>
      </c>
      <c r="AF35" s="415">
        <v>0</v>
      </c>
      <c r="AG35" s="415">
        <v>0</v>
      </c>
    </row>
    <row r="36" spans="3:33" x14ac:dyDescent="0.3">
      <c r="C36" s="85"/>
      <c r="O36" s="70"/>
      <c r="P36" s="71"/>
      <c r="Q36" s="70"/>
      <c r="R36" s="493"/>
      <c r="S36" s="20"/>
      <c r="Y36" s="907" t="s">
        <v>396</v>
      </c>
      <c r="Z36" s="915"/>
      <c r="AC36" s="397">
        <v>0</v>
      </c>
      <c r="AD36" s="415">
        <v>-3</v>
      </c>
      <c r="AE36" s="397">
        <v>0</v>
      </c>
      <c r="AF36" s="415">
        <v>0</v>
      </c>
      <c r="AG36">
        <v>0</v>
      </c>
    </row>
    <row r="37" spans="3:33" x14ac:dyDescent="0.3">
      <c r="C37" s="50"/>
      <c r="M37" s="53"/>
      <c r="O37" s="50"/>
      <c r="P37" s="53"/>
      <c r="Q37" s="53"/>
      <c r="R37" s="493"/>
      <c r="S37" s="20"/>
      <c r="Y37" s="916" t="s">
        <v>397</v>
      </c>
      <c r="Z37" s="915"/>
      <c r="AC37" s="922">
        <v>68</v>
      </c>
      <c r="AD37" s="906">
        <v>102</v>
      </c>
      <c r="AE37" s="922">
        <v>77</v>
      </c>
      <c r="AF37" s="906">
        <v>69</v>
      </c>
      <c r="AG37" s="906">
        <v>89</v>
      </c>
    </row>
    <row r="38" spans="3:33" x14ac:dyDescent="0.3">
      <c r="C38" s="50"/>
      <c r="M38" s="86"/>
      <c r="O38" s="87"/>
      <c r="P38" s="86"/>
      <c r="Q38" s="87"/>
      <c r="R38" s="495"/>
      <c r="S38" s="7"/>
      <c r="Y38" s="908" t="s">
        <v>29</v>
      </c>
      <c r="Z38" s="917" t="s">
        <v>23</v>
      </c>
      <c r="AC38" s="918">
        <v>43842</v>
      </c>
      <c r="AD38" s="923">
        <v>43477</v>
      </c>
      <c r="AE38" s="918">
        <v>43112</v>
      </c>
      <c r="AF38" s="923">
        <v>42747</v>
      </c>
      <c r="AG38" s="923">
        <v>42381</v>
      </c>
    </row>
    <row r="39" spans="3:33" ht="15.75" customHeight="1" x14ac:dyDescent="0.3">
      <c r="C39" s="50" t="s">
        <v>334</v>
      </c>
      <c r="M39" s="50"/>
      <c r="O39" s="88"/>
      <c r="P39" s="89">
        <v>0.93</v>
      </c>
      <c r="Q39" s="88">
        <v>2.33</v>
      </c>
      <c r="R39" s="493">
        <v>1.01</v>
      </c>
      <c r="S39" s="7">
        <v>3.56</v>
      </c>
      <c r="Y39" s="907" t="s">
        <v>391</v>
      </c>
      <c r="Z39" s="915"/>
      <c r="AC39" s="397">
        <v>-37</v>
      </c>
      <c r="AD39" s="415">
        <v>-98</v>
      </c>
      <c r="AE39" s="397">
        <v>-36</v>
      </c>
      <c r="AF39" s="415">
        <v>-24</v>
      </c>
      <c r="AG39" s="415">
        <v>-23</v>
      </c>
    </row>
    <row r="40" spans="3:33" ht="15.75" customHeight="1" x14ac:dyDescent="0.3">
      <c r="C40" s="50" t="s">
        <v>335</v>
      </c>
      <c r="M40" s="50"/>
      <c r="O40" s="88"/>
      <c r="P40" s="89">
        <v>0.93</v>
      </c>
      <c r="Q40" s="88">
        <v>2.3199999999999998</v>
      </c>
      <c r="R40" s="493">
        <v>1.01</v>
      </c>
      <c r="S40" s="7">
        <v>3.55</v>
      </c>
      <c r="Y40" s="907" t="s">
        <v>248</v>
      </c>
      <c r="Z40" s="915"/>
      <c r="AC40" s="397">
        <v>0</v>
      </c>
      <c r="AD40" s="415">
        <v>0</v>
      </c>
      <c r="AE40" s="397">
        <v>0</v>
      </c>
      <c r="AF40" s="415">
        <v>0</v>
      </c>
      <c r="AG40" s="415">
        <v>0</v>
      </c>
    </row>
    <row r="41" spans="3:33" x14ac:dyDescent="0.3">
      <c r="C41" s="50"/>
      <c r="M41" s="90"/>
      <c r="O41" s="91"/>
      <c r="P41" s="92"/>
      <c r="Q41" s="90"/>
      <c r="R41" s="493"/>
      <c r="S41" s="7"/>
      <c r="Y41" s="907" t="s">
        <v>253</v>
      </c>
      <c r="Z41" s="915"/>
      <c r="AC41" s="397">
        <v>0</v>
      </c>
      <c r="AD41" s="415">
        <v>0</v>
      </c>
      <c r="AE41" s="397">
        <v>0</v>
      </c>
      <c r="AF41" s="415">
        <v>0</v>
      </c>
      <c r="AG41" s="415">
        <v>0</v>
      </c>
    </row>
    <row r="42" spans="3:33" x14ac:dyDescent="0.3">
      <c r="C42" s="53" t="s">
        <v>336</v>
      </c>
      <c r="M42" s="91"/>
      <c r="O42" s="91"/>
      <c r="P42" s="92"/>
      <c r="Q42" s="91"/>
      <c r="R42" s="493"/>
      <c r="S42" s="7"/>
      <c r="Y42" s="907" t="s">
        <v>254</v>
      </c>
      <c r="Z42" s="915"/>
      <c r="AC42" s="397">
        <v>-42</v>
      </c>
      <c r="AD42" s="415">
        <v>9</v>
      </c>
      <c r="AE42" s="397">
        <v>0</v>
      </c>
      <c r="AF42" s="415">
        <v>0</v>
      </c>
      <c r="AG42" s="415">
        <v>12</v>
      </c>
    </row>
    <row r="43" spans="3:33" x14ac:dyDescent="0.3">
      <c r="C43" s="55"/>
      <c r="M43" s="50"/>
      <c r="O43" s="60"/>
      <c r="P43" s="53"/>
      <c r="Q43" s="93"/>
      <c r="R43" s="432" t="s">
        <v>398</v>
      </c>
      <c r="S43" s="7"/>
      <c r="Y43" t="s">
        <v>255</v>
      </c>
      <c r="AC43" s="849">
        <v>0</v>
      </c>
      <c r="AD43">
        <v>0</v>
      </c>
      <c r="AE43" s="397">
        <v>0</v>
      </c>
      <c r="AF43" s="415">
        <v>0</v>
      </c>
      <c r="AG43" s="415">
        <v>0</v>
      </c>
    </row>
    <row r="44" spans="3:33" x14ac:dyDescent="0.3">
      <c r="C44" s="62" t="s">
        <v>24</v>
      </c>
      <c r="M44" s="80"/>
      <c r="O44" s="64"/>
      <c r="P44" s="65" t="s">
        <v>250</v>
      </c>
      <c r="Q44" s="64" t="s">
        <v>249</v>
      </c>
      <c r="R44" s="433">
        <v>43112</v>
      </c>
      <c r="S44" s="433">
        <v>42747</v>
      </c>
      <c r="Y44" s="907" t="s">
        <v>395</v>
      </c>
      <c r="Z44" s="915"/>
      <c r="AC44" s="397">
        <v>0</v>
      </c>
      <c r="AD44" s="415">
        <v>-34</v>
      </c>
      <c r="AE44" s="397">
        <v>-86</v>
      </c>
      <c r="AF44" s="415">
        <v>0</v>
      </c>
      <c r="AG44" s="415">
        <v>0</v>
      </c>
    </row>
    <row r="45" spans="3:33" x14ac:dyDescent="0.3">
      <c r="C45" s="94"/>
      <c r="M45" s="50"/>
      <c r="O45" s="95"/>
      <c r="P45" s="96"/>
      <c r="Q45" s="95"/>
      <c r="R45" s="493"/>
      <c r="S45" s="7"/>
      <c r="Y45" s="907" t="s">
        <v>399</v>
      </c>
      <c r="Z45" s="915"/>
      <c r="AC45" s="397">
        <v>-5</v>
      </c>
      <c r="AD45" s="415">
        <v>0</v>
      </c>
      <c r="AE45" s="397">
        <v>0</v>
      </c>
      <c r="AF45" s="415">
        <v>0</v>
      </c>
      <c r="AG45">
        <v>0</v>
      </c>
    </row>
    <row r="46" spans="3:33" x14ac:dyDescent="0.3">
      <c r="C46" s="94" t="s">
        <v>330</v>
      </c>
      <c r="M46" s="50"/>
      <c r="O46" s="70"/>
      <c r="P46" s="92">
        <v>714</v>
      </c>
      <c r="Q46" s="70">
        <v>1789</v>
      </c>
      <c r="R46" s="493">
        <v>775</v>
      </c>
      <c r="S46" s="7">
        <v>914</v>
      </c>
      <c r="Y46" s="916" t="s">
        <v>397</v>
      </c>
      <c r="Z46" s="915"/>
      <c r="AC46" s="922">
        <v>-84</v>
      </c>
      <c r="AD46" s="906">
        <v>-123</v>
      </c>
      <c r="AE46" s="922">
        <v>-122</v>
      </c>
      <c r="AF46" s="906">
        <v>-24</v>
      </c>
      <c r="AG46" s="906">
        <v>-11</v>
      </c>
    </row>
    <row r="47" spans="3:33" x14ac:dyDescent="0.3">
      <c r="C47" s="94"/>
      <c r="M47" s="50"/>
      <c r="O47" s="97"/>
      <c r="P47" s="98"/>
      <c r="Q47" s="99"/>
      <c r="R47" s="493"/>
    </row>
    <row r="48" spans="3:33" x14ac:dyDescent="0.3">
      <c r="C48" s="94" t="s">
        <v>337</v>
      </c>
      <c r="M48" s="50"/>
      <c r="O48" s="97"/>
      <c r="P48" s="98"/>
      <c r="Q48" s="99"/>
      <c r="R48" s="493"/>
      <c r="S48" s="7"/>
    </row>
    <row r="49" spans="3:19" x14ac:dyDescent="0.3">
      <c r="C49" s="94"/>
      <c r="M49" s="50"/>
      <c r="O49" s="97"/>
      <c r="P49" s="98"/>
      <c r="Q49" s="99"/>
      <c r="R49" s="493"/>
      <c r="S49" s="7"/>
    </row>
    <row r="50" spans="3:19" x14ac:dyDescent="0.3">
      <c r="C50" s="94" t="s">
        <v>338</v>
      </c>
      <c r="M50" s="50"/>
      <c r="O50" s="97"/>
      <c r="P50" s="98"/>
      <c r="Q50" s="99"/>
      <c r="R50" s="493"/>
      <c r="S50" s="7"/>
    </row>
    <row r="51" spans="3:19" ht="15.75" customHeight="1" x14ac:dyDescent="0.3">
      <c r="C51" s="100" t="s">
        <v>339</v>
      </c>
      <c r="M51" s="50"/>
      <c r="O51" s="70"/>
      <c r="P51" s="92">
        <v>-6</v>
      </c>
      <c r="Q51" s="70">
        <v>8</v>
      </c>
      <c r="R51" s="493">
        <v>4</v>
      </c>
      <c r="S51" s="7"/>
    </row>
    <row r="52" spans="3:19" x14ac:dyDescent="0.3">
      <c r="C52" s="100" t="s">
        <v>340</v>
      </c>
      <c r="M52" s="50"/>
      <c r="O52" s="70"/>
      <c r="P52" s="92">
        <v>5</v>
      </c>
      <c r="Q52" s="70">
        <v>0</v>
      </c>
      <c r="R52" s="493"/>
      <c r="S52" s="7">
        <v>2</v>
      </c>
    </row>
    <row r="53" spans="3:19" x14ac:dyDescent="0.3">
      <c r="C53" s="94"/>
      <c r="M53" s="50"/>
      <c r="O53" s="97"/>
      <c r="P53" s="98"/>
      <c r="Q53" s="99"/>
      <c r="R53" s="493"/>
      <c r="S53" s="7"/>
    </row>
    <row r="54" spans="3:19" x14ac:dyDescent="0.3">
      <c r="C54" s="53" t="s">
        <v>341</v>
      </c>
      <c r="M54" s="50"/>
      <c r="O54" s="97"/>
      <c r="P54" s="98"/>
      <c r="Q54" s="99"/>
      <c r="S54" s="7"/>
    </row>
    <row r="55" spans="3:19" ht="15.75" customHeight="1" x14ac:dyDescent="0.3">
      <c r="C55" s="50" t="s">
        <v>342</v>
      </c>
      <c r="M55" s="50"/>
      <c r="O55" s="70"/>
      <c r="P55" s="92">
        <v>4</v>
      </c>
      <c r="Q55" s="70">
        <v>45</v>
      </c>
      <c r="R55" s="493">
        <v>-16</v>
      </c>
      <c r="S55" s="7">
        <v>-15</v>
      </c>
    </row>
    <row r="56" spans="3:19" x14ac:dyDescent="0.3">
      <c r="C56" s="50" t="s">
        <v>343</v>
      </c>
      <c r="M56" s="50"/>
      <c r="O56" s="101"/>
      <c r="P56" s="92"/>
      <c r="Q56" s="70"/>
      <c r="R56" s="493"/>
      <c r="S56" s="7"/>
    </row>
    <row r="57" spans="3:19" ht="15.75" customHeight="1" x14ac:dyDescent="0.3">
      <c r="C57" s="102" t="s">
        <v>344</v>
      </c>
      <c r="M57" s="50"/>
      <c r="O57" s="70"/>
      <c r="P57" s="92">
        <v>73</v>
      </c>
      <c r="Q57" s="70">
        <v>-26</v>
      </c>
      <c r="R57" s="493">
        <v>-53</v>
      </c>
      <c r="S57" s="7">
        <v>69</v>
      </c>
    </row>
    <row r="58" spans="3:19" ht="15.75" customHeight="1" x14ac:dyDescent="0.3">
      <c r="C58" s="102" t="s">
        <v>345</v>
      </c>
      <c r="M58" s="50"/>
      <c r="O58" s="70"/>
      <c r="P58" s="92">
        <v>-12</v>
      </c>
      <c r="Q58" s="70">
        <v>66</v>
      </c>
      <c r="R58" s="493">
        <v>7</v>
      </c>
      <c r="S58" s="7">
        <v>-15</v>
      </c>
    </row>
    <row r="59" spans="3:19" x14ac:dyDescent="0.3">
      <c r="C59" s="103" t="s">
        <v>346</v>
      </c>
      <c r="M59" s="80"/>
      <c r="O59" s="77"/>
      <c r="P59" s="104">
        <v>12</v>
      </c>
      <c r="Q59" s="77">
        <v>8</v>
      </c>
      <c r="R59" s="12">
        <v>-4</v>
      </c>
      <c r="S59" s="12">
        <v>2</v>
      </c>
    </row>
    <row r="60" spans="3:19" ht="15.75" customHeight="1" x14ac:dyDescent="0.3">
      <c r="C60" s="50" t="s">
        <v>247</v>
      </c>
      <c r="M60" s="50"/>
      <c r="O60" s="70"/>
      <c r="P60" s="92">
        <v>77</v>
      </c>
      <c r="Q60" s="70">
        <v>93</v>
      </c>
      <c r="R60" s="493">
        <v>-65</v>
      </c>
      <c r="S60" s="7">
        <v>40</v>
      </c>
    </row>
    <row r="61" spans="3:19" x14ac:dyDescent="0.3">
      <c r="C61" s="50"/>
      <c r="M61" s="50"/>
      <c r="O61" s="101"/>
      <c r="P61" s="92"/>
      <c r="Q61" s="70"/>
      <c r="R61" s="493"/>
      <c r="S61" s="7"/>
    </row>
    <row r="62" spans="3:19" x14ac:dyDescent="0.3">
      <c r="C62" s="105" t="s">
        <v>347</v>
      </c>
      <c r="M62" s="106"/>
      <c r="O62" s="107"/>
      <c r="P62" s="108">
        <v>76</v>
      </c>
      <c r="Q62" s="107">
        <v>101</v>
      </c>
      <c r="R62" s="436">
        <v>-61</v>
      </c>
      <c r="S62" s="436">
        <v>42</v>
      </c>
    </row>
    <row r="63" spans="3:19" x14ac:dyDescent="0.3">
      <c r="C63" s="53"/>
      <c r="M63" s="50"/>
      <c r="O63" s="101"/>
      <c r="P63" s="92"/>
      <c r="Q63" s="70"/>
      <c r="R63" s="493"/>
      <c r="S63" s="7"/>
    </row>
    <row r="64" spans="3:19" x14ac:dyDescent="0.3">
      <c r="C64" s="81" t="s">
        <v>349</v>
      </c>
      <c r="M64" s="82"/>
      <c r="O64" s="83"/>
      <c r="P64" s="109">
        <v>790</v>
      </c>
      <c r="Q64" s="83">
        <v>1890</v>
      </c>
      <c r="R64" s="435">
        <v>715</v>
      </c>
      <c r="S64" s="435">
        <v>956</v>
      </c>
    </row>
    <row r="65" spans="3:19" x14ac:dyDescent="0.3">
      <c r="C65" s="53"/>
      <c r="M65" s="50"/>
      <c r="O65" s="91"/>
      <c r="P65" s="92"/>
      <c r="Q65" s="70"/>
      <c r="S65" s="7"/>
    </row>
    <row r="66" spans="3:19" x14ac:dyDescent="0.3">
      <c r="C66" s="53" t="s">
        <v>350</v>
      </c>
      <c r="M66" s="50"/>
      <c r="O66" s="50"/>
      <c r="P66" s="92"/>
      <c r="Q66" s="70"/>
      <c r="S66" s="7"/>
    </row>
    <row r="67" spans="3:19" ht="15.75" customHeight="1" x14ac:dyDescent="0.3">
      <c r="C67" s="50" t="s">
        <v>20</v>
      </c>
      <c r="M67" s="50"/>
      <c r="O67" s="70"/>
      <c r="P67" s="92">
        <v>788</v>
      </c>
      <c r="Q67" s="70">
        <v>1890</v>
      </c>
      <c r="R67" s="493">
        <v>714</v>
      </c>
      <c r="S67" s="7">
        <v>952</v>
      </c>
    </row>
    <row r="68" spans="3:19" ht="15.75" customHeight="1" x14ac:dyDescent="0.3">
      <c r="C68" s="50" t="s">
        <v>302</v>
      </c>
      <c r="M68" s="50"/>
      <c r="O68" s="70"/>
      <c r="P68" s="92">
        <v>2</v>
      </c>
      <c r="Q68" s="70">
        <v>1</v>
      </c>
      <c r="R68" s="493">
        <v>0</v>
      </c>
      <c r="S68" s="7">
        <v>3</v>
      </c>
    </row>
    <row r="69" spans="3:19" x14ac:dyDescent="0.3">
      <c r="C69" s="82"/>
      <c r="M69" s="82"/>
      <c r="O69" s="83"/>
      <c r="P69" s="109">
        <v>790</v>
      </c>
      <c r="Q69" s="83">
        <v>1890</v>
      </c>
      <c r="R69" s="435">
        <v>715</v>
      </c>
      <c r="S69" s="435">
        <v>956</v>
      </c>
    </row>
    <row r="70" spans="3:19" x14ac:dyDescent="0.3">
      <c r="O70" s="13"/>
      <c r="P70" s="50"/>
      <c r="Q70" s="50"/>
      <c r="R70" s="493"/>
      <c r="S70" s="7"/>
    </row>
    <row r="71" spans="3:19" x14ac:dyDescent="0.3">
      <c r="C71" s="110"/>
      <c r="M71" s="110"/>
      <c r="O71" s="13"/>
      <c r="P71" s="56"/>
      <c r="R71" s="493"/>
      <c r="S71" s="7"/>
    </row>
    <row r="72" spans="3:19" x14ac:dyDescent="0.3">
      <c r="C72" s="53" t="s">
        <v>400</v>
      </c>
      <c r="M72" s="50"/>
      <c r="O72" s="50"/>
      <c r="P72" s="111"/>
      <c r="Q72" s="60"/>
      <c r="S72" s="7"/>
    </row>
    <row r="73" spans="3:19" x14ac:dyDescent="0.3">
      <c r="C73" s="53"/>
      <c r="M73" s="50"/>
      <c r="O73" s="50"/>
      <c r="P73" s="60"/>
      <c r="Q73" s="60"/>
      <c r="R73" s="432" t="s">
        <v>398</v>
      </c>
    </row>
    <row r="74" spans="3:19" x14ac:dyDescent="0.3">
      <c r="C74" s="53"/>
      <c r="O74" s="112"/>
      <c r="P74" s="113" t="s">
        <v>401</v>
      </c>
      <c r="Q74" s="114" t="s">
        <v>401</v>
      </c>
      <c r="R74" s="437">
        <v>44197</v>
      </c>
      <c r="S74" s="527">
        <v>44561</v>
      </c>
    </row>
    <row r="75" spans="3:19" x14ac:dyDescent="0.3">
      <c r="C75" s="62" t="s">
        <v>24</v>
      </c>
      <c r="M75" s="115"/>
      <c r="O75" s="116" t="s">
        <v>390</v>
      </c>
      <c r="P75" s="117">
        <v>2020</v>
      </c>
      <c r="Q75" s="118">
        <v>2019</v>
      </c>
      <c r="R75" s="6">
        <v>2018</v>
      </c>
      <c r="S75" s="6">
        <v>2017</v>
      </c>
    </row>
    <row r="76" spans="3:19" x14ac:dyDescent="0.3">
      <c r="C76" s="50"/>
      <c r="O76" s="66"/>
      <c r="P76" s="92"/>
      <c r="Q76" s="91"/>
      <c r="R76" s="493"/>
      <c r="S76" s="7"/>
    </row>
    <row r="77" spans="3:19" x14ac:dyDescent="0.3">
      <c r="C77" s="53" t="s">
        <v>283</v>
      </c>
      <c r="O77" s="66"/>
      <c r="P77" s="92"/>
      <c r="Q77" s="91"/>
      <c r="R77" s="493"/>
      <c r="S77" s="7"/>
    </row>
    <row r="78" spans="3:19" x14ac:dyDescent="0.3">
      <c r="C78" s="119" t="s">
        <v>38</v>
      </c>
      <c r="O78" s="66"/>
      <c r="P78" s="92"/>
      <c r="Q78" s="91"/>
      <c r="R78" s="493"/>
      <c r="S78" s="7"/>
    </row>
    <row r="79" spans="3:19" ht="15.75" customHeight="1" x14ac:dyDescent="0.3">
      <c r="C79" s="120" t="s">
        <v>39</v>
      </c>
      <c r="O79" s="110">
        <v>8</v>
      </c>
      <c r="P79" s="71">
        <v>264</v>
      </c>
      <c r="Q79" s="70">
        <v>135</v>
      </c>
      <c r="R79" s="493">
        <v>100</v>
      </c>
      <c r="S79" s="7">
        <v>100</v>
      </c>
    </row>
    <row r="80" spans="3:19" x14ac:dyDescent="0.3">
      <c r="C80" s="120" t="s">
        <v>286</v>
      </c>
      <c r="O80" s="110">
        <v>8</v>
      </c>
      <c r="P80" s="71">
        <v>4477</v>
      </c>
      <c r="Q80" s="70">
        <v>4187</v>
      </c>
      <c r="R80" s="434">
        <v>3856</v>
      </c>
      <c r="S80" s="488">
        <v>3856</v>
      </c>
    </row>
    <row r="81" spans="3:24" ht="15.75" customHeight="1" x14ac:dyDescent="0.3">
      <c r="C81" s="120" t="s">
        <v>41</v>
      </c>
      <c r="O81" s="110">
        <v>9</v>
      </c>
      <c r="P81" s="71">
        <v>56</v>
      </c>
      <c r="Q81" s="70">
        <v>22</v>
      </c>
      <c r="R81" s="493">
        <v>213</v>
      </c>
      <c r="S81" s="7">
        <v>213</v>
      </c>
    </row>
    <row r="82" spans="3:24" ht="15.75" customHeight="1" x14ac:dyDescent="0.3">
      <c r="C82" s="120" t="s">
        <v>287</v>
      </c>
      <c r="O82" s="110"/>
      <c r="P82" s="71">
        <v>61</v>
      </c>
      <c r="Q82" s="70">
        <v>56</v>
      </c>
      <c r="R82" s="493">
        <v>51</v>
      </c>
      <c r="S82" s="7">
        <v>51</v>
      </c>
    </row>
    <row r="83" spans="3:24" ht="15.75" customHeight="1" x14ac:dyDescent="0.3">
      <c r="C83" s="120" t="s">
        <v>43</v>
      </c>
      <c r="O83" s="121"/>
      <c r="P83" s="71">
        <v>35</v>
      </c>
      <c r="Q83" s="70">
        <v>40</v>
      </c>
      <c r="R83" s="493">
        <v>36</v>
      </c>
      <c r="S83" s="7">
        <v>35</v>
      </c>
    </row>
    <row r="84" spans="3:24" ht="15.75" customHeight="1" x14ac:dyDescent="0.3">
      <c r="C84" s="120" t="s">
        <v>44</v>
      </c>
      <c r="O84" s="110">
        <v>11</v>
      </c>
      <c r="P84" s="71">
        <v>3</v>
      </c>
      <c r="Q84" s="70">
        <v>7</v>
      </c>
      <c r="R84" s="493">
        <v>4</v>
      </c>
      <c r="S84" s="7">
        <v>4</v>
      </c>
    </row>
    <row r="85" spans="3:24" x14ac:dyDescent="0.3">
      <c r="C85" s="122" t="s">
        <v>45</v>
      </c>
      <c r="M85" s="115"/>
      <c r="O85" s="123">
        <v>11</v>
      </c>
      <c r="P85" s="78">
        <v>32</v>
      </c>
      <c r="Q85" s="77">
        <v>5</v>
      </c>
      <c r="R85" s="12">
        <v>5</v>
      </c>
      <c r="S85" s="12">
        <v>5</v>
      </c>
    </row>
    <row r="86" spans="3:24" x14ac:dyDescent="0.3">
      <c r="C86" s="119" t="s">
        <v>46</v>
      </c>
      <c r="O86" s="66"/>
      <c r="P86" s="124">
        <v>4928</v>
      </c>
      <c r="Q86" s="70">
        <v>4452</v>
      </c>
      <c r="R86" s="434">
        <v>4264</v>
      </c>
      <c r="S86" s="488">
        <v>4262</v>
      </c>
    </row>
    <row r="87" spans="3:24" x14ac:dyDescent="0.3">
      <c r="C87" s="119"/>
      <c r="O87" s="66"/>
      <c r="P87" s="125"/>
      <c r="Q87" s="91"/>
      <c r="S87" s="7"/>
    </row>
    <row r="88" spans="3:24" x14ac:dyDescent="0.3">
      <c r="C88" s="119" t="s">
        <v>288</v>
      </c>
      <c r="O88" s="66"/>
      <c r="P88" s="125"/>
      <c r="Q88" s="91"/>
      <c r="S88" s="7"/>
      <c r="V88" s="398"/>
    </row>
    <row r="89" spans="3:24" ht="28.8" x14ac:dyDescent="0.3">
      <c r="C89" s="120" t="s">
        <v>48</v>
      </c>
      <c r="O89" s="66"/>
      <c r="P89" s="124">
        <v>1829</v>
      </c>
      <c r="Q89" s="70">
        <v>1678</v>
      </c>
      <c r="R89" s="434">
        <v>1551</v>
      </c>
      <c r="S89" s="488">
        <v>1563</v>
      </c>
      <c r="V89" s="1" t="s">
        <v>272</v>
      </c>
      <c r="W89" t="s">
        <v>402</v>
      </c>
      <c r="X89" t="s">
        <v>403</v>
      </c>
    </row>
    <row r="90" spans="3:24" x14ac:dyDescent="0.3">
      <c r="C90" s="120" t="s">
        <v>292</v>
      </c>
      <c r="O90" s="66"/>
      <c r="P90" s="124">
        <v>1208</v>
      </c>
      <c r="Q90" s="70">
        <v>1915</v>
      </c>
      <c r="R90" s="434">
        <v>1096</v>
      </c>
      <c r="S90" s="488">
        <v>1097</v>
      </c>
      <c r="W90">
        <v>-176</v>
      </c>
      <c r="X90">
        <v>-197</v>
      </c>
    </row>
    <row r="91" spans="3:24" ht="15.75" customHeight="1" x14ac:dyDescent="0.3">
      <c r="C91" s="120" t="s">
        <v>44</v>
      </c>
      <c r="O91" s="110">
        <v>11</v>
      </c>
      <c r="P91" s="124">
        <v>260</v>
      </c>
      <c r="Q91" s="70">
        <v>236</v>
      </c>
      <c r="R91" s="493">
        <v>86</v>
      </c>
      <c r="S91" s="7">
        <v>86</v>
      </c>
    </row>
    <row r="92" spans="3:24" ht="15.75" customHeight="1" x14ac:dyDescent="0.3">
      <c r="C92" s="120" t="s">
        <v>293</v>
      </c>
      <c r="O92" s="121"/>
      <c r="P92" s="124">
        <v>20</v>
      </c>
      <c r="Q92" s="70">
        <v>19</v>
      </c>
      <c r="R92" s="493">
        <v>0</v>
      </c>
      <c r="S92" s="7">
        <v>0</v>
      </c>
    </row>
    <row r="93" spans="3:24" x14ac:dyDescent="0.3">
      <c r="C93" s="122" t="s">
        <v>51</v>
      </c>
      <c r="M93" s="115"/>
      <c r="O93" s="126"/>
      <c r="P93" s="127">
        <v>1552</v>
      </c>
      <c r="Q93" s="77">
        <v>1493</v>
      </c>
      <c r="R93" s="12">
        <v>783</v>
      </c>
      <c r="S93" s="12">
        <v>783</v>
      </c>
    </row>
    <row r="94" spans="3:24" x14ac:dyDescent="0.3">
      <c r="C94" s="119" t="s">
        <v>295</v>
      </c>
      <c r="O94" s="121"/>
      <c r="P94" s="124">
        <v>4869</v>
      </c>
      <c r="Q94" s="70">
        <v>5341</v>
      </c>
      <c r="R94" s="434">
        <v>3517</v>
      </c>
      <c r="S94" s="488">
        <v>3530</v>
      </c>
    </row>
    <row r="95" spans="3:24" x14ac:dyDescent="0.3">
      <c r="C95" s="119"/>
      <c r="O95" s="121"/>
      <c r="P95" s="92"/>
      <c r="Q95" s="91"/>
      <c r="R95" s="493"/>
      <c r="S95" s="7"/>
    </row>
    <row r="96" spans="3:24" x14ac:dyDescent="0.3">
      <c r="C96" s="119" t="s">
        <v>296</v>
      </c>
      <c r="O96" s="110">
        <v>6</v>
      </c>
      <c r="P96" s="71">
        <v>17</v>
      </c>
      <c r="Q96" s="70">
        <v>0</v>
      </c>
    </row>
    <row r="97" spans="3:19" x14ac:dyDescent="0.3">
      <c r="C97" s="119"/>
      <c r="O97" s="121"/>
      <c r="P97" s="92"/>
      <c r="Q97" s="91"/>
    </row>
    <row r="98" spans="3:19" x14ac:dyDescent="0.3">
      <c r="C98" s="128" t="s">
        <v>297</v>
      </c>
      <c r="M98" s="129"/>
      <c r="O98" s="130">
        <v>4</v>
      </c>
      <c r="P98" s="131">
        <v>9815</v>
      </c>
      <c r="Q98" s="132">
        <v>9793</v>
      </c>
      <c r="R98" s="438">
        <v>7781</v>
      </c>
      <c r="S98" s="438">
        <v>7793</v>
      </c>
    </row>
    <row r="99" spans="3:19" x14ac:dyDescent="0.3">
      <c r="C99" s="120"/>
      <c r="O99" s="121"/>
      <c r="P99" s="92"/>
      <c r="Q99" s="91"/>
      <c r="S99" s="7"/>
    </row>
    <row r="100" spans="3:19" x14ac:dyDescent="0.3">
      <c r="C100" s="119" t="s">
        <v>298</v>
      </c>
      <c r="O100" s="121"/>
      <c r="P100" s="71"/>
      <c r="Q100" s="70"/>
      <c r="S100" s="7"/>
    </row>
    <row r="101" spans="3:19" x14ac:dyDescent="0.3">
      <c r="C101" s="119" t="s">
        <v>299</v>
      </c>
      <c r="O101" s="121"/>
      <c r="P101" s="71"/>
      <c r="Q101" s="70"/>
      <c r="R101" s="493"/>
      <c r="S101" s="7">
        <v>40</v>
      </c>
    </row>
    <row r="102" spans="3:19" ht="15.75" customHeight="1" x14ac:dyDescent="0.3">
      <c r="C102" s="120" t="s">
        <v>300</v>
      </c>
      <c r="O102" s="121"/>
      <c r="P102" s="71">
        <v>40</v>
      </c>
      <c r="Q102" s="70">
        <v>40</v>
      </c>
      <c r="R102" s="493">
        <v>40</v>
      </c>
      <c r="S102" s="15">
        <v>4298</v>
      </c>
    </row>
    <row r="103" spans="3:19" x14ac:dyDescent="0.3">
      <c r="C103" s="122" t="s">
        <v>301</v>
      </c>
      <c r="M103" s="115"/>
      <c r="O103" s="126"/>
      <c r="P103" s="78">
        <v>5885</v>
      </c>
      <c r="Q103" s="77">
        <v>5879</v>
      </c>
      <c r="R103" s="15">
        <v>4292</v>
      </c>
      <c r="S103" s="488">
        <v>4338</v>
      </c>
    </row>
    <row r="104" spans="3:19" x14ac:dyDescent="0.3">
      <c r="C104" s="119" t="s">
        <v>247</v>
      </c>
      <c r="O104" s="121"/>
      <c r="P104" s="71">
        <v>5925</v>
      </c>
      <c r="Q104" s="70">
        <v>5919</v>
      </c>
      <c r="R104" s="434">
        <v>4332</v>
      </c>
      <c r="S104" s="12">
        <v>0</v>
      </c>
    </row>
    <row r="105" spans="3:19" x14ac:dyDescent="0.3">
      <c r="C105" s="133" t="s">
        <v>302</v>
      </c>
      <c r="M105" s="115"/>
      <c r="O105" s="134"/>
      <c r="P105" s="78">
        <v>4</v>
      </c>
      <c r="Q105" s="77">
        <v>2</v>
      </c>
      <c r="R105" s="12">
        <v>0</v>
      </c>
      <c r="S105" s="488">
        <v>4338</v>
      </c>
    </row>
    <row r="106" spans="3:19" x14ac:dyDescent="0.3">
      <c r="C106" s="119" t="s">
        <v>303</v>
      </c>
      <c r="O106" s="57"/>
      <c r="P106" s="71">
        <v>5929</v>
      </c>
      <c r="Q106" s="70">
        <v>5922</v>
      </c>
      <c r="R106" s="434">
        <v>4332</v>
      </c>
    </row>
    <row r="107" spans="3:19" x14ac:dyDescent="0.3">
      <c r="C107" s="119"/>
      <c r="O107" s="57"/>
      <c r="P107" s="92"/>
      <c r="Q107" s="91"/>
    </row>
    <row r="108" spans="3:19" x14ac:dyDescent="0.3">
      <c r="C108" s="119" t="s">
        <v>57</v>
      </c>
      <c r="O108" s="57"/>
      <c r="P108" s="92"/>
      <c r="Q108" s="91"/>
    </row>
    <row r="109" spans="3:19" x14ac:dyDescent="0.3">
      <c r="C109" s="119" t="s">
        <v>304</v>
      </c>
      <c r="O109" s="57"/>
      <c r="P109" s="92"/>
      <c r="Q109" s="91"/>
      <c r="R109" s="493"/>
    </row>
    <row r="110" spans="3:19" x14ac:dyDescent="0.3">
      <c r="C110" s="120" t="s">
        <v>59</v>
      </c>
      <c r="O110" s="57"/>
      <c r="P110" s="71">
        <v>1050</v>
      </c>
      <c r="Q110" s="70">
        <v>1080</v>
      </c>
      <c r="R110" s="434">
        <v>1032</v>
      </c>
      <c r="S110" s="488">
        <v>1032</v>
      </c>
    </row>
    <row r="111" spans="3:19" ht="15.75" customHeight="1" x14ac:dyDescent="0.3">
      <c r="C111" s="120" t="s">
        <v>60</v>
      </c>
      <c r="O111" s="57"/>
      <c r="P111" s="71">
        <v>222</v>
      </c>
      <c r="Q111" s="70">
        <v>255</v>
      </c>
      <c r="R111" s="493">
        <v>269</v>
      </c>
      <c r="S111" s="7">
        <v>269</v>
      </c>
    </row>
    <row r="112" spans="3:19" ht="15.75" customHeight="1" x14ac:dyDescent="0.3">
      <c r="C112" s="120" t="s">
        <v>61</v>
      </c>
      <c r="O112" s="57"/>
      <c r="P112" s="71">
        <v>232</v>
      </c>
      <c r="Q112" s="70">
        <v>93</v>
      </c>
      <c r="R112" s="493">
        <v>55</v>
      </c>
      <c r="S112" s="7">
        <v>55</v>
      </c>
    </row>
    <row r="113" spans="3:19" ht="15.75" customHeight="1" x14ac:dyDescent="0.3">
      <c r="C113" s="120" t="s">
        <v>62</v>
      </c>
      <c r="O113" s="57"/>
      <c r="P113" s="71">
        <v>111</v>
      </c>
      <c r="Q113" s="70">
        <v>111</v>
      </c>
      <c r="R113" s="493">
        <v>131</v>
      </c>
      <c r="S113" s="7">
        <v>131</v>
      </c>
    </row>
    <row r="114" spans="3:19" ht="15.75" customHeight="1" x14ac:dyDescent="0.3">
      <c r="C114" s="120" t="s">
        <v>44</v>
      </c>
      <c r="O114" s="110">
        <v>11</v>
      </c>
      <c r="P114" s="71">
        <v>1</v>
      </c>
      <c r="Q114" s="70">
        <v>1</v>
      </c>
      <c r="R114" s="493">
        <v>0</v>
      </c>
      <c r="S114" s="7">
        <v>0</v>
      </c>
    </row>
    <row r="115" spans="3:19" x14ac:dyDescent="0.3">
      <c r="C115" s="122" t="s">
        <v>63</v>
      </c>
      <c r="M115" s="115"/>
      <c r="O115" s="123"/>
      <c r="P115" s="78">
        <v>21</v>
      </c>
      <c r="Q115" s="77">
        <v>21</v>
      </c>
      <c r="R115" s="12">
        <v>14</v>
      </c>
      <c r="S115" s="12">
        <v>17</v>
      </c>
    </row>
    <row r="116" spans="3:19" x14ac:dyDescent="0.3">
      <c r="C116" s="119" t="s">
        <v>64</v>
      </c>
      <c r="O116" s="110"/>
      <c r="P116" s="71">
        <v>1638</v>
      </c>
      <c r="Q116" s="70">
        <v>1561</v>
      </c>
      <c r="R116" s="434">
        <v>1500</v>
      </c>
      <c r="S116" s="488">
        <v>1504</v>
      </c>
    </row>
    <row r="117" spans="3:19" x14ac:dyDescent="0.3">
      <c r="C117" s="119"/>
      <c r="O117" s="110"/>
      <c r="P117" s="92"/>
      <c r="Q117" s="91"/>
    </row>
    <row r="118" spans="3:19" x14ac:dyDescent="0.3">
      <c r="C118" s="119" t="s">
        <v>65</v>
      </c>
      <c r="O118" s="110"/>
      <c r="P118" s="92"/>
      <c r="Q118" s="91"/>
    </row>
    <row r="119" spans="3:19" ht="15.75" customHeight="1" x14ac:dyDescent="0.3">
      <c r="C119" s="120" t="s">
        <v>59</v>
      </c>
      <c r="O119" s="110"/>
      <c r="P119" s="71">
        <v>257</v>
      </c>
      <c r="Q119" s="70">
        <v>242</v>
      </c>
      <c r="R119" s="493">
        <v>163</v>
      </c>
      <c r="S119" s="7">
        <v>163</v>
      </c>
    </row>
    <row r="120" spans="3:19" ht="15.75" customHeight="1" x14ac:dyDescent="0.3">
      <c r="C120" s="120" t="s">
        <v>66</v>
      </c>
      <c r="O120" s="110"/>
      <c r="P120" s="71">
        <v>7</v>
      </c>
      <c r="Q120" s="70">
        <v>16</v>
      </c>
      <c r="R120" s="493">
        <v>36</v>
      </c>
      <c r="S120" s="7">
        <v>36</v>
      </c>
    </row>
    <row r="121" spans="3:19" ht="15.75" customHeight="1" x14ac:dyDescent="0.3">
      <c r="C121" s="120" t="s">
        <v>44</v>
      </c>
      <c r="O121" s="110">
        <v>11</v>
      </c>
      <c r="P121" s="71">
        <v>111</v>
      </c>
      <c r="Q121" s="70">
        <v>63</v>
      </c>
      <c r="R121" s="493">
        <v>72</v>
      </c>
      <c r="S121" s="7">
        <v>72</v>
      </c>
    </row>
    <row r="122" spans="3:19" x14ac:dyDescent="0.3">
      <c r="C122" s="122" t="s">
        <v>305</v>
      </c>
      <c r="M122" s="115"/>
      <c r="O122" s="123"/>
      <c r="P122" s="78">
        <v>1872</v>
      </c>
      <c r="Q122" s="77">
        <v>1990</v>
      </c>
      <c r="R122" s="15">
        <v>1677</v>
      </c>
      <c r="S122" s="15">
        <v>1679</v>
      </c>
    </row>
    <row r="123" spans="3:19" x14ac:dyDescent="0.3">
      <c r="C123" s="53" t="s">
        <v>68</v>
      </c>
      <c r="O123" s="110"/>
      <c r="P123" s="71">
        <v>2247</v>
      </c>
      <c r="Q123" s="70">
        <v>2311</v>
      </c>
      <c r="R123" s="434">
        <v>1948</v>
      </c>
      <c r="S123" s="488">
        <v>1951</v>
      </c>
    </row>
    <row r="124" spans="3:19" x14ac:dyDescent="0.3">
      <c r="C124" s="53"/>
      <c r="O124" s="110"/>
      <c r="P124" s="71"/>
      <c r="Q124" s="70"/>
    </row>
    <row r="125" spans="3:19" x14ac:dyDescent="0.3">
      <c r="C125" s="53" t="s">
        <v>306</v>
      </c>
      <c r="O125" s="110"/>
      <c r="P125" s="71">
        <v>0</v>
      </c>
      <c r="Q125" s="70">
        <v>0</v>
      </c>
    </row>
    <row r="126" spans="3:19" x14ac:dyDescent="0.3">
      <c r="C126" s="53"/>
      <c r="O126" s="110"/>
      <c r="P126" s="71"/>
      <c r="Q126" s="70"/>
      <c r="R126" s="493"/>
      <c r="S126" s="7"/>
    </row>
    <row r="127" spans="3:19" x14ac:dyDescent="0.3">
      <c r="C127" s="135" t="s">
        <v>69</v>
      </c>
      <c r="M127" s="115"/>
      <c r="O127" s="123">
        <v>4</v>
      </c>
      <c r="P127" s="78">
        <v>3886</v>
      </c>
      <c r="Q127" s="77">
        <v>3872</v>
      </c>
      <c r="R127" s="15">
        <v>3448</v>
      </c>
      <c r="S127" s="15">
        <v>3455</v>
      </c>
    </row>
    <row r="128" spans="3:19" x14ac:dyDescent="0.3">
      <c r="C128" s="50"/>
      <c r="O128" s="57"/>
      <c r="P128" s="92"/>
      <c r="Q128" s="91"/>
      <c r="R128" s="493"/>
      <c r="S128" s="7"/>
    </row>
    <row r="129" spans="3:19" x14ac:dyDescent="0.3">
      <c r="C129" s="136" t="s">
        <v>70</v>
      </c>
      <c r="M129" s="129"/>
      <c r="O129" s="137"/>
      <c r="P129" s="131">
        <v>9815</v>
      </c>
      <c r="Q129" s="132">
        <v>9793</v>
      </c>
      <c r="R129" s="438">
        <v>7781</v>
      </c>
      <c r="S129" s="438">
        <v>7793</v>
      </c>
    </row>
    <row r="130" spans="3:19" ht="20.399999999999999" x14ac:dyDescent="0.35">
      <c r="C130" s="120"/>
      <c r="O130" s="70"/>
      <c r="P130" s="138"/>
      <c r="Q130" s="70"/>
      <c r="R130" s="493"/>
      <c r="S130" s="7"/>
    </row>
    <row r="131" spans="3:19" x14ac:dyDescent="0.3">
      <c r="M131" s="50"/>
      <c r="O131" s="50"/>
      <c r="P131" s="13"/>
      <c r="R131" s="493"/>
    </row>
    <row r="132" spans="3:19" x14ac:dyDescent="0.3">
      <c r="C132" s="53" t="s">
        <v>404</v>
      </c>
      <c r="M132" s="56"/>
      <c r="O132" s="50"/>
      <c r="P132" s="50"/>
      <c r="Q132" s="50"/>
      <c r="R132" s="493"/>
    </row>
    <row r="133" spans="3:19" x14ac:dyDescent="0.3">
      <c r="C133" s="53"/>
      <c r="M133" s="56"/>
      <c r="O133" s="56"/>
      <c r="P133" s="60"/>
      <c r="Q133" s="56"/>
      <c r="R133" s="432" t="s">
        <v>398</v>
      </c>
    </row>
    <row r="134" spans="3:19" x14ac:dyDescent="0.3">
      <c r="C134" s="62" t="s">
        <v>24</v>
      </c>
      <c r="M134" s="63"/>
      <c r="O134" s="65"/>
      <c r="P134" s="65" t="s">
        <v>250</v>
      </c>
      <c r="Q134" s="64" t="s">
        <v>249</v>
      </c>
      <c r="R134" s="433">
        <v>43112</v>
      </c>
      <c r="S134" s="433">
        <v>42747</v>
      </c>
    </row>
    <row r="135" spans="3:19" x14ac:dyDescent="0.3">
      <c r="C135" s="53" t="s">
        <v>355</v>
      </c>
      <c r="M135" s="50"/>
      <c r="O135" s="54"/>
      <c r="P135" s="54"/>
      <c r="Q135" s="56"/>
      <c r="R135" s="493"/>
    </row>
    <row r="136" spans="3:19" ht="15.75" customHeight="1" x14ac:dyDescent="0.3">
      <c r="C136" s="53"/>
      <c r="M136" s="50"/>
      <c r="O136" s="71"/>
      <c r="P136" s="71">
        <v>786</v>
      </c>
      <c r="Q136" s="70">
        <v>2067</v>
      </c>
      <c r="R136" s="493">
        <v>947</v>
      </c>
      <c r="S136" s="488">
        <v>1094</v>
      </c>
    </row>
    <row r="137" spans="3:19" ht="15.75" customHeight="1" x14ac:dyDescent="0.3">
      <c r="C137" s="53"/>
      <c r="M137" s="50"/>
      <c r="O137" s="71"/>
      <c r="P137" s="71">
        <v>997</v>
      </c>
      <c r="Q137" s="70">
        <v>550</v>
      </c>
      <c r="R137" s="493">
        <v>590</v>
      </c>
      <c r="S137" s="7">
        <v>363</v>
      </c>
    </row>
    <row r="138" spans="3:19" x14ac:dyDescent="0.3">
      <c r="C138" s="53"/>
      <c r="M138" s="80"/>
      <c r="O138" s="78"/>
      <c r="P138" s="78">
        <v>460</v>
      </c>
      <c r="Q138" s="77">
        <v>-780</v>
      </c>
      <c r="R138" s="12">
        <v>103</v>
      </c>
      <c r="S138" s="12">
        <v>-104</v>
      </c>
    </row>
    <row r="139" spans="3:19" x14ac:dyDescent="0.3">
      <c r="C139" s="53" t="s">
        <v>358</v>
      </c>
      <c r="M139" s="50"/>
      <c r="O139" s="71"/>
      <c r="P139" s="71">
        <v>2244</v>
      </c>
      <c r="Q139" s="70">
        <v>1837</v>
      </c>
      <c r="R139" s="434">
        <v>1640</v>
      </c>
      <c r="S139" s="488">
        <v>1353</v>
      </c>
    </row>
    <row r="140" spans="3:19" ht="15.75" customHeight="1" x14ac:dyDescent="0.3">
      <c r="C140" s="53"/>
      <c r="M140" s="50"/>
      <c r="O140" s="71"/>
      <c r="P140" s="71">
        <v>-54</v>
      </c>
      <c r="Q140" s="70">
        <v>-48</v>
      </c>
      <c r="R140" s="493">
        <v>-37</v>
      </c>
      <c r="S140" s="7">
        <v>-90</v>
      </c>
    </row>
    <row r="141" spans="3:19" x14ac:dyDescent="0.3">
      <c r="C141" s="53"/>
      <c r="M141" s="80"/>
      <c r="O141" s="78"/>
      <c r="P141" s="78">
        <v>-133</v>
      </c>
      <c r="Q141" s="77">
        <v>-333</v>
      </c>
      <c r="R141" s="12">
        <v>-151</v>
      </c>
      <c r="S141" s="12">
        <v>-169</v>
      </c>
    </row>
    <row r="142" spans="3:19" x14ac:dyDescent="0.3">
      <c r="C142" s="53" t="s">
        <v>360</v>
      </c>
      <c r="M142" s="50"/>
      <c r="O142" s="71"/>
      <c r="P142" s="71">
        <v>2057</v>
      </c>
      <c r="Q142" s="70">
        <v>1456</v>
      </c>
      <c r="R142" s="434">
        <v>1452</v>
      </c>
      <c r="S142" s="488">
        <v>1094</v>
      </c>
    </row>
    <row r="143" spans="3:19" x14ac:dyDescent="0.3">
      <c r="C143" s="53"/>
      <c r="M143" s="50"/>
      <c r="O143" s="71"/>
      <c r="P143" s="71"/>
      <c r="Q143" s="70"/>
    </row>
    <row r="144" spans="3:19" x14ac:dyDescent="0.3">
      <c r="C144" s="53" t="s">
        <v>361</v>
      </c>
      <c r="M144" s="50"/>
      <c r="O144" s="71"/>
      <c r="P144" s="71"/>
      <c r="Q144" s="70"/>
      <c r="R144" s="493"/>
    </row>
    <row r="145" spans="3:19" ht="15.75" customHeight="1" x14ac:dyDescent="0.3">
      <c r="C145" s="53" t="s">
        <v>356</v>
      </c>
      <c r="M145" s="50"/>
      <c r="O145" s="71"/>
      <c r="P145" s="71">
        <v>-762</v>
      </c>
      <c r="Q145" s="70">
        <v>-567</v>
      </c>
      <c r="R145" s="493">
        <v>-380</v>
      </c>
      <c r="S145" s="7">
        <v>-475</v>
      </c>
    </row>
    <row r="146" spans="3:19" ht="15.75" customHeight="1" x14ac:dyDescent="0.3">
      <c r="C146" s="53"/>
      <c r="M146" s="66"/>
      <c r="O146" s="71"/>
      <c r="P146" s="71">
        <v>-175</v>
      </c>
      <c r="Q146" s="70">
        <v>-1</v>
      </c>
      <c r="R146" s="493">
        <v>-15</v>
      </c>
      <c r="S146" s="7">
        <v>0</v>
      </c>
    </row>
    <row r="147" spans="3:19" ht="15.75" customHeight="1" x14ac:dyDescent="0.3">
      <c r="C147" s="53"/>
      <c r="M147" s="66"/>
      <c r="O147" s="71"/>
      <c r="P147" s="71">
        <v>-35</v>
      </c>
      <c r="Q147" s="70">
        <v>0</v>
      </c>
      <c r="R147" s="493">
        <v>0</v>
      </c>
      <c r="S147" s="7">
        <v>-27</v>
      </c>
    </row>
    <row r="148" spans="3:19" ht="15.75" customHeight="1" x14ac:dyDescent="0.3">
      <c r="C148" s="50"/>
      <c r="M148" s="50"/>
      <c r="O148" s="71"/>
      <c r="P148" s="71">
        <v>-2</v>
      </c>
      <c r="Q148" s="70">
        <v>145</v>
      </c>
      <c r="R148" s="493">
        <v>2</v>
      </c>
      <c r="S148" s="7">
        <v>5</v>
      </c>
    </row>
    <row r="149" spans="3:19" ht="15.75" customHeight="1" x14ac:dyDescent="0.3">
      <c r="C149" s="50"/>
      <c r="M149" s="50"/>
      <c r="O149" s="71"/>
      <c r="P149" s="71">
        <v>1</v>
      </c>
      <c r="Q149" s="70">
        <v>0</v>
      </c>
      <c r="R149" s="493">
        <v>2</v>
      </c>
      <c r="S149" s="7">
        <v>0</v>
      </c>
    </row>
    <row r="150" spans="3:19" x14ac:dyDescent="0.3">
      <c r="C150" s="50"/>
      <c r="M150" s="80"/>
      <c r="O150" s="78"/>
      <c r="P150" s="78">
        <v>-66</v>
      </c>
      <c r="Q150" s="77">
        <v>120</v>
      </c>
      <c r="R150" s="12">
        <v>-191</v>
      </c>
      <c r="S150" s="12">
        <v>31</v>
      </c>
    </row>
    <row r="151" spans="3:19" ht="15.75" customHeight="1" x14ac:dyDescent="0.3">
      <c r="C151" s="53" t="s">
        <v>361</v>
      </c>
      <c r="M151" s="50"/>
      <c r="O151" s="71"/>
      <c r="P151" s="71">
        <v>-1039</v>
      </c>
      <c r="Q151" s="70">
        <v>-302</v>
      </c>
      <c r="R151" s="493">
        <v>-583</v>
      </c>
      <c r="S151" s="7">
        <v>-467</v>
      </c>
    </row>
    <row r="152" spans="3:19" x14ac:dyDescent="0.3">
      <c r="C152" s="50"/>
      <c r="M152" s="50"/>
      <c r="O152" s="71"/>
      <c r="P152" s="71"/>
      <c r="Q152" s="70"/>
      <c r="R152" s="493"/>
      <c r="S152" s="7"/>
    </row>
    <row r="153" spans="3:19" ht="15.75" customHeight="1" x14ac:dyDescent="0.3">
      <c r="C153" s="53" t="s">
        <v>366</v>
      </c>
      <c r="M153" s="50"/>
      <c r="O153" s="71"/>
      <c r="P153" s="71">
        <v>1019</v>
      </c>
      <c r="Q153" s="70">
        <v>1154</v>
      </c>
      <c r="R153" s="493">
        <v>870</v>
      </c>
      <c r="S153" s="7">
        <v>628</v>
      </c>
    </row>
    <row r="154" spans="3:19" x14ac:dyDescent="0.3">
      <c r="C154" s="53"/>
      <c r="M154" s="50"/>
      <c r="O154" s="139"/>
      <c r="P154" s="139"/>
      <c r="Q154" s="140"/>
    </row>
    <row r="155" spans="3:19" x14ac:dyDescent="0.3">
      <c r="C155" s="53" t="s">
        <v>367</v>
      </c>
      <c r="M155" s="50"/>
      <c r="O155" s="139"/>
      <c r="P155" s="139"/>
      <c r="Q155" s="140"/>
      <c r="R155" s="493"/>
      <c r="S155" s="7"/>
    </row>
    <row r="156" spans="3:19" ht="15.75" customHeight="1" x14ac:dyDescent="0.3">
      <c r="C156" s="53" t="s">
        <v>356</v>
      </c>
      <c r="M156" s="50"/>
      <c r="O156" s="71"/>
      <c r="P156" s="71">
        <v>-177</v>
      </c>
      <c r="Q156" s="70">
        <v>-213</v>
      </c>
      <c r="R156" s="493">
        <v>-82</v>
      </c>
      <c r="S156" s="7">
        <v>-283</v>
      </c>
    </row>
    <row r="157" spans="3:19" ht="15.75" customHeight="1" x14ac:dyDescent="0.3">
      <c r="C157" s="53"/>
      <c r="M157" s="50"/>
      <c r="O157" s="71"/>
      <c r="P157" s="71">
        <v>-783</v>
      </c>
      <c r="Q157" s="70">
        <v>-583</v>
      </c>
      <c r="R157" s="493">
        <v>-435</v>
      </c>
      <c r="S157" s="7">
        <v>-332</v>
      </c>
    </row>
    <row r="158" spans="3:19" x14ac:dyDescent="0.3">
      <c r="C158" s="53"/>
      <c r="M158" s="80"/>
      <c r="O158" s="78"/>
      <c r="P158" s="78">
        <v>-1</v>
      </c>
      <c r="Q158" s="77">
        <v>-1</v>
      </c>
      <c r="R158" s="12">
        <v>0</v>
      </c>
      <c r="S158" s="12">
        <v>-15</v>
      </c>
    </row>
    <row r="159" spans="3:19" ht="15.75" customHeight="1" x14ac:dyDescent="0.3">
      <c r="C159" s="53" t="s">
        <v>367</v>
      </c>
      <c r="M159" s="50"/>
      <c r="O159" s="71"/>
      <c r="P159" s="71">
        <v>-961</v>
      </c>
      <c r="Q159" s="70">
        <v>-797</v>
      </c>
      <c r="R159" s="493">
        <v>-517</v>
      </c>
      <c r="S159" s="7">
        <v>-631</v>
      </c>
    </row>
    <row r="160" spans="3:19" x14ac:dyDescent="0.3">
      <c r="C160" s="53"/>
      <c r="M160" s="50"/>
      <c r="O160" s="71"/>
      <c r="P160" s="71"/>
      <c r="Q160" s="70"/>
      <c r="R160" s="493"/>
    </row>
    <row r="161" spans="3:19" ht="15.75" customHeight="1" x14ac:dyDescent="0.3">
      <c r="C161" s="53" t="s">
        <v>371</v>
      </c>
      <c r="M161" s="50"/>
      <c r="O161" s="71"/>
      <c r="P161" s="71">
        <v>57</v>
      </c>
      <c r="Q161" s="70">
        <v>357</v>
      </c>
      <c r="R161" s="493">
        <v>353</v>
      </c>
      <c r="S161" s="7">
        <v>-3</v>
      </c>
    </row>
    <row r="162" spans="3:19" x14ac:dyDescent="0.3">
      <c r="C162" s="53"/>
      <c r="M162" s="50"/>
      <c r="O162" s="71"/>
      <c r="P162" s="71"/>
      <c r="Q162" s="70"/>
      <c r="R162" s="493"/>
      <c r="S162" s="7"/>
    </row>
    <row r="163" spans="3:19" ht="15.75" customHeight="1" x14ac:dyDescent="0.3">
      <c r="C163" s="50" t="s">
        <v>374</v>
      </c>
      <c r="M163" s="50"/>
      <c r="O163" s="71"/>
      <c r="P163" s="71">
        <v>1493</v>
      </c>
      <c r="Q163" s="70">
        <v>1136</v>
      </c>
      <c r="R163" s="493">
        <v>783</v>
      </c>
      <c r="S163" s="7">
        <v>788</v>
      </c>
    </row>
    <row r="164" spans="3:19" x14ac:dyDescent="0.3">
      <c r="C164" s="80" t="s">
        <v>376</v>
      </c>
      <c r="M164" s="80"/>
      <c r="O164" s="78"/>
      <c r="P164" s="78">
        <v>2</v>
      </c>
      <c r="Q164" s="77">
        <v>0</v>
      </c>
      <c r="R164" s="12">
        <v>0</v>
      </c>
      <c r="S164" s="12">
        <v>-2</v>
      </c>
    </row>
    <row r="165" spans="3:19" x14ac:dyDescent="0.3">
      <c r="C165" s="53"/>
      <c r="M165" s="50"/>
      <c r="O165" s="71"/>
      <c r="P165" s="71"/>
      <c r="Q165" s="70"/>
      <c r="R165" s="493"/>
      <c r="S165" s="7"/>
    </row>
    <row r="166" spans="3:19" ht="18" x14ac:dyDescent="0.3">
      <c r="C166" s="141" t="s">
        <v>378</v>
      </c>
      <c r="M166" s="142"/>
      <c r="O166" s="131"/>
      <c r="P166" s="131">
        <v>1552</v>
      </c>
      <c r="Q166" s="132">
        <v>1493</v>
      </c>
      <c r="R166" s="438">
        <v>1136</v>
      </c>
      <c r="S166" s="528">
        <v>783</v>
      </c>
    </row>
    <row r="167" spans="3:19" ht="17.399999999999999" x14ac:dyDescent="0.3">
      <c r="C167" s="143" t="s">
        <v>405</v>
      </c>
      <c r="M167" s="50"/>
      <c r="O167" s="71"/>
      <c r="P167" s="71"/>
      <c r="Q167" s="70"/>
    </row>
    <row r="168" spans="3:19" x14ac:dyDescent="0.3">
      <c r="C168" s="120"/>
      <c r="O168" s="71"/>
      <c r="P168" s="71"/>
      <c r="Q168" s="70"/>
      <c r="R168" s="493"/>
      <c r="S168" s="493"/>
    </row>
    <row r="169" spans="3:19" x14ac:dyDescent="0.3">
      <c r="C169" s="66"/>
      <c r="M169" s="66"/>
      <c r="O169" s="60"/>
      <c r="P169" s="60"/>
      <c r="Q169" s="66"/>
      <c r="R169" s="493"/>
      <c r="S169" s="493"/>
    </row>
    <row r="170" spans="3:19" x14ac:dyDescent="0.3">
      <c r="C170" s="66"/>
      <c r="M170" s="66"/>
      <c r="O170" s="60"/>
      <c r="P170" s="60"/>
      <c r="Q170" s="66"/>
      <c r="R170" s="439" t="s">
        <v>23</v>
      </c>
      <c r="S170" s="20"/>
    </row>
    <row r="171" spans="3:19" x14ac:dyDescent="0.3">
      <c r="C171" s="53" t="s">
        <v>406</v>
      </c>
      <c r="M171" s="50"/>
      <c r="O171" s="56"/>
      <c r="P171" s="144"/>
      <c r="Q171" s="60"/>
      <c r="R171" s="439" t="s">
        <v>23</v>
      </c>
      <c r="S171" s="20"/>
    </row>
    <row r="172" spans="3:19" x14ac:dyDescent="0.3">
      <c r="C172" s="53"/>
      <c r="M172" s="50"/>
      <c r="O172" s="56"/>
      <c r="P172" s="144"/>
      <c r="Q172" s="60"/>
      <c r="R172" s="432" t="s">
        <v>398</v>
      </c>
      <c r="S172" s="432"/>
    </row>
    <row r="173" spans="3:19" x14ac:dyDescent="0.3">
      <c r="C173" s="53"/>
      <c r="M173" s="68"/>
      <c r="O173" s="60"/>
      <c r="P173" s="144"/>
      <c r="Q173" s="60" t="s">
        <v>401</v>
      </c>
      <c r="R173" s="437">
        <v>44561</v>
      </c>
      <c r="S173" s="437"/>
    </row>
    <row r="174" spans="3:19" ht="14.4" x14ac:dyDescent="0.3">
      <c r="C174" s="145"/>
      <c r="M174" s="440"/>
      <c r="O174" s="60"/>
      <c r="P174" s="146"/>
      <c r="Q174" s="320">
        <v>2019</v>
      </c>
      <c r="R174" s="6">
        <v>2018</v>
      </c>
      <c r="S174" s="5"/>
    </row>
    <row r="175" spans="3:19" x14ac:dyDescent="0.3">
      <c r="C175" s="66" t="s">
        <v>6</v>
      </c>
      <c r="M175" s="441"/>
      <c r="O175" s="147"/>
      <c r="P175" s="148"/>
      <c r="Q175" s="148">
        <v>15840</v>
      </c>
      <c r="R175" s="434">
        <v>14918</v>
      </c>
      <c r="S175" s="434"/>
    </row>
    <row r="176" spans="3:19" ht="15.75" customHeight="1" x14ac:dyDescent="0.3">
      <c r="C176" s="66" t="s">
        <v>330</v>
      </c>
      <c r="M176" s="61"/>
      <c r="O176" s="91"/>
      <c r="P176" s="70"/>
      <c r="Q176" s="70">
        <v>1789</v>
      </c>
      <c r="R176" s="493">
        <v>775</v>
      </c>
      <c r="S176" s="493"/>
    </row>
    <row r="177" spans="3:19" ht="16.8" x14ac:dyDescent="0.3">
      <c r="C177" s="66" t="s">
        <v>407</v>
      </c>
      <c r="M177" s="149"/>
      <c r="O177" s="87"/>
      <c r="P177" s="150"/>
      <c r="Q177" s="88">
        <v>2.33</v>
      </c>
      <c r="R177" s="493">
        <v>1.01</v>
      </c>
      <c r="S177" s="493"/>
    </row>
    <row r="178" spans="3:19" x14ac:dyDescent="0.3">
      <c r="C178" s="66"/>
      <c r="M178" s="149"/>
      <c r="O178" s="151"/>
      <c r="P178" s="150"/>
      <c r="Q178" s="152"/>
      <c r="R178" s="493"/>
      <c r="S178" s="493"/>
    </row>
    <row r="179" spans="3:19" x14ac:dyDescent="0.3">
      <c r="C179" s="153" t="s">
        <v>408</v>
      </c>
      <c r="M179" s="149"/>
      <c r="O179" s="151"/>
      <c r="P179" s="150"/>
      <c r="Q179" s="152"/>
      <c r="R179" s="493"/>
      <c r="S179" s="493"/>
    </row>
    <row r="180" spans="3:19" x14ac:dyDescent="0.3">
      <c r="C180" s="154" t="s">
        <v>409</v>
      </c>
      <c r="M180" s="155"/>
      <c r="O180" s="143"/>
      <c r="P180" s="150"/>
      <c r="Q180" s="156">
        <v>2731</v>
      </c>
      <c r="R180" s="434">
        <v>1636</v>
      </c>
      <c r="S180" s="434"/>
    </row>
    <row r="181" spans="3:19" x14ac:dyDescent="0.3">
      <c r="C181" s="154" t="s">
        <v>410</v>
      </c>
      <c r="M181" s="155"/>
      <c r="O181" s="143"/>
      <c r="P181" s="156"/>
      <c r="Q181" s="156">
        <v>7243</v>
      </c>
      <c r="R181" s="434">
        <v>5756</v>
      </c>
      <c r="S181" s="434"/>
    </row>
    <row r="182" spans="3:19" x14ac:dyDescent="0.3">
      <c r="C182" s="66" t="s">
        <v>411</v>
      </c>
      <c r="M182" s="155"/>
      <c r="O182" s="143"/>
      <c r="P182" s="156"/>
      <c r="Q182" s="156">
        <v>-191</v>
      </c>
      <c r="R182" s="493">
        <v>-70</v>
      </c>
      <c r="S182" s="493"/>
    </row>
    <row r="183" spans="3:19" x14ac:dyDescent="0.3">
      <c r="C183" s="66" t="s">
        <v>412</v>
      </c>
      <c r="M183" s="155"/>
      <c r="O183" s="143"/>
      <c r="P183" s="156"/>
      <c r="Q183" s="156">
        <v>890</v>
      </c>
      <c r="R183" s="493">
        <v>438</v>
      </c>
      <c r="S183" s="493"/>
    </row>
    <row r="184" spans="3:19" x14ac:dyDescent="0.3">
      <c r="C184" s="66" t="s">
        <v>413</v>
      </c>
      <c r="M184" s="157"/>
      <c r="O184" s="158"/>
      <c r="P184" s="156"/>
      <c r="Q184" s="159">
        <v>26.6</v>
      </c>
      <c r="R184" s="493">
        <v>21.1</v>
      </c>
      <c r="S184" s="493"/>
    </row>
    <row r="185" spans="3:19" x14ac:dyDescent="0.3">
      <c r="C185" s="66" t="s">
        <v>414</v>
      </c>
      <c r="M185" s="157"/>
      <c r="O185" s="158"/>
      <c r="P185" s="156"/>
      <c r="Q185" s="159">
        <v>35.799999999999997</v>
      </c>
      <c r="R185" s="493">
        <v>17.3</v>
      </c>
      <c r="S185" s="493"/>
    </row>
    <row r="186" spans="3:19" x14ac:dyDescent="0.3">
      <c r="C186" s="66" t="s">
        <v>415</v>
      </c>
      <c r="M186" s="149"/>
      <c r="O186" s="151"/>
      <c r="P186" s="156"/>
      <c r="Q186" s="152">
        <v>7.71</v>
      </c>
      <c r="R186" s="493">
        <v>6.01</v>
      </c>
      <c r="S186" s="493"/>
    </row>
    <row r="187" spans="3:19" x14ac:dyDescent="0.3">
      <c r="C187" s="66" t="s">
        <v>416</v>
      </c>
      <c r="M187" s="149"/>
      <c r="O187" s="151"/>
      <c r="P187" s="156"/>
      <c r="Q187" s="152">
        <v>1.9</v>
      </c>
      <c r="R187" s="493">
        <v>1.89</v>
      </c>
      <c r="S187" s="493"/>
    </row>
    <row r="188" spans="3:19" x14ac:dyDescent="0.3">
      <c r="C188" s="66" t="s">
        <v>417</v>
      </c>
      <c r="M188" s="149"/>
      <c r="O188" s="151"/>
      <c r="P188" s="156"/>
      <c r="Q188" s="152">
        <v>13.32</v>
      </c>
      <c r="R188" s="493">
        <v>22.24</v>
      </c>
      <c r="S188" s="493"/>
    </row>
    <row r="189" spans="3:19" x14ac:dyDescent="0.3">
      <c r="C189" s="66" t="s">
        <v>418</v>
      </c>
      <c r="M189" s="149"/>
      <c r="O189" s="151"/>
      <c r="P189" s="156"/>
      <c r="Q189" s="152">
        <v>2.04</v>
      </c>
      <c r="R189" s="493">
        <v>1.5</v>
      </c>
      <c r="S189" s="493"/>
    </row>
    <row r="190" spans="3:19" x14ac:dyDescent="0.3">
      <c r="C190" s="66" t="s">
        <v>151</v>
      </c>
      <c r="M190" s="155"/>
      <c r="O190" s="143"/>
      <c r="P190" s="156"/>
      <c r="Q190" s="498">
        <v>1564</v>
      </c>
      <c r="R190" s="434">
        <v>1150</v>
      </c>
      <c r="S190" s="434"/>
    </row>
    <row r="191" spans="3:19" x14ac:dyDescent="0.3">
      <c r="C191" s="66" t="s">
        <v>419</v>
      </c>
      <c r="M191" s="157"/>
      <c r="O191" s="158"/>
      <c r="P191" s="156"/>
      <c r="Q191" s="159">
        <v>60.8</v>
      </c>
      <c r="R191" s="493">
        <v>56.4</v>
      </c>
      <c r="S191" s="493"/>
    </row>
    <row r="192" spans="3:19" x14ac:dyDescent="0.3">
      <c r="C192" s="66" t="s">
        <v>420</v>
      </c>
      <c r="M192" s="157"/>
      <c r="O192" s="158"/>
      <c r="P192" s="156"/>
      <c r="Q192" s="159">
        <v>-3.3</v>
      </c>
      <c r="R192" s="493">
        <v>-1.5</v>
      </c>
      <c r="S192" s="493"/>
    </row>
    <row r="193" spans="3:20" x14ac:dyDescent="0.3">
      <c r="C193" s="66" t="s">
        <v>146</v>
      </c>
      <c r="M193" s="157"/>
      <c r="O193" s="158"/>
      <c r="P193" s="156"/>
      <c r="Q193" s="152">
        <v>1.02</v>
      </c>
      <c r="R193" s="493">
        <v>0.76</v>
      </c>
      <c r="S193" s="493"/>
    </row>
    <row r="194" spans="3:20" x14ac:dyDescent="0.3">
      <c r="C194" s="66" t="s">
        <v>421</v>
      </c>
      <c r="M194" s="157"/>
      <c r="O194" s="158"/>
      <c r="P194" s="156"/>
      <c r="Q194" s="159">
        <v>43.8</v>
      </c>
      <c r="R194" s="493">
        <v>75.3</v>
      </c>
      <c r="S194" s="493"/>
    </row>
    <row r="195" spans="3:20" x14ac:dyDescent="0.3">
      <c r="C195" s="66" t="s">
        <v>422</v>
      </c>
      <c r="M195" s="157"/>
      <c r="O195" s="158"/>
      <c r="P195" s="156"/>
      <c r="Q195" s="159">
        <v>3.3</v>
      </c>
      <c r="R195" s="493">
        <v>3.4</v>
      </c>
      <c r="S195" s="493"/>
    </row>
    <row r="196" spans="3:20" x14ac:dyDescent="0.3">
      <c r="C196" s="66" t="s">
        <v>423</v>
      </c>
      <c r="M196" s="50"/>
      <c r="O196" s="50"/>
      <c r="P196" s="498">
        <v>767151336</v>
      </c>
      <c r="Q196" s="498"/>
      <c r="R196" s="488">
        <v>767466142</v>
      </c>
      <c r="S196" s="488"/>
      <c r="T196" s="488"/>
    </row>
    <row r="197" spans="3:20" x14ac:dyDescent="0.3">
      <c r="C197" s="66" t="s">
        <v>424</v>
      </c>
      <c r="M197" s="50"/>
      <c r="O197" s="50"/>
      <c r="P197" s="498">
        <v>767683600</v>
      </c>
      <c r="Q197" s="498"/>
      <c r="R197" s="488">
        <v>767490072</v>
      </c>
      <c r="S197" s="488"/>
      <c r="T197" s="488"/>
    </row>
    <row r="198" spans="3:20" x14ac:dyDescent="0.3">
      <c r="C198" s="160" t="s">
        <v>425</v>
      </c>
      <c r="M198" s="161"/>
      <c r="O198" s="103"/>
      <c r="P198" s="162"/>
      <c r="Q198" s="163">
        <v>5474</v>
      </c>
      <c r="R198" s="434">
        <v>5468</v>
      </c>
      <c r="S198" s="434"/>
    </row>
    <row r="199" spans="3:20" ht="14.4" x14ac:dyDescent="0.3">
      <c r="C199" s="164"/>
      <c r="M199" s="164"/>
      <c r="O199" s="164"/>
      <c r="P199" s="164"/>
      <c r="Q199" s="164"/>
    </row>
    <row r="200" spans="3:20" ht="17.399999999999999" x14ac:dyDescent="0.3">
      <c r="C200" s="165" t="s">
        <v>426</v>
      </c>
      <c r="M200" s="164"/>
      <c r="O200" s="164"/>
      <c r="P200" s="164"/>
      <c r="Q200" s="164"/>
    </row>
    <row r="201" spans="3:20" ht="14.4" x14ac:dyDescent="0.3">
      <c r="C201" s="164"/>
      <c r="M201" s="164"/>
      <c r="O201" s="164"/>
      <c r="P201" s="164"/>
      <c r="Q201" s="164"/>
    </row>
    <row r="202" spans="3:20" x14ac:dyDescent="0.3">
      <c r="C202" s="50"/>
      <c r="M202" s="50"/>
      <c r="O202" s="50"/>
      <c r="P202" s="50"/>
      <c r="Q202" s="50"/>
      <c r="R202" s="493"/>
      <c r="S202" s="493"/>
    </row>
    <row r="203" spans="3:20" x14ac:dyDescent="0.3">
      <c r="C203" s="50"/>
      <c r="M203" s="50"/>
      <c r="O203" s="50"/>
      <c r="P203" s="50"/>
      <c r="Q203" s="50"/>
      <c r="R203" s="493"/>
      <c r="S203" s="493"/>
    </row>
    <row r="204" spans="3:20" ht="14.4" x14ac:dyDescent="0.3">
      <c r="C204" s="50"/>
      <c r="M204" s="50"/>
      <c r="O204" s="50"/>
      <c r="P204" s="50"/>
      <c r="Q204" s="50"/>
    </row>
    <row r="205" spans="3:20" x14ac:dyDescent="0.3">
      <c r="C205" s="164"/>
      <c r="M205" s="164"/>
      <c r="O205" s="164"/>
      <c r="P205" s="164"/>
      <c r="Q205" s="164"/>
      <c r="R205" s="494" t="s">
        <v>23</v>
      </c>
      <c r="S205" s="7"/>
    </row>
    <row r="206" spans="3:20" x14ac:dyDescent="0.3">
      <c r="C206" s="164"/>
      <c r="M206" s="164"/>
      <c r="O206" s="164"/>
      <c r="P206" s="164"/>
      <c r="Q206" s="164"/>
      <c r="R206" s="494"/>
      <c r="S206" s="7"/>
    </row>
    <row r="207" spans="3:20" x14ac:dyDescent="0.3">
      <c r="C207" s="166" t="s">
        <v>427</v>
      </c>
      <c r="M207" s="50"/>
      <c r="O207" s="50"/>
      <c r="P207" s="50"/>
      <c r="Q207" s="50"/>
      <c r="R207" s="493"/>
      <c r="S207" s="493"/>
    </row>
    <row r="208" spans="3:20" x14ac:dyDescent="0.3">
      <c r="C208" s="166"/>
      <c r="M208" s="50"/>
      <c r="O208" s="50"/>
      <c r="P208" s="50"/>
      <c r="Q208" s="50"/>
      <c r="R208" s="493"/>
      <c r="S208" s="493"/>
    </row>
    <row r="209" spans="3:19" x14ac:dyDescent="0.3">
      <c r="C209" s="53" t="s">
        <v>428</v>
      </c>
      <c r="M209" s="50"/>
      <c r="O209" s="50"/>
      <c r="P209" s="50"/>
      <c r="Q209" s="50"/>
      <c r="R209" s="493"/>
      <c r="S209" s="493"/>
    </row>
    <row r="210" spans="3:19" x14ac:dyDescent="0.3">
      <c r="C210" s="50"/>
      <c r="M210" s="50"/>
      <c r="O210" s="56"/>
      <c r="P210" s="56"/>
      <c r="Q210" s="50"/>
      <c r="R210" s="493"/>
      <c r="S210" s="493"/>
    </row>
    <row r="211" spans="3:19" x14ac:dyDescent="0.3">
      <c r="C211" s="50"/>
      <c r="M211" s="50"/>
      <c r="O211" s="50"/>
      <c r="P211" s="50"/>
      <c r="Q211" s="50"/>
      <c r="R211" s="493"/>
      <c r="S211" s="493"/>
    </row>
    <row r="212" spans="3:19" x14ac:dyDescent="0.3">
      <c r="C212" s="50"/>
      <c r="M212" s="50"/>
      <c r="O212" s="50"/>
      <c r="P212" s="50"/>
      <c r="Q212" s="50"/>
      <c r="R212" s="493"/>
      <c r="S212" s="493"/>
    </row>
    <row r="213" spans="3:19" x14ac:dyDescent="0.3">
      <c r="C213" s="50"/>
      <c r="M213" s="50"/>
      <c r="O213" s="50"/>
      <c r="P213" s="50"/>
      <c r="Q213" s="50"/>
      <c r="R213" s="493"/>
      <c r="S213" s="493"/>
    </row>
    <row r="214" spans="3:19" x14ac:dyDescent="0.3">
      <c r="C214" s="50"/>
      <c r="M214" s="50"/>
      <c r="O214" s="50"/>
      <c r="P214" s="50"/>
      <c r="Q214" s="50"/>
      <c r="R214" s="495"/>
      <c r="S214" s="495"/>
    </row>
    <row r="215" spans="3:19" x14ac:dyDescent="0.3">
      <c r="C215" s="50"/>
      <c r="M215" s="50"/>
      <c r="O215" s="50"/>
      <c r="P215" s="50"/>
      <c r="Q215" s="50"/>
      <c r="R215" s="495"/>
      <c r="S215" s="495"/>
    </row>
    <row r="216" spans="3:19" x14ac:dyDescent="0.3">
      <c r="C216" s="50"/>
      <c r="M216" s="50"/>
      <c r="O216" s="50"/>
      <c r="P216" s="50"/>
      <c r="Q216" s="50"/>
      <c r="R216" s="495"/>
      <c r="S216" s="495"/>
    </row>
    <row r="217" spans="3:19" x14ac:dyDescent="0.3">
      <c r="C217" s="50"/>
      <c r="M217" s="50"/>
      <c r="O217" s="50"/>
      <c r="P217" s="50"/>
      <c r="Q217" s="50"/>
      <c r="R217" s="495"/>
      <c r="S217" s="495"/>
    </row>
    <row r="218" spans="3:19" x14ac:dyDescent="0.3">
      <c r="C218" s="164"/>
      <c r="M218" s="164"/>
      <c r="O218" s="164"/>
      <c r="P218" s="164"/>
      <c r="Q218" s="164"/>
      <c r="R218" s="493"/>
      <c r="S218" s="493"/>
    </row>
    <row r="219" spans="3:19" x14ac:dyDescent="0.3">
      <c r="C219" s="50"/>
      <c r="M219" s="50"/>
      <c r="O219" s="50"/>
      <c r="P219" s="50"/>
      <c r="Q219" s="50"/>
      <c r="R219" s="493"/>
      <c r="S219" s="493"/>
    </row>
    <row r="220" spans="3:19" x14ac:dyDescent="0.3">
      <c r="C220" s="50"/>
      <c r="M220" s="50"/>
      <c r="O220" s="50"/>
      <c r="P220" s="50"/>
      <c r="Q220" s="50"/>
      <c r="R220" s="493"/>
      <c r="S220" s="493"/>
    </row>
    <row r="221" spans="3:19" x14ac:dyDescent="0.3">
      <c r="C221" s="164"/>
      <c r="M221" s="164"/>
      <c r="O221" s="164"/>
      <c r="P221" s="164"/>
      <c r="Q221" s="164"/>
      <c r="R221" s="493"/>
      <c r="S221" s="493"/>
    </row>
    <row r="222" spans="3:19" x14ac:dyDescent="0.3">
      <c r="C222" s="167" t="s">
        <v>429</v>
      </c>
      <c r="M222" s="168"/>
      <c r="O222" s="168"/>
      <c r="P222" s="168"/>
      <c r="Q222" s="168"/>
      <c r="R222" s="493"/>
      <c r="S222" s="493"/>
    </row>
    <row r="223" spans="3:19" x14ac:dyDescent="0.3">
      <c r="C223" s="167"/>
      <c r="M223" s="168"/>
      <c r="O223" s="168"/>
      <c r="P223" s="168"/>
      <c r="Q223" s="168"/>
      <c r="R223" s="493"/>
      <c r="S223" s="493"/>
    </row>
    <row r="224" spans="3:19" x14ac:dyDescent="0.3">
      <c r="C224" s="50"/>
      <c r="M224" s="50"/>
      <c r="O224" s="50"/>
      <c r="P224" s="50"/>
      <c r="Q224" s="50"/>
      <c r="R224" s="493"/>
      <c r="S224" s="493"/>
    </row>
    <row r="225" spans="3:19" x14ac:dyDescent="0.3">
      <c r="C225" s="50"/>
      <c r="M225" s="50"/>
      <c r="O225" s="50"/>
      <c r="P225" s="50"/>
      <c r="Q225" s="50"/>
      <c r="R225" s="493"/>
      <c r="S225" s="493"/>
    </row>
    <row r="226" spans="3:19" x14ac:dyDescent="0.3">
      <c r="C226" s="50"/>
      <c r="M226" s="50"/>
      <c r="O226" s="50"/>
      <c r="P226" s="50"/>
      <c r="Q226" s="50"/>
      <c r="R226" s="493"/>
      <c r="S226" s="493"/>
    </row>
    <row r="227" spans="3:19" x14ac:dyDescent="0.3">
      <c r="C227" s="169"/>
      <c r="M227" s="50"/>
      <c r="O227" s="56"/>
      <c r="P227" s="56"/>
      <c r="Q227" s="50"/>
      <c r="R227" s="495"/>
      <c r="S227" s="495"/>
    </row>
    <row r="228" spans="3:19" x14ac:dyDescent="0.3">
      <c r="C228" s="53" t="s">
        <v>430</v>
      </c>
      <c r="M228" s="50"/>
      <c r="O228" s="56"/>
      <c r="P228" s="56"/>
      <c r="Q228" s="50"/>
      <c r="R228" s="495"/>
      <c r="S228" s="495"/>
    </row>
    <row r="229" spans="3:19" x14ac:dyDescent="0.3">
      <c r="C229" s="53"/>
      <c r="M229" s="50"/>
      <c r="O229" s="56"/>
      <c r="P229" s="56"/>
      <c r="Q229" s="50"/>
      <c r="R229" s="495"/>
      <c r="S229" s="495"/>
    </row>
    <row r="230" spans="3:19" x14ac:dyDescent="0.3">
      <c r="C230" s="50"/>
      <c r="M230" s="50"/>
      <c r="O230" s="50"/>
      <c r="P230" s="50"/>
      <c r="Q230" s="50"/>
      <c r="R230" s="495"/>
      <c r="S230" s="495"/>
    </row>
    <row r="231" spans="3:19" x14ac:dyDescent="0.3">
      <c r="C231" s="50"/>
      <c r="M231" s="50"/>
      <c r="O231" s="50"/>
      <c r="P231" s="50"/>
      <c r="Q231" s="50"/>
      <c r="R231" s="495"/>
      <c r="S231" s="495"/>
    </row>
    <row r="232" spans="3:19" x14ac:dyDescent="0.3">
      <c r="C232" s="50"/>
      <c r="M232" s="50"/>
      <c r="O232" s="50"/>
      <c r="P232" s="50"/>
      <c r="Q232" s="50"/>
      <c r="R232" s="495"/>
      <c r="S232" s="495"/>
    </row>
    <row r="233" spans="3:19" x14ac:dyDescent="0.3">
      <c r="C233" s="170"/>
      <c r="M233" s="170"/>
      <c r="O233" s="170"/>
      <c r="P233" s="170"/>
      <c r="Q233" s="170"/>
      <c r="R233" s="495"/>
      <c r="S233" s="495"/>
    </row>
    <row r="234" spans="3:19" x14ac:dyDescent="0.3">
      <c r="C234" s="392"/>
      <c r="D234" s="393"/>
      <c r="E234" s="393"/>
      <c r="F234" s="393"/>
      <c r="M234" s="171"/>
      <c r="O234" s="171"/>
      <c r="P234" s="171"/>
      <c r="Q234" s="171"/>
      <c r="R234" s="495"/>
      <c r="S234" s="495"/>
    </row>
    <row r="235" spans="3:19" x14ac:dyDescent="0.3">
      <c r="C235" s="394" t="s">
        <v>431</v>
      </c>
      <c r="D235" s="393"/>
      <c r="E235" s="393"/>
      <c r="F235" s="393"/>
      <c r="M235" s="172"/>
      <c r="O235" s="172"/>
      <c r="P235" s="172"/>
      <c r="Q235" s="172"/>
      <c r="R235" s="495"/>
      <c r="S235" s="495"/>
    </row>
    <row r="236" spans="3:19" x14ac:dyDescent="0.3">
      <c r="C236" s="395"/>
      <c r="D236" s="393"/>
      <c r="E236" s="393"/>
      <c r="F236" s="393"/>
      <c r="M236" s="172"/>
      <c r="O236" s="172"/>
      <c r="P236" s="172"/>
      <c r="Q236" s="172"/>
      <c r="R236" s="493"/>
      <c r="S236" s="493"/>
    </row>
    <row r="237" spans="3:19" ht="15.6" customHeight="1" x14ac:dyDescent="0.3">
      <c r="C237" s="395" t="s">
        <v>432</v>
      </c>
      <c r="D237" s="393"/>
      <c r="E237" s="393"/>
      <c r="F237" s="393"/>
      <c r="M237" s="172"/>
      <c r="N237" s="413"/>
      <c r="O237" s="172"/>
      <c r="P237" s="172"/>
      <c r="Q237" s="172"/>
      <c r="R237" s="493"/>
      <c r="S237" s="493"/>
    </row>
    <row r="238" spans="3:19" x14ac:dyDescent="0.3">
      <c r="C238" s="94"/>
      <c r="D238" s="94"/>
      <c r="E238" s="94"/>
      <c r="F238" s="94"/>
      <c r="G238" s="94"/>
      <c r="H238" s="94"/>
      <c r="I238" s="94"/>
      <c r="M238" s="413"/>
      <c r="N238" s="413"/>
      <c r="O238" s="419"/>
      <c r="P238" s="419"/>
      <c r="Q238" s="419"/>
      <c r="R238" s="493"/>
      <c r="S238" s="493"/>
    </row>
    <row r="239" spans="3:19" ht="15.6" customHeight="1" x14ac:dyDescent="0.3">
      <c r="C239" s="417"/>
      <c r="D239" s="416"/>
      <c r="E239" s="416"/>
      <c r="F239" s="416"/>
      <c r="G239" s="416"/>
      <c r="H239" s="416"/>
      <c r="I239" s="416"/>
      <c r="J239" s="416"/>
      <c r="K239" s="397"/>
      <c r="L239" s="397"/>
      <c r="M239" s="397"/>
      <c r="N239" s="416"/>
      <c r="O239" s="415"/>
      <c r="P239" s="415"/>
      <c r="Q239" s="415"/>
      <c r="R239" s="415"/>
      <c r="S239" s="415"/>
    </row>
    <row r="240" spans="3:19" ht="15" customHeight="1" x14ac:dyDescent="0.3">
      <c r="C240" s="416"/>
      <c r="D240" s="416"/>
      <c r="E240" s="416"/>
      <c r="F240" s="416"/>
      <c r="G240" s="416"/>
      <c r="H240" s="416"/>
      <c r="I240" s="416"/>
      <c r="J240" s="416"/>
      <c r="K240" s="397"/>
      <c r="L240" s="397"/>
      <c r="M240" s="397"/>
      <c r="N240" s="416"/>
      <c r="O240" s="415"/>
      <c r="P240" s="415"/>
      <c r="Q240" s="415"/>
      <c r="R240" s="415"/>
      <c r="S240" s="415"/>
    </row>
    <row r="241" spans="3:25" x14ac:dyDescent="0.3">
      <c r="C241" s="416"/>
      <c r="D241" s="416"/>
      <c r="E241" s="416"/>
      <c r="F241" s="416"/>
      <c r="G241" s="416"/>
      <c r="H241" s="416"/>
      <c r="I241" s="416"/>
      <c r="J241" s="416"/>
      <c r="K241" s="401"/>
      <c r="L241" s="401"/>
      <c r="M241" s="400"/>
      <c r="N241" s="416"/>
      <c r="O241" s="416"/>
      <c r="P241" s="416"/>
      <c r="Q241" s="416"/>
      <c r="R241" s="488"/>
      <c r="S241" s="488"/>
    </row>
    <row r="242" spans="3:25" x14ac:dyDescent="0.3">
      <c r="C242" s="418"/>
      <c r="D242" s="416"/>
      <c r="E242" s="416"/>
      <c r="F242" s="416"/>
      <c r="G242" s="416"/>
      <c r="H242" s="416"/>
      <c r="I242" s="416"/>
      <c r="J242" s="416"/>
      <c r="K242" s="20"/>
      <c r="L242" s="20"/>
      <c r="M242" s="400"/>
      <c r="N242" s="416"/>
      <c r="O242" s="416"/>
      <c r="P242" s="416"/>
      <c r="Q242" s="416"/>
      <c r="R242" s="7"/>
      <c r="S242" s="7"/>
    </row>
    <row r="243" spans="3:25" x14ac:dyDescent="0.3">
      <c r="C243" s="418"/>
      <c r="D243" s="416"/>
      <c r="E243" s="416"/>
      <c r="F243" s="416"/>
      <c r="G243" s="416"/>
      <c r="H243" s="416"/>
      <c r="I243" s="416"/>
      <c r="J243" s="416"/>
      <c r="K243" s="401"/>
      <c r="L243" s="20"/>
      <c r="M243" s="400"/>
      <c r="N243" s="416"/>
      <c r="O243" s="416"/>
      <c r="P243" s="416"/>
      <c r="Q243" s="416"/>
      <c r="R243" s="488"/>
      <c r="S243" s="488"/>
    </row>
    <row r="244" spans="3:25" x14ac:dyDescent="0.3">
      <c r="C244" s="418"/>
      <c r="D244" s="416"/>
      <c r="E244" s="416"/>
      <c r="F244" s="416"/>
      <c r="G244" s="416"/>
      <c r="H244" s="416"/>
      <c r="I244" s="416"/>
      <c r="J244" s="416"/>
      <c r="K244" s="20"/>
      <c r="L244" s="20"/>
      <c r="M244" s="400"/>
      <c r="N244" s="416"/>
      <c r="O244" s="416"/>
      <c r="P244" s="416"/>
      <c r="Q244" s="416"/>
      <c r="R244" s="7"/>
      <c r="S244" s="7"/>
    </row>
    <row r="245" spans="3:25" x14ac:dyDescent="0.3">
      <c r="C245" s="416"/>
      <c r="D245" s="416"/>
      <c r="E245" s="416"/>
      <c r="F245" s="416"/>
      <c r="G245" s="416"/>
      <c r="H245" s="416"/>
      <c r="I245" s="416"/>
      <c r="J245" s="416"/>
      <c r="K245" s="20"/>
      <c r="L245" s="20"/>
      <c r="M245" s="400"/>
      <c r="N245" s="416"/>
      <c r="O245" s="416"/>
      <c r="P245" s="416"/>
      <c r="Q245" s="416"/>
      <c r="R245" s="7"/>
      <c r="S245" s="7"/>
    </row>
    <row r="246" spans="3:25" x14ac:dyDescent="0.3">
      <c r="C246" s="416"/>
      <c r="D246" s="416"/>
      <c r="E246" s="416"/>
      <c r="F246" s="416"/>
      <c r="G246" s="416"/>
      <c r="H246" s="416"/>
      <c r="I246" s="416"/>
      <c r="J246" s="416"/>
      <c r="K246" s="20"/>
      <c r="L246" s="20"/>
      <c r="M246" s="400"/>
      <c r="N246" s="416"/>
      <c r="O246" s="416"/>
      <c r="P246" s="416"/>
      <c r="Q246" s="416"/>
      <c r="R246" s="7"/>
      <c r="S246" s="7"/>
    </row>
    <row r="247" spans="3:25" x14ac:dyDescent="0.3">
      <c r="C247" s="416"/>
      <c r="D247" s="416"/>
      <c r="E247" s="416"/>
      <c r="F247" s="416"/>
      <c r="G247" s="416"/>
      <c r="H247" s="416"/>
      <c r="I247" s="416"/>
      <c r="J247" s="416"/>
      <c r="K247" s="401"/>
      <c r="L247" s="401"/>
      <c r="M247" s="400"/>
      <c r="N247" s="416"/>
      <c r="O247" s="416"/>
      <c r="P247" s="416"/>
      <c r="Q247" s="416"/>
      <c r="R247" s="488"/>
      <c r="S247" s="488"/>
    </row>
    <row r="248" spans="3:25" x14ac:dyDescent="0.3">
      <c r="C248" s="166"/>
      <c r="M248" s="172"/>
      <c r="O248" s="143"/>
      <c r="P248" s="143"/>
      <c r="Q248" s="143"/>
    </row>
    <row r="249" spans="3:25" x14ac:dyDescent="0.3">
      <c r="C249" s="94"/>
      <c r="I249" s="407"/>
      <c r="J249" s="407"/>
      <c r="K249" s="407"/>
      <c r="L249" s="407"/>
      <c r="M249" s="407"/>
      <c r="N249" s="407"/>
      <c r="O249" s="501"/>
      <c r="P249" s="501"/>
      <c r="Q249" s="501"/>
    </row>
    <row r="250" spans="3:25" ht="15.75" customHeight="1" x14ac:dyDescent="0.3">
      <c r="C250" s="166"/>
      <c r="I250" s="407"/>
      <c r="J250" s="998">
        <v>43842</v>
      </c>
      <c r="K250" s="999"/>
      <c r="L250" s="999"/>
      <c r="M250" s="999"/>
      <c r="N250" s="999"/>
      <c r="O250" s="998">
        <v>43477</v>
      </c>
      <c r="P250" s="999"/>
      <c r="Q250" s="999"/>
      <c r="R250" s="999"/>
      <c r="S250" s="999"/>
      <c r="T250" s="999"/>
      <c r="U250" s="1265">
        <v>43112</v>
      </c>
      <c r="V250" s="1266"/>
      <c r="W250" s="1266"/>
      <c r="X250" s="1266"/>
      <c r="Y250" s="1266"/>
    </row>
    <row r="251" spans="3:25" ht="15.75" customHeight="1" x14ac:dyDescent="0.3">
      <c r="I251" s="407"/>
      <c r="J251" s="486" t="s">
        <v>26</v>
      </c>
      <c r="K251" s="999" t="s">
        <v>27</v>
      </c>
      <c r="L251" s="999" t="s">
        <v>28</v>
      </c>
      <c r="M251" s="999" t="s">
        <v>29</v>
      </c>
      <c r="N251" s="999" t="s">
        <v>23</v>
      </c>
      <c r="O251" s="999" t="s">
        <v>26</v>
      </c>
      <c r="P251" s="999" t="s">
        <v>433</v>
      </c>
      <c r="Q251" s="999" t="s">
        <v>28</v>
      </c>
      <c r="R251" s="999" t="s">
        <v>29</v>
      </c>
      <c r="S251" s="999"/>
      <c r="T251" s="408" t="s">
        <v>23</v>
      </c>
      <c r="U251" s="1266" t="s">
        <v>26</v>
      </c>
      <c r="V251" s="1266" t="s">
        <v>27</v>
      </c>
      <c r="W251" s="1266" t="s">
        <v>28</v>
      </c>
      <c r="X251" s="1266" t="s">
        <v>29</v>
      </c>
      <c r="Y251" s="408" t="s">
        <v>23</v>
      </c>
    </row>
    <row r="252" spans="3:25" ht="14.4" x14ac:dyDescent="0.3">
      <c r="C252" s="80" t="s">
        <v>434</v>
      </c>
      <c r="I252" s="407"/>
      <c r="J252" s="487"/>
      <c r="K252" s="1000"/>
      <c r="L252" s="1000"/>
      <c r="M252" s="1000"/>
      <c r="N252" s="412" t="s">
        <v>247</v>
      </c>
      <c r="O252" s="1000"/>
      <c r="P252" s="1000"/>
      <c r="Q252" s="1000"/>
      <c r="R252" s="1000"/>
      <c r="S252" s="999"/>
      <c r="T252" s="409" t="s">
        <v>247</v>
      </c>
      <c r="U252" s="1267"/>
      <c r="V252" s="1267"/>
      <c r="W252" s="1267"/>
      <c r="X252" s="1267"/>
      <c r="Y252" s="409" t="s">
        <v>247</v>
      </c>
    </row>
    <row r="253" spans="3:25" ht="15.75" customHeight="1" x14ac:dyDescent="0.3">
      <c r="C253" s="50" t="s">
        <v>435</v>
      </c>
      <c r="I253" s="407"/>
      <c r="J253" s="410">
        <v>4114</v>
      </c>
      <c r="K253" s="410">
        <v>3933</v>
      </c>
      <c r="L253" s="410">
        <v>2927</v>
      </c>
      <c r="M253" s="999">
        <v>0</v>
      </c>
      <c r="N253" s="410">
        <v>10975</v>
      </c>
      <c r="O253" s="410">
        <v>3648</v>
      </c>
      <c r="P253" s="410">
        <v>7138</v>
      </c>
      <c r="Q253" s="410">
        <v>4028</v>
      </c>
      <c r="R253" s="999">
        <v>0</v>
      </c>
      <c r="S253" s="999"/>
      <c r="T253" s="411">
        <v>14814</v>
      </c>
      <c r="U253" s="420">
        <v>2942</v>
      </c>
      <c r="V253" s="410">
        <v>6699</v>
      </c>
      <c r="W253" s="410">
        <v>4147</v>
      </c>
      <c r="X253" s="999">
        <v>0</v>
      </c>
      <c r="Y253" s="411">
        <v>13788</v>
      </c>
    </row>
    <row r="254" spans="3:25" ht="15" customHeight="1" x14ac:dyDescent="0.3">
      <c r="C254" s="176" t="s">
        <v>436</v>
      </c>
      <c r="I254" s="407"/>
      <c r="J254" s="999">
        <v>97</v>
      </c>
      <c r="K254" s="410">
        <v>1820</v>
      </c>
      <c r="L254" s="999">
        <v>720</v>
      </c>
      <c r="M254" s="999">
        <v>0</v>
      </c>
      <c r="N254" s="410">
        <v>2636</v>
      </c>
      <c r="O254" s="999">
        <v>92</v>
      </c>
      <c r="P254" s="410">
        <v>3231</v>
      </c>
      <c r="Q254" s="410">
        <v>1012</v>
      </c>
      <c r="R254" s="999">
        <v>0</v>
      </c>
      <c r="S254" s="999"/>
      <c r="T254" s="411">
        <v>4336</v>
      </c>
      <c r="U254" s="421">
        <v>130</v>
      </c>
      <c r="V254" s="410">
        <v>2971</v>
      </c>
      <c r="W254" s="410">
        <v>1110</v>
      </c>
      <c r="X254" s="999">
        <v>0</v>
      </c>
      <c r="Y254" s="411">
        <v>4211</v>
      </c>
    </row>
    <row r="255" spans="3:25" ht="15" customHeight="1" x14ac:dyDescent="0.3">
      <c r="C255" s="176" t="s">
        <v>437</v>
      </c>
      <c r="I255" s="407"/>
      <c r="J255" s="410">
        <v>4017</v>
      </c>
      <c r="K255" s="410">
        <v>1813</v>
      </c>
      <c r="L255" s="410">
        <v>2204</v>
      </c>
      <c r="M255" s="999">
        <v>0</v>
      </c>
      <c r="N255" s="410">
        <v>8034</v>
      </c>
      <c r="O255" s="410">
        <v>3555</v>
      </c>
      <c r="P255" s="410">
        <v>3472</v>
      </c>
      <c r="Q255" s="410">
        <v>3011</v>
      </c>
      <c r="R255" s="999">
        <v>0</v>
      </c>
      <c r="S255" s="999"/>
      <c r="T255" s="411">
        <v>10039</v>
      </c>
      <c r="U255" s="420">
        <v>2812</v>
      </c>
      <c r="V255" s="410">
        <v>3312</v>
      </c>
      <c r="W255" s="410">
        <v>3032</v>
      </c>
      <c r="X255" s="999">
        <v>0</v>
      </c>
      <c r="Y255" s="411">
        <v>9156</v>
      </c>
    </row>
    <row r="256" spans="3:25" ht="15" customHeight="1" x14ac:dyDescent="0.3">
      <c r="C256" s="176" t="s">
        <v>438</v>
      </c>
      <c r="I256" s="407"/>
      <c r="J256" s="999">
        <v>0</v>
      </c>
      <c r="K256" s="999">
        <v>300</v>
      </c>
      <c r="L256" s="999">
        <v>4</v>
      </c>
      <c r="M256" s="999">
        <v>0</v>
      </c>
      <c r="N256" s="999">
        <v>304</v>
      </c>
      <c r="O256" s="999">
        <v>0</v>
      </c>
      <c r="P256" s="999">
        <v>434</v>
      </c>
      <c r="Q256" s="999">
        <v>5</v>
      </c>
      <c r="R256" s="999">
        <v>0</v>
      </c>
      <c r="S256" s="999"/>
      <c r="T256" s="408">
        <v>439</v>
      </c>
      <c r="U256" s="421">
        <v>0</v>
      </c>
      <c r="V256" s="999">
        <v>416</v>
      </c>
      <c r="W256" s="999">
        <v>5</v>
      </c>
      <c r="X256" s="999">
        <v>0</v>
      </c>
      <c r="Y256" s="408">
        <v>421</v>
      </c>
    </row>
    <row r="257" spans="3:25" ht="15" customHeight="1" x14ac:dyDescent="0.3">
      <c r="C257" s="50" t="s">
        <v>439</v>
      </c>
      <c r="I257" s="407"/>
      <c r="J257" s="999">
        <v>0</v>
      </c>
      <c r="K257" s="999">
        <v>604</v>
      </c>
      <c r="L257" s="999">
        <v>94</v>
      </c>
      <c r="M257" s="999">
        <v>0</v>
      </c>
      <c r="N257" s="999">
        <v>698</v>
      </c>
      <c r="O257" s="999">
        <v>7</v>
      </c>
      <c r="P257" s="999">
        <v>800</v>
      </c>
      <c r="Q257" s="999">
        <v>118</v>
      </c>
      <c r="R257" s="999">
        <v>0</v>
      </c>
      <c r="S257" s="999"/>
      <c r="T257" s="408">
        <v>925</v>
      </c>
      <c r="U257" s="421">
        <v>2</v>
      </c>
      <c r="V257" s="999">
        <v>877</v>
      </c>
      <c r="W257" s="999">
        <v>119</v>
      </c>
      <c r="X257" s="999">
        <v>0</v>
      </c>
      <c r="Y257" s="408">
        <v>999</v>
      </c>
    </row>
    <row r="258" spans="3:25" ht="15" customHeight="1" x14ac:dyDescent="0.3">
      <c r="C258" s="80" t="s">
        <v>440</v>
      </c>
      <c r="I258" s="407"/>
      <c r="J258" s="412">
        <v>0</v>
      </c>
      <c r="K258" s="412">
        <v>41</v>
      </c>
      <c r="L258" s="412">
        <v>9</v>
      </c>
      <c r="M258" s="412">
        <v>28</v>
      </c>
      <c r="N258" s="412">
        <v>78</v>
      </c>
      <c r="O258" s="412">
        <v>0</v>
      </c>
      <c r="P258" s="412">
        <v>46</v>
      </c>
      <c r="Q258" s="412">
        <v>11</v>
      </c>
      <c r="R258" s="412">
        <v>44</v>
      </c>
      <c r="S258" s="412"/>
      <c r="T258" s="409">
        <v>101</v>
      </c>
      <c r="U258" s="422">
        <v>0</v>
      </c>
      <c r="V258" s="412">
        <v>24</v>
      </c>
      <c r="W258" s="412">
        <v>12</v>
      </c>
      <c r="X258" s="412">
        <v>95</v>
      </c>
      <c r="Y258" s="409">
        <v>132</v>
      </c>
    </row>
    <row r="259" spans="3:25" ht="15" customHeight="1" x14ac:dyDescent="0.3">
      <c r="C259" s="50" t="s">
        <v>247</v>
      </c>
      <c r="I259" s="407"/>
      <c r="J259" s="410">
        <v>4114</v>
      </c>
      <c r="K259" s="410">
        <v>4578</v>
      </c>
      <c r="L259" s="410">
        <v>3031</v>
      </c>
      <c r="M259" s="999">
        <v>28</v>
      </c>
      <c r="N259" s="410">
        <v>11751</v>
      </c>
      <c r="O259" s="410">
        <v>3654</v>
      </c>
      <c r="P259" s="410">
        <v>7984</v>
      </c>
      <c r="Q259" s="410">
        <v>4157</v>
      </c>
      <c r="R259" s="999">
        <v>44</v>
      </c>
      <c r="S259" s="999"/>
      <c r="T259" s="411">
        <v>15840</v>
      </c>
      <c r="U259" s="420">
        <v>2943</v>
      </c>
      <c r="V259" s="410">
        <v>7601</v>
      </c>
      <c r="W259" s="410">
        <v>4279</v>
      </c>
      <c r="X259" s="999">
        <v>95</v>
      </c>
      <c r="Y259" s="411">
        <v>14918</v>
      </c>
    </row>
    <row r="260" spans="3:25" ht="14.4" x14ac:dyDescent="0.3">
      <c r="C260" s="50"/>
      <c r="M260" s="50"/>
      <c r="O260" s="50"/>
      <c r="P260" s="50"/>
      <c r="Q260" s="50"/>
    </row>
    <row r="261" spans="3:25" ht="14.4" x14ac:dyDescent="0.3">
      <c r="C261" s="50"/>
      <c r="M261" s="50"/>
      <c r="O261" s="50"/>
      <c r="P261" s="50"/>
      <c r="Q261" s="50"/>
    </row>
    <row r="262" spans="3:25" ht="14.4" x14ac:dyDescent="0.3">
      <c r="C262" s="50"/>
      <c r="M262" s="50"/>
      <c r="O262" s="50"/>
      <c r="P262" s="50"/>
      <c r="Q262" s="50"/>
    </row>
    <row r="263" spans="3:25" ht="14.4" x14ac:dyDescent="0.3">
      <c r="C263" s="396"/>
      <c r="D263" s="393"/>
      <c r="E263" s="393"/>
      <c r="F263" s="393"/>
      <c r="G263" s="393"/>
      <c r="M263" s="143"/>
      <c r="O263" s="143"/>
      <c r="P263" s="143"/>
      <c r="Q263" s="143"/>
    </row>
    <row r="264" spans="3:25" x14ac:dyDescent="0.3">
      <c r="C264" s="394" t="s">
        <v>441</v>
      </c>
      <c r="D264" s="393"/>
      <c r="E264" s="393"/>
      <c r="F264" s="393"/>
      <c r="G264" s="393"/>
      <c r="M264" s="143"/>
      <c r="O264" s="143"/>
      <c r="P264" s="143"/>
      <c r="Q264" s="143"/>
    </row>
    <row r="265" spans="3:25" x14ac:dyDescent="0.3">
      <c r="C265" s="94"/>
      <c r="M265" s="50"/>
      <c r="O265" s="501" t="s">
        <v>442</v>
      </c>
      <c r="P265" s="501"/>
      <c r="Q265" s="501"/>
    </row>
    <row r="266" spans="3:25" ht="15.75" customHeight="1" x14ac:dyDescent="0.3">
      <c r="C266" s="166"/>
      <c r="M266" s="499" t="s">
        <v>28</v>
      </c>
      <c r="O266" s="490" t="s">
        <v>26</v>
      </c>
      <c r="P266" s="490" t="s">
        <v>29</v>
      </c>
      <c r="Q266" s="173"/>
      <c r="R266" s="402" t="s">
        <v>23</v>
      </c>
      <c r="S266" s="415"/>
    </row>
    <row r="267" spans="3:25" ht="14.4" x14ac:dyDescent="0.3">
      <c r="C267" s="80" t="s">
        <v>434</v>
      </c>
      <c r="M267" s="499"/>
      <c r="O267" s="490"/>
      <c r="P267" s="490"/>
      <c r="Q267" s="174" t="s">
        <v>247</v>
      </c>
      <c r="R267" s="403" t="s">
        <v>247</v>
      </c>
      <c r="S267" s="415"/>
    </row>
    <row r="268" spans="3:25" x14ac:dyDescent="0.3">
      <c r="C268" s="50" t="s">
        <v>443</v>
      </c>
      <c r="M268" s="53">
        <v>748</v>
      </c>
      <c r="O268" s="50">
        <v>1041</v>
      </c>
      <c r="P268" s="50">
        <v>0</v>
      </c>
      <c r="Q268" s="175">
        <v>4014</v>
      </c>
      <c r="R268" s="404">
        <v>3634</v>
      </c>
      <c r="S268" s="488"/>
    </row>
    <row r="269" spans="3:25" x14ac:dyDescent="0.3">
      <c r="C269" s="50" t="s">
        <v>444</v>
      </c>
      <c r="M269" s="53">
        <v>3</v>
      </c>
      <c r="O269" s="50">
        <v>0</v>
      </c>
      <c r="P269" s="50">
        <v>0</v>
      </c>
      <c r="Q269" s="175">
        <v>27</v>
      </c>
      <c r="R269" s="405">
        <v>12</v>
      </c>
      <c r="S269" s="7"/>
    </row>
    <row r="270" spans="3:25" x14ac:dyDescent="0.3">
      <c r="C270" s="80" t="s">
        <v>445</v>
      </c>
      <c r="M270" s="135">
        <v>0</v>
      </c>
      <c r="O270" s="80">
        <v>0</v>
      </c>
      <c r="P270" s="80">
        <v>11</v>
      </c>
      <c r="Q270" s="177">
        <v>11</v>
      </c>
      <c r="R270" s="406">
        <v>15</v>
      </c>
      <c r="S270" s="7"/>
    </row>
    <row r="271" spans="3:25" x14ac:dyDescent="0.3">
      <c r="C271" s="50" t="s">
        <v>247</v>
      </c>
      <c r="M271" s="53">
        <v>750</v>
      </c>
      <c r="O271" s="50">
        <v>1041</v>
      </c>
      <c r="P271" s="50">
        <v>12</v>
      </c>
      <c r="Q271" s="175">
        <v>4053</v>
      </c>
      <c r="R271" s="404">
        <v>3661</v>
      </c>
      <c r="S271" s="488"/>
    </row>
    <row r="272" spans="3:25" x14ac:dyDescent="0.3">
      <c r="C272" s="53"/>
      <c r="M272" s="143"/>
      <c r="O272" s="143"/>
      <c r="P272" s="143"/>
      <c r="Q272" s="143"/>
      <c r="R272" s="431"/>
      <c r="S272" s="431"/>
    </row>
    <row r="273" spans="3:19" x14ac:dyDescent="0.3">
      <c r="C273" s="94"/>
      <c r="M273" s="50"/>
      <c r="O273" s="501" t="s">
        <v>249</v>
      </c>
      <c r="P273" s="501"/>
      <c r="Q273" s="501"/>
      <c r="R273" s="432"/>
      <c r="S273" s="432"/>
    </row>
    <row r="274" spans="3:19" ht="15.75" customHeight="1" x14ac:dyDescent="0.3">
      <c r="C274" s="166"/>
      <c r="M274" s="499" t="s">
        <v>28</v>
      </c>
      <c r="O274" s="490" t="s">
        <v>26</v>
      </c>
      <c r="P274" s="490" t="s">
        <v>29</v>
      </c>
      <c r="Q274" s="173"/>
      <c r="R274" s="402" t="s">
        <v>23</v>
      </c>
      <c r="S274" s="415"/>
    </row>
    <row r="275" spans="3:19" ht="14.4" x14ac:dyDescent="0.3">
      <c r="C275" s="80" t="s">
        <v>434</v>
      </c>
      <c r="M275" s="499"/>
      <c r="O275" s="490"/>
      <c r="P275" s="490"/>
      <c r="Q275" s="174" t="s">
        <v>247</v>
      </c>
      <c r="R275" s="403" t="s">
        <v>247</v>
      </c>
      <c r="S275" s="415"/>
    </row>
    <row r="276" spans="3:19" x14ac:dyDescent="0.3">
      <c r="C276" s="50" t="s">
        <v>443</v>
      </c>
      <c r="M276" s="53">
        <v>3021</v>
      </c>
      <c r="O276" s="50">
        <v>3654</v>
      </c>
      <c r="P276" s="50">
        <v>0</v>
      </c>
      <c r="Q276" s="175">
        <v>15739</v>
      </c>
      <c r="R276" s="404">
        <v>14787</v>
      </c>
      <c r="S276" s="488"/>
    </row>
    <row r="277" spans="3:19" x14ac:dyDescent="0.3">
      <c r="C277" s="50" t="s">
        <v>444</v>
      </c>
      <c r="M277" s="53">
        <v>9</v>
      </c>
      <c r="O277" s="50">
        <v>0</v>
      </c>
      <c r="P277" s="50">
        <v>2</v>
      </c>
      <c r="Q277" s="175">
        <v>59</v>
      </c>
      <c r="R277" s="405">
        <v>38</v>
      </c>
      <c r="S277" s="7"/>
    </row>
    <row r="278" spans="3:19" x14ac:dyDescent="0.3">
      <c r="C278" s="80" t="s">
        <v>445</v>
      </c>
      <c r="M278" s="135">
        <v>0</v>
      </c>
      <c r="O278" s="80">
        <v>0</v>
      </c>
      <c r="P278" s="80">
        <v>42</v>
      </c>
      <c r="Q278" s="177">
        <v>42</v>
      </c>
      <c r="R278" s="406">
        <v>93</v>
      </c>
      <c r="S278" s="7"/>
    </row>
    <row r="279" spans="3:19" x14ac:dyDescent="0.3">
      <c r="C279" s="50" t="s">
        <v>247</v>
      </c>
      <c r="M279" s="53">
        <v>3031</v>
      </c>
      <c r="O279" s="50">
        <v>3654</v>
      </c>
      <c r="P279" s="50">
        <v>44</v>
      </c>
      <c r="Q279" s="175">
        <v>15840</v>
      </c>
      <c r="R279" s="404">
        <v>14918</v>
      </c>
      <c r="S279" s="488"/>
    </row>
    <row r="280" spans="3:19" x14ac:dyDescent="0.3">
      <c r="C280" s="50"/>
      <c r="M280" s="53"/>
      <c r="O280" s="50"/>
      <c r="P280" s="50"/>
      <c r="Q280" s="50"/>
      <c r="R280" s="493"/>
      <c r="S280" s="493"/>
    </row>
    <row r="281" spans="3:19" x14ac:dyDescent="0.3">
      <c r="C281" s="50"/>
      <c r="M281" s="53"/>
      <c r="O281" s="50"/>
      <c r="P281" s="50"/>
      <c r="Q281" s="50"/>
    </row>
    <row r="282" spans="3:19" x14ac:dyDescent="0.3">
      <c r="C282" s="53" t="s">
        <v>446</v>
      </c>
      <c r="M282" s="172"/>
      <c r="O282" s="172"/>
      <c r="P282" s="172"/>
      <c r="Q282" s="172"/>
    </row>
    <row r="283" spans="3:19" ht="15" customHeight="1" x14ac:dyDescent="0.3">
      <c r="C283" s="143"/>
      <c r="M283" s="172"/>
      <c r="O283" s="490" t="s">
        <v>447</v>
      </c>
      <c r="P283" s="490" t="s">
        <v>30</v>
      </c>
      <c r="Q283" s="490" t="s">
        <v>247</v>
      </c>
      <c r="R283" s="489" t="s">
        <v>247</v>
      </c>
      <c r="S283" s="414"/>
    </row>
    <row r="284" spans="3:19" ht="14.4" x14ac:dyDescent="0.3">
      <c r="C284" s="178" t="s">
        <v>448</v>
      </c>
      <c r="M284" s="179"/>
      <c r="O284" s="490"/>
      <c r="P284" s="490"/>
      <c r="Q284" s="490"/>
      <c r="R284" s="489"/>
      <c r="S284" s="414"/>
    </row>
    <row r="285" spans="3:19" x14ac:dyDescent="0.3">
      <c r="C285" s="180" t="s">
        <v>434</v>
      </c>
      <c r="M285" s="180"/>
      <c r="O285" s="53">
        <v>1234</v>
      </c>
      <c r="P285" s="53">
        <v>0</v>
      </c>
      <c r="Q285" s="53">
        <v>3028</v>
      </c>
      <c r="R285" s="442">
        <v>4053</v>
      </c>
      <c r="S285" s="442"/>
    </row>
    <row r="286" spans="3:19" x14ac:dyDescent="0.3">
      <c r="C286" s="80" t="s">
        <v>449</v>
      </c>
      <c r="M286" s="80"/>
      <c r="O286" s="135">
        <v>346</v>
      </c>
      <c r="P286" s="135">
        <v>-433</v>
      </c>
      <c r="Q286" s="135">
        <v>0</v>
      </c>
      <c r="R286" s="11">
        <v>0</v>
      </c>
      <c r="S286" s="20"/>
    </row>
    <row r="287" spans="3:19" x14ac:dyDescent="0.3">
      <c r="C287" s="50" t="s">
        <v>450</v>
      </c>
      <c r="M287" s="50"/>
      <c r="O287" s="53">
        <v>1580</v>
      </c>
      <c r="P287" s="53">
        <v>-433</v>
      </c>
      <c r="Q287" s="53">
        <v>3028</v>
      </c>
      <c r="R287" s="442">
        <v>4053</v>
      </c>
      <c r="S287" s="442"/>
    </row>
    <row r="288" spans="3:19" x14ac:dyDescent="0.3">
      <c r="C288" s="50"/>
      <c r="M288" s="50"/>
      <c r="O288" s="53"/>
      <c r="P288" s="53"/>
      <c r="Q288" s="53"/>
      <c r="R288" s="443"/>
      <c r="S288" s="443"/>
    </row>
    <row r="289" spans="3:19" ht="15" customHeight="1" x14ac:dyDescent="0.3">
      <c r="C289" s="143"/>
      <c r="M289" s="172"/>
      <c r="O289" s="490" t="s">
        <v>447</v>
      </c>
      <c r="P289" s="490" t="s">
        <v>30</v>
      </c>
      <c r="Q289" s="490" t="s">
        <v>247</v>
      </c>
      <c r="R289" s="489" t="s">
        <v>247</v>
      </c>
      <c r="S289" s="414"/>
    </row>
    <row r="290" spans="3:19" ht="14.4" x14ac:dyDescent="0.3">
      <c r="C290" s="178" t="s">
        <v>442</v>
      </c>
      <c r="M290" s="179"/>
      <c r="O290" s="490"/>
      <c r="P290" s="490"/>
      <c r="Q290" s="490"/>
      <c r="R290" s="489"/>
      <c r="S290" s="414"/>
    </row>
    <row r="291" spans="3:19" x14ac:dyDescent="0.3">
      <c r="C291" s="180" t="s">
        <v>434</v>
      </c>
      <c r="M291" s="180"/>
      <c r="O291" s="50">
        <v>2008</v>
      </c>
      <c r="P291" s="50">
        <v>0</v>
      </c>
      <c r="Q291" s="50">
        <v>4053</v>
      </c>
      <c r="R291" s="434">
        <v>3661</v>
      </c>
      <c r="S291" s="434"/>
    </row>
    <row r="292" spans="3:19" x14ac:dyDescent="0.3">
      <c r="C292" s="80" t="s">
        <v>449</v>
      </c>
      <c r="M292" s="80"/>
      <c r="O292" s="80">
        <v>587</v>
      </c>
      <c r="P292" s="80">
        <v>-686</v>
      </c>
      <c r="Q292" s="80">
        <v>0</v>
      </c>
      <c r="R292" s="12">
        <v>0</v>
      </c>
      <c r="S292" s="7"/>
    </row>
    <row r="293" spans="3:19" x14ac:dyDescent="0.3">
      <c r="C293" s="50" t="s">
        <v>450</v>
      </c>
      <c r="M293" s="50"/>
      <c r="O293" s="50">
        <v>2595</v>
      </c>
      <c r="P293" s="50">
        <v>-686</v>
      </c>
      <c r="Q293" s="50">
        <v>4053</v>
      </c>
      <c r="R293" s="434">
        <v>3661</v>
      </c>
      <c r="S293" s="434"/>
    </row>
    <row r="294" spans="3:19" x14ac:dyDescent="0.3">
      <c r="C294" s="53"/>
      <c r="M294" s="172"/>
      <c r="O294" s="172"/>
      <c r="P294" s="172"/>
      <c r="Q294" s="172"/>
      <c r="R294" s="431"/>
      <c r="S294" s="431"/>
    </row>
    <row r="295" spans="3:19" ht="15" customHeight="1" x14ac:dyDescent="0.3">
      <c r="C295" s="143"/>
      <c r="M295" s="172"/>
      <c r="O295" s="490" t="s">
        <v>447</v>
      </c>
      <c r="P295" s="490" t="s">
        <v>30</v>
      </c>
      <c r="Q295" s="490" t="s">
        <v>247</v>
      </c>
      <c r="R295" s="489" t="s">
        <v>247</v>
      </c>
      <c r="S295" s="414"/>
    </row>
    <row r="296" spans="3:19" ht="14.4" x14ac:dyDescent="0.3">
      <c r="C296" s="178" t="s">
        <v>250</v>
      </c>
      <c r="M296" s="179"/>
      <c r="O296" s="490"/>
      <c r="P296" s="490"/>
      <c r="Q296" s="490"/>
      <c r="R296" s="489"/>
      <c r="S296" s="414"/>
    </row>
    <row r="297" spans="3:19" x14ac:dyDescent="0.3">
      <c r="C297" s="180" t="s">
        <v>434</v>
      </c>
      <c r="M297" s="180"/>
      <c r="O297" s="53">
        <v>4578</v>
      </c>
      <c r="P297" s="53">
        <v>0</v>
      </c>
      <c r="Q297" s="53">
        <v>11751</v>
      </c>
      <c r="R297" s="442">
        <v>15840</v>
      </c>
      <c r="S297" s="442"/>
    </row>
    <row r="298" spans="3:19" x14ac:dyDescent="0.3">
      <c r="C298" s="80" t="s">
        <v>449</v>
      </c>
      <c r="M298" s="80"/>
      <c r="O298" s="135">
        <v>1485</v>
      </c>
      <c r="P298" s="135">
        <v>-1813</v>
      </c>
      <c r="Q298" s="135">
        <v>0</v>
      </c>
      <c r="R298" s="11">
        <v>0</v>
      </c>
      <c r="S298" s="20"/>
    </row>
    <row r="299" spans="3:19" x14ac:dyDescent="0.3">
      <c r="C299" s="50" t="s">
        <v>450</v>
      </c>
      <c r="M299" s="50"/>
      <c r="O299" s="53">
        <v>6063</v>
      </c>
      <c r="P299" s="53">
        <v>-1813</v>
      </c>
      <c r="Q299" s="53">
        <v>11751</v>
      </c>
      <c r="R299" s="442">
        <v>15840</v>
      </c>
      <c r="S299" s="442"/>
    </row>
    <row r="300" spans="3:19" ht="15" x14ac:dyDescent="0.3">
      <c r="C300" s="172"/>
      <c r="M300" s="172"/>
      <c r="O300" s="172"/>
      <c r="P300" s="172"/>
      <c r="Q300" s="172"/>
    </row>
    <row r="301" spans="3:19" ht="15" customHeight="1" x14ac:dyDescent="0.3">
      <c r="C301" s="181"/>
      <c r="M301" s="172"/>
      <c r="O301" s="490" t="s">
        <v>447</v>
      </c>
      <c r="P301" s="490" t="s">
        <v>30</v>
      </c>
      <c r="Q301" s="490" t="s">
        <v>247</v>
      </c>
      <c r="R301" s="414" t="s">
        <v>247</v>
      </c>
      <c r="S301" s="414"/>
    </row>
    <row r="302" spans="3:19" ht="14.4" x14ac:dyDescent="0.3">
      <c r="C302" s="182" t="s">
        <v>249</v>
      </c>
      <c r="M302" s="179"/>
      <c r="O302" s="490"/>
      <c r="P302" s="490"/>
      <c r="Q302" s="490"/>
      <c r="R302" s="444"/>
      <c r="S302" s="415"/>
    </row>
    <row r="303" spans="3:19" x14ac:dyDescent="0.3">
      <c r="C303" s="180" t="s">
        <v>434</v>
      </c>
      <c r="M303" s="180"/>
      <c r="O303" s="50">
        <v>7984</v>
      </c>
      <c r="P303" s="50">
        <v>0</v>
      </c>
      <c r="Q303" s="50">
        <v>15840</v>
      </c>
      <c r="R303" s="434">
        <v>14918</v>
      </c>
      <c r="S303" s="434"/>
    </row>
    <row r="304" spans="3:19" x14ac:dyDescent="0.3">
      <c r="C304" s="80" t="s">
        <v>449</v>
      </c>
      <c r="M304" s="80"/>
      <c r="O304" s="80">
        <v>2433</v>
      </c>
      <c r="P304" s="80">
        <v>-3049</v>
      </c>
      <c r="Q304" s="80">
        <v>0</v>
      </c>
      <c r="R304" s="12">
        <v>0</v>
      </c>
      <c r="S304" s="7"/>
    </row>
    <row r="305" spans="3:19" x14ac:dyDescent="0.3">
      <c r="C305" s="50" t="s">
        <v>450</v>
      </c>
      <c r="M305" s="50"/>
      <c r="O305" s="50">
        <v>10416</v>
      </c>
      <c r="P305" s="50">
        <v>-3049</v>
      </c>
      <c r="Q305" s="50">
        <v>15840</v>
      </c>
      <c r="R305" s="434">
        <v>14918</v>
      </c>
      <c r="S305" s="434"/>
    </row>
    <row r="306" spans="3:19" ht="14.4" x14ac:dyDescent="0.3">
      <c r="C306" s="50"/>
      <c r="M306" s="50"/>
      <c r="O306" s="50"/>
      <c r="P306" s="50"/>
      <c r="Q306" s="50"/>
    </row>
    <row r="307" spans="3:19" x14ac:dyDescent="0.3">
      <c r="C307" s="53" t="s">
        <v>451</v>
      </c>
      <c r="M307" s="172"/>
      <c r="O307" s="172"/>
      <c r="P307" s="172"/>
      <c r="Q307" s="172"/>
    </row>
    <row r="308" spans="3:19" x14ac:dyDescent="0.3">
      <c r="C308" s="94"/>
      <c r="M308" s="50"/>
      <c r="O308" s="501" t="s">
        <v>442</v>
      </c>
      <c r="P308" s="501"/>
      <c r="Q308" s="501"/>
    </row>
    <row r="309" spans="3:19" ht="15.75" customHeight="1" x14ac:dyDescent="0.3">
      <c r="C309" s="166"/>
      <c r="M309" s="499" t="s">
        <v>28</v>
      </c>
      <c r="O309" s="490" t="s">
        <v>26</v>
      </c>
      <c r="P309" s="490" t="s">
        <v>29</v>
      </c>
      <c r="Q309" s="173"/>
      <c r="R309" s="402" t="s">
        <v>23</v>
      </c>
      <c r="S309" s="415"/>
    </row>
    <row r="310" spans="3:19" ht="14.4" x14ac:dyDescent="0.3">
      <c r="C310" s="80" t="s">
        <v>434</v>
      </c>
      <c r="M310" s="499"/>
      <c r="O310" s="490"/>
      <c r="P310" s="490"/>
      <c r="Q310" s="174" t="s">
        <v>247</v>
      </c>
      <c r="R310" s="403" t="s">
        <v>247</v>
      </c>
      <c r="S310" s="415"/>
    </row>
    <row r="311" spans="3:19" x14ac:dyDescent="0.3">
      <c r="C311" s="50" t="s">
        <v>452</v>
      </c>
      <c r="M311" s="92">
        <v>576</v>
      </c>
      <c r="O311" s="91">
        <v>33</v>
      </c>
      <c r="P311" s="91">
        <v>5</v>
      </c>
      <c r="Q311" s="183">
        <v>1300</v>
      </c>
      <c r="R311" s="404">
        <v>1451</v>
      </c>
      <c r="S311" s="488"/>
    </row>
    <row r="312" spans="3:19" x14ac:dyDescent="0.3">
      <c r="C312" s="50" t="s">
        <v>453</v>
      </c>
      <c r="M312" s="92">
        <v>0</v>
      </c>
      <c r="O312" s="91">
        <v>201</v>
      </c>
      <c r="P312" s="91">
        <v>0</v>
      </c>
      <c r="Q312" s="183">
        <v>453</v>
      </c>
      <c r="R312" s="405">
        <v>600</v>
      </c>
      <c r="S312" s="7"/>
    </row>
    <row r="313" spans="3:19" x14ac:dyDescent="0.3">
      <c r="C313" s="50" t="s">
        <v>454</v>
      </c>
      <c r="M313" s="92">
        <v>173</v>
      </c>
      <c r="O313" s="91">
        <v>4</v>
      </c>
      <c r="P313" s="91">
        <v>0</v>
      </c>
      <c r="Q313" s="183">
        <v>257</v>
      </c>
      <c r="R313" s="405">
        <v>317</v>
      </c>
      <c r="S313" s="7"/>
    </row>
    <row r="314" spans="3:19" x14ac:dyDescent="0.3">
      <c r="C314" s="50" t="s">
        <v>455</v>
      </c>
      <c r="M314" s="92">
        <v>0</v>
      </c>
      <c r="O314" s="91">
        <v>393</v>
      </c>
      <c r="P314" s="91">
        <v>5</v>
      </c>
      <c r="Q314" s="183">
        <v>1474</v>
      </c>
      <c r="R314" s="405">
        <v>880</v>
      </c>
      <c r="S314" s="7"/>
    </row>
    <row r="315" spans="3:19" x14ac:dyDescent="0.3">
      <c r="C315" s="50" t="s">
        <v>456</v>
      </c>
      <c r="M315" s="92">
        <v>0</v>
      </c>
      <c r="O315" s="91">
        <v>402</v>
      </c>
      <c r="P315" s="91">
        <v>1</v>
      </c>
      <c r="Q315" s="183">
        <v>511</v>
      </c>
      <c r="R315" s="405">
        <v>314</v>
      </c>
      <c r="S315" s="7"/>
    </row>
    <row r="316" spans="3:19" x14ac:dyDescent="0.3">
      <c r="C316" s="80" t="s">
        <v>457</v>
      </c>
      <c r="M316" s="104">
        <v>0</v>
      </c>
      <c r="O316" s="184">
        <v>8</v>
      </c>
      <c r="P316" s="184">
        <v>0</v>
      </c>
      <c r="Q316" s="185">
        <v>58</v>
      </c>
      <c r="R316" s="406">
        <v>99</v>
      </c>
      <c r="S316" s="7"/>
    </row>
    <row r="317" spans="3:19" x14ac:dyDescent="0.3">
      <c r="C317" s="50" t="s">
        <v>247</v>
      </c>
      <c r="M317" s="92">
        <v>750</v>
      </c>
      <c r="O317" s="91">
        <v>1041</v>
      </c>
      <c r="P317" s="91">
        <v>12</v>
      </c>
      <c r="Q317" s="183">
        <v>4053</v>
      </c>
      <c r="R317" s="404">
        <v>3661</v>
      </c>
      <c r="S317" s="488"/>
    </row>
    <row r="318" spans="3:19" x14ac:dyDescent="0.3">
      <c r="C318" s="53"/>
      <c r="M318" s="143"/>
      <c r="O318" s="143"/>
      <c r="P318" s="143"/>
      <c r="Q318" s="143"/>
      <c r="R318" s="431"/>
      <c r="S318" s="431"/>
    </row>
    <row r="319" spans="3:19" x14ac:dyDescent="0.3">
      <c r="C319" s="94"/>
      <c r="M319" s="50"/>
      <c r="O319" s="501" t="s">
        <v>249</v>
      </c>
      <c r="P319" s="501"/>
      <c r="Q319" s="501"/>
      <c r="R319" s="432"/>
      <c r="S319" s="432"/>
    </row>
    <row r="320" spans="3:19" ht="15.75" customHeight="1" x14ac:dyDescent="0.3">
      <c r="C320" s="166"/>
      <c r="M320" s="499" t="s">
        <v>28</v>
      </c>
      <c r="O320" s="490" t="s">
        <v>26</v>
      </c>
      <c r="P320" s="490" t="s">
        <v>29</v>
      </c>
      <c r="Q320" s="173"/>
      <c r="R320" s="402" t="s">
        <v>23</v>
      </c>
      <c r="S320" s="415"/>
    </row>
    <row r="321" spans="3:19" ht="14.4" x14ac:dyDescent="0.3">
      <c r="C321" s="80" t="s">
        <v>434</v>
      </c>
      <c r="M321" s="499"/>
      <c r="O321" s="490"/>
      <c r="P321" s="490"/>
      <c r="Q321" s="174" t="s">
        <v>247</v>
      </c>
      <c r="R321" s="403" t="s">
        <v>247</v>
      </c>
      <c r="S321" s="415"/>
    </row>
    <row r="322" spans="3:19" x14ac:dyDescent="0.3">
      <c r="C322" s="50" t="s">
        <v>452</v>
      </c>
      <c r="M322" s="92">
        <v>2313</v>
      </c>
      <c r="O322" s="91">
        <v>33</v>
      </c>
      <c r="P322" s="91">
        <v>25</v>
      </c>
      <c r="Q322" s="183">
        <v>5058</v>
      </c>
      <c r="R322" s="404">
        <v>5130</v>
      </c>
      <c r="S322" s="488"/>
    </row>
    <row r="323" spans="3:19" x14ac:dyDescent="0.3">
      <c r="C323" s="50" t="s">
        <v>453</v>
      </c>
      <c r="M323" s="92">
        <v>4</v>
      </c>
      <c r="O323" s="91">
        <v>1386</v>
      </c>
      <c r="P323" s="91">
        <v>2</v>
      </c>
      <c r="Q323" s="183">
        <v>2602</v>
      </c>
      <c r="R323" s="404">
        <v>2682</v>
      </c>
      <c r="S323" s="488"/>
    </row>
    <row r="324" spans="3:19" x14ac:dyDescent="0.3">
      <c r="C324" s="50" t="s">
        <v>454</v>
      </c>
      <c r="M324" s="92">
        <v>712</v>
      </c>
      <c r="O324" s="91">
        <v>6</v>
      </c>
      <c r="P324" s="91">
        <v>0</v>
      </c>
      <c r="Q324" s="183">
        <v>1210</v>
      </c>
      <c r="R324" s="404">
        <v>1268</v>
      </c>
      <c r="S324" s="488"/>
    </row>
    <row r="325" spans="3:19" x14ac:dyDescent="0.3">
      <c r="C325" s="50" t="s">
        <v>455</v>
      </c>
      <c r="M325" s="92">
        <v>2</v>
      </c>
      <c r="O325" s="91">
        <v>1000</v>
      </c>
      <c r="P325" s="91">
        <v>12</v>
      </c>
      <c r="Q325" s="183">
        <v>4965</v>
      </c>
      <c r="R325" s="404">
        <v>3723</v>
      </c>
      <c r="S325" s="488"/>
    </row>
    <row r="326" spans="3:19" x14ac:dyDescent="0.3">
      <c r="C326" s="50" t="s">
        <v>456</v>
      </c>
      <c r="M326" s="92">
        <v>0</v>
      </c>
      <c r="O326" s="91">
        <v>1197</v>
      </c>
      <c r="P326" s="91">
        <v>2</v>
      </c>
      <c r="Q326" s="183">
        <v>1729</v>
      </c>
      <c r="R326" s="404">
        <v>1611</v>
      </c>
      <c r="S326" s="488"/>
    </row>
    <row r="327" spans="3:19" x14ac:dyDescent="0.3">
      <c r="C327" s="80" t="s">
        <v>457</v>
      </c>
      <c r="M327" s="104">
        <v>0</v>
      </c>
      <c r="O327" s="184">
        <v>32</v>
      </c>
      <c r="P327" s="184">
        <v>4</v>
      </c>
      <c r="Q327" s="185">
        <v>275</v>
      </c>
      <c r="R327" s="406">
        <v>504</v>
      </c>
      <c r="S327" s="7"/>
    </row>
    <row r="328" spans="3:19" x14ac:dyDescent="0.3">
      <c r="C328" s="50" t="s">
        <v>247</v>
      </c>
      <c r="M328" s="92">
        <v>3031</v>
      </c>
      <c r="O328" s="91">
        <v>3654</v>
      </c>
      <c r="P328" s="91">
        <v>44</v>
      </c>
      <c r="Q328" s="183">
        <v>15840</v>
      </c>
      <c r="R328" s="404">
        <v>14918</v>
      </c>
      <c r="S328" s="488"/>
    </row>
    <row r="329" spans="3:19" x14ac:dyDescent="0.3">
      <c r="C329" s="50"/>
      <c r="M329" s="53"/>
      <c r="O329" s="50"/>
      <c r="P329" s="50"/>
      <c r="Q329" s="50"/>
    </row>
    <row r="330" spans="3:19" ht="15" x14ac:dyDescent="0.3">
      <c r="C330" s="172"/>
      <c r="M330" s="172"/>
      <c r="O330" s="172"/>
      <c r="P330" s="172"/>
      <c r="Q330" s="172"/>
    </row>
    <row r="331" spans="3:19" x14ac:dyDescent="0.3">
      <c r="C331" s="53" t="s">
        <v>458</v>
      </c>
      <c r="M331" s="50"/>
      <c r="O331" s="56"/>
      <c r="P331" s="56"/>
      <c r="Q331" s="50"/>
    </row>
    <row r="332" spans="3:19" ht="14.4" x14ac:dyDescent="0.3">
      <c r="C332" s="50"/>
      <c r="M332" s="50"/>
      <c r="O332" s="56"/>
      <c r="P332" s="56"/>
      <c r="Q332" s="50"/>
    </row>
    <row r="333" spans="3:19" ht="14.4" x14ac:dyDescent="0.3">
      <c r="C333" s="50"/>
      <c r="M333" s="50"/>
      <c r="O333" s="50"/>
      <c r="P333" s="50"/>
      <c r="Q333" s="50"/>
    </row>
    <row r="334" spans="3:19" ht="14.4" x14ac:dyDescent="0.3">
      <c r="C334" s="50"/>
      <c r="M334" s="50"/>
      <c r="O334" s="50"/>
      <c r="P334" s="50"/>
      <c r="Q334" s="50"/>
    </row>
    <row r="335" spans="3:19" ht="14.4" x14ac:dyDescent="0.3">
      <c r="C335" s="50"/>
      <c r="M335" s="50"/>
      <c r="O335" s="50"/>
      <c r="P335" s="50"/>
      <c r="Q335" s="50"/>
    </row>
    <row r="336" spans="3:19" ht="14.4" x14ac:dyDescent="0.3">
      <c r="C336" s="50"/>
      <c r="M336" s="50"/>
      <c r="O336" s="50"/>
      <c r="P336" s="50"/>
      <c r="Q336" s="50"/>
    </row>
    <row r="337" spans="3:28" ht="14.4" x14ac:dyDescent="0.3">
      <c r="C337" s="164"/>
      <c r="M337" s="164"/>
      <c r="O337" s="164"/>
      <c r="P337" s="164"/>
      <c r="Q337" s="164"/>
      <c r="W337" s="425" t="s">
        <v>260</v>
      </c>
    </row>
    <row r="338" spans="3:28" x14ac:dyDescent="0.3">
      <c r="C338" s="135" t="s">
        <v>239</v>
      </c>
      <c r="M338" s="115"/>
      <c r="O338" s="186"/>
      <c r="P338" s="187" t="s">
        <v>250</v>
      </c>
      <c r="Q338" s="64" t="s">
        <v>249</v>
      </c>
      <c r="R338" s="433">
        <v>43112</v>
      </c>
      <c r="S338" s="6" t="s">
        <v>265</v>
      </c>
      <c r="W338" t="s">
        <v>459</v>
      </c>
      <c r="Y338">
        <v>2020</v>
      </c>
      <c r="Z338">
        <v>2019</v>
      </c>
      <c r="AA338">
        <v>2018</v>
      </c>
      <c r="AB338">
        <v>2017</v>
      </c>
    </row>
    <row r="339" spans="3:28" x14ac:dyDescent="0.3">
      <c r="C339" s="50" t="s">
        <v>26</v>
      </c>
      <c r="O339" s="70"/>
      <c r="P339" s="71">
        <v>4270</v>
      </c>
      <c r="Q339" s="70">
        <v>4033</v>
      </c>
      <c r="R339" s="434">
        <v>3241</v>
      </c>
      <c r="S339" s="488">
        <v>3243</v>
      </c>
      <c r="Y339">
        <v>13354</v>
      </c>
      <c r="Z339">
        <v>14418</v>
      </c>
      <c r="AA339">
        <v>14433</v>
      </c>
      <c r="AB339">
        <v>14193</v>
      </c>
    </row>
    <row r="340" spans="3:28" x14ac:dyDescent="0.3">
      <c r="C340" s="13" t="s">
        <v>27</v>
      </c>
      <c r="O340" s="70"/>
      <c r="P340" s="71">
        <v>6063</v>
      </c>
      <c r="Q340" s="70">
        <v>10416</v>
      </c>
      <c r="R340" s="434">
        <v>10105</v>
      </c>
      <c r="S340" s="488">
        <v>8490</v>
      </c>
      <c r="W340" t="s">
        <v>460</v>
      </c>
    </row>
    <row r="341" spans="3:28" x14ac:dyDescent="0.3">
      <c r="C341" s="50" t="s">
        <v>28</v>
      </c>
      <c r="M341" s="188"/>
      <c r="O341" s="70"/>
      <c r="P341" s="71">
        <v>3055</v>
      </c>
      <c r="Q341" s="70">
        <v>4193</v>
      </c>
      <c r="R341" s="434">
        <v>4315</v>
      </c>
      <c r="S341" s="488">
        <v>3912</v>
      </c>
      <c r="Y341">
        <v>12791</v>
      </c>
      <c r="Z341">
        <v>13888</v>
      </c>
      <c r="AA341">
        <v>13959</v>
      </c>
      <c r="AB341">
        <v>13916</v>
      </c>
    </row>
    <row r="342" spans="3:28" ht="15.75" customHeight="1" x14ac:dyDescent="0.3">
      <c r="C342" s="13" t="s">
        <v>29</v>
      </c>
      <c r="M342" s="189"/>
      <c r="O342" s="70"/>
      <c r="P342" s="71">
        <v>177</v>
      </c>
      <c r="Q342" s="70">
        <v>246</v>
      </c>
      <c r="R342" s="493">
        <v>264</v>
      </c>
      <c r="S342" s="7">
        <v>237</v>
      </c>
      <c r="W342" t="s">
        <v>461</v>
      </c>
    </row>
    <row r="343" spans="3:28" x14ac:dyDescent="0.3">
      <c r="C343" s="115" t="s">
        <v>30</v>
      </c>
      <c r="M343" s="190"/>
      <c r="O343" s="70"/>
      <c r="P343" s="71">
        <v>-1813</v>
      </c>
      <c r="Q343" s="70">
        <v>-3049</v>
      </c>
      <c r="R343" s="434">
        <v>-3007</v>
      </c>
      <c r="S343" s="488">
        <v>-2666</v>
      </c>
      <c r="Y343">
        <v>7.55</v>
      </c>
      <c r="Z343">
        <v>10.56</v>
      </c>
      <c r="AA343">
        <f>6.19+5</f>
        <v>11.190000000000001</v>
      </c>
      <c r="AB343">
        <v>11.08</v>
      </c>
    </row>
    <row r="344" spans="3:28" x14ac:dyDescent="0.3">
      <c r="C344" s="191" t="s">
        <v>247</v>
      </c>
      <c r="M344" s="192"/>
      <c r="O344" s="83"/>
      <c r="P344" s="84">
        <v>11751</v>
      </c>
      <c r="Q344" s="83">
        <v>15840</v>
      </c>
      <c r="R344" s="445">
        <v>14918</v>
      </c>
      <c r="S344" s="445">
        <v>13217</v>
      </c>
    </row>
    <row r="345" spans="3:28" x14ac:dyDescent="0.3">
      <c r="C345" s="193"/>
      <c r="M345" s="194"/>
      <c r="O345" s="195"/>
      <c r="P345" s="196"/>
      <c r="Q345" s="195"/>
      <c r="R345" s="488"/>
      <c r="S345" s="488"/>
    </row>
    <row r="346" spans="3:28" x14ac:dyDescent="0.3">
      <c r="C346" s="423" t="s">
        <v>258</v>
      </c>
      <c r="M346" s="194"/>
      <c r="O346" s="195"/>
      <c r="P346" s="196"/>
      <c r="Q346" s="195"/>
      <c r="R346" s="488"/>
      <c r="S346" s="6" t="s">
        <v>265</v>
      </c>
      <c r="W346" s="425" t="s">
        <v>240</v>
      </c>
      <c r="Y346">
        <v>2020</v>
      </c>
      <c r="Z346">
        <v>2019</v>
      </c>
      <c r="AA346">
        <v>2018</v>
      </c>
      <c r="AB346">
        <v>2017</v>
      </c>
    </row>
    <row r="347" spans="3:28" ht="15.75" customHeight="1" x14ac:dyDescent="0.3">
      <c r="C347" s="110" t="s">
        <v>26</v>
      </c>
      <c r="O347" s="197"/>
      <c r="P347" s="198">
        <v>1239</v>
      </c>
      <c r="Q347" s="197">
        <v>1847</v>
      </c>
      <c r="R347" s="493">
        <v>895</v>
      </c>
      <c r="S347" s="7">
        <v>476</v>
      </c>
      <c r="W347" t="s">
        <v>459</v>
      </c>
      <c r="Y347">
        <v>2966</v>
      </c>
      <c r="Z347">
        <v>2846</v>
      </c>
      <c r="AA347">
        <v>2261</v>
      </c>
      <c r="AB347">
        <v>2567</v>
      </c>
    </row>
    <row r="348" spans="3:28" ht="15.75" customHeight="1" x14ac:dyDescent="0.3">
      <c r="C348" s="13" t="s">
        <v>27</v>
      </c>
      <c r="O348" s="70"/>
      <c r="P348" s="71">
        <v>-396</v>
      </c>
      <c r="Q348" s="70">
        <v>406</v>
      </c>
      <c r="R348" s="493">
        <v>170</v>
      </c>
      <c r="S348" s="7">
        <v>650</v>
      </c>
      <c r="W348" t="s">
        <v>460</v>
      </c>
      <c r="Y348">
        <v>2933</v>
      </c>
      <c r="Z348">
        <v>2872</v>
      </c>
      <c r="AA348">
        <v>2368</v>
      </c>
      <c r="AB348">
        <v>2587</v>
      </c>
    </row>
    <row r="349" spans="3:28" ht="15.75" customHeight="1" x14ac:dyDescent="0.3">
      <c r="C349" s="50" t="s">
        <v>28</v>
      </c>
      <c r="M349" s="188"/>
      <c r="O349" s="70"/>
      <c r="P349" s="71">
        <v>68</v>
      </c>
      <c r="Q349" s="70">
        <v>102</v>
      </c>
      <c r="R349" s="493">
        <v>77</v>
      </c>
      <c r="S349" s="7">
        <v>69</v>
      </c>
      <c r="W349" t="s">
        <v>462</v>
      </c>
      <c r="Y349">
        <v>703</v>
      </c>
      <c r="Z349">
        <v>733</v>
      </c>
      <c r="AA349">
        <v>710</v>
      </c>
      <c r="AB349">
        <f>291+184</f>
        <v>475</v>
      </c>
    </row>
    <row r="350" spans="3:28" ht="15.75" customHeight="1" x14ac:dyDescent="0.3">
      <c r="C350" s="13" t="s">
        <v>29</v>
      </c>
      <c r="M350" s="188"/>
      <c r="O350" s="70"/>
      <c r="P350" s="71">
        <v>-84</v>
      </c>
      <c r="Q350" s="70">
        <v>-123</v>
      </c>
      <c r="R350" s="493">
        <v>-122</v>
      </c>
      <c r="S350" s="7">
        <v>-24</v>
      </c>
    </row>
    <row r="351" spans="3:28" x14ac:dyDescent="0.3">
      <c r="C351" s="115" t="s">
        <v>30</v>
      </c>
      <c r="M351" s="188"/>
      <c r="O351" s="70"/>
      <c r="P351" s="71">
        <v>1</v>
      </c>
      <c r="Q351" s="70">
        <v>-2</v>
      </c>
      <c r="R351" s="493">
        <v>2</v>
      </c>
      <c r="S351" s="7">
        <v>0</v>
      </c>
      <c r="W351" s="425" t="s">
        <v>463</v>
      </c>
      <c r="Y351">
        <v>2020</v>
      </c>
      <c r="Z351">
        <v>2019</v>
      </c>
      <c r="AA351">
        <v>2018</v>
      </c>
      <c r="AB351">
        <v>2017</v>
      </c>
    </row>
    <row r="352" spans="3:28" x14ac:dyDescent="0.3">
      <c r="C352" s="191" t="s">
        <v>247</v>
      </c>
      <c r="M352" s="199"/>
      <c r="O352" s="83"/>
      <c r="P352" s="84">
        <v>828</v>
      </c>
      <c r="Q352" s="83">
        <v>2229</v>
      </c>
      <c r="R352" s="445">
        <v>1022</v>
      </c>
      <c r="S352" s="445">
        <v>1171</v>
      </c>
      <c r="W352" t="s">
        <v>464</v>
      </c>
      <c r="Y352">
        <f>603+1559+666</f>
        <v>2828</v>
      </c>
      <c r="Z352">
        <f>974+1738+665</f>
        <v>3377</v>
      </c>
      <c r="AA352">
        <f>1049+1764+669</f>
        <v>3482</v>
      </c>
      <c r="AB352">
        <f>1080+1739+615</f>
        <v>3434</v>
      </c>
    </row>
    <row r="353" spans="3:19" x14ac:dyDescent="0.3">
      <c r="C353" s="164"/>
      <c r="M353" s="164"/>
      <c r="O353" s="164"/>
      <c r="P353" s="200"/>
      <c r="Q353" s="164"/>
    </row>
    <row r="354" spans="3:19" x14ac:dyDescent="0.3">
      <c r="C354" s="135" t="s">
        <v>391</v>
      </c>
      <c r="M354" s="201"/>
      <c r="O354" s="186"/>
      <c r="P354" s="187" t="s">
        <v>250</v>
      </c>
      <c r="Q354" s="64" t="s">
        <v>249</v>
      </c>
      <c r="R354" s="433">
        <v>43112</v>
      </c>
      <c r="S354" s="521"/>
    </row>
    <row r="355" spans="3:19" ht="15.75" customHeight="1" x14ac:dyDescent="0.3">
      <c r="C355" s="50" t="s">
        <v>26</v>
      </c>
      <c r="M355" s="188"/>
      <c r="O355" s="70"/>
      <c r="P355" s="71">
        <v>1334</v>
      </c>
      <c r="Q355" s="70">
        <v>1599</v>
      </c>
      <c r="R355" s="493">
        <v>983</v>
      </c>
      <c r="S355" s="493"/>
    </row>
    <row r="356" spans="3:19" ht="15.75" customHeight="1" x14ac:dyDescent="0.3">
      <c r="C356" s="13" t="s">
        <v>27</v>
      </c>
      <c r="M356" s="188"/>
      <c r="O356" s="70"/>
      <c r="P356" s="71">
        <v>50</v>
      </c>
      <c r="Q356" s="70">
        <v>386</v>
      </c>
      <c r="R356" s="493">
        <v>397</v>
      </c>
      <c r="S356" s="493"/>
    </row>
    <row r="357" spans="3:19" ht="15.75" customHeight="1" x14ac:dyDescent="0.3">
      <c r="C357" s="50" t="s">
        <v>28</v>
      </c>
      <c r="M357" s="188"/>
      <c r="O357" s="70"/>
      <c r="P357" s="71">
        <v>68</v>
      </c>
      <c r="Q357" s="70">
        <v>77</v>
      </c>
      <c r="R357" s="493">
        <v>77</v>
      </c>
      <c r="S357" s="493"/>
    </row>
    <row r="358" spans="3:19" ht="15.75" customHeight="1" x14ac:dyDescent="0.3">
      <c r="C358" s="13" t="s">
        <v>29</v>
      </c>
      <c r="M358" s="188"/>
      <c r="O358" s="70"/>
      <c r="P358" s="71">
        <v>-37</v>
      </c>
      <c r="Q358" s="70">
        <v>-98</v>
      </c>
      <c r="R358" s="493">
        <v>-36</v>
      </c>
      <c r="S358" s="493"/>
    </row>
    <row r="359" spans="3:19" ht="15.75" customHeight="1" x14ac:dyDescent="0.3">
      <c r="C359" s="115" t="s">
        <v>30</v>
      </c>
      <c r="O359" s="70"/>
      <c r="P359" s="71">
        <v>1</v>
      </c>
      <c r="Q359" s="70">
        <v>-2</v>
      </c>
      <c r="R359" s="493">
        <v>2</v>
      </c>
      <c r="S359" s="493"/>
    </row>
    <row r="360" spans="3:19" x14ac:dyDescent="0.3">
      <c r="C360" s="191" t="s">
        <v>247</v>
      </c>
      <c r="M360" s="199"/>
      <c r="O360" s="83"/>
      <c r="P360" s="84">
        <v>1416</v>
      </c>
      <c r="Q360" s="83">
        <v>1962</v>
      </c>
      <c r="R360" s="445">
        <v>1422</v>
      </c>
      <c r="S360" s="488"/>
    </row>
    <row r="361" spans="3:19" x14ac:dyDescent="0.3">
      <c r="C361" s="202"/>
      <c r="O361" s="50"/>
      <c r="P361" s="198"/>
      <c r="Q361" s="197"/>
    </row>
    <row r="362" spans="3:19" x14ac:dyDescent="0.3">
      <c r="C362" s="135" t="s">
        <v>264</v>
      </c>
      <c r="M362" s="115"/>
      <c r="O362" s="186"/>
      <c r="P362" s="187" t="s">
        <v>250</v>
      </c>
      <c r="Q362" s="64" t="s">
        <v>249</v>
      </c>
      <c r="R362" s="433">
        <v>43112</v>
      </c>
      <c r="S362" s="6" t="s">
        <v>265</v>
      </c>
    </row>
    <row r="363" spans="3:19" ht="15.75" customHeight="1" x14ac:dyDescent="0.3">
      <c r="C363" s="50" t="s">
        <v>26</v>
      </c>
      <c r="M363" s="188"/>
      <c r="O363" s="70"/>
      <c r="P363" s="71">
        <v>184</v>
      </c>
      <c r="Q363" s="70">
        <v>166</v>
      </c>
      <c r="R363" s="493">
        <v>128</v>
      </c>
      <c r="S363" s="7">
        <v>110</v>
      </c>
    </row>
    <row r="364" spans="3:19" ht="15.75" customHeight="1" x14ac:dyDescent="0.3">
      <c r="C364" s="50" t="s">
        <v>27</v>
      </c>
      <c r="O364" s="70"/>
      <c r="P364" s="71">
        <v>425</v>
      </c>
      <c r="Q364" s="70">
        <v>232</v>
      </c>
      <c r="R364" s="493">
        <v>345</v>
      </c>
      <c r="S364" s="7">
        <v>213</v>
      </c>
    </row>
    <row r="365" spans="3:19" ht="15.75" customHeight="1" x14ac:dyDescent="0.3">
      <c r="C365" s="50" t="s">
        <v>28</v>
      </c>
      <c r="M365" s="188"/>
      <c r="O365" s="70"/>
      <c r="P365" s="71">
        <v>28</v>
      </c>
      <c r="Q365" s="70">
        <v>33</v>
      </c>
      <c r="R365" s="493">
        <v>25</v>
      </c>
      <c r="S365" s="7">
        <v>25</v>
      </c>
    </row>
    <row r="366" spans="3:19" ht="15.75" customHeight="1" x14ac:dyDescent="0.3">
      <c r="C366" s="50" t="s">
        <v>29</v>
      </c>
      <c r="M366" s="188"/>
      <c r="O366" s="70"/>
      <c r="P366" s="71">
        <v>43</v>
      </c>
      <c r="Q366" s="70">
        <v>71</v>
      </c>
      <c r="R366" s="493">
        <v>116</v>
      </c>
      <c r="S366" s="7">
        <v>24</v>
      </c>
    </row>
    <row r="367" spans="3:19" ht="15.75" customHeight="1" x14ac:dyDescent="0.3">
      <c r="C367" s="115" t="s">
        <v>30</v>
      </c>
      <c r="M367" s="188"/>
      <c r="O367" s="70"/>
      <c r="P367" s="71">
        <v>0</v>
      </c>
      <c r="Q367" s="70">
        <v>0</v>
      </c>
      <c r="R367" s="493">
        <v>0</v>
      </c>
      <c r="S367" s="7">
        <v>0</v>
      </c>
    </row>
    <row r="368" spans="3:19" x14ac:dyDescent="0.3">
      <c r="C368" s="191" t="s">
        <v>247</v>
      </c>
      <c r="M368" s="199"/>
      <c r="O368" s="83"/>
      <c r="P368" s="84">
        <v>680</v>
      </c>
      <c r="Q368" s="83">
        <v>502</v>
      </c>
      <c r="R368" s="435">
        <v>614</v>
      </c>
      <c r="S368" s="435">
        <v>371</v>
      </c>
    </row>
    <row r="369" spans="3:19" x14ac:dyDescent="0.3">
      <c r="C369" s="50"/>
      <c r="M369" s="188"/>
      <c r="O369" s="140"/>
      <c r="P369" s="139"/>
      <c r="Q369" s="140"/>
    </row>
    <row r="370" spans="3:19" x14ac:dyDescent="0.3">
      <c r="C370" s="135" t="s">
        <v>270</v>
      </c>
      <c r="M370" s="201"/>
      <c r="O370" s="186"/>
      <c r="P370" s="187" t="s">
        <v>250</v>
      </c>
      <c r="Q370" s="64" t="s">
        <v>249</v>
      </c>
      <c r="R370" s="433">
        <v>43112</v>
      </c>
      <c r="S370" s="6" t="s">
        <v>265</v>
      </c>
    </row>
    <row r="371" spans="3:19" ht="15.75" customHeight="1" x14ac:dyDescent="0.3">
      <c r="C371" s="50" t="s">
        <v>26</v>
      </c>
      <c r="M371" s="188"/>
      <c r="O371" s="70"/>
      <c r="P371" s="71">
        <v>804</v>
      </c>
      <c r="Q371" s="70">
        <v>424</v>
      </c>
      <c r="R371" s="493">
        <v>159</v>
      </c>
      <c r="S371" s="7">
        <v>122</v>
      </c>
    </row>
    <row r="372" spans="3:19" ht="15.75" customHeight="1" x14ac:dyDescent="0.3">
      <c r="C372" s="13" t="s">
        <v>27</v>
      </c>
      <c r="M372" s="188"/>
      <c r="O372" s="70"/>
      <c r="P372" s="71">
        <v>307</v>
      </c>
      <c r="Q372" s="70">
        <v>373</v>
      </c>
      <c r="R372" s="493">
        <v>196</v>
      </c>
      <c r="S372" s="7">
        <v>307</v>
      </c>
    </row>
    <row r="373" spans="3:19" ht="15.75" customHeight="1" x14ac:dyDescent="0.3">
      <c r="C373" s="50" t="s">
        <v>28</v>
      </c>
      <c r="M373" s="188"/>
      <c r="O373" s="70"/>
      <c r="P373" s="71">
        <v>26</v>
      </c>
      <c r="Q373" s="70">
        <v>37</v>
      </c>
      <c r="R373" s="493">
        <v>28</v>
      </c>
      <c r="S373" s="7">
        <v>37</v>
      </c>
    </row>
    <row r="374" spans="3:19" ht="15.75" customHeight="1" x14ac:dyDescent="0.3">
      <c r="C374" s="13" t="s">
        <v>29</v>
      </c>
      <c r="O374" s="70"/>
      <c r="P374" s="71">
        <v>60</v>
      </c>
      <c r="Q374" s="70">
        <v>56</v>
      </c>
      <c r="R374" s="493">
        <v>55</v>
      </c>
      <c r="S374" s="7">
        <v>70</v>
      </c>
    </row>
    <row r="375" spans="3:19" ht="15.75" customHeight="1" x14ac:dyDescent="0.3">
      <c r="C375" s="115" t="s">
        <v>30</v>
      </c>
      <c r="O375" s="70"/>
      <c r="P375" s="71">
        <v>0</v>
      </c>
      <c r="Q375" s="70">
        <v>0</v>
      </c>
      <c r="R375" s="493">
        <v>0</v>
      </c>
      <c r="S375" s="7">
        <v>0</v>
      </c>
    </row>
    <row r="376" spans="3:19" x14ac:dyDescent="0.3">
      <c r="C376" s="191" t="s">
        <v>247</v>
      </c>
      <c r="M376" s="199"/>
      <c r="O376" s="83"/>
      <c r="P376" s="84">
        <v>1197</v>
      </c>
      <c r="Q376" s="83">
        <v>890</v>
      </c>
      <c r="R376" s="435">
        <v>438</v>
      </c>
      <c r="S376" s="435">
        <v>536</v>
      </c>
    </row>
    <row r="377" spans="3:19" x14ac:dyDescent="0.3">
      <c r="C377" s="203"/>
      <c r="O377" s="188"/>
      <c r="P377" s="139"/>
      <c r="Q377" s="140"/>
    </row>
    <row r="378" spans="3:19" x14ac:dyDescent="0.3">
      <c r="C378" s="53"/>
      <c r="O378" s="13"/>
      <c r="P378" s="61" t="s">
        <v>401</v>
      </c>
      <c r="Q378" s="204" t="s">
        <v>401</v>
      </c>
      <c r="R378" s="437">
        <v>44561</v>
      </c>
      <c r="S378" s="437"/>
    </row>
    <row r="379" spans="3:19" x14ac:dyDescent="0.3">
      <c r="C379" s="135" t="s">
        <v>465</v>
      </c>
      <c r="M379" s="115"/>
      <c r="O379" s="201"/>
      <c r="P379" s="205">
        <v>2020</v>
      </c>
      <c r="Q379" s="206">
        <v>2019</v>
      </c>
      <c r="R379" s="6">
        <v>2018</v>
      </c>
      <c r="S379" s="5"/>
    </row>
    <row r="380" spans="3:19" x14ac:dyDescent="0.3">
      <c r="C380" s="50" t="s">
        <v>26</v>
      </c>
      <c r="O380" s="207"/>
      <c r="P380" s="71">
        <v>3998</v>
      </c>
      <c r="Q380" s="70">
        <v>3606</v>
      </c>
      <c r="R380" s="434">
        <v>2459</v>
      </c>
      <c r="S380" s="434"/>
    </row>
    <row r="381" spans="3:19" x14ac:dyDescent="0.3">
      <c r="C381" s="13" t="s">
        <v>27</v>
      </c>
      <c r="O381" s="207"/>
      <c r="P381" s="71">
        <v>3402</v>
      </c>
      <c r="Q381" s="70">
        <v>3927</v>
      </c>
      <c r="R381" s="434">
        <v>3750</v>
      </c>
      <c r="S381" s="434"/>
    </row>
    <row r="382" spans="3:19" ht="15.75" customHeight="1" x14ac:dyDescent="0.3">
      <c r="C382" s="50" t="s">
        <v>28</v>
      </c>
      <c r="M382" s="188"/>
      <c r="O382" s="207"/>
      <c r="P382" s="71">
        <v>476</v>
      </c>
      <c r="Q382" s="70">
        <v>577</v>
      </c>
      <c r="R382" s="493">
        <v>551</v>
      </c>
      <c r="S382" s="493"/>
    </row>
    <row r="383" spans="3:19" ht="15.75" customHeight="1" x14ac:dyDescent="0.3">
      <c r="C383" s="13" t="s">
        <v>29</v>
      </c>
      <c r="M383" s="188"/>
      <c r="O383" s="207"/>
      <c r="P383" s="71">
        <v>349</v>
      </c>
      <c r="Q383" s="70">
        <v>352</v>
      </c>
      <c r="R383" s="493">
        <v>401</v>
      </c>
      <c r="S383" s="493"/>
    </row>
    <row r="384" spans="3:19" x14ac:dyDescent="0.3">
      <c r="C384" s="13" t="s">
        <v>466</v>
      </c>
      <c r="M384" s="188"/>
      <c r="O384" s="207"/>
      <c r="P384" s="71">
        <v>1839</v>
      </c>
      <c r="Q384" s="70">
        <v>1652</v>
      </c>
      <c r="R384" s="434">
        <v>1432</v>
      </c>
      <c r="S384" s="434"/>
    </row>
    <row r="385" spans="3:19" ht="15.75" customHeight="1" x14ac:dyDescent="0.3">
      <c r="C385" s="115" t="s">
        <v>30</v>
      </c>
      <c r="O385" s="208"/>
      <c r="P385" s="71">
        <v>-249</v>
      </c>
      <c r="Q385" s="70">
        <v>-322</v>
      </c>
      <c r="R385" s="493">
        <v>-384</v>
      </c>
      <c r="S385" s="493"/>
    </row>
    <row r="386" spans="3:19" x14ac:dyDescent="0.3">
      <c r="C386" s="191" t="s">
        <v>247</v>
      </c>
      <c r="M386" s="199"/>
      <c r="O386" s="209"/>
      <c r="P386" s="84">
        <v>9815</v>
      </c>
      <c r="Q386" s="83">
        <v>9793</v>
      </c>
      <c r="R386" s="445">
        <v>8210</v>
      </c>
      <c r="S386" s="488"/>
    </row>
    <row r="387" spans="3:19" x14ac:dyDescent="0.3">
      <c r="M387" s="188"/>
      <c r="O387" s="210"/>
      <c r="P387" s="211"/>
      <c r="Q387" s="211"/>
      <c r="R387" s="493"/>
      <c r="S387" s="493"/>
    </row>
    <row r="388" spans="3:19" ht="14.4" x14ac:dyDescent="0.3">
      <c r="C388" s="50"/>
      <c r="M388" s="212"/>
      <c r="O388" s="140"/>
      <c r="P388" s="211"/>
      <c r="Q388" s="211"/>
      <c r="R388" s="432" t="s">
        <v>398</v>
      </c>
      <c r="S388" s="432"/>
    </row>
    <row r="389" spans="3:19" x14ac:dyDescent="0.3">
      <c r="C389" s="53"/>
      <c r="O389" s="50"/>
      <c r="P389" s="61" t="s">
        <v>401</v>
      </c>
      <c r="Q389" s="204" t="s">
        <v>401</v>
      </c>
      <c r="R389" s="437">
        <v>44561</v>
      </c>
      <c r="S389" s="437"/>
    </row>
    <row r="390" spans="3:19" x14ac:dyDescent="0.3">
      <c r="C390" s="135" t="s">
        <v>467</v>
      </c>
      <c r="M390" s="115"/>
      <c r="O390" s="213"/>
      <c r="P390" s="205">
        <v>2020</v>
      </c>
      <c r="Q390" s="206">
        <v>2019</v>
      </c>
      <c r="R390" s="6">
        <v>2018</v>
      </c>
      <c r="S390" s="5"/>
    </row>
    <row r="391" spans="3:19" x14ac:dyDescent="0.3">
      <c r="C391" s="50" t="s">
        <v>26</v>
      </c>
      <c r="O391" s="50"/>
      <c r="P391" s="71">
        <v>3470</v>
      </c>
      <c r="Q391" s="70">
        <v>3137</v>
      </c>
      <c r="R391" s="434">
        <v>2002</v>
      </c>
      <c r="S391" s="434"/>
    </row>
    <row r="392" spans="3:19" x14ac:dyDescent="0.3">
      <c r="C392" s="50" t="s">
        <v>27</v>
      </c>
      <c r="O392" s="50"/>
      <c r="P392" s="71">
        <v>1848</v>
      </c>
      <c r="Q392" s="70">
        <v>2313</v>
      </c>
      <c r="R392" s="434">
        <v>2257</v>
      </c>
      <c r="S392" s="434"/>
    </row>
    <row r="393" spans="3:19" ht="15.75" customHeight="1" x14ac:dyDescent="0.3">
      <c r="C393" s="50" t="s">
        <v>28</v>
      </c>
      <c r="M393" s="188"/>
      <c r="O393" s="50"/>
      <c r="P393" s="71">
        <v>192</v>
      </c>
      <c r="Q393" s="70">
        <v>235</v>
      </c>
      <c r="R393" s="493">
        <v>249</v>
      </c>
      <c r="S393" s="493"/>
    </row>
    <row r="394" spans="3:19" ht="15.75" customHeight="1" x14ac:dyDescent="0.3">
      <c r="C394" s="50" t="s">
        <v>29</v>
      </c>
      <c r="O394" s="50"/>
      <c r="P394" s="71">
        <v>149</v>
      </c>
      <c r="Q394" s="70">
        <v>214</v>
      </c>
      <c r="R394" s="493">
        <v>186</v>
      </c>
      <c r="S394" s="493"/>
    </row>
    <row r="395" spans="3:19" ht="15.75" customHeight="1" x14ac:dyDescent="0.3">
      <c r="C395" s="80" t="s">
        <v>30</v>
      </c>
      <c r="O395" s="80"/>
      <c r="P395" s="71">
        <v>-6</v>
      </c>
      <c r="Q395" s="70">
        <v>-9</v>
      </c>
      <c r="R395" s="493">
        <v>-4</v>
      </c>
      <c r="S395" s="493"/>
    </row>
    <row r="396" spans="3:19" x14ac:dyDescent="0.3">
      <c r="C396" s="82" t="s">
        <v>247</v>
      </c>
      <c r="M396" s="191"/>
      <c r="O396" s="214"/>
      <c r="P396" s="84">
        <v>5653</v>
      </c>
      <c r="Q396" s="83">
        <v>5890</v>
      </c>
      <c r="R396" s="445">
        <v>4691</v>
      </c>
      <c r="S396" s="488"/>
    </row>
    <row r="397" spans="3:19" x14ac:dyDescent="0.3">
      <c r="C397" s="50"/>
      <c r="O397" s="50"/>
      <c r="P397" s="54"/>
      <c r="Q397" s="54"/>
      <c r="R397" s="432" t="s">
        <v>398</v>
      </c>
      <c r="S397" s="432"/>
    </row>
    <row r="398" spans="3:19" x14ac:dyDescent="0.3">
      <c r="C398" s="53"/>
      <c r="O398" s="50"/>
      <c r="P398" s="61" t="s">
        <v>401</v>
      </c>
      <c r="Q398" s="204" t="s">
        <v>401</v>
      </c>
      <c r="R398" s="437">
        <v>44561</v>
      </c>
      <c r="S398" s="437"/>
    </row>
    <row r="399" spans="3:19" x14ac:dyDescent="0.3">
      <c r="C399" s="135" t="s">
        <v>468</v>
      </c>
      <c r="M399" s="115"/>
      <c r="O399" s="213"/>
      <c r="P399" s="205">
        <v>2020</v>
      </c>
      <c r="Q399" s="206">
        <v>2019</v>
      </c>
      <c r="R399" s="6">
        <v>2018</v>
      </c>
      <c r="S399" s="5"/>
    </row>
    <row r="400" spans="3:19" ht="15.75" customHeight="1" x14ac:dyDescent="0.3">
      <c r="C400" s="50" t="s">
        <v>26</v>
      </c>
      <c r="O400" s="50"/>
      <c r="P400" s="71">
        <v>825</v>
      </c>
      <c r="Q400" s="70">
        <v>757</v>
      </c>
      <c r="R400" s="493">
        <v>457</v>
      </c>
      <c r="S400" s="493"/>
    </row>
    <row r="401" spans="3:19" x14ac:dyDescent="0.3">
      <c r="C401" s="50" t="s">
        <v>27</v>
      </c>
      <c r="O401" s="50"/>
      <c r="P401" s="71">
        <v>1600</v>
      </c>
      <c r="Q401" s="70">
        <v>1674</v>
      </c>
      <c r="R401" s="434">
        <v>1492</v>
      </c>
      <c r="S401" s="434"/>
    </row>
    <row r="402" spans="3:19" ht="15.75" customHeight="1" x14ac:dyDescent="0.3">
      <c r="C402" s="50" t="s">
        <v>28</v>
      </c>
      <c r="O402" s="50"/>
      <c r="P402" s="71">
        <v>339</v>
      </c>
      <c r="Q402" s="70">
        <v>406</v>
      </c>
      <c r="R402" s="493">
        <v>302</v>
      </c>
      <c r="S402" s="493"/>
    </row>
    <row r="403" spans="3:19" ht="15.75" customHeight="1" x14ac:dyDescent="0.3">
      <c r="C403" s="50" t="s">
        <v>29</v>
      </c>
      <c r="O403" s="50"/>
      <c r="P403" s="71">
        <v>206</v>
      </c>
      <c r="Q403" s="70">
        <v>145</v>
      </c>
      <c r="R403" s="493">
        <v>215</v>
      </c>
      <c r="S403" s="493"/>
    </row>
    <row r="404" spans="3:19" x14ac:dyDescent="0.3">
      <c r="C404" s="50" t="s">
        <v>469</v>
      </c>
      <c r="O404" s="50"/>
      <c r="P404" s="71">
        <v>1160</v>
      </c>
      <c r="Q404" s="70">
        <v>1202</v>
      </c>
      <c r="R404" s="434">
        <v>1507</v>
      </c>
      <c r="S404" s="434"/>
    </row>
    <row r="405" spans="3:19" ht="15.75" customHeight="1" x14ac:dyDescent="0.3">
      <c r="C405" s="80" t="s">
        <v>30</v>
      </c>
      <c r="O405" s="80"/>
      <c r="P405" s="71">
        <v>-243</v>
      </c>
      <c r="Q405" s="70">
        <v>-313</v>
      </c>
      <c r="R405" s="493">
        <v>-380</v>
      </c>
      <c r="S405" s="493"/>
    </row>
    <row r="406" spans="3:19" x14ac:dyDescent="0.3">
      <c r="C406" s="82" t="s">
        <v>247</v>
      </c>
      <c r="M406" s="191"/>
      <c r="O406" s="142"/>
      <c r="P406" s="84">
        <v>3886</v>
      </c>
      <c r="Q406" s="83">
        <v>3872</v>
      </c>
      <c r="R406" s="445">
        <v>3594</v>
      </c>
      <c r="S406" s="488"/>
    </row>
    <row r="407" spans="3:19" x14ac:dyDescent="0.3">
      <c r="C407" s="50"/>
      <c r="O407" s="50"/>
      <c r="P407" s="71"/>
      <c r="Q407" s="70"/>
      <c r="R407" s="432" t="s">
        <v>398</v>
      </c>
      <c r="S407" s="432"/>
    </row>
    <row r="408" spans="3:19" x14ac:dyDescent="0.3">
      <c r="C408" s="53"/>
      <c r="O408" s="50"/>
      <c r="P408" s="61" t="s">
        <v>401</v>
      </c>
      <c r="Q408" s="204" t="s">
        <v>401</v>
      </c>
      <c r="R408" s="437">
        <v>44561</v>
      </c>
      <c r="S408" s="437"/>
    </row>
    <row r="409" spans="3:19" x14ac:dyDescent="0.3">
      <c r="C409" s="135" t="s">
        <v>470</v>
      </c>
      <c r="M409" s="115"/>
      <c r="O409" s="80"/>
      <c r="P409" s="205">
        <v>2020</v>
      </c>
      <c r="Q409" s="206">
        <v>2019</v>
      </c>
      <c r="R409" s="6">
        <v>2018</v>
      </c>
      <c r="S409" s="5"/>
    </row>
    <row r="410" spans="3:19" ht="15.75" customHeight="1" x14ac:dyDescent="0.3">
      <c r="C410" s="50" t="s">
        <v>26</v>
      </c>
      <c r="O410" s="50"/>
      <c r="P410" s="215">
        <v>36.299999999999997</v>
      </c>
      <c r="Q410" s="216">
        <v>77.400000000000006</v>
      </c>
      <c r="R410" s="493">
        <v>48.1</v>
      </c>
      <c r="S410" s="493"/>
    </row>
    <row r="411" spans="3:19" ht="15.75" customHeight="1" x14ac:dyDescent="0.3">
      <c r="C411" s="50" t="s">
        <v>27</v>
      </c>
      <c r="O411" s="50"/>
      <c r="P411" s="215">
        <v>-16.8</v>
      </c>
      <c r="Q411" s="216">
        <v>16.2</v>
      </c>
      <c r="R411" s="493">
        <v>6.7</v>
      </c>
      <c r="S411" s="493"/>
    </row>
    <row r="412" spans="3:19" x14ac:dyDescent="0.3">
      <c r="C412" s="80" t="s">
        <v>28</v>
      </c>
      <c r="M412" s="115"/>
      <c r="O412" s="80"/>
      <c r="P412" s="217">
        <v>31</v>
      </c>
      <c r="Q412" s="218">
        <v>35.299999999999997</v>
      </c>
      <c r="R412" s="12">
        <v>29.1</v>
      </c>
      <c r="S412" s="7"/>
    </row>
    <row r="413" spans="3:19" x14ac:dyDescent="0.3">
      <c r="C413" s="50"/>
      <c r="O413" s="50"/>
      <c r="P413" s="215"/>
      <c r="Q413" s="216"/>
      <c r="R413" s="432" t="s">
        <v>398</v>
      </c>
      <c r="S413" s="432"/>
    </row>
    <row r="414" spans="3:19" x14ac:dyDescent="0.3">
      <c r="C414" s="53"/>
      <c r="O414" s="50"/>
      <c r="P414" s="61" t="s">
        <v>401</v>
      </c>
      <c r="Q414" s="204" t="s">
        <v>401</v>
      </c>
      <c r="R414" s="437">
        <v>44561</v>
      </c>
      <c r="S414" s="437"/>
    </row>
    <row r="415" spans="3:19" x14ac:dyDescent="0.3">
      <c r="C415" s="135" t="s">
        <v>471</v>
      </c>
      <c r="M415" s="115"/>
      <c r="O415" s="80"/>
      <c r="P415" s="205">
        <v>2020</v>
      </c>
      <c r="Q415" s="206">
        <v>2019</v>
      </c>
      <c r="R415" s="6">
        <v>2018</v>
      </c>
      <c r="S415" s="5"/>
    </row>
    <row r="416" spans="3:19" ht="15.75" customHeight="1" x14ac:dyDescent="0.3">
      <c r="C416" s="50" t="s">
        <v>26</v>
      </c>
      <c r="O416" s="50"/>
      <c r="P416" s="215">
        <v>39.1</v>
      </c>
      <c r="Q416" s="216">
        <v>67</v>
      </c>
      <c r="R416" s="493">
        <v>52.8</v>
      </c>
      <c r="S416" s="493"/>
    </row>
    <row r="417" spans="3:19" ht="15.75" customHeight="1" x14ac:dyDescent="0.3">
      <c r="C417" s="50" t="s">
        <v>27</v>
      </c>
      <c r="O417" s="50"/>
      <c r="P417" s="215">
        <v>2.1</v>
      </c>
      <c r="Q417" s="216">
        <v>15.4</v>
      </c>
      <c r="R417" s="493">
        <v>15.7</v>
      </c>
      <c r="S417" s="493"/>
    </row>
    <row r="418" spans="3:19" x14ac:dyDescent="0.3">
      <c r="C418" s="80" t="s">
        <v>28</v>
      </c>
      <c r="M418" s="115"/>
      <c r="O418" s="80"/>
      <c r="P418" s="217">
        <v>31</v>
      </c>
      <c r="Q418" s="218">
        <v>26.7</v>
      </c>
      <c r="R418" s="12">
        <v>29.1</v>
      </c>
      <c r="S418" s="7"/>
    </row>
    <row r="419" spans="3:19" ht="14.4" x14ac:dyDescent="0.3">
      <c r="C419" s="50"/>
      <c r="M419" s="50"/>
      <c r="O419" s="56"/>
      <c r="P419" s="216"/>
      <c r="Q419" s="216"/>
    </row>
    <row r="420" spans="3:19" x14ac:dyDescent="0.3">
      <c r="C420" s="50"/>
      <c r="M420" s="50"/>
      <c r="O420" s="56"/>
      <c r="P420" s="216"/>
      <c r="Q420" s="216"/>
      <c r="R420" s="493"/>
      <c r="S420" s="493"/>
    </row>
    <row r="421" spans="3:19" x14ac:dyDescent="0.3">
      <c r="C421" s="53" t="s">
        <v>472</v>
      </c>
      <c r="M421" s="50"/>
      <c r="O421" s="56"/>
      <c r="P421" s="216"/>
      <c r="Q421" s="216"/>
    </row>
    <row r="422" spans="3:19" x14ac:dyDescent="0.3">
      <c r="C422" s="53"/>
      <c r="M422" s="50"/>
      <c r="O422" s="56"/>
      <c r="P422" s="216"/>
      <c r="Q422" s="216"/>
    </row>
    <row r="423" spans="3:19" x14ac:dyDescent="0.3">
      <c r="C423" s="135" t="s">
        <v>473</v>
      </c>
      <c r="M423" s="65" t="s">
        <v>448</v>
      </c>
      <c r="O423" s="219" t="s">
        <v>474</v>
      </c>
      <c r="P423" s="64" t="s">
        <v>475</v>
      </c>
      <c r="Q423" s="220" t="s">
        <v>476</v>
      </c>
      <c r="R423" s="446">
        <v>43103</v>
      </c>
      <c r="S423" s="521"/>
    </row>
    <row r="424" spans="3:19" x14ac:dyDescent="0.3">
      <c r="C424" s="50" t="s">
        <v>26</v>
      </c>
      <c r="M424" s="71">
        <v>1084</v>
      </c>
      <c r="O424" s="221">
        <v>1065</v>
      </c>
      <c r="P424" s="70">
        <v>955</v>
      </c>
      <c r="Q424" s="222">
        <v>973</v>
      </c>
      <c r="R424" s="405">
        <v>759</v>
      </c>
      <c r="S424" s="7"/>
    </row>
    <row r="425" spans="3:19" x14ac:dyDescent="0.3">
      <c r="C425" s="50" t="s">
        <v>27</v>
      </c>
      <c r="M425" s="71">
        <v>1580</v>
      </c>
      <c r="O425" s="221">
        <v>1860</v>
      </c>
      <c r="P425" s="70">
        <v>2729</v>
      </c>
      <c r="Q425" s="222">
        <v>2514</v>
      </c>
      <c r="R425" s="404">
        <v>2453</v>
      </c>
      <c r="S425" s="488"/>
    </row>
    <row r="426" spans="3:19" x14ac:dyDescent="0.3">
      <c r="C426" s="50" t="s">
        <v>28</v>
      </c>
      <c r="M426" s="71">
        <v>756</v>
      </c>
      <c r="O426" s="221">
        <v>846</v>
      </c>
      <c r="P426" s="70">
        <v>1064</v>
      </c>
      <c r="Q426" s="222">
        <v>1042</v>
      </c>
      <c r="R426" s="405">
        <v>996</v>
      </c>
      <c r="S426" s="7"/>
    </row>
    <row r="427" spans="3:19" x14ac:dyDescent="0.3">
      <c r="C427" s="50" t="s">
        <v>29</v>
      </c>
      <c r="M427" s="71">
        <v>40</v>
      </c>
      <c r="O427" s="221">
        <v>59</v>
      </c>
      <c r="P427" s="70">
        <v>68</v>
      </c>
      <c r="Q427" s="222">
        <v>60</v>
      </c>
      <c r="R427" s="405">
        <v>65</v>
      </c>
      <c r="S427" s="7"/>
    </row>
    <row r="428" spans="3:19" x14ac:dyDescent="0.3">
      <c r="C428" s="80" t="s">
        <v>30</v>
      </c>
      <c r="M428" s="71">
        <v>-433</v>
      </c>
      <c r="O428" s="221">
        <v>-560</v>
      </c>
      <c r="P428" s="70">
        <v>-758</v>
      </c>
      <c r="Q428" s="222">
        <v>-821</v>
      </c>
      <c r="R428" s="405">
        <v>-645</v>
      </c>
      <c r="S428" s="7"/>
    </row>
    <row r="429" spans="3:19" x14ac:dyDescent="0.3">
      <c r="C429" s="82" t="s">
        <v>247</v>
      </c>
      <c r="M429" s="84">
        <v>3028</v>
      </c>
      <c r="O429" s="223">
        <v>3270</v>
      </c>
      <c r="P429" s="83">
        <v>4057</v>
      </c>
      <c r="Q429" s="224">
        <v>3769</v>
      </c>
      <c r="R429" s="447">
        <v>3629</v>
      </c>
      <c r="S429" s="488"/>
    </row>
    <row r="430" spans="3:19" x14ac:dyDescent="0.3">
      <c r="C430" s="50"/>
      <c r="M430" s="225"/>
      <c r="O430" s="225"/>
      <c r="P430" s="226"/>
      <c r="Q430" s="212"/>
      <c r="R430" s="432" t="s">
        <v>398</v>
      </c>
      <c r="S430" s="432"/>
    </row>
    <row r="431" spans="3:19" x14ac:dyDescent="0.3">
      <c r="C431" s="135" t="s">
        <v>477</v>
      </c>
      <c r="M431" s="65" t="s">
        <v>448</v>
      </c>
      <c r="O431" s="227" t="s">
        <v>474</v>
      </c>
      <c r="P431" s="228" t="s">
        <v>475</v>
      </c>
      <c r="Q431" s="229" t="s">
        <v>476</v>
      </c>
      <c r="R431" s="446">
        <v>43103</v>
      </c>
      <c r="S431" s="521"/>
    </row>
    <row r="432" spans="3:19" x14ac:dyDescent="0.3">
      <c r="C432" s="50" t="s">
        <v>26</v>
      </c>
      <c r="M432" s="71">
        <v>285</v>
      </c>
      <c r="O432" s="221">
        <v>426</v>
      </c>
      <c r="P432" s="70">
        <v>284</v>
      </c>
      <c r="Q432" s="222">
        <v>300</v>
      </c>
      <c r="R432" s="405">
        <v>280</v>
      </c>
      <c r="S432" s="7"/>
    </row>
    <row r="433" spans="3:19" x14ac:dyDescent="0.3">
      <c r="C433" s="50" t="s">
        <v>27</v>
      </c>
      <c r="M433" s="71">
        <v>-287</v>
      </c>
      <c r="O433" s="221">
        <v>-234</v>
      </c>
      <c r="P433" s="70">
        <v>76</v>
      </c>
      <c r="Q433" s="222">
        <v>114</v>
      </c>
      <c r="R433" s="405">
        <v>135</v>
      </c>
      <c r="S433" s="7"/>
    </row>
    <row r="434" spans="3:19" x14ac:dyDescent="0.3">
      <c r="C434" s="50" t="s">
        <v>28</v>
      </c>
      <c r="M434" s="71">
        <v>15</v>
      </c>
      <c r="O434" s="221">
        <v>8</v>
      </c>
      <c r="P434" s="70">
        <v>25</v>
      </c>
      <c r="Q434" s="222">
        <v>13</v>
      </c>
      <c r="R434" s="405">
        <v>13</v>
      </c>
      <c r="S434" s="7"/>
    </row>
    <row r="435" spans="3:19" x14ac:dyDescent="0.3">
      <c r="C435" s="50" t="s">
        <v>29</v>
      </c>
      <c r="M435" s="71">
        <v>-12</v>
      </c>
      <c r="O435" s="221">
        <v>-9</v>
      </c>
      <c r="P435" s="70">
        <v>-28</v>
      </c>
      <c r="Q435" s="222">
        <v>-43</v>
      </c>
      <c r="R435" s="405">
        <v>-9</v>
      </c>
      <c r="S435" s="7"/>
    </row>
    <row r="436" spans="3:19" x14ac:dyDescent="0.3">
      <c r="C436" s="80" t="s">
        <v>30</v>
      </c>
      <c r="M436" s="71">
        <v>-3</v>
      </c>
      <c r="O436" s="221">
        <v>7</v>
      </c>
      <c r="P436" s="70">
        <v>1</v>
      </c>
      <c r="Q436" s="222">
        <v>-1</v>
      </c>
      <c r="R436" s="405">
        <v>2</v>
      </c>
      <c r="S436" s="7"/>
    </row>
    <row r="437" spans="3:19" x14ac:dyDescent="0.3">
      <c r="C437" s="82" t="s">
        <v>247</v>
      </c>
      <c r="M437" s="84">
        <v>-2</v>
      </c>
      <c r="O437" s="223">
        <v>197</v>
      </c>
      <c r="P437" s="83">
        <v>359</v>
      </c>
      <c r="Q437" s="224">
        <v>383</v>
      </c>
      <c r="R437" s="448">
        <v>422</v>
      </c>
      <c r="S437" s="7"/>
    </row>
    <row r="438" spans="3:19" x14ac:dyDescent="0.3">
      <c r="C438" s="50"/>
      <c r="M438" s="226"/>
      <c r="O438" s="226"/>
      <c r="P438" s="212"/>
      <c r="Q438" s="212"/>
      <c r="R438" s="493"/>
      <c r="S438" s="493"/>
    </row>
    <row r="439" spans="3:19" x14ac:dyDescent="0.3">
      <c r="C439" s="135" t="s">
        <v>478</v>
      </c>
      <c r="M439" s="65" t="s">
        <v>448</v>
      </c>
      <c r="O439" s="227" t="s">
        <v>474</v>
      </c>
      <c r="P439" s="228" t="s">
        <v>475</v>
      </c>
      <c r="Q439" s="229" t="s">
        <v>476</v>
      </c>
      <c r="R439" s="446">
        <v>43103</v>
      </c>
      <c r="S439" s="521"/>
    </row>
    <row r="440" spans="3:19" x14ac:dyDescent="0.3">
      <c r="C440" s="50" t="s">
        <v>26</v>
      </c>
      <c r="M440" s="71">
        <v>338</v>
      </c>
      <c r="O440" s="221">
        <v>329</v>
      </c>
      <c r="P440" s="70">
        <v>286</v>
      </c>
      <c r="Q440" s="222">
        <v>337</v>
      </c>
      <c r="R440" s="405">
        <v>296</v>
      </c>
      <c r="S440" s="7"/>
    </row>
    <row r="441" spans="3:19" x14ac:dyDescent="0.3">
      <c r="C441" s="50" t="s">
        <v>27</v>
      </c>
      <c r="M441" s="71">
        <v>37</v>
      </c>
      <c r="O441" s="221">
        <v>74</v>
      </c>
      <c r="P441" s="70">
        <v>83</v>
      </c>
      <c r="Q441" s="222">
        <v>73</v>
      </c>
      <c r="R441" s="405">
        <v>99</v>
      </c>
      <c r="S441" s="7"/>
    </row>
    <row r="442" spans="3:19" x14ac:dyDescent="0.3">
      <c r="C442" s="50" t="s">
        <v>28</v>
      </c>
      <c r="M442" s="71">
        <v>15</v>
      </c>
      <c r="O442" s="221">
        <v>8</v>
      </c>
      <c r="P442" s="70">
        <v>25</v>
      </c>
      <c r="Q442" s="222">
        <v>13</v>
      </c>
      <c r="R442" s="405">
        <v>13</v>
      </c>
      <c r="S442" s="7"/>
    </row>
    <row r="443" spans="3:19" x14ac:dyDescent="0.3">
      <c r="C443" s="50" t="s">
        <v>29</v>
      </c>
      <c r="M443" s="71">
        <v>-7</v>
      </c>
      <c r="O443" s="221">
        <v>-9</v>
      </c>
      <c r="P443" s="70">
        <v>-28</v>
      </c>
      <c r="Q443" s="222">
        <v>-43</v>
      </c>
      <c r="R443" s="405">
        <v>-9</v>
      </c>
      <c r="S443" s="7"/>
    </row>
    <row r="444" spans="3:19" x14ac:dyDescent="0.3">
      <c r="C444" s="80" t="s">
        <v>30</v>
      </c>
      <c r="M444" s="71">
        <v>-3</v>
      </c>
      <c r="O444" s="221">
        <v>7</v>
      </c>
      <c r="P444" s="70">
        <v>1</v>
      </c>
      <c r="Q444" s="222">
        <v>-1</v>
      </c>
      <c r="R444" s="405">
        <v>2</v>
      </c>
      <c r="S444" s="7"/>
    </row>
    <row r="445" spans="3:19" x14ac:dyDescent="0.3">
      <c r="C445" s="82" t="s">
        <v>247</v>
      </c>
      <c r="M445" s="84">
        <v>380</v>
      </c>
      <c r="O445" s="223">
        <v>408</v>
      </c>
      <c r="P445" s="83">
        <v>367</v>
      </c>
      <c r="Q445" s="224">
        <v>378</v>
      </c>
      <c r="R445" s="448">
        <v>401</v>
      </c>
      <c r="S445" s="7"/>
    </row>
    <row r="446" spans="3:19" x14ac:dyDescent="0.3">
      <c r="M446" s="188"/>
      <c r="O446" s="188"/>
      <c r="P446" s="212"/>
      <c r="Q446" s="212"/>
    </row>
    <row r="447" spans="3:19" x14ac:dyDescent="0.3">
      <c r="C447" s="230" t="s">
        <v>479</v>
      </c>
      <c r="M447" s="65" t="s">
        <v>448</v>
      </c>
      <c r="O447" s="227" t="s">
        <v>474</v>
      </c>
      <c r="P447" s="228" t="s">
        <v>475</v>
      </c>
      <c r="Q447" s="229" t="s">
        <v>476</v>
      </c>
      <c r="R447" s="446">
        <v>43103</v>
      </c>
      <c r="S447" s="521"/>
    </row>
    <row r="448" spans="3:19" x14ac:dyDescent="0.3">
      <c r="C448" s="50" t="s">
        <v>26</v>
      </c>
      <c r="M448" s="71">
        <v>50</v>
      </c>
      <c r="O448" s="221">
        <v>44</v>
      </c>
      <c r="P448" s="70">
        <v>36</v>
      </c>
      <c r="Q448" s="222">
        <v>36</v>
      </c>
      <c r="R448" s="405">
        <v>28</v>
      </c>
      <c r="S448" s="7"/>
    </row>
    <row r="449" spans="3:19" x14ac:dyDescent="0.3">
      <c r="C449" s="50" t="s">
        <v>27</v>
      </c>
      <c r="M449" s="71">
        <v>229</v>
      </c>
      <c r="O449" s="221">
        <v>70</v>
      </c>
      <c r="P449" s="70">
        <v>65</v>
      </c>
      <c r="Q449" s="222">
        <v>51</v>
      </c>
      <c r="R449" s="405">
        <v>57</v>
      </c>
      <c r="S449" s="7"/>
    </row>
    <row r="450" spans="3:19" x14ac:dyDescent="0.3">
      <c r="C450" s="50" t="s">
        <v>28</v>
      </c>
      <c r="M450" s="71">
        <v>7</v>
      </c>
      <c r="O450" s="221">
        <v>7</v>
      </c>
      <c r="P450" s="70">
        <v>8</v>
      </c>
      <c r="Q450" s="222">
        <v>8</v>
      </c>
      <c r="R450" s="405">
        <v>6</v>
      </c>
      <c r="S450" s="7"/>
    </row>
    <row r="451" spans="3:19" x14ac:dyDescent="0.3">
      <c r="C451" s="50" t="s">
        <v>29</v>
      </c>
      <c r="M451" s="71">
        <v>14</v>
      </c>
      <c r="O451" s="221">
        <v>9</v>
      </c>
      <c r="P451" s="70">
        <v>8</v>
      </c>
      <c r="Q451" s="222">
        <v>8</v>
      </c>
      <c r="R451" s="405">
        <v>7</v>
      </c>
      <c r="S451" s="7"/>
    </row>
    <row r="452" spans="3:19" x14ac:dyDescent="0.3">
      <c r="C452" s="80" t="s">
        <v>30</v>
      </c>
      <c r="M452" s="71">
        <v>0</v>
      </c>
      <c r="O452" s="221">
        <v>0</v>
      </c>
      <c r="P452" s="70">
        <v>0</v>
      </c>
      <c r="Q452" s="222">
        <v>0</v>
      </c>
      <c r="R452" s="405">
        <v>0</v>
      </c>
      <c r="S452" s="7"/>
    </row>
    <row r="453" spans="3:19" x14ac:dyDescent="0.3">
      <c r="C453" s="82" t="s">
        <v>247</v>
      </c>
      <c r="M453" s="84">
        <v>299</v>
      </c>
      <c r="O453" s="223">
        <v>129</v>
      </c>
      <c r="P453" s="83">
        <v>118</v>
      </c>
      <c r="Q453" s="224">
        <v>104</v>
      </c>
      <c r="R453" s="448">
        <v>98</v>
      </c>
      <c r="S453" s="7"/>
    </row>
    <row r="454" spans="3:19" ht="14.4" x14ac:dyDescent="0.3">
      <c r="C454" s="231"/>
      <c r="M454" s="231"/>
      <c r="O454" s="231"/>
      <c r="P454" s="231"/>
      <c r="Q454" s="231"/>
    </row>
    <row r="455" spans="3:19" x14ac:dyDescent="0.3">
      <c r="C455" s="53" t="s">
        <v>480</v>
      </c>
      <c r="M455" s="14"/>
      <c r="P455" s="13"/>
      <c r="Q455" s="56"/>
    </row>
    <row r="456" spans="3:19" x14ac:dyDescent="0.3">
      <c r="C456" s="135" t="s">
        <v>481</v>
      </c>
      <c r="M456" s="65" t="s">
        <v>448</v>
      </c>
      <c r="O456" s="227" t="s">
        <v>474</v>
      </c>
      <c r="P456" s="228" t="s">
        <v>475</v>
      </c>
      <c r="Q456" s="229" t="s">
        <v>476</v>
      </c>
      <c r="R456" s="446">
        <v>43103</v>
      </c>
      <c r="S456" s="521"/>
    </row>
    <row r="457" spans="3:19" x14ac:dyDescent="0.3">
      <c r="C457" s="50" t="s">
        <v>26</v>
      </c>
      <c r="M457" s="71">
        <v>232</v>
      </c>
      <c r="O457" s="221">
        <v>134</v>
      </c>
      <c r="P457" s="70">
        <v>88</v>
      </c>
      <c r="Q457" s="222">
        <v>29</v>
      </c>
      <c r="R457" s="405">
        <v>28</v>
      </c>
      <c r="S457" s="7"/>
    </row>
    <row r="458" spans="3:19" x14ac:dyDescent="0.3">
      <c r="C458" s="50" t="s">
        <v>27</v>
      </c>
      <c r="M458" s="71">
        <v>85</v>
      </c>
      <c r="O458" s="221">
        <v>101</v>
      </c>
      <c r="P458" s="70">
        <v>74</v>
      </c>
      <c r="Q458" s="222">
        <v>55</v>
      </c>
      <c r="R458" s="405">
        <v>46</v>
      </c>
      <c r="S458" s="7"/>
    </row>
    <row r="459" spans="3:19" x14ac:dyDescent="0.3">
      <c r="C459" s="50" t="s">
        <v>28</v>
      </c>
      <c r="M459" s="71">
        <v>12</v>
      </c>
      <c r="O459" s="221">
        <v>3</v>
      </c>
      <c r="P459" s="70">
        <v>6</v>
      </c>
      <c r="Q459" s="222">
        <v>2</v>
      </c>
      <c r="R459" s="405">
        <v>4</v>
      </c>
      <c r="S459" s="7"/>
    </row>
    <row r="460" spans="3:19" x14ac:dyDescent="0.3">
      <c r="C460" s="50" t="s">
        <v>29</v>
      </c>
      <c r="M460" s="71">
        <v>15</v>
      </c>
      <c r="O460" s="221">
        <v>22</v>
      </c>
      <c r="P460" s="70">
        <v>11</v>
      </c>
      <c r="Q460" s="222">
        <v>12</v>
      </c>
      <c r="R460" s="405">
        <v>9</v>
      </c>
      <c r="S460" s="7"/>
    </row>
    <row r="461" spans="3:19" x14ac:dyDescent="0.3">
      <c r="C461" s="80" t="s">
        <v>30</v>
      </c>
      <c r="M461" s="71">
        <v>0</v>
      </c>
      <c r="O461" s="221">
        <v>0</v>
      </c>
      <c r="P461" s="70">
        <v>0</v>
      </c>
      <c r="Q461" s="222">
        <v>0</v>
      </c>
      <c r="R461" s="405">
        <v>0</v>
      </c>
      <c r="S461" s="7"/>
    </row>
    <row r="462" spans="3:19" x14ac:dyDescent="0.3">
      <c r="C462" s="82" t="s">
        <v>247</v>
      </c>
      <c r="M462" s="84">
        <v>344</v>
      </c>
      <c r="O462" s="223">
        <v>260</v>
      </c>
      <c r="P462" s="83">
        <v>179</v>
      </c>
      <c r="Q462" s="224">
        <v>98</v>
      </c>
      <c r="R462" s="448">
        <v>86</v>
      </c>
      <c r="S462" s="7"/>
    </row>
    <row r="463" spans="3:19" x14ac:dyDescent="0.3">
      <c r="M463" s="71"/>
      <c r="O463" s="71"/>
      <c r="P463" s="70"/>
      <c r="Q463" s="70"/>
      <c r="R463" s="432" t="s">
        <v>398</v>
      </c>
      <c r="S463" s="432"/>
    </row>
    <row r="464" spans="3:19" x14ac:dyDescent="0.3">
      <c r="C464" s="135" t="s">
        <v>482</v>
      </c>
      <c r="M464" s="65" t="s">
        <v>448</v>
      </c>
      <c r="O464" s="227" t="s">
        <v>474</v>
      </c>
      <c r="P464" s="228" t="s">
        <v>475</v>
      </c>
      <c r="Q464" s="229" t="s">
        <v>476</v>
      </c>
      <c r="R464" s="446">
        <v>43103</v>
      </c>
      <c r="S464" s="521"/>
    </row>
    <row r="465" spans="3:19" x14ac:dyDescent="0.3">
      <c r="C465" s="50" t="s">
        <v>26</v>
      </c>
      <c r="M465" s="71">
        <v>3470</v>
      </c>
      <c r="O465" s="221">
        <v>3165</v>
      </c>
      <c r="P465" s="70">
        <v>2259</v>
      </c>
      <c r="Q465" s="222">
        <v>2116</v>
      </c>
      <c r="R465" s="404">
        <v>1896</v>
      </c>
      <c r="S465" s="488"/>
    </row>
    <row r="466" spans="3:19" x14ac:dyDescent="0.3">
      <c r="C466" s="50" t="s">
        <v>27</v>
      </c>
      <c r="M466" s="71">
        <v>1848</v>
      </c>
      <c r="O466" s="221">
        <v>2439</v>
      </c>
      <c r="P466" s="70">
        <v>2564</v>
      </c>
      <c r="Q466" s="222">
        <v>2581</v>
      </c>
      <c r="R466" s="404">
        <v>2592</v>
      </c>
      <c r="S466" s="488"/>
    </row>
    <row r="467" spans="3:19" x14ac:dyDescent="0.3">
      <c r="C467" s="50" t="s">
        <v>28</v>
      </c>
      <c r="M467" s="71">
        <v>192</v>
      </c>
      <c r="O467" s="221">
        <v>249</v>
      </c>
      <c r="P467" s="70">
        <v>315</v>
      </c>
      <c r="Q467" s="222">
        <v>319</v>
      </c>
      <c r="R467" s="405">
        <v>259</v>
      </c>
      <c r="S467" s="7"/>
    </row>
    <row r="468" spans="3:19" x14ac:dyDescent="0.3">
      <c r="C468" s="50" t="s">
        <v>29</v>
      </c>
      <c r="M468" s="71">
        <v>149</v>
      </c>
      <c r="O468" s="221">
        <v>226</v>
      </c>
      <c r="P468" s="70">
        <v>-152</v>
      </c>
      <c r="Q468" s="222">
        <v>151</v>
      </c>
      <c r="R468" s="405">
        <v>291</v>
      </c>
      <c r="S468" s="7"/>
    </row>
    <row r="469" spans="3:19" x14ac:dyDescent="0.3">
      <c r="C469" s="80" t="s">
        <v>30</v>
      </c>
      <c r="M469" s="71">
        <v>-6</v>
      </c>
      <c r="O469" s="221">
        <v>2</v>
      </c>
      <c r="P469" s="70">
        <v>-8</v>
      </c>
      <c r="Q469" s="222">
        <v>0</v>
      </c>
      <c r="R469" s="405">
        <v>-8</v>
      </c>
      <c r="S469" s="7"/>
    </row>
    <row r="470" spans="3:19" x14ac:dyDescent="0.3">
      <c r="C470" s="82" t="s">
        <v>247</v>
      </c>
      <c r="M470" s="84">
        <v>5653</v>
      </c>
      <c r="O470" s="223">
        <v>6082</v>
      </c>
      <c r="P470" s="83">
        <v>4977</v>
      </c>
      <c r="Q470" s="224">
        <v>5167</v>
      </c>
      <c r="R470" s="447">
        <v>5030</v>
      </c>
      <c r="S470" s="488"/>
    </row>
    <row r="471" spans="3:19" x14ac:dyDescent="0.3">
      <c r="M471" s="53"/>
      <c r="O471" s="92"/>
      <c r="P471" s="232"/>
      <c r="Q471" s="232"/>
    </row>
    <row r="472" spans="3:19" x14ac:dyDescent="0.3">
      <c r="M472" s="53"/>
      <c r="O472" s="92"/>
      <c r="P472" s="232"/>
      <c r="Q472" s="232"/>
      <c r="R472" s="493"/>
      <c r="S472" s="493"/>
    </row>
    <row r="473" spans="3:19" x14ac:dyDescent="0.3">
      <c r="C473" s="53" t="s">
        <v>483</v>
      </c>
      <c r="M473" s="53"/>
      <c r="O473" s="92"/>
      <c r="P473" s="211"/>
      <c r="Q473" s="211"/>
      <c r="R473" s="493"/>
      <c r="S473" s="493"/>
    </row>
    <row r="474" spans="3:19" x14ac:dyDescent="0.3">
      <c r="C474" s="53"/>
      <c r="M474" s="53"/>
      <c r="O474" s="92"/>
      <c r="P474" s="211"/>
      <c r="Q474" s="211"/>
    </row>
    <row r="475" spans="3:19" x14ac:dyDescent="0.3">
      <c r="C475" s="53" t="s">
        <v>484</v>
      </c>
      <c r="M475" s="53"/>
      <c r="O475" s="92"/>
      <c r="P475" s="211"/>
      <c r="Q475" s="211"/>
    </row>
    <row r="476" spans="3:19" x14ac:dyDescent="0.3">
      <c r="C476" s="50"/>
      <c r="M476" s="53"/>
      <c r="O476" s="92"/>
      <c r="P476" s="211"/>
      <c r="Q476" s="211"/>
    </row>
    <row r="477" spans="3:19" x14ac:dyDescent="0.3">
      <c r="C477" s="233" t="s">
        <v>485</v>
      </c>
      <c r="M477" s="53"/>
      <c r="O477" s="92"/>
      <c r="P477" s="211"/>
      <c r="Q477" s="211"/>
    </row>
    <row r="478" spans="3:19" x14ac:dyDescent="0.3">
      <c r="C478" s="233"/>
      <c r="M478" s="53"/>
      <c r="O478" s="92"/>
      <c r="P478" s="211"/>
      <c r="Q478" s="211"/>
    </row>
    <row r="479" spans="3:19" ht="14.4" x14ac:dyDescent="0.3">
      <c r="C479" s="50"/>
      <c r="M479" s="50"/>
      <c r="O479" s="50"/>
      <c r="P479" s="50"/>
      <c r="Q479" s="50"/>
    </row>
    <row r="480" spans="3:19" ht="14.4" x14ac:dyDescent="0.3">
      <c r="C480" s="50"/>
      <c r="M480" s="50"/>
      <c r="O480" s="50"/>
      <c r="P480" s="50"/>
      <c r="Q480" s="50"/>
    </row>
    <row r="481" spans="3:19" x14ac:dyDescent="0.3">
      <c r="C481" s="50"/>
      <c r="M481" s="50"/>
      <c r="O481" s="50"/>
      <c r="P481" s="50"/>
      <c r="Q481" s="50"/>
      <c r="R481" s="493"/>
      <c r="S481" s="493"/>
    </row>
    <row r="482" spans="3:19" ht="14.4" x14ac:dyDescent="0.3">
      <c r="C482" s="50"/>
      <c r="M482" s="50"/>
      <c r="O482" s="50"/>
      <c r="P482" s="50"/>
      <c r="Q482" s="50"/>
    </row>
    <row r="483" spans="3:19" ht="14.4" x14ac:dyDescent="0.3">
      <c r="C483" s="50"/>
      <c r="M483" s="50"/>
      <c r="O483" s="50"/>
      <c r="P483" s="50"/>
      <c r="Q483" s="50"/>
    </row>
    <row r="484" spans="3:19" ht="14.4" x14ac:dyDescent="0.3">
      <c r="C484" s="50"/>
      <c r="M484" s="50"/>
      <c r="O484" s="50"/>
      <c r="P484" s="50"/>
      <c r="Q484" s="50"/>
    </row>
    <row r="485" spans="3:19" ht="14.4" x14ac:dyDescent="0.3">
      <c r="C485" s="50"/>
      <c r="M485" s="50"/>
      <c r="O485" s="50"/>
      <c r="P485" s="50"/>
      <c r="Q485" s="50"/>
    </row>
    <row r="486" spans="3:19" ht="14.4" x14ac:dyDescent="0.3">
      <c r="C486" s="50"/>
      <c r="M486" s="50"/>
      <c r="O486" s="50"/>
      <c r="P486" s="50"/>
      <c r="Q486" s="50"/>
    </row>
    <row r="487" spans="3:19" ht="14.4" x14ac:dyDescent="0.3">
      <c r="C487" s="50"/>
      <c r="M487" s="50"/>
      <c r="O487" s="50"/>
      <c r="P487" s="50"/>
      <c r="Q487" s="50"/>
    </row>
    <row r="488" spans="3:19" ht="14.4" x14ac:dyDescent="0.3">
      <c r="C488" s="50"/>
      <c r="M488" s="50"/>
      <c r="O488" s="50"/>
      <c r="P488" s="50"/>
      <c r="Q488" s="50"/>
    </row>
    <row r="489" spans="3:19" ht="14.4" x14ac:dyDescent="0.3">
      <c r="C489" s="50"/>
      <c r="M489" s="50"/>
      <c r="O489" s="50"/>
      <c r="P489" s="50"/>
      <c r="Q489" s="50"/>
    </row>
    <row r="490" spans="3:19" x14ac:dyDescent="0.3">
      <c r="C490" s="50"/>
      <c r="M490" s="50"/>
      <c r="O490" s="50"/>
      <c r="P490" s="50"/>
      <c r="Q490" s="50"/>
      <c r="R490" s="493"/>
      <c r="S490" s="493"/>
    </row>
    <row r="491" spans="3:19" x14ac:dyDescent="0.3">
      <c r="C491" s="50"/>
      <c r="M491" s="50"/>
      <c r="O491" s="50"/>
      <c r="P491" s="50"/>
      <c r="Q491" s="50"/>
      <c r="R491" s="493"/>
      <c r="S491" s="493"/>
    </row>
    <row r="492" spans="3:19" x14ac:dyDescent="0.3">
      <c r="C492" s="50"/>
      <c r="M492" s="50"/>
      <c r="O492" s="50"/>
      <c r="P492" s="50"/>
      <c r="Q492" s="50"/>
      <c r="R492" s="493"/>
      <c r="S492" s="493"/>
    </row>
    <row r="493" spans="3:19" x14ac:dyDescent="0.3">
      <c r="C493" s="50"/>
      <c r="M493" s="50"/>
      <c r="O493" s="50"/>
      <c r="P493" s="50"/>
      <c r="Q493" s="50"/>
      <c r="R493" s="493"/>
      <c r="S493" s="493"/>
    </row>
    <row r="494" spans="3:19" x14ac:dyDescent="0.3">
      <c r="C494" s="50"/>
      <c r="M494" s="50"/>
      <c r="O494" s="50"/>
      <c r="P494" s="50"/>
      <c r="Q494" s="50"/>
      <c r="R494" s="493"/>
      <c r="S494" s="493"/>
    </row>
    <row r="495" spans="3:19" x14ac:dyDescent="0.3">
      <c r="C495" s="234"/>
      <c r="M495" s="234"/>
      <c r="O495" s="234"/>
      <c r="P495" s="234"/>
      <c r="Q495" s="234"/>
      <c r="R495" s="493"/>
      <c r="S495" s="493"/>
    </row>
    <row r="496" spans="3:19" ht="28.2" x14ac:dyDescent="0.3">
      <c r="C496" s="235" t="s">
        <v>486</v>
      </c>
      <c r="M496" s="236"/>
      <c r="O496" s="237"/>
      <c r="P496" s="238"/>
      <c r="Q496" s="239" t="s">
        <v>487</v>
      </c>
      <c r="R496" s="18" t="s">
        <v>488</v>
      </c>
      <c r="S496" s="16"/>
    </row>
    <row r="497" spans="3:20" x14ac:dyDescent="0.3">
      <c r="C497" s="240" t="s">
        <v>39</v>
      </c>
      <c r="M497" s="241"/>
      <c r="O497" s="242"/>
      <c r="P497" s="243"/>
      <c r="Q497" s="244">
        <v>23.91309974831978</v>
      </c>
      <c r="R497" s="495">
        <v>9</v>
      </c>
      <c r="S497" s="495"/>
    </row>
    <row r="498" spans="3:20" ht="15.75" customHeight="1" x14ac:dyDescent="0.3">
      <c r="C498" s="245" t="s">
        <v>286</v>
      </c>
      <c r="M498" s="241"/>
      <c r="O498" s="242"/>
      <c r="P498" s="243"/>
      <c r="Q498" s="244">
        <v>30.742950763148222</v>
      </c>
      <c r="R498" s="495">
        <v>1</v>
      </c>
      <c r="S498" s="495"/>
      <c r="T498" s="449"/>
    </row>
    <row r="499" spans="3:20" ht="15.75" customHeight="1" x14ac:dyDescent="0.3">
      <c r="C499" s="245" t="s">
        <v>48</v>
      </c>
      <c r="M499" s="450"/>
      <c r="O499" s="242"/>
      <c r="P499" s="451"/>
      <c r="Q499" s="244">
        <v>2.1219424880470763</v>
      </c>
      <c r="R499" s="495">
        <v>1</v>
      </c>
      <c r="S499" s="495"/>
      <c r="T499" s="449"/>
    </row>
    <row r="500" spans="3:20" ht="15.75" customHeight="1" x14ac:dyDescent="0.3">
      <c r="C500" s="245" t="s">
        <v>292</v>
      </c>
      <c r="M500" s="450"/>
      <c r="O500" s="242"/>
      <c r="P500" s="451"/>
      <c r="Q500" s="244">
        <v>6.415443269584407</v>
      </c>
      <c r="R500" s="495">
        <v>3</v>
      </c>
      <c r="S500" s="495"/>
      <c r="T500" s="449"/>
    </row>
    <row r="501" spans="3:20" ht="15.75" customHeight="1" x14ac:dyDescent="0.3">
      <c r="C501" s="245" t="s">
        <v>51</v>
      </c>
      <c r="M501" s="452"/>
      <c r="O501" s="237"/>
      <c r="P501" s="453"/>
      <c r="Q501" s="248">
        <v>4.6101284571533672</v>
      </c>
      <c r="R501" s="454">
        <v>2</v>
      </c>
      <c r="S501" s="459"/>
      <c r="T501" s="449"/>
    </row>
    <row r="502" spans="3:20" x14ac:dyDescent="0.3">
      <c r="C502" s="271" t="s">
        <v>297</v>
      </c>
      <c r="M502" s="252"/>
      <c r="O502" s="242"/>
      <c r="P502" s="242"/>
      <c r="Q502" s="253">
        <v>67.803564726252858</v>
      </c>
      <c r="R502" s="455">
        <v>15</v>
      </c>
      <c r="S502" s="455"/>
      <c r="T502" s="456"/>
    </row>
    <row r="503" spans="3:20" x14ac:dyDescent="0.3">
      <c r="C503" s="245"/>
      <c r="M503" s="450"/>
      <c r="O503" s="451"/>
      <c r="P503" s="451"/>
      <c r="Q503" s="244"/>
      <c r="R503" s="246"/>
      <c r="S503" s="246"/>
      <c r="T503" s="457"/>
    </row>
    <row r="504" spans="3:20" x14ac:dyDescent="0.3">
      <c r="C504" s="245" t="s">
        <v>59</v>
      </c>
      <c r="M504" s="241"/>
      <c r="O504" s="243"/>
      <c r="P504" s="243"/>
      <c r="Q504" s="244">
        <v>19.888009277307834</v>
      </c>
    </row>
    <row r="505" spans="3:20" x14ac:dyDescent="0.3">
      <c r="C505" s="245" t="s">
        <v>66</v>
      </c>
      <c r="M505" s="241"/>
      <c r="O505" s="243"/>
      <c r="P505" s="243"/>
      <c r="Q505" s="244">
        <v>1.7342331739610153E-2</v>
      </c>
    </row>
    <row r="506" spans="3:20" x14ac:dyDescent="0.3">
      <c r="C506" s="247" t="s">
        <v>305</v>
      </c>
      <c r="M506" s="236"/>
      <c r="O506" s="238"/>
      <c r="P506" s="238"/>
      <c r="Q506" s="248">
        <v>13.920502684810591</v>
      </c>
      <c r="R506" s="454">
        <v>6</v>
      </c>
      <c r="S506" s="459"/>
    </row>
    <row r="507" spans="3:20" x14ac:dyDescent="0.3">
      <c r="C507" s="249" t="s">
        <v>69</v>
      </c>
      <c r="M507" s="250"/>
      <c r="O507" s="237"/>
      <c r="P507" s="237"/>
      <c r="Q507" s="251">
        <v>33.825854293858036</v>
      </c>
      <c r="R507" s="458">
        <v>6</v>
      </c>
      <c r="S507" s="522"/>
    </row>
    <row r="508" spans="3:20" x14ac:dyDescent="0.3">
      <c r="C508" s="235" t="s">
        <v>489</v>
      </c>
      <c r="M508" s="252"/>
      <c r="O508" s="242"/>
      <c r="P508" s="242"/>
      <c r="Q508" s="253">
        <v>33.977710432394822</v>
      </c>
      <c r="R508" s="455">
        <v>9</v>
      </c>
      <c r="S508" s="455"/>
    </row>
    <row r="509" spans="3:20" x14ac:dyDescent="0.3">
      <c r="C509" s="235"/>
      <c r="M509" s="252"/>
      <c r="O509" s="242"/>
      <c r="P509" s="242"/>
      <c r="Q509" s="253"/>
      <c r="R509" s="246"/>
      <c r="S509" s="246"/>
    </row>
    <row r="510" spans="3:20" x14ac:dyDescent="0.3">
      <c r="C510" s="254" t="s">
        <v>490</v>
      </c>
      <c r="M510" s="241"/>
      <c r="O510" s="242"/>
      <c r="P510" s="243"/>
      <c r="Q510" s="255">
        <v>142.636799782151</v>
      </c>
      <c r="R510" s="495">
        <v>19</v>
      </c>
      <c r="S510" s="495"/>
    </row>
    <row r="511" spans="3:20" x14ac:dyDescent="0.3">
      <c r="C511" s="256" t="s">
        <v>491</v>
      </c>
      <c r="M511" s="257"/>
      <c r="O511" s="258"/>
      <c r="P511" s="259"/>
      <c r="Q511" s="260">
        <v>-33.977710432394822</v>
      </c>
      <c r="R511" s="495">
        <v>-9</v>
      </c>
      <c r="S511" s="495"/>
    </row>
    <row r="512" spans="3:20" x14ac:dyDescent="0.3">
      <c r="C512" s="261" t="s">
        <v>492</v>
      </c>
      <c r="M512" s="257"/>
      <c r="O512" s="258"/>
      <c r="P512" s="259"/>
      <c r="Q512" s="260"/>
      <c r="R512" s="454">
        <v>-1</v>
      </c>
      <c r="S512" s="459"/>
    </row>
    <row r="513" spans="3:19" x14ac:dyDescent="0.3">
      <c r="C513" s="262" t="s">
        <v>493</v>
      </c>
      <c r="M513" s="240"/>
      <c r="O513" s="263"/>
      <c r="P513" s="264"/>
      <c r="Q513" s="265">
        <v>108.65908934975619</v>
      </c>
      <c r="R513" s="455">
        <v>9</v>
      </c>
      <c r="S513" s="455"/>
    </row>
    <row r="514" spans="3:19" x14ac:dyDescent="0.3">
      <c r="C514" s="255"/>
      <c r="M514" s="241"/>
      <c r="O514" s="242"/>
      <c r="P514" s="243"/>
      <c r="Q514" s="243"/>
    </row>
    <row r="515" spans="3:19" x14ac:dyDescent="0.3">
      <c r="C515" s="262" t="s">
        <v>494</v>
      </c>
      <c r="M515" s="236"/>
      <c r="O515" s="237"/>
      <c r="P515" s="238"/>
      <c r="Q515" s="266" t="s">
        <v>250</v>
      </c>
      <c r="R515" s="493"/>
      <c r="S515" s="493"/>
    </row>
    <row r="516" spans="3:19" x14ac:dyDescent="0.3">
      <c r="C516" s="267" t="s">
        <v>495</v>
      </c>
      <c r="M516" s="241"/>
      <c r="O516" s="242"/>
      <c r="P516" s="243"/>
      <c r="Q516" s="268">
        <v>-142.636799782151</v>
      </c>
      <c r="R516" s="495">
        <v>22</v>
      </c>
      <c r="S516" s="495"/>
    </row>
    <row r="517" spans="3:19" x14ac:dyDescent="0.3">
      <c r="C517" s="241" t="s">
        <v>496</v>
      </c>
      <c r="M517" s="241"/>
      <c r="O517" s="242"/>
      <c r="P517" s="243"/>
      <c r="Q517" s="244">
        <v>4.6101284571533672</v>
      </c>
      <c r="R517" s="454">
        <v>-2</v>
      </c>
      <c r="S517" s="459"/>
    </row>
    <row r="518" spans="3:19" x14ac:dyDescent="0.3">
      <c r="C518" s="50" t="s">
        <v>497</v>
      </c>
      <c r="M518" s="241"/>
      <c r="O518" s="242"/>
      <c r="P518" s="243"/>
      <c r="Q518" s="244">
        <v>-25.00528397695231</v>
      </c>
      <c r="R518" s="455">
        <v>20</v>
      </c>
      <c r="S518" s="455"/>
    </row>
    <row r="519" spans="3:19" x14ac:dyDescent="0.3">
      <c r="C519" s="256" t="s">
        <v>498</v>
      </c>
      <c r="M519" s="236"/>
      <c r="O519" s="237"/>
      <c r="P519" s="238"/>
      <c r="Q519" s="269">
        <v>-4</v>
      </c>
      <c r="R519" s="454">
        <v>-2</v>
      </c>
      <c r="S519" s="459"/>
    </row>
    <row r="520" spans="3:19" x14ac:dyDescent="0.3">
      <c r="C520" s="262" t="s">
        <v>499</v>
      </c>
      <c r="M520" s="241"/>
      <c r="O520" s="242"/>
      <c r="P520" s="243"/>
      <c r="Q520" s="270">
        <v>-167.03195530194995</v>
      </c>
      <c r="R520" s="455">
        <v>18</v>
      </c>
      <c r="S520" s="455"/>
    </row>
    <row r="521" spans="3:19" x14ac:dyDescent="0.3">
      <c r="C521" s="262"/>
      <c r="M521" s="241"/>
      <c r="O521" s="242"/>
      <c r="P521" s="243"/>
      <c r="Q521" s="270"/>
    </row>
    <row r="522" spans="3:19" x14ac:dyDescent="0.3">
      <c r="C522" s="50"/>
      <c r="M522" s="53"/>
      <c r="O522" s="92"/>
      <c r="P522" s="211"/>
      <c r="Q522" s="211"/>
    </row>
    <row r="523" spans="3:19" x14ac:dyDescent="0.3">
      <c r="C523" s="233" t="s">
        <v>500</v>
      </c>
      <c r="M523" s="53"/>
      <c r="O523" s="92"/>
      <c r="P523" s="211"/>
      <c r="Q523" s="211"/>
    </row>
    <row r="524" spans="3:19" x14ac:dyDescent="0.3">
      <c r="C524" s="50"/>
      <c r="M524" s="53"/>
      <c r="O524" s="92"/>
      <c r="P524" s="211"/>
      <c r="Q524" s="211"/>
    </row>
    <row r="525" spans="3:19" ht="14.4" x14ac:dyDescent="0.3">
      <c r="C525" s="50"/>
      <c r="M525" s="50"/>
      <c r="O525" s="50"/>
      <c r="P525" s="50"/>
      <c r="Q525" s="50"/>
    </row>
    <row r="526" spans="3:19" ht="14.4" x14ac:dyDescent="0.3">
      <c r="C526" s="50"/>
      <c r="M526" s="50"/>
      <c r="O526" s="50"/>
      <c r="P526" s="50"/>
      <c r="Q526" s="50"/>
    </row>
    <row r="527" spans="3:19" x14ac:dyDescent="0.3">
      <c r="C527" s="50"/>
      <c r="M527" s="50"/>
      <c r="O527" s="50"/>
      <c r="P527" s="50"/>
      <c r="Q527" s="50"/>
      <c r="R527" s="493"/>
      <c r="S527" s="493"/>
    </row>
    <row r="528" spans="3:19" x14ac:dyDescent="0.3">
      <c r="C528" s="50"/>
      <c r="M528" s="50"/>
      <c r="O528" s="50"/>
      <c r="P528" s="50"/>
      <c r="Q528" s="50"/>
      <c r="R528" s="493"/>
      <c r="S528" s="493"/>
    </row>
    <row r="529" spans="3:19" x14ac:dyDescent="0.3">
      <c r="C529" s="50"/>
      <c r="M529" s="50"/>
      <c r="O529" s="50"/>
      <c r="P529" s="50"/>
      <c r="Q529" s="50"/>
      <c r="R529" s="493"/>
      <c r="S529" s="493"/>
    </row>
    <row r="530" spans="3:19" x14ac:dyDescent="0.3">
      <c r="C530" s="50"/>
      <c r="M530" s="50"/>
      <c r="O530" s="50"/>
      <c r="P530" s="50"/>
      <c r="Q530" s="50"/>
      <c r="R530" s="493"/>
      <c r="S530" s="493"/>
    </row>
    <row r="531" spans="3:19" x14ac:dyDescent="0.3">
      <c r="C531" s="50"/>
      <c r="M531" s="50"/>
      <c r="O531" s="50"/>
      <c r="P531" s="50"/>
      <c r="Q531" s="50"/>
      <c r="R531" s="493"/>
      <c r="S531" s="493"/>
    </row>
    <row r="532" spans="3:19" x14ac:dyDescent="0.3">
      <c r="C532" s="50"/>
      <c r="M532" s="50"/>
      <c r="O532" s="50"/>
      <c r="P532" s="50"/>
      <c r="Q532" s="50"/>
      <c r="R532" s="493"/>
      <c r="S532" s="493"/>
    </row>
    <row r="533" spans="3:19" x14ac:dyDescent="0.3">
      <c r="C533" s="50"/>
      <c r="M533" s="50"/>
      <c r="O533" s="50"/>
      <c r="P533" s="50"/>
      <c r="Q533" s="50"/>
      <c r="R533" s="493"/>
      <c r="S533" s="493"/>
    </row>
    <row r="534" spans="3:19" x14ac:dyDescent="0.3">
      <c r="C534" s="50"/>
      <c r="M534" s="50"/>
      <c r="O534" s="50"/>
      <c r="P534" s="50"/>
      <c r="Q534" s="50"/>
      <c r="R534" s="493"/>
      <c r="S534" s="493"/>
    </row>
    <row r="535" spans="3:19" x14ac:dyDescent="0.3">
      <c r="C535" s="50"/>
      <c r="M535" s="50"/>
      <c r="O535" s="50"/>
      <c r="P535" s="50"/>
      <c r="Q535" s="50"/>
      <c r="R535" s="493"/>
      <c r="S535" s="493"/>
    </row>
    <row r="536" spans="3:19" ht="14.4" x14ac:dyDescent="0.3">
      <c r="C536" s="50"/>
      <c r="M536" s="50"/>
      <c r="O536" s="50"/>
      <c r="P536" s="50"/>
      <c r="Q536" s="50"/>
    </row>
    <row r="537" spans="3:19" ht="14.4" x14ac:dyDescent="0.3">
      <c r="C537" s="50"/>
      <c r="M537" s="50"/>
      <c r="O537" s="50"/>
      <c r="P537" s="50"/>
      <c r="Q537" s="50"/>
    </row>
    <row r="538" spans="3:19" ht="14.4" x14ac:dyDescent="0.3">
      <c r="C538" s="50"/>
      <c r="M538" s="50"/>
      <c r="O538" s="50"/>
      <c r="P538" s="50"/>
      <c r="Q538" s="50"/>
    </row>
    <row r="539" spans="3:19" ht="14.4" x14ac:dyDescent="0.3">
      <c r="C539" s="50"/>
      <c r="M539" s="50"/>
      <c r="O539" s="50"/>
      <c r="P539" s="50"/>
      <c r="Q539" s="50"/>
    </row>
    <row r="540" spans="3:19" ht="15" x14ac:dyDescent="0.3">
      <c r="C540" s="255"/>
      <c r="M540" s="255"/>
      <c r="O540" s="255"/>
      <c r="P540" s="255"/>
      <c r="Q540" s="255"/>
    </row>
    <row r="541" spans="3:19" ht="28.2" x14ac:dyDescent="0.3">
      <c r="C541" s="249" t="s">
        <v>486</v>
      </c>
      <c r="M541" s="236"/>
      <c r="O541" s="237"/>
      <c r="P541" s="238"/>
      <c r="Q541" s="239" t="s">
        <v>487</v>
      </c>
      <c r="R541" s="18" t="s">
        <v>488</v>
      </c>
      <c r="S541" s="16"/>
    </row>
    <row r="542" spans="3:19" x14ac:dyDescent="0.3">
      <c r="C542" s="245" t="s">
        <v>286</v>
      </c>
      <c r="M542" s="241"/>
      <c r="O542" s="242"/>
      <c r="P542" s="243"/>
      <c r="Q542" s="244">
        <v>48.420366370000004</v>
      </c>
      <c r="R542" s="495">
        <v>55</v>
      </c>
      <c r="S542" s="495"/>
    </row>
    <row r="543" spans="3:19" x14ac:dyDescent="0.3">
      <c r="C543" s="245" t="s">
        <v>43</v>
      </c>
      <c r="M543" s="241"/>
      <c r="O543" s="242"/>
      <c r="P543" s="243"/>
      <c r="Q543" s="244">
        <v>0.31508528000000002</v>
      </c>
      <c r="R543" s="495">
        <v>13</v>
      </c>
      <c r="S543" s="495"/>
    </row>
    <row r="544" spans="3:19" x14ac:dyDescent="0.3">
      <c r="C544" s="245" t="s">
        <v>292</v>
      </c>
      <c r="M544" s="241"/>
      <c r="O544" s="242"/>
      <c r="P544" s="243"/>
      <c r="Q544" s="244">
        <v>0.61109249000000099</v>
      </c>
      <c r="R544" s="495">
        <v>9</v>
      </c>
      <c r="S544" s="495"/>
    </row>
    <row r="545" spans="3:19" x14ac:dyDescent="0.3">
      <c r="C545" s="245" t="s">
        <v>51</v>
      </c>
      <c r="M545" s="236"/>
      <c r="O545" s="237"/>
      <c r="P545" s="238"/>
      <c r="Q545" s="248">
        <v>0.21419777999999998</v>
      </c>
      <c r="R545" s="454">
        <v>24</v>
      </c>
      <c r="S545" s="459"/>
    </row>
    <row r="546" spans="3:19" x14ac:dyDescent="0.3">
      <c r="C546" s="271" t="s">
        <v>297</v>
      </c>
      <c r="M546" s="252"/>
      <c r="O546" s="242"/>
      <c r="P546" s="242"/>
      <c r="Q546" s="253">
        <v>49.560741920000005</v>
      </c>
      <c r="R546" s="455">
        <v>100</v>
      </c>
      <c r="S546" s="455"/>
    </row>
    <row r="547" spans="3:19" x14ac:dyDescent="0.3">
      <c r="C547" s="245"/>
      <c r="M547" s="241"/>
      <c r="O547" s="243"/>
      <c r="P547" s="243"/>
      <c r="Q547" s="244"/>
      <c r="R547" s="495"/>
      <c r="S547" s="495"/>
    </row>
    <row r="548" spans="3:19" x14ac:dyDescent="0.3">
      <c r="C548" s="245" t="s">
        <v>59</v>
      </c>
      <c r="M548" s="241"/>
      <c r="O548" s="243"/>
      <c r="P548" s="243"/>
      <c r="Q548" s="244">
        <v>17.572772520000004</v>
      </c>
      <c r="R548" s="495">
        <v>6</v>
      </c>
      <c r="S548" s="495"/>
    </row>
    <row r="549" spans="3:19" x14ac:dyDescent="0.3">
      <c r="C549" s="245" t="s">
        <v>61</v>
      </c>
      <c r="M549" s="241"/>
      <c r="O549" s="243"/>
      <c r="P549" s="243"/>
      <c r="Q549" s="244">
        <v>0.4</v>
      </c>
    </row>
    <row r="550" spans="3:19" x14ac:dyDescent="0.3">
      <c r="C550" s="245" t="s">
        <v>501</v>
      </c>
      <c r="M550" s="241"/>
      <c r="O550" s="243"/>
      <c r="P550" s="243"/>
      <c r="Q550" s="244">
        <v>0.89583776999999998</v>
      </c>
      <c r="R550" s="495">
        <v>1</v>
      </c>
      <c r="S550" s="495"/>
    </row>
    <row r="551" spans="3:19" x14ac:dyDescent="0.3">
      <c r="C551" s="247" t="s">
        <v>305</v>
      </c>
      <c r="M551" s="236"/>
      <c r="O551" s="238"/>
      <c r="P551" s="238"/>
      <c r="Q551" s="248">
        <v>0.53090772999999947</v>
      </c>
      <c r="R551" s="454">
        <v>13</v>
      </c>
      <c r="S551" s="459"/>
    </row>
    <row r="552" spans="3:19" x14ac:dyDescent="0.3">
      <c r="C552" s="249" t="s">
        <v>69</v>
      </c>
      <c r="M552" s="250"/>
      <c r="O552" s="237"/>
      <c r="P552" s="237"/>
      <c r="Q552" s="251">
        <v>19.399518020000002</v>
      </c>
      <c r="R552" s="458">
        <v>21</v>
      </c>
      <c r="S552" s="522"/>
    </row>
    <row r="553" spans="3:19" x14ac:dyDescent="0.3">
      <c r="C553" s="235" t="s">
        <v>489</v>
      </c>
      <c r="M553" s="252"/>
      <c r="O553" s="242"/>
      <c r="P553" s="242"/>
      <c r="Q553" s="253">
        <v>30.161223900000003</v>
      </c>
      <c r="R553" s="455">
        <v>79</v>
      </c>
      <c r="S553" s="455"/>
    </row>
    <row r="554" spans="3:19" x14ac:dyDescent="0.3">
      <c r="C554" s="235"/>
      <c r="M554" s="252"/>
      <c r="O554" s="242"/>
      <c r="P554" s="242"/>
      <c r="Q554" s="253"/>
    </row>
    <row r="555" spans="3:19" x14ac:dyDescent="0.3">
      <c r="C555" s="254" t="s">
        <v>490</v>
      </c>
      <c r="M555" s="241"/>
      <c r="O555" s="242"/>
      <c r="P555" s="243"/>
      <c r="Q555" s="255">
        <v>37.24242272</v>
      </c>
      <c r="R555" s="495">
        <v>149</v>
      </c>
      <c r="S555" s="495"/>
    </row>
    <row r="556" spans="3:19" x14ac:dyDescent="0.3">
      <c r="C556" s="256" t="s">
        <v>491</v>
      </c>
      <c r="M556" s="257"/>
      <c r="O556" s="258"/>
      <c r="P556" s="259"/>
      <c r="Q556" s="260">
        <v>-30.161223900000003</v>
      </c>
      <c r="R556" s="495">
        <v>-79</v>
      </c>
      <c r="S556" s="495"/>
    </row>
    <row r="557" spans="3:19" x14ac:dyDescent="0.3">
      <c r="C557" s="261" t="s">
        <v>492</v>
      </c>
      <c r="M557" s="272"/>
      <c r="O557" s="273"/>
      <c r="P557" s="274"/>
      <c r="Q557" s="275"/>
      <c r="R557" s="454">
        <v>-42</v>
      </c>
      <c r="S557" s="459"/>
    </row>
    <row r="558" spans="3:19" x14ac:dyDescent="0.3">
      <c r="C558" s="262" t="s">
        <v>493</v>
      </c>
      <c r="M558" s="241"/>
      <c r="O558" s="242"/>
      <c r="P558" s="243"/>
      <c r="Q558" s="270">
        <v>7.0811988199999973</v>
      </c>
      <c r="R558" s="455">
        <v>27</v>
      </c>
      <c r="S558" s="455"/>
    </row>
    <row r="559" spans="3:19" x14ac:dyDescent="0.3">
      <c r="C559" s="255"/>
      <c r="M559" s="241"/>
      <c r="O559" s="242"/>
      <c r="P559" s="243"/>
      <c r="Q559" s="243"/>
      <c r="R559" s="276"/>
      <c r="S559" s="276"/>
    </row>
    <row r="560" spans="3:19" x14ac:dyDescent="0.3">
      <c r="C560" s="262" t="s">
        <v>494</v>
      </c>
      <c r="M560" s="236"/>
      <c r="O560" s="237"/>
      <c r="P560" s="238"/>
      <c r="Q560" s="277" t="s">
        <v>250</v>
      </c>
    </row>
    <row r="561" spans="3:20" x14ac:dyDescent="0.3">
      <c r="C561" s="267" t="s">
        <v>495</v>
      </c>
      <c r="M561" s="241"/>
      <c r="O561" s="242"/>
      <c r="P561" s="243"/>
      <c r="Q561" s="268">
        <v>-37.24242272</v>
      </c>
      <c r="R561" s="495">
        <v>149</v>
      </c>
      <c r="S561" s="495"/>
    </row>
    <row r="562" spans="3:20" x14ac:dyDescent="0.3">
      <c r="C562" s="241" t="s">
        <v>496</v>
      </c>
      <c r="M562" s="241"/>
      <c r="O562" s="242"/>
      <c r="P562" s="243"/>
      <c r="Q562" s="244">
        <v>0.21419777999999998</v>
      </c>
      <c r="R562" s="459">
        <v>-24</v>
      </c>
      <c r="S562" s="459"/>
    </row>
    <row r="563" spans="3:20" x14ac:dyDescent="0.3">
      <c r="C563" s="50" t="s">
        <v>497</v>
      </c>
      <c r="M563" s="241"/>
      <c r="O563" s="242"/>
      <c r="P563" s="243"/>
      <c r="Q563" s="244">
        <v>-17.393123600000003</v>
      </c>
    </row>
    <row r="564" spans="3:20" x14ac:dyDescent="0.3">
      <c r="C564" s="256" t="s">
        <v>498</v>
      </c>
      <c r="M564" s="236"/>
      <c r="O564" s="237"/>
      <c r="P564" s="238"/>
      <c r="Q564" s="269">
        <v>-3</v>
      </c>
    </row>
    <row r="565" spans="3:20" x14ac:dyDescent="0.3">
      <c r="C565" s="262" t="s">
        <v>499</v>
      </c>
      <c r="M565" s="241"/>
      <c r="O565" s="242"/>
      <c r="P565" s="243"/>
      <c r="Q565" s="270">
        <v>-57.421348540000004</v>
      </c>
      <c r="R565" s="460">
        <v>125</v>
      </c>
      <c r="S565" s="522"/>
    </row>
    <row r="566" spans="3:20" x14ac:dyDescent="0.3">
      <c r="C566" s="262"/>
      <c r="M566" s="241"/>
      <c r="O566" s="242"/>
      <c r="P566" s="243"/>
      <c r="Q566" s="270"/>
    </row>
    <row r="567" spans="3:20" x14ac:dyDescent="0.3">
      <c r="C567" s="262" t="s">
        <v>502</v>
      </c>
      <c r="M567" s="241"/>
      <c r="O567" s="242"/>
      <c r="P567" s="243"/>
      <c r="Q567" s="270"/>
    </row>
    <row r="568" spans="3:20" x14ac:dyDescent="0.3">
      <c r="C568" s="262"/>
      <c r="M568" s="241"/>
      <c r="O568" s="242"/>
      <c r="P568" s="243"/>
      <c r="Q568" s="270"/>
    </row>
    <row r="569" spans="3:20" ht="14.4" x14ac:dyDescent="0.3">
      <c r="C569" s="50"/>
      <c r="M569" s="50"/>
      <c r="O569" s="50"/>
      <c r="P569" s="50"/>
      <c r="Q569" s="50"/>
    </row>
    <row r="570" spans="3:20" ht="14.4" x14ac:dyDescent="0.3">
      <c r="C570" s="50"/>
      <c r="M570" s="50"/>
      <c r="O570" s="50"/>
      <c r="P570" s="50"/>
      <c r="Q570" s="50"/>
    </row>
    <row r="571" spans="3:20" ht="14.4" x14ac:dyDescent="0.3">
      <c r="C571" s="50"/>
      <c r="M571" s="50"/>
      <c r="O571" s="50"/>
      <c r="P571" s="50"/>
      <c r="Q571" s="50"/>
    </row>
    <row r="572" spans="3:20" ht="15" x14ac:dyDescent="0.3">
      <c r="C572" s="278"/>
      <c r="M572" s="278"/>
      <c r="O572" s="278"/>
      <c r="P572" s="278"/>
      <c r="Q572" s="278"/>
    </row>
    <row r="573" spans="3:20" ht="15" x14ac:dyDescent="0.3">
      <c r="C573" s="278"/>
      <c r="M573" s="278"/>
      <c r="O573" s="278"/>
      <c r="P573" s="278"/>
      <c r="Q573" s="278"/>
    </row>
    <row r="574" spans="3:20" x14ac:dyDescent="0.3">
      <c r="C574" s="262" t="s">
        <v>503</v>
      </c>
      <c r="M574" s="450"/>
      <c r="O574" s="242"/>
      <c r="P574" s="451"/>
      <c r="Q574" s="270"/>
      <c r="R574" s="433"/>
      <c r="S574" s="433"/>
      <c r="T574" s="461"/>
    </row>
    <row r="575" spans="3:20" x14ac:dyDescent="0.3">
      <c r="C575" s="262"/>
      <c r="M575" s="450"/>
      <c r="O575" s="242"/>
      <c r="P575" s="451"/>
      <c r="Q575" s="270"/>
      <c r="R575" s="493"/>
      <c r="S575" s="493"/>
      <c r="T575" s="462"/>
    </row>
    <row r="576" spans="3:20" x14ac:dyDescent="0.3">
      <c r="C576" s="50"/>
      <c r="M576" s="50"/>
      <c r="O576" s="50"/>
      <c r="P576" s="50"/>
      <c r="Q576" s="50"/>
      <c r="R576" s="493"/>
      <c r="S576" s="493"/>
      <c r="T576" s="462"/>
    </row>
    <row r="577" spans="2:20" x14ac:dyDescent="0.3">
      <c r="C577" s="50"/>
      <c r="M577" s="50"/>
      <c r="O577" s="50"/>
      <c r="P577" s="50"/>
      <c r="Q577" s="50"/>
      <c r="R577" s="493"/>
      <c r="S577" s="493"/>
      <c r="T577" s="462"/>
    </row>
    <row r="578" spans="2:20" x14ac:dyDescent="0.3">
      <c r="B578" s="4"/>
      <c r="C578" s="463"/>
      <c r="D578" s="279"/>
      <c r="E578" s="279"/>
      <c r="F578" s="279"/>
      <c r="G578" s="279"/>
      <c r="H578" s="279"/>
      <c r="M578" s="464"/>
      <c r="O578" s="464"/>
      <c r="P578" s="464"/>
      <c r="Q578" s="464"/>
      <c r="R578" s="493"/>
      <c r="S578" s="493"/>
      <c r="T578" s="462"/>
    </row>
    <row r="579" spans="2:20" ht="15.75" customHeight="1" x14ac:dyDescent="0.3">
      <c r="B579" s="4"/>
      <c r="C579" s="465" t="s">
        <v>504</v>
      </c>
      <c r="D579" s="279"/>
      <c r="E579" s="279"/>
      <c r="F579" s="279"/>
      <c r="G579" s="279"/>
      <c r="H579" s="279"/>
      <c r="M579" s="466"/>
      <c r="O579" s="467"/>
      <c r="P579" s="504" t="s">
        <v>488</v>
      </c>
      <c r="Q579" s="504"/>
      <c r="R579" s="493"/>
      <c r="S579" s="493"/>
      <c r="T579" s="462"/>
    </row>
    <row r="580" spans="2:20" x14ac:dyDescent="0.3">
      <c r="B580" s="4"/>
      <c r="C580" s="280" t="s">
        <v>505</v>
      </c>
      <c r="D580" s="279"/>
      <c r="E580" s="279"/>
      <c r="F580" s="279"/>
      <c r="G580" s="279"/>
      <c r="H580" s="279"/>
      <c r="M580" s="468"/>
      <c r="O580" s="469"/>
      <c r="P580" s="281"/>
      <c r="Q580" s="282">
        <v>0</v>
      </c>
      <c r="R580" s="493"/>
      <c r="S580" s="493"/>
      <c r="T580" s="462"/>
    </row>
    <row r="581" spans="2:20" x14ac:dyDescent="0.3">
      <c r="B581" s="4"/>
      <c r="C581" s="293" t="s">
        <v>506</v>
      </c>
      <c r="D581" s="279"/>
      <c r="E581" s="279"/>
      <c r="F581" s="279"/>
      <c r="G581" s="279"/>
      <c r="H581" s="279"/>
      <c r="M581" s="468"/>
      <c r="O581" s="469"/>
      <c r="P581" s="281"/>
      <c r="Q581" s="282">
        <v>0</v>
      </c>
      <c r="R581" s="435"/>
      <c r="S581" s="435"/>
      <c r="T581" s="470"/>
    </row>
    <row r="582" spans="2:20" x14ac:dyDescent="0.3">
      <c r="B582" s="4"/>
      <c r="C582" s="283" t="s">
        <v>507</v>
      </c>
      <c r="D582" s="279"/>
      <c r="E582" s="279"/>
      <c r="F582" s="279"/>
      <c r="G582" s="279"/>
      <c r="H582" s="279"/>
      <c r="M582" s="284"/>
      <c r="O582" s="285"/>
      <c r="P582" s="286"/>
      <c r="Q582" s="287">
        <v>-42</v>
      </c>
      <c r="R582" s="493"/>
      <c r="S582" s="493"/>
    </row>
    <row r="583" spans="2:20" x14ac:dyDescent="0.3">
      <c r="B583" s="4"/>
      <c r="C583" s="288" t="s">
        <v>508</v>
      </c>
      <c r="D583" s="279"/>
      <c r="E583" s="279"/>
      <c r="F583" s="279"/>
      <c r="G583" s="279"/>
      <c r="H583" s="279"/>
      <c r="M583" s="289"/>
      <c r="O583" s="290"/>
      <c r="P583" s="291"/>
      <c r="Q583" s="292">
        <v>-42</v>
      </c>
    </row>
    <row r="584" spans="2:20" x14ac:dyDescent="0.3">
      <c r="B584" s="4"/>
      <c r="C584" s="293"/>
      <c r="D584" s="279"/>
      <c r="E584" s="279"/>
      <c r="F584" s="279"/>
      <c r="G584" s="279"/>
      <c r="H584" s="279"/>
      <c r="M584" s="294"/>
      <c r="O584" s="294"/>
      <c r="P584" s="281"/>
      <c r="Q584" s="281"/>
    </row>
    <row r="585" spans="2:20" x14ac:dyDescent="0.3">
      <c r="B585" s="4"/>
      <c r="C585" s="288" t="s">
        <v>509</v>
      </c>
      <c r="D585" s="279"/>
      <c r="E585" s="279"/>
      <c r="F585" s="279"/>
      <c r="G585" s="279"/>
      <c r="H585" s="279"/>
      <c r="M585" s="295"/>
      <c r="O585" s="296"/>
      <c r="P585" s="297"/>
      <c r="Q585" s="297">
        <v>0</v>
      </c>
    </row>
    <row r="586" spans="2:20" x14ac:dyDescent="0.3">
      <c r="B586" s="4"/>
      <c r="C586" s="288"/>
      <c r="D586" s="279"/>
      <c r="E586" s="279"/>
      <c r="F586" s="279"/>
      <c r="G586" s="279"/>
      <c r="H586" s="279"/>
      <c r="M586" s="295"/>
      <c r="O586" s="296"/>
      <c r="P586" s="297"/>
      <c r="Q586" s="297"/>
    </row>
    <row r="587" spans="2:20" x14ac:dyDescent="0.3">
      <c r="B587" s="4"/>
      <c r="C587" s="279"/>
      <c r="D587" s="279"/>
      <c r="E587" s="279"/>
      <c r="F587" s="279"/>
      <c r="G587" s="279"/>
      <c r="H587" s="279"/>
      <c r="M587" s="53"/>
      <c r="O587" s="92"/>
      <c r="P587" s="211"/>
      <c r="Q587" s="211"/>
    </row>
    <row r="588" spans="2:20" x14ac:dyDescent="0.3">
      <c r="B588" s="4"/>
      <c r="C588" s="298" t="s">
        <v>510</v>
      </c>
      <c r="D588" s="279"/>
      <c r="E588" s="279"/>
      <c r="F588" s="279"/>
      <c r="G588" s="279"/>
      <c r="H588" s="279"/>
      <c r="M588" s="53"/>
      <c r="O588" s="92"/>
      <c r="P588" s="211"/>
      <c r="Q588" s="211"/>
    </row>
    <row r="589" spans="2:20" x14ac:dyDescent="0.3">
      <c r="B589" s="4"/>
      <c r="C589" s="279"/>
      <c r="D589" s="279"/>
      <c r="E589" s="279"/>
      <c r="F589" s="279"/>
      <c r="G589" s="279"/>
      <c r="H589" s="279"/>
      <c r="M589" s="53"/>
      <c r="O589" s="92"/>
      <c r="P589" s="211"/>
      <c r="Q589" s="211"/>
    </row>
    <row r="590" spans="2:20" x14ac:dyDescent="0.3">
      <c r="B590" s="4"/>
      <c r="C590" s="298" t="s">
        <v>511</v>
      </c>
      <c r="D590" s="279"/>
      <c r="E590" s="279"/>
      <c r="F590" s="279"/>
      <c r="G590" s="279"/>
      <c r="H590" s="279"/>
      <c r="M590" s="53"/>
      <c r="O590" s="92"/>
      <c r="P590" s="211"/>
      <c r="Q590" s="211"/>
    </row>
    <row r="591" spans="2:20" x14ac:dyDescent="0.3">
      <c r="B591" s="4"/>
      <c r="C591" s="279"/>
      <c r="D591" s="279"/>
      <c r="E591" s="279"/>
      <c r="F591" s="279"/>
      <c r="G591" s="279"/>
      <c r="H591" s="279"/>
      <c r="M591" s="53"/>
      <c r="O591" s="92"/>
      <c r="P591" s="211"/>
      <c r="Q591" s="211"/>
      <c r="R591" s="493"/>
      <c r="S591" s="493"/>
    </row>
    <row r="592" spans="2:20" ht="14.4" x14ac:dyDescent="0.3">
      <c r="B592" s="4"/>
      <c r="C592" s="279"/>
      <c r="D592" s="279"/>
      <c r="E592" s="279"/>
      <c r="F592" s="279"/>
      <c r="G592" s="279"/>
      <c r="H592" s="279"/>
      <c r="M592" s="50"/>
      <c r="O592" s="50"/>
      <c r="P592" s="50"/>
      <c r="Q592" s="50"/>
    </row>
    <row r="593" spans="2:19" ht="14.4" x14ac:dyDescent="0.3">
      <c r="B593" s="4"/>
      <c r="C593" s="279"/>
      <c r="D593" s="279"/>
      <c r="E593" s="279"/>
      <c r="F593" s="279"/>
      <c r="G593" s="279"/>
      <c r="H593" s="279"/>
      <c r="M593" s="50"/>
      <c r="O593" s="50"/>
      <c r="P593" s="50"/>
      <c r="Q593" s="50"/>
    </row>
    <row r="594" spans="2:19" ht="14.4" x14ac:dyDescent="0.3">
      <c r="B594" s="4"/>
      <c r="C594" s="299"/>
      <c r="D594" s="279"/>
      <c r="E594" s="279"/>
      <c r="F594" s="279"/>
      <c r="G594" s="279"/>
      <c r="H594" s="279"/>
      <c r="M594" s="164"/>
      <c r="O594" s="164"/>
      <c r="P594" s="164"/>
      <c r="Q594" s="164"/>
    </row>
    <row r="595" spans="2:19" ht="14.4" x14ac:dyDescent="0.3">
      <c r="B595" s="4"/>
      <c r="C595" s="299"/>
      <c r="D595" s="279"/>
      <c r="E595" s="279"/>
      <c r="F595" s="279"/>
      <c r="G595" s="279"/>
      <c r="H595" s="279"/>
      <c r="M595" s="164"/>
      <c r="O595" s="164"/>
      <c r="P595" s="164"/>
      <c r="Q595" s="300" t="s">
        <v>511</v>
      </c>
    </row>
    <row r="596" spans="2:19" x14ac:dyDescent="0.3">
      <c r="B596" s="4"/>
      <c r="C596" s="301" t="s">
        <v>296</v>
      </c>
      <c r="D596" s="279"/>
      <c r="E596" s="279"/>
      <c r="F596" s="279"/>
      <c r="G596" s="279"/>
      <c r="H596" s="279"/>
      <c r="M596" s="135"/>
      <c r="O596" s="104"/>
      <c r="P596" s="302"/>
      <c r="Q596" s="303">
        <v>2020</v>
      </c>
    </row>
    <row r="597" spans="2:19" x14ac:dyDescent="0.3">
      <c r="B597" s="4"/>
      <c r="C597" s="304" t="s">
        <v>286</v>
      </c>
      <c r="D597" s="279"/>
      <c r="E597" s="279"/>
      <c r="F597" s="279"/>
      <c r="G597" s="279"/>
      <c r="H597" s="279"/>
      <c r="M597" s="105"/>
      <c r="O597" s="108"/>
      <c r="P597" s="305"/>
      <c r="Q597" s="306">
        <v>13.515000000000001</v>
      </c>
    </row>
    <row r="598" spans="2:19" x14ac:dyDescent="0.3">
      <c r="B598" s="4"/>
      <c r="C598" s="298" t="s">
        <v>247</v>
      </c>
      <c r="D598" s="279"/>
      <c r="E598" s="279"/>
      <c r="F598" s="279"/>
      <c r="G598" s="279"/>
      <c r="H598" s="279"/>
      <c r="M598" s="53"/>
      <c r="O598" s="92"/>
      <c r="P598" s="211"/>
      <c r="Q598" s="211">
        <v>13.515000000000001</v>
      </c>
    </row>
    <row r="599" spans="2:19" x14ac:dyDescent="0.3">
      <c r="B599" s="4"/>
      <c r="C599" s="298"/>
      <c r="D599" s="279"/>
      <c r="E599" s="279"/>
      <c r="F599" s="279"/>
      <c r="G599" s="279"/>
      <c r="H599" s="279"/>
      <c r="M599" s="53"/>
      <c r="O599" s="92"/>
      <c r="P599" s="211"/>
      <c r="Q599" s="211"/>
    </row>
    <row r="600" spans="2:19" x14ac:dyDescent="0.3">
      <c r="B600" s="4"/>
      <c r="C600" s="307" t="s">
        <v>512</v>
      </c>
      <c r="D600" s="279"/>
      <c r="E600" s="279"/>
      <c r="F600" s="279"/>
      <c r="G600" s="279"/>
      <c r="H600" s="279"/>
      <c r="M600" s="53"/>
      <c r="O600" s="92"/>
      <c r="P600" s="211"/>
      <c r="Q600" s="211"/>
      <c r="R600" s="493"/>
      <c r="S600" s="493"/>
    </row>
    <row r="601" spans="2:19" x14ac:dyDescent="0.3">
      <c r="C601" s="53"/>
      <c r="M601" s="53"/>
      <c r="O601" s="92"/>
      <c r="P601" s="211"/>
      <c r="Q601" s="211"/>
    </row>
    <row r="602" spans="2:19" ht="14.4" x14ac:dyDescent="0.3">
      <c r="C602" s="50"/>
      <c r="M602" s="50"/>
      <c r="O602" s="50"/>
      <c r="P602" s="50"/>
      <c r="Q602" s="50"/>
    </row>
    <row r="603" spans="2:19" ht="14.4" x14ac:dyDescent="0.3">
      <c r="C603" s="50"/>
      <c r="M603" s="50"/>
      <c r="O603" s="50"/>
      <c r="P603" s="50"/>
      <c r="Q603" s="50"/>
    </row>
    <row r="604" spans="2:19" ht="14.4" x14ac:dyDescent="0.3">
      <c r="C604" s="50"/>
      <c r="M604" s="50"/>
      <c r="O604" s="50"/>
      <c r="P604" s="50"/>
      <c r="Q604" s="50"/>
    </row>
    <row r="605" spans="2:19" ht="14.4" x14ac:dyDescent="0.3">
      <c r="C605" s="50"/>
      <c r="M605" s="50"/>
      <c r="O605" s="50"/>
      <c r="P605" s="50"/>
      <c r="Q605" s="50"/>
    </row>
    <row r="606" spans="2:19" x14ac:dyDescent="0.3">
      <c r="C606" s="53"/>
      <c r="M606" s="53"/>
      <c r="O606" s="92"/>
      <c r="P606" s="211"/>
      <c r="Q606" s="211"/>
    </row>
    <row r="607" spans="2:19" ht="14.4" x14ac:dyDescent="0.3">
      <c r="B607" s="4"/>
      <c r="C607" s="299"/>
      <c r="D607" s="279"/>
      <c r="E607" s="279"/>
      <c r="F607" s="279"/>
      <c r="M607" s="164"/>
      <c r="O607" s="164"/>
      <c r="P607" s="164"/>
      <c r="Q607" s="300" t="s">
        <v>512</v>
      </c>
    </row>
    <row r="608" spans="2:19" x14ac:dyDescent="0.3">
      <c r="B608" s="4"/>
      <c r="C608" s="301" t="s">
        <v>296</v>
      </c>
      <c r="D608" s="279"/>
      <c r="E608" s="279"/>
      <c r="F608" s="279"/>
      <c r="M608" s="135"/>
      <c r="O608" s="104"/>
      <c r="P608" s="302"/>
      <c r="Q608" s="303">
        <v>2020</v>
      </c>
    </row>
    <row r="609" spans="2:19" x14ac:dyDescent="0.3">
      <c r="B609" s="4"/>
      <c r="C609" s="308" t="s">
        <v>48</v>
      </c>
      <c r="D609" s="279"/>
      <c r="E609" s="279"/>
      <c r="F609" s="279"/>
      <c r="M609" s="53"/>
      <c r="O609" s="92"/>
      <c r="P609" s="211"/>
      <c r="Q609" s="211">
        <v>2.8820000000000001</v>
      </c>
    </row>
    <row r="610" spans="2:19" x14ac:dyDescent="0.3">
      <c r="B610" s="4"/>
      <c r="C610" s="309" t="s">
        <v>51</v>
      </c>
      <c r="D610" s="279"/>
      <c r="E610" s="279"/>
      <c r="F610" s="279"/>
      <c r="M610" s="135"/>
      <c r="O610" s="104"/>
      <c r="P610" s="302"/>
      <c r="Q610" s="302">
        <v>0.504</v>
      </c>
    </row>
    <row r="611" spans="2:19" x14ac:dyDescent="0.3">
      <c r="B611" s="4"/>
      <c r="C611" s="298" t="s">
        <v>247</v>
      </c>
      <c r="D611" s="279"/>
      <c r="E611" s="279"/>
      <c r="F611" s="279"/>
      <c r="M611" s="53"/>
      <c r="O611" s="92"/>
      <c r="P611" s="211"/>
      <c r="Q611" s="211">
        <v>3.8050000000000002</v>
      </c>
    </row>
    <row r="612" spans="2:19" x14ac:dyDescent="0.3">
      <c r="C612" s="50"/>
      <c r="M612" s="53"/>
      <c r="O612" s="92"/>
      <c r="P612" s="211"/>
      <c r="Q612" s="211"/>
    </row>
    <row r="613" spans="2:19" x14ac:dyDescent="0.3">
      <c r="C613" s="50"/>
      <c r="M613" s="53"/>
      <c r="O613" s="92"/>
      <c r="P613" s="211"/>
      <c r="Q613" s="211"/>
    </row>
    <row r="614" spans="2:19" x14ac:dyDescent="0.3">
      <c r="C614" s="53" t="s">
        <v>513</v>
      </c>
      <c r="M614" s="53"/>
      <c r="O614" s="92"/>
      <c r="P614" s="211"/>
      <c r="Q614" s="211"/>
    </row>
    <row r="615" spans="2:19" x14ac:dyDescent="0.3">
      <c r="C615" s="50"/>
      <c r="M615" s="53"/>
      <c r="O615" s="92"/>
      <c r="P615" s="211"/>
      <c r="Q615" s="211"/>
    </row>
    <row r="616" spans="2:19" x14ac:dyDescent="0.3">
      <c r="C616" s="53" t="s">
        <v>514</v>
      </c>
      <c r="M616" s="226"/>
      <c r="O616" s="139"/>
      <c r="P616" s="211"/>
      <c r="Q616" s="140"/>
    </row>
    <row r="617" spans="2:19" x14ac:dyDescent="0.3">
      <c r="C617" s="53"/>
      <c r="M617" s="226"/>
      <c r="O617" s="310"/>
      <c r="P617" s="310"/>
      <c r="Q617" s="311"/>
    </row>
    <row r="618" spans="2:19" x14ac:dyDescent="0.3">
      <c r="C618" s="135" t="s">
        <v>515</v>
      </c>
      <c r="M618" s="80"/>
      <c r="O618" s="65" t="s">
        <v>448</v>
      </c>
      <c r="P618" s="65" t="s">
        <v>250</v>
      </c>
      <c r="Q618" s="64" t="s">
        <v>249</v>
      </c>
      <c r="R618" s="471">
        <v>43112</v>
      </c>
      <c r="S618" s="523"/>
    </row>
    <row r="619" spans="2:19" x14ac:dyDescent="0.3">
      <c r="C619" s="50" t="s">
        <v>391</v>
      </c>
      <c r="M619" s="50"/>
      <c r="O619" s="71">
        <v>380</v>
      </c>
      <c r="P619" s="71">
        <v>1416</v>
      </c>
      <c r="Q619" s="70">
        <v>1962</v>
      </c>
      <c r="R619" s="434">
        <v>1422</v>
      </c>
      <c r="S619" s="434"/>
    </row>
    <row r="620" spans="2:19" ht="15.75" customHeight="1" x14ac:dyDescent="0.3">
      <c r="C620" s="312" t="s">
        <v>248</v>
      </c>
      <c r="M620" s="50"/>
      <c r="O620" s="71">
        <v>-21</v>
      </c>
      <c r="P620" s="71">
        <v>-119</v>
      </c>
      <c r="Q620" s="70">
        <v>180</v>
      </c>
      <c r="R620" s="493">
        <v>-273</v>
      </c>
      <c r="S620" s="493"/>
    </row>
    <row r="621" spans="2:19" ht="15.75" customHeight="1" x14ac:dyDescent="0.3">
      <c r="C621" s="312" t="s">
        <v>253</v>
      </c>
      <c r="M621" s="50"/>
      <c r="O621" s="71">
        <v>-48</v>
      </c>
      <c r="P621" s="71">
        <v>-112</v>
      </c>
      <c r="Q621" s="70">
        <v>69</v>
      </c>
      <c r="R621" s="493">
        <v>117</v>
      </c>
      <c r="S621" s="493"/>
    </row>
    <row r="622" spans="2:19" ht="15.75" customHeight="1" x14ac:dyDescent="0.3">
      <c r="C622" s="312" t="s">
        <v>254</v>
      </c>
      <c r="M622" s="50"/>
      <c r="O622" s="71">
        <v>0</v>
      </c>
      <c r="P622" s="71">
        <v>-42</v>
      </c>
      <c r="Q622" s="70">
        <v>37</v>
      </c>
      <c r="R622" s="493">
        <v>2</v>
      </c>
      <c r="S622" s="493"/>
    </row>
    <row r="623" spans="2:19" ht="15.75" customHeight="1" x14ac:dyDescent="0.3">
      <c r="C623" s="312" t="s">
        <v>395</v>
      </c>
      <c r="M623" s="50"/>
      <c r="O623" s="71">
        <v>0</v>
      </c>
      <c r="P623" s="71">
        <v>0</v>
      </c>
      <c r="Q623" s="70">
        <v>-11</v>
      </c>
      <c r="R623" s="493">
        <v>-198</v>
      </c>
      <c r="S623" s="493"/>
    </row>
    <row r="624" spans="2:19" ht="15.75" customHeight="1" x14ac:dyDescent="0.3">
      <c r="C624" s="312" t="s">
        <v>516</v>
      </c>
      <c r="M624" s="50"/>
      <c r="O624" s="71">
        <v>-312</v>
      </c>
      <c r="P624" s="71">
        <v>-314</v>
      </c>
      <c r="Q624" s="70">
        <v>-7</v>
      </c>
      <c r="R624" s="493">
        <v>-48</v>
      </c>
      <c r="S624" s="493"/>
    </row>
    <row r="625" spans="3:19" x14ac:dyDescent="0.3">
      <c r="C625" s="82" t="s">
        <v>397</v>
      </c>
      <c r="M625" s="82"/>
      <c r="O625" s="84">
        <v>-2</v>
      </c>
      <c r="P625" s="84">
        <v>828</v>
      </c>
      <c r="Q625" s="83">
        <v>2229</v>
      </c>
      <c r="R625" s="445">
        <v>1022</v>
      </c>
      <c r="S625" s="488"/>
    </row>
    <row r="626" spans="3:19" ht="14.4" x14ac:dyDescent="0.3">
      <c r="C626" s="50"/>
      <c r="M626" s="50"/>
      <c r="O626" s="50"/>
      <c r="P626" s="50"/>
      <c r="Q626" s="50"/>
    </row>
    <row r="627" spans="3:19" ht="14.4" x14ac:dyDescent="0.3">
      <c r="C627" s="50"/>
      <c r="M627" s="50"/>
      <c r="O627" s="50"/>
      <c r="P627" s="50"/>
      <c r="Q627" s="50"/>
    </row>
    <row r="628" spans="3:19" x14ac:dyDescent="0.3">
      <c r="C628" s="50"/>
      <c r="M628" s="50"/>
      <c r="O628" s="71"/>
      <c r="P628" s="71"/>
      <c r="Q628" s="70"/>
    </row>
    <row r="629" spans="3:19" x14ac:dyDescent="0.3">
      <c r="C629" s="135" t="s">
        <v>26</v>
      </c>
      <c r="M629" s="80"/>
      <c r="O629" s="65" t="s">
        <v>448</v>
      </c>
      <c r="P629" s="65" t="s">
        <v>250</v>
      </c>
      <c r="Q629" s="64" t="s">
        <v>249</v>
      </c>
      <c r="R629" s="433">
        <v>43112</v>
      </c>
      <c r="S629" s="521"/>
    </row>
    <row r="630" spans="3:19" ht="15.75" customHeight="1" x14ac:dyDescent="0.3">
      <c r="C630" s="50" t="s">
        <v>391</v>
      </c>
      <c r="M630" s="50"/>
      <c r="O630" s="71">
        <v>338</v>
      </c>
      <c r="P630" s="71">
        <v>1334</v>
      </c>
      <c r="Q630" s="70">
        <v>1599</v>
      </c>
      <c r="R630" s="493">
        <v>983</v>
      </c>
      <c r="S630" s="493"/>
    </row>
    <row r="631" spans="3:19" ht="15.75" customHeight="1" x14ac:dyDescent="0.3">
      <c r="C631" s="312" t="s">
        <v>248</v>
      </c>
      <c r="M631" s="50"/>
      <c r="O631" s="71">
        <v>-9</v>
      </c>
      <c r="P631" s="71">
        <v>10</v>
      </c>
      <c r="Q631" s="70">
        <v>137</v>
      </c>
      <c r="R631" s="493">
        <v>-165</v>
      </c>
      <c r="S631" s="493"/>
    </row>
    <row r="632" spans="3:19" ht="15.75" customHeight="1" x14ac:dyDescent="0.3">
      <c r="C632" s="312" t="s">
        <v>253</v>
      </c>
      <c r="M632" s="50"/>
      <c r="O632" s="71">
        <v>-44</v>
      </c>
      <c r="P632" s="71">
        <v>-105</v>
      </c>
      <c r="Q632" s="70">
        <v>101</v>
      </c>
      <c r="R632" s="493">
        <v>82</v>
      </c>
      <c r="S632" s="493"/>
    </row>
    <row r="633" spans="3:19" ht="15.75" customHeight="1" x14ac:dyDescent="0.3">
      <c r="C633" s="312" t="s">
        <v>254</v>
      </c>
      <c r="M633" s="50"/>
      <c r="O633" s="71">
        <v>0</v>
      </c>
      <c r="P633" s="71">
        <v>0</v>
      </c>
      <c r="Q633" s="70">
        <v>0</v>
      </c>
      <c r="R633" s="493">
        <v>0</v>
      </c>
      <c r="S633" s="493"/>
    </row>
    <row r="634" spans="3:19" ht="15.75" customHeight="1" x14ac:dyDescent="0.3">
      <c r="C634" s="312" t="s">
        <v>395</v>
      </c>
      <c r="M634" s="50"/>
      <c r="O634" s="71">
        <v>0</v>
      </c>
      <c r="P634" s="71">
        <v>0</v>
      </c>
      <c r="Q634" s="70">
        <v>0</v>
      </c>
      <c r="R634" s="493">
        <v>0</v>
      </c>
      <c r="S634" s="493"/>
    </row>
    <row r="635" spans="3:19" ht="15.75" customHeight="1" x14ac:dyDescent="0.3">
      <c r="C635" s="312" t="s">
        <v>396</v>
      </c>
      <c r="M635" s="50"/>
      <c r="O635" s="71">
        <v>0</v>
      </c>
      <c r="P635" s="71">
        <v>0</v>
      </c>
      <c r="Q635" s="70">
        <v>10</v>
      </c>
      <c r="R635" s="493">
        <v>-4</v>
      </c>
      <c r="S635" s="493"/>
    </row>
    <row r="636" spans="3:19" x14ac:dyDescent="0.3">
      <c r="C636" s="82" t="s">
        <v>397</v>
      </c>
      <c r="M636" s="82"/>
      <c r="O636" s="84">
        <v>285</v>
      </c>
      <c r="P636" s="84">
        <v>1239</v>
      </c>
      <c r="Q636" s="83">
        <v>1847</v>
      </c>
      <c r="R636" s="435">
        <v>895</v>
      </c>
      <c r="S636" s="7"/>
    </row>
    <row r="637" spans="3:19" x14ac:dyDescent="0.3">
      <c r="C637" s="50"/>
      <c r="M637" s="50"/>
      <c r="O637" s="71"/>
      <c r="P637" s="71"/>
      <c r="Q637" s="70"/>
    </row>
    <row r="638" spans="3:19" x14ac:dyDescent="0.3">
      <c r="C638" s="135" t="s">
        <v>27</v>
      </c>
      <c r="M638" s="80"/>
      <c r="O638" s="65" t="s">
        <v>448</v>
      </c>
      <c r="P638" s="65" t="s">
        <v>250</v>
      </c>
      <c r="Q638" s="64" t="s">
        <v>249</v>
      </c>
      <c r="R638" s="433">
        <v>43112</v>
      </c>
      <c r="S638" s="521"/>
    </row>
    <row r="639" spans="3:19" ht="15.75" customHeight="1" x14ac:dyDescent="0.3">
      <c r="C639" s="50" t="s">
        <v>391</v>
      </c>
      <c r="M639" s="50"/>
      <c r="O639" s="71">
        <v>37</v>
      </c>
      <c r="P639" s="71">
        <v>50</v>
      </c>
      <c r="Q639" s="70">
        <v>386</v>
      </c>
      <c r="R639" s="493">
        <v>397</v>
      </c>
      <c r="S639" s="493"/>
    </row>
    <row r="640" spans="3:19" ht="15.75" customHeight="1" x14ac:dyDescent="0.3">
      <c r="C640" s="312" t="s">
        <v>248</v>
      </c>
      <c r="M640" s="50"/>
      <c r="O640" s="71">
        <v>-12</v>
      </c>
      <c r="P640" s="71">
        <v>-130</v>
      </c>
      <c r="Q640" s="70">
        <v>43</v>
      </c>
      <c r="R640" s="493">
        <v>-108</v>
      </c>
      <c r="S640" s="493"/>
    </row>
    <row r="641" spans="3:19" ht="15.75" customHeight="1" x14ac:dyDescent="0.3">
      <c r="C641" s="312" t="s">
        <v>253</v>
      </c>
      <c r="M641" s="50"/>
      <c r="O641" s="71">
        <v>-4</v>
      </c>
      <c r="P641" s="71">
        <v>-7</v>
      </c>
      <c r="Q641" s="70">
        <v>-32</v>
      </c>
      <c r="R641" s="493">
        <v>35</v>
      </c>
      <c r="S641" s="493"/>
    </row>
    <row r="642" spans="3:19" ht="15.75" customHeight="1" x14ac:dyDescent="0.3">
      <c r="C642" s="312" t="s">
        <v>254</v>
      </c>
      <c r="M642" s="50"/>
      <c r="O642" s="71">
        <v>0</v>
      </c>
      <c r="P642" s="71">
        <v>0</v>
      </c>
      <c r="Q642" s="70">
        <v>0</v>
      </c>
      <c r="R642" s="493">
        <v>2</v>
      </c>
      <c r="S642" s="493"/>
    </row>
    <row r="643" spans="3:19" ht="15.75" customHeight="1" x14ac:dyDescent="0.3">
      <c r="C643" s="312" t="s">
        <v>395</v>
      </c>
      <c r="M643" s="50"/>
      <c r="O643" s="71">
        <v>0</v>
      </c>
      <c r="P643" s="71">
        <v>0</v>
      </c>
      <c r="Q643" s="70">
        <v>23</v>
      </c>
      <c r="R643" s="493">
        <v>-112</v>
      </c>
      <c r="S643" s="493"/>
    </row>
    <row r="644" spans="3:19" ht="15.75" customHeight="1" x14ac:dyDescent="0.3">
      <c r="C644" s="312" t="s">
        <v>396</v>
      </c>
      <c r="M644" s="50"/>
      <c r="O644" s="71">
        <v>-308</v>
      </c>
      <c r="P644" s="71">
        <v>-310</v>
      </c>
      <c r="Q644" s="70">
        <v>-15</v>
      </c>
      <c r="R644" s="493">
        <v>-44</v>
      </c>
      <c r="S644" s="493"/>
    </row>
    <row r="645" spans="3:19" x14ac:dyDescent="0.3">
      <c r="C645" s="82" t="s">
        <v>397</v>
      </c>
      <c r="M645" s="82"/>
      <c r="O645" s="84">
        <v>-287</v>
      </c>
      <c r="P645" s="84">
        <v>-396</v>
      </c>
      <c r="Q645" s="83">
        <v>406</v>
      </c>
      <c r="R645" s="435">
        <v>170</v>
      </c>
      <c r="S645" s="7"/>
    </row>
    <row r="646" spans="3:19" x14ac:dyDescent="0.3">
      <c r="C646" s="50"/>
      <c r="M646" s="50"/>
      <c r="O646" s="71"/>
      <c r="P646" s="71"/>
      <c r="Q646" s="70"/>
    </row>
    <row r="647" spans="3:19" x14ac:dyDescent="0.3">
      <c r="C647" s="135" t="s">
        <v>28</v>
      </c>
      <c r="M647" s="80"/>
      <c r="O647" s="65" t="s">
        <v>448</v>
      </c>
      <c r="P647" s="65" t="s">
        <v>250</v>
      </c>
      <c r="Q647" s="64" t="s">
        <v>249</v>
      </c>
      <c r="R647" s="433">
        <v>43112</v>
      </c>
      <c r="S647" s="521"/>
    </row>
    <row r="648" spans="3:19" ht="15.75" customHeight="1" x14ac:dyDescent="0.3">
      <c r="C648" s="50" t="s">
        <v>391</v>
      </c>
      <c r="M648" s="50"/>
      <c r="O648" s="71">
        <v>15</v>
      </c>
      <c r="P648" s="71">
        <v>68</v>
      </c>
      <c r="Q648" s="70">
        <v>77</v>
      </c>
      <c r="R648" s="493">
        <v>77</v>
      </c>
      <c r="S648" s="493"/>
    </row>
    <row r="649" spans="3:19" ht="15.75" customHeight="1" x14ac:dyDescent="0.3">
      <c r="C649" s="312" t="s">
        <v>248</v>
      </c>
      <c r="M649" s="50"/>
      <c r="O649" s="71">
        <v>0</v>
      </c>
      <c r="P649" s="71">
        <v>0</v>
      </c>
      <c r="Q649" s="70">
        <v>0</v>
      </c>
      <c r="R649" s="493">
        <v>0</v>
      </c>
      <c r="S649" s="493"/>
    </row>
    <row r="650" spans="3:19" ht="15.75" customHeight="1" x14ac:dyDescent="0.3">
      <c r="C650" s="312" t="s">
        <v>253</v>
      </c>
      <c r="M650" s="50"/>
      <c r="O650" s="71">
        <v>0</v>
      </c>
      <c r="P650" s="71">
        <v>0</v>
      </c>
      <c r="Q650" s="70">
        <v>0</v>
      </c>
      <c r="R650" s="493">
        <v>0</v>
      </c>
      <c r="S650" s="493"/>
    </row>
    <row r="651" spans="3:19" ht="15.75" customHeight="1" x14ac:dyDescent="0.3">
      <c r="C651" s="312" t="s">
        <v>254</v>
      </c>
      <c r="M651" s="50"/>
      <c r="O651" s="71">
        <v>0</v>
      </c>
      <c r="P651" s="71">
        <v>0</v>
      </c>
      <c r="Q651" s="70">
        <v>27</v>
      </c>
      <c r="R651" s="493">
        <v>0</v>
      </c>
      <c r="S651" s="493"/>
    </row>
    <row r="652" spans="3:19" ht="15.75" customHeight="1" x14ac:dyDescent="0.3">
      <c r="C652" s="312" t="s">
        <v>395</v>
      </c>
      <c r="M652" s="50"/>
      <c r="O652" s="71">
        <v>0</v>
      </c>
      <c r="P652" s="71">
        <v>0</v>
      </c>
      <c r="Q652" s="70">
        <v>0</v>
      </c>
      <c r="R652" s="493">
        <v>0</v>
      </c>
      <c r="S652" s="493"/>
    </row>
    <row r="653" spans="3:19" ht="15.75" customHeight="1" x14ac:dyDescent="0.3">
      <c r="C653" s="312" t="s">
        <v>396</v>
      </c>
      <c r="M653" s="50"/>
      <c r="O653" s="71">
        <v>0</v>
      </c>
      <c r="P653" s="71">
        <v>0</v>
      </c>
      <c r="Q653" s="70">
        <v>-3</v>
      </c>
      <c r="R653" s="493">
        <v>0</v>
      </c>
      <c r="S653" s="493"/>
    </row>
    <row r="654" spans="3:19" x14ac:dyDescent="0.3">
      <c r="C654" s="82" t="s">
        <v>397</v>
      </c>
      <c r="M654" s="82"/>
      <c r="O654" s="84">
        <v>15</v>
      </c>
      <c r="P654" s="84">
        <v>68</v>
      </c>
      <c r="Q654" s="83">
        <v>102</v>
      </c>
      <c r="R654" s="435">
        <v>77</v>
      </c>
      <c r="S654" s="7"/>
    </row>
    <row r="655" spans="3:19" x14ac:dyDescent="0.3">
      <c r="C655" s="50"/>
      <c r="M655" s="50"/>
      <c r="O655" s="71"/>
      <c r="P655" s="71"/>
      <c r="Q655" s="70"/>
    </row>
    <row r="656" spans="3:19" x14ac:dyDescent="0.3">
      <c r="C656" s="135" t="s">
        <v>29</v>
      </c>
      <c r="M656" s="80"/>
      <c r="O656" s="65" t="s">
        <v>448</v>
      </c>
      <c r="P656" s="65" t="s">
        <v>250</v>
      </c>
      <c r="Q656" s="64" t="s">
        <v>249</v>
      </c>
      <c r="R656" s="433">
        <v>43112</v>
      </c>
      <c r="S656" s="521"/>
    </row>
    <row r="657" spans="3:19" ht="15.75" customHeight="1" x14ac:dyDescent="0.3">
      <c r="C657" s="50" t="s">
        <v>391</v>
      </c>
      <c r="M657" s="50"/>
      <c r="O657" s="71">
        <v>-7</v>
      </c>
      <c r="P657" s="71">
        <v>-37</v>
      </c>
      <c r="Q657" s="70">
        <v>-98</v>
      </c>
      <c r="R657" s="493">
        <v>-36</v>
      </c>
      <c r="S657" s="493"/>
    </row>
    <row r="658" spans="3:19" ht="15.75" customHeight="1" x14ac:dyDescent="0.3">
      <c r="C658" s="312" t="s">
        <v>248</v>
      </c>
      <c r="M658" s="50"/>
      <c r="O658" s="71">
        <v>0</v>
      </c>
      <c r="P658" s="71">
        <v>0</v>
      </c>
      <c r="Q658" s="70">
        <v>0</v>
      </c>
      <c r="R658" s="493">
        <v>0</v>
      </c>
      <c r="S658" s="493"/>
    </row>
    <row r="659" spans="3:19" ht="15.75" customHeight="1" x14ac:dyDescent="0.3">
      <c r="C659" s="312" t="s">
        <v>253</v>
      </c>
      <c r="M659" s="50"/>
      <c r="O659" s="71">
        <v>0</v>
      </c>
      <c r="P659" s="71">
        <v>0</v>
      </c>
      <c r="Q659" s="70">
        <v>0</v>
      </c>
      <c r="R659" s="493">
        <v>0</v>
      </c>
      <c r="S659" s="493"/>
    </row>
    <row r="660" spans="3:19" ht="15.75" customHeight="1" x14ac:dyDescent="0.3">
      <c r="C660" s="312" t="s">
        <v>254</v>
      </c>
      <c r="M660" s="50"/>
      <c r="O660" s="71">
        <v>0</v>
      </c>
      <c r="P660" s="71">
        <v>-42</v>
      </c>
      <c r="Q660" s="70">
        <v>9</v>
      </c>
      <c r="R660" s="493">
        <v>0</v>
      </c>
      <c r="S660" s="493"/>
    </row>
    <row r="661" spans="3:19" ht="15.75" customHeight="1" x14ac:dyDescent="0.3">
      <c r="C661" s="312" t="s">
        <v>395</v>
      </c>
      <c r="M661" s="50"/>
      <c r="O661" s="71">
        <v>0</v>
      </c>
      <c r="P661" s="71">
        <v>0</v>
      </c>
      <c r="Q661" s="70">
        <v>-34</v>
      </c>
      <c r="R661" s="493">
        <v>-86</v>
      </c>
      <c r="S661" s="493"/>
    </row>
    <row r="662" spans="3:19" ht="15.75" customHeight="1" x14ac:dyDescent="0.3">
      <c r="C662" s="312" t="s">
        <v>399</v>
      </c>
      <c r="M662" s="50"/>
      <c r="O662" s="71">
        <v>-5</v>
      </c>
      <c r="P662" s="71">
        <v>-5</v>
      </c>
      <c r="Q662" s="70">
        <v>0</v>
      </c>
      <c r="R662" s="493">
        <v>0</v>
      </c>
      <c r="S662" s="493"/>
    </row>
    <row r="663" spans="3:19" x14ac:dyDescent="0.3">
      <c r="C663" s="82" t="s">
        <v>397</v>
      </c>
      <c r="M663" s="82"/>
      <c r="O663" s="84">
        <v>-12</v>
      </c>
      <c r="P663" s="84">
        <v>-84</v>
      </c>
      <c r="Q663" s="83">
        <v>-123</v>
      </c>
      <c r="R663" s="435">
        <v>-122</v>
      </c>
      <c r="S663" s="7"/>
    </row>
    <row r="664" spans="3:19" x14ac:dyDescent="0.3">
      <c r="C664" s="313"/>
      <c r="M664" s="50"/>
      <c r="O664" s="54"/>
      <c r="P664" s="70"/>
      <c r="Q664" s="70"/>
    </row>
    <row r="665" spans="3:19" x14ac:dyDescent="0.3">
      <c r="C665" s="313"/>
      <c r="M665" s="50"/>
      <c r="O665" s="54"/>
      <c r="P665" s="70"/>
      <c r="Q665" s="70"/>
    </row>
    <row r="666" spans="3:19" x14ac:dyDescent="0.3">
      <c r="C666" s="313" t="s">
        <v>517</v>
      </c>
      <c r="M666" s="50"/>
      <c r="O666" s="54"/>
      <c r="P666" s="70"/>
      <c r="Q666" s="70"/>
    </row>
    <row r="667" spans="3:19" x14ac:dyDescent="0.3">
      <c r="C667" s="62"/>
      <c r="M667" s="80"/>
      <c r="O667" s="65"/>
      <c r="P667" s="65" t="s">
        <v>250</v>
      </c>
      <c r="Q667" s="64" t="s">
        <v>249</v>
      </c>
      <c r="R667" s="433">
        <v>43112</v>
      </c>
      <c r="S667" s="521"/>
    </row>
    <row r="668" spans="3:19" x14ac:dyDescent="0.3">
      <c r="C668" s="314" t="s">
        <v>391</v>
      </c>
      <c r="M668" s="50"/>
      <c r="O668" s="71"/>
      <c r="P668" s="71">
        <v>1416</v>
      </c>
      <c r="Q668" s="70">
        <v>1962</v>
      </c>
      <c r="R668" s="434">
        <v>1422</v>
      </c>
      <c r="S668" s="434"/>
    </row>
    <row r="669" spans="3:19" ht="15.75" customHeight="1" x14ac:dyDescent="0.3">
      <c r="C669" s="315" t="s">
        <v>518</v>
      </c>
      <c r="M669" s="50"/>
      <c r="O669" s="71"/>
      <c r="P669" s="71">
        <v>-41</v>
      </c>
      <c r="Q669" s="70">
        <v>-163</v>
      </c>
      <c r="R669" s="493">
        <v>-75</v>
      </c>
      <c r="S669" s="493"/>
    </row>
    <row r="670" spans="3:19" ht="15.75" customHeight="1" x14ac:dyDescent="0.3">
      <c r="C670" s="315" t="s">
        <v>519</v>
      </c>
      <c r="M670" s="50"/>
      <c r="O670" s="71"/>
      <c r="P670" s="71">
        <v>-72</v>
      </c>
      <c r="Q670" s="70">
        <v>-278</v>
      </c>
      <c r="R670" s="493">
        <v>-172</v>
      </c>
      <c r="S670" s="493"/>
    </row>
    <row r="671" spans="3:19" ht="15.75" customHeight="1" x14ac:dyDescent="0.3">
      <c r="C671" s="315" t="s">
        <v>520</v>
      </c>
      <c r="M671" s="50"/>
      <c r="O671" s="71"/>
      <c r="P671" s="71">
        <v>-2</v>
      </c>
      <c r="Q671" s="70">
        <v>-1</v>
      </c>
      <c r="R671" s="493">
        <v>0</v>
      </c>
      <c r="S671" s="493"/>
    </row>
    <row r="672" spans="3:19" ht="15.75" customHeight="1" x14ac:dyDescent="0.3">
      <c r="C672" s="315" t="s">
        <v>521</v>
      </c>
      <c r="M672" s="50"/>
      <c r="O672" s="71"/>
      <c r="P672" s="71">
        <v>-71</v>
      </c>
      <c r="Q672" s="70">
        <v>43</v>
      </c>
      <c r="R672" s="493">
        <v>-26</v>
      </c>
      <c r="S672" s="493"/>
    </row>
    <row r="673" spans="3:19" x14ac:dyDescent="0.3">
      <c r="C673" s="316" t="s">
        <v>522</v>
      </c>
      <c r="M673" s="82"/>
      <c r="O673" s="84"/>
      <c r="P673" s="84">
        <v>1229</v>
      </c>
      <c r="Q673" s="83">
        <v>1564</v>
      </c>
      <c r="R673" s="445">
        <v>1150</v>
      </c>
      <c r="S673" s="488"/>
    </row>
    <row r="674" spans="3:19" x14ac:dyDescent="0.3">
      <c r="C674" s="317"/>
      <c r="O674" s="13"/>
      <c r="P674" s="54"/>
      <c r="Q674" s="71"/>
    </row>
    <row r="675" spans="3:19" x14ac:dyDescent="0.3">
      <c r="C675" s="318" t="s">
        <v>523</v>
      </c>
      <c r="O675" s="13"/>
      <c r="P675" s="54"/>
      <c r="Q675" s="71"/>
    </row>
    <row r="676" spans="3:19" x14ac:dyDescent="0.3">
      <c r="O676" s="13"/>
      <c r="P676" s="319" t="s">
        <v>401</v>
      </c>
      <c r="Q676" s="320" t="s">
        <v>401</v>
      </c>
      <c r="R676" s="437">
        <v>44561</v>
      </c>
      <c r="S676" s="437"/>
    </row>
    <row r="677" spans="3:19" x14ac:dyDescent="0.3">
      <c r="C677" s="62"/>
      <c r="M677" s="115"/>
      <c r="O677" s="115"/>
      <c r="P677" s="205">
        <v>2020</v>
      </c>
      <c r="Q677" s="206">
        <v>2019</v>
      </c>
      <c r="R677" s="6">
        <v>2018</v>
      </c>
      <c r="S677" s="5"/>
    </row>
    <row r="678" spans="3:19" x14ac:dyDescent="0.3">
      <c r="C678" s="317" t="s">
        <v>524</v>
      </c>
      <c r="O678" s="13"/>
      <c r="P678" s="71">
        <v>1416</v>
      </c>
      <c r="Q678" s="207">
        <v>1962</v>
      </c>
      <c r="R678" s="434">
        <v>1422</v>
      </c>
      <c r="S678" s="434"/>
    </row>
    <row r="679" spans="3:19" x14ac:dyDescent="0.3">
      <c r="C679" s="321" t="s">
        <v>525</v>
      </c>
      <c r="O679" s="13"/>
      <c r="P679" s="71">
        <v>4</v>
      </c>
      <c r="Q679" s="207">
        <v>10</v>
      </c>
      <c r="R679" s="493">
        <v>7</v>
      </c>
      <c r="S679" s="493"/>
    </row>
    <row r="680" spans="3:19" x14ac:dyDescent="0.3">
      <c r="C680" s="321" t="s">
        <v>526</v>
      </c>
      <c r="O680" s="13"/>
      <c r="P680" s="71">
        <v>0</v>
      </c>
      <c r="Q680" s="207">
        <v>-64</v>
      </c>
      <c r="R680" s="493">
        <v>-34</v>
      </c>
      <c r="S680" s="493"/>
    </row>
    <row r="681" spans="3:19" x14ac:dyDescent="0.3">
      <c r="C681" s="322" t="s">
        <v>519</v>
      </c>
      <c r="O681" s="13"/>
      <c r="P681" s="71">
        <v>-72</v>
      </c>
      <c r="Q681" s="207">
        <v>-278</v>
      </c>
      <c r="R681" s="493">
        <v>-172</v>
      </c>
      <c r="S681" s="493"/>
    </row>
    <row r="682" spans="3:19" x14ac:dyDescent="0.3">
      <c r="C682" s="323" t="s">
        <v>527</v>
      </c>
      <c r="M682" s="115"/>
      <c r="O682" s="115"/>
      <c r="P682" s="78">
        <v>-77</v>
      </c>
      <c r="Q682" s="208">
        <v>35</v>
      </c>
      <c r="R682" s="12">
        <v>-33</v>
      </c>
      <c r="S682" s="7"/>
    </row>
    <row r="683" spans="3:19" x14ac:dyDescent="0.3">
      <c r="C683" s="324" t="s">
        <v>528</v>
      </c>
      <c r="O683" s="13"/>
      <c r="P683" s="71">
        <v>1271</v>
      </c>
      <c r="Q683" s="207">
        <v>1666</v>
      </c>
      <c r="R683" s="434">
        <v>1191</v>
      </c>
      <c r="S683" s="434"/>
    </row>
    <row r="684" spans="3:19" x14ac:dyDescent="0.3">
      <c r="C684" s="325" t="s">
        <v>529</v>
      </c>
      <c r="O684" s="13"/>
      <c r="P684" s="71">
        <v>7326</v>
      </c>
      <c r="Q684" s="207">
        <v>6275</v>
      </c>
      <c r="R684" s="434">
        <v>5646</v>
      </c>
      <c r="S684" s="434"/>
    </row>
    <row r="685" spans="3:19" x14ac:dyDescent="0.3">
      <c r="C685" s="326" t="s">
        <v>530</v>
      </c>
      <c r="M685" s="191"/>
      <c r="O685" s="191"/>
      <c r="P685" s="327">
        <v>17.3</v>
      </c>
      <c r="Q685" s="328">
        <v>26.6</v>
      </c>
      <c r="R685" s="435">
        <v>21.1</v>
      </c>
      <c r="S685" s="7"/>
    </row>
    <row r="686" spans="3:19" x14ac:dyDescent="0.3">
      <c r="C686" s="317"/>
      <c r="O686" s="13"/>
      <c r="P686" s="71"/>
      <c r="Q686" s="207"/>
    </row>
    <row r="687" spans="3:19" x14ac:dyDescent="0.3">
      <c r="C687" s="318" t="s">
        <v>531</v>
      </c>
      <c r="O687" s="13"/>
      <c r="P687" s="71"/>
      <c r="Q687" s="207"/>
    </row>
    <row r="688" spans="3:19" x14ac:dyDescent="0.3">
      <c r="O688" s="13"/>
      <c r="P688" s="319" t="s">
        <v>401</v>
      </c>
      <c r="Q688" s="320" t="s">
        <v>401</v>
      </c>
      <c r="R688" s="437">
        <v>44561</v>
      </c>
      <c r="S688" s="437"/>
    </row>
    <row r="689" spans="3:19" x14ac:dyDescent="0.3">
      <c r="C689" s="62"/>
      <c r="M689" s="115"/>
      <c r="O689" s="115"/>
      <c r="P689" s="205">
        <v>2020</v>
      </c>
      <c r="Q689" s="206">
        <v>2019</v>
      </c>
      <c r="R689" s="6">
        <v>2018</v>
      </c>
      <c r="S689" s="5"/>
    </row>
    <row r="690" spans="3:19" x14ac:dyDescent="0.3">
      <c r="C690" s="317" t="s">
        <v>303</v>
      </c>
      <c r="O690" s="13"/>
      <c r="P690" s="71">
        <v>5929</v>
      </c>
      <c r="Q690" s="207">
        <v>5922</v>
      </c>
      <c r="R690" s="434">
        <v>4616</v>
      </c>
      <c r="S690" s="434"/>
    </row>
    <row r="691" spans="3:19" x14ac:dyDescent="0.3">
      <c r="C691" s="324" t="s">
        <v>297</v>
      </c>
      <c r="O691" s="13"/>
      <c r="P691" s="71">
        <v>9815</v>
      </c>
      <c r="Q691" s="207">
        <v>9793</v>
      </c>
      <c r="R691" s="434">
        <v>8210</v>
      </c>
      <c r="S691" s="434"/>
    </row>
    <row r="692" spans="3:19" x14ac:dyDescent="0.3">
      <c r="C692" s="329" t="s">
        <v>532</v>
      </c>
      <c r="O692" s="13"/>
      <c r="P692" s="71">
        <v>-104</v>
      </c>
      <c r="Q692" s="207">
        <v>-46</v>
      </c>
      <c r="R692" s="493">
        <v>-28</v>
      </c>
      <c r="S692" s="493"/>
    </row>
    <row r="693" spans="3:19" x14ac:dyDescent="0.3">
      <c r="C693" s="326" t="s">
        <v>533</v>
      </c>
      <c r="M693" s="191"/>
      <c r="O693" s="191"/>
      <c r="P693" s="327">
        <v>61.1</v>
      </c>
      <c r="Q693" s="328">
        <v>60.8</v>
      </c>
      <c r="R693" s="435">
        <v>56.4</v>
      </c>
      <c r="S693" s="7"/>
    </row>
    <row r="694" spans="3:19" x14ac:dyDescent="0.3">
      <c r="C694" s="317"/>
      <c r="O694" s="54"/>
      <c r="P694" s="71"/>
      <c r="Q694" s="207"/>
    </row>
    <row r="695" spans="3:19" x14ac:dyDescent="0.3">
      <c r="C695" s="318" t="s">
        <v>534</v>
      </c>
      <c r="O695" s="54"/>
      <c r="P695" s="71"/>
      <c r="Q695" s="207"/>
    </row>
    <row r="696" spans="3:19" x14ac:dyDescent="0.3">
      <c r="O696" s="330"/>
      <c r="P696" s="319" t="s">
        <v>401</v>
      </c>
      <c r="Q696" s="320" t="s">
        <v>401</v>
      </c>
      <c r="R696" s="437">
        <v>44561</v>
      </c>
      <c r="S696" s="437"/>
    </row>
    <row r="697" spans="3:19" x14ac:dyDescent="0.3">
      <c r="C697" s="331"/>
      <c r="M697" s="115"/>
      <c r="O697" s="332"/>
      <c r="P697" s="205">
        <v>2020</v>
      </c>
      <c r="Q697" s="206">
        <v>2019</v>
      </c>
      <c r="R697" s="6">
        <v>2018</v>
      </c>
      <c r="S697" s="5"/>
    </row>
    <row r="698" spans="3:19" x14ac:dyDescent="0.3">
      <c r="C698" s="317" t="s">
        <v>535</v>
      </c>
      <c r="O698" s="13"/>
      <c r="P698" s="333">
        <v>1179</v>
      </c>
      <c r="Q698" s="334">
        <v>1918</v>
      </c>
      <c r="R698" s="434">
        <v>1140</v>
      </c>
      <c r="S698" s="434"/>
    </row>
    <row r="699" spans="3:19" x14ac:dyDescent="0.3">
      <c r="C699" s="317" t="s">
        <v>48</v>
      </c>
      <c r="O699" s="13"/>
      <c r="P699" s="71">
        <v>1829</v>
      </c>
      <c r="Q699" s="207">
        <v>1678</v>
      </c>
      <c r="R699" s="434">
        <v>1467</v>
      </c>
      <c r="S699" s="434"/>
    </row>
    <row r="700" spans="3:19" x14ac:dyDescent="0.3">
      <c r="C700" s="335" t="s">
        <v>536</v>
      </c>
      <c r="M700" s="115"/>
      <c r="O700" s="115"/>
      <c r="P700" s="78">
        <v>-1883</v>
      </c>
      <c r="Q700" s="208">
        <v>-2001</v>
      </c>
      <c r="R700" s="15">
        <v>-1750</v>
      </c>
      <c r="S700" s="488"/>
    </row>
    <row r="701" spans="3:19" x14ac:dyDescent="0.3">
      <c r="C701" s="324" t="s">
        <v>274</v>
      </c>
      <c r="O701" s="13"/>
      <c r="P701" s="71">
        <v>1125</v>
      </c>
      <c r="Q701" s="207">
        <v>1595</v>
      </c>
      <c r="R701" s="493">
        <v>858</v>
      </c>
      <c r="S701" s="493"/>
    </row>
    <row r="702" spans="3:19" x14ac:dyDescent="0.3">
      <c r="C702" s="324" t="s">
        <v>537</v>
      </c>
      <c r="O702" s="13"/>
      <c r="P702" s="71">
        <v>11751</v>
      </c>
      <c r="Q702" s="207">
        <v>15840</v>
      </c>
      <c r="R702" s="434">
        <v>14918</v>
      </c>
      <c r="S702" s="434"/>
    </row>
    <row r="703" spans="3:19" x14ac:dyDescent="0.3">
      <c r="C703" s="326" t="s">
        <v>275</v>
      </c>
      <c r="M703" s="191"/>
      <c r="O703" s="191"/>
      <c r="P703" s="327">
        <v>34.950769398865958</v>
      </c>
      <c r="Q703" s="328">
        <v>36.743684097007424</v>
      </c>
      <c r="R703" s="435">
        <v>21</v>
      </c>
      <c r="S703" s="7"/>
    </row>
    <row r="704" spans="3:19" x14ac:dyDescent="0.3">
      <c r="C704" s="314"/>
      <c r="M704" s="57"/>
      <c r="O704" s="50"/>
      <c r="P704" s="215"/>
      <c r="Q704" s="216"/>
    </row>
    <row r="705" spans="3:19" x14ac:dyDescent="0.3">
      <c r="C705" s="317"/>
      <c r="O705" s="54"/>
      <c r="P705" s="207"/>
      <c r="Q705" s="70"/>
    </row>
    <row r="706" spans="3:19" x14ac:dyDescent="0.3">
      <c r="C706" s="53" t="s">
        <v>538</v>
      </c>
      <c r="Q706" s="50"/>
    </row>
    <row r="707" spans="3:19" x14ac:dyDescent="0.3">
      <c r="Q707" s="50"/>
    </row>
    <row r="708" spans="3:19" x14ac:dyDescent="0.3">
      <c r="C708" s="53"/>
      <c r="M708" s="188"/>
      <c r="P708" s="319" t="s">
        <v>401</v>
      </c>
      <c r="Q708" s="204" t="s">
        <v>401</v>
      </c>
      <c r="R708" s="437">
        <v>44561</v>
      </c>
      <c r="S708" s="437"/>
    </row>
    <row r="709" spans="3:19" x14ac:dyDescent="0.3">
      <c r="C709" s="135" t="s">
        <v>539</v>
      </c>
      <c r="M709" s="201"/>
      <c r="O709" s="115"/>
      <c r="P709" s="205">
        <v>2020</v>
      </c>
      <c r="Q709" s="206">
        <v>2019</v>
      </c>
      <c r="R709" s="6">
        <v>2018</v>
      </c>
      <c r="S709" s="5"/>
    </row>
    <row r="710" spans="3:19" x14ac:dyDescent="0.3">
      <c r="C710" s="119" t="s">
        <v>540</v>
      </c>
      <c r="M710" s="188"/>
      <c r="O710" s="13"/>
      <c r="P710" s="71">
        <v>4322</v>
      </c>
      <c r="Q710" s="70">
        <v>3861</v>
      </c>
      <c r="R710" s="434">
        <v>3955</v>
      </c>
      <c r="S710" s="434"/>
    </row>
    <row r="711" spans="3:19" ht="15.75" customHeight="1" x14ac:dyDescent="0.3">
      <c r="C711" s="50" t="s">
        <v>541</v>
      </c>
      <c r="M711" s="188"/>
      <c r="O711" s="13"/>
      <c r="P711" s="71">
        <v>0</v>
      </c>
      <c r="Q711" s="70">
        <v>215</v>
      </c>
      <c r="R711" s="493">
        <v>0</v>
      </c>
      <c r="S711" s="493"/>
    </row>
    <row r="712" spans="3:19" x14ac:dyDescent="0.3">
      <c r="C712" s="119" t="s">
        <v>542</v>
      </c>
      <c r="M712" s="188"/>
      <c r="O712" s="13"/>
      <c r="P712" s="71">
        <v>4322</v>
      </c>
      <c r="Q712" s="70">
        <v>4076</v>
      </c>
      <c r="R712" s="434">
        <v>3955</v>
      </c>
      <c r="S712" s="434"/>
    </row>
    <row r="713" spans="3:19" ht="15.75" customHeight="1" x14ac:dyDescent="0.3">
      <c r="C713" s="50" t="s">
        <v>362</v>
      </c>
      <c r="M713" s="50"/>
      <c r="O713" s="188"/>
      <c r="P713" s="71">
        <v>964</v>
      </c>
      <c r="Q713" s="70">
        <v>890</v>
      </c>
      <c r="R713" s="493">
        <v>422</v>
      </c>
      <c r="S713" s="493"/>
    </row>
    <row r="714" spans="3:19" ht="15.75" customHeight="1" x14ac:dyDescent="0.3">
      <c r="C714" s="50" t="s">
        <v>484</v>
      </c>
      <c r="M714" s="188"/>
      <c r="O714" s="188"/>
      <c r="P714" s="71">
        <v>219</v>
      </c>
      <c r="Q714" s="70">
        <v>1</v>
      </c>
      <c r="R714" s="493">
        <v>15</v>
      </c>
      <c r="S714" s="493"/>
    </row>
    <row r="715" spans="3:19" ht="15.75" customHeight="1" x14ac:dyDescent="0.3">
      <c r="C715" s="50" t="s">
        <v>543</v>
      </c>
      <c r="M715" s="188"/>
      <c r="O715" s="188"/>
      <c r="P715" s="71">
        <v>-680</v>
      </c>
      <c r="Q715" s="70">
        <v>-497</v>
      </c>
      <c r="R715" s="493">
        <v>-498</v>
      </c>
      <c r="S715" s="493"/>
    </row>
    <row r="716" spans="3:19" ht="15.75" customHeight="1" x14ac:dyDescent="0.3">
      <c r="C716" s="50" t="s">
        <v>503</v>
      </c>
      <c r="M716" s="188"/>
      <c r="O716" s="188"/>
      <c r="P716" s="71">
        <v>-48</v>
      </c>
      <c r="Q716" s="70">
        <v>-152</v>
      </c>
      <c r="R716" s="493">
        <v>-27</v>
      </c>
      <c r="S716" s="493"/>
    </row>
    <row r="717" spans="3:19" x14ac:dyDescent="0.3">
      <c r="C717" s="50" t="s">
        <v>544</v>
      </c>
      <c r="M717" s="188"/>
      <c r="O717" s="188"/>
      <c r="P717" s="71">
        <v>-14</v>
      </c>
      <c r="Q717" s="70">
        <v>0</v>
      </c>
    </row>
    <row r="718" spans="3:19" x14ac:dyDescent="0.3">
      <c r="C718" s="201" t="s">
        <v>342</v>
      </c>
      <c r="M718" s="201"/>
      <c r="O718" s="201"/>
      <c r="P718" s="78">
        <v>-22</v>
      </c>
      <c r="Q718" s="77">
        <v>4</v>
      </c>
      <c r="R718" s="12">
        <v>-7</v>
      </c>
      <c r="S718" s="7"/>
    </row>
    <row r="719" spans="3:19" x14ac:dyDescent="0.3">
      <c r="C719" s="226" t="s">
        <v>545</v>
      </c>
      <c r="M719" s="188"/>
      <c r="O719" s="188"/>
      <c r="P719" s="71">
        <v>4741</v>
      </c>
      <c r="Q719" s="70">
        <v>4322</v>
      </c>
      <c r="R719" s="434">
        <v>3861</v>
      </c>
      <c r="S719" s="434"/>
    </row>
    <row r="720" spans="3:19" ht="14.4" x14ac:dyDescent="0.3">
      <c r="C720" s="50"/>
      <c r="M720" s="50"/>
      <c r="O720" s="50"/>
      <c r="P720" s="50"/>
      <c r="Q720" s="50"/>
    </row>
    <row r="721" spans="3:19" x14ac:dyDescent="0.3">
      <c r="C721" s="336"/>
      <c r="M721" s="337"/>
      <c r="O721" s="337"/>
      <c r="P721" s="226"/>
      <c r="Q721" s="338"/>
    </row>
    <row r="722" spans="3:19" x14ac:dyDescent="0.3">
      <c r="C722" s="226"/>
      <c r="M722" s="188"/>
      <c r="O722" s="188"/>
      <c r="P722" s="319" t="s">
        <v>401</v>
      </c>
      <c r="Q722" s="204" t="s">
        <v>401</v>
      </c>
      <c r="R722" s="437">
        <v>44561</v>
      </c>
      <c r="S722" s="437"/>
    </row>
    <row r="723" spans="3:19" x14ac:dyDescent="0.3">
      <c r="C723" s="339" t="s">
        <v>546</v>
      </c>
      <c r="M723" s="201"/>
      <c r="O723" s="201"/>
      <c r="P723" s="205">
        <v>2020</v>
      </c>
      <c r="Q723" s="206">
        <v>2020</v>
      </c>
      <c r="R723" s="6">
        <v>2018</v>
      </c>
      <c r="S723" s="5"/>
    </row>
    <row r="724" spans="3:19" x14ac:dyDescent="0.3">
      <c r="C724" s="180" t="s">
        <v>547</v>
      </c>
      <c r="M724" s="340"/>
      <c r="O724" s="340"/>
      <c r="P724" s="333">
        <v>616</v>
      </c>
      <c r="Q724" s="148">
        <v>754</v>
      </c>
      <c r="R724" s="7">
        <v>138</v>
      </c>
      <c r="S724" s="7"/>
    </row>
    <row r="725" spans="3:19" x14ac:dyDescent="0.3">
      <c r="C725" s="80" t="s">
        <v>548</v>
      </c>
      <c r="M725" s="201"/>
      <c r="O725" s="201"/>
      <c r="P725" s="78">
        <v>10</v>
      </c>
      <c r="Q725" s="77">
        <v>0</v>
      </c>
      <c r="R725" s="341"/>
      <c r="S725" s="416"/>
    </row>
    <row r="726" spans="3:19" ht="15.75" customHeight="1" x14ac:dyDescent="0.3">
      <c r="C726" s="13" t="s">
        <v>247</v>
      </c>
      <c r="M726" s="188"/>
      <c r="O726" s="13"/>
      <c r="P726" s="71">
        <v>626</v>
      </c>
      <c r="Q726" s="70">
        <v>754</v>
      </c>
      <c r="R726" s="493">
        <v>138</v>
      </c>
      <c r="S726" s="493"/>
    </row>
    <row r="727" spans="3:19" x14ac:dyDescent="0.3">
      <c r="M727" s="188"/>
      <c r="O727" s="13"/>
      <c r="P727" s="342"/>
      <c r="Q727" s="70"/>
    </row>
    <row r="728" spans="3:19" x14ac:dyDescent="0.3">
      <c r="C728" s="50" t="s">
        <v>549</v>
      </c>
      <c r="M728" s="188"/>
      <c r="O728" s="13"/>
      <c r="P728" s="71"/>
      <c r="Q728" s="70"/>
    </row>
    <row r="729" spans="3:19" x14ac:dyDescent="0.3">
      <c r="M729" s="188"/>
      <c r="O729" s="13"/>
      <c r="P729" s="71"/>
      <c r="Q729" s="70"/>
    </row>
    <row r="730" spans="3:19" x14ac:dyDescent="0.3">
      <c r="M730" s="188"/>
      <c r="O730" s="13"/>
      <c r="P730" s="71"/>
      <c r="Q730" s="70"/>
    </row>
    <row r="731" spans="3:19" x14ac:dyDescent="0.3">
      <c r="C731" s="226" t="s">
        <v>550</v>
      </c>
      <c r="M731" s="188"/>
      <c r="O731" s="343"/>
      <c r="P731" s="54"/>
      <c r="R731" s="493"/>
      <c r="S731" s="493"/>
    </row>
    <row r="732" spans="3:19" x14ac:dyDescent="0.3">
      <c r="C732" s="53"/>
      <c r="M732" s="188"/>
      <c r="P732" s="319" t="s">
        <v>401</v>
      </c>
      <c r="Q732" s="204" t="s">
        <v>401</v>
      </c>
      <c r="R732" s="437">
        <v>44561</v>
      </c>
      <c r="S732" s="437"/>
    </row>
    <row r="733" spans="3:19" x14ac:dyDescent="0.3">
      <c r="C733" s="135" t="s">
        <v>551</v>
      </c>
      <c r="M733" s="201"/>
      <c r="O733" s="115"/>
      <c r="P733" s="205">
        <v>2020</v>
      </c>
      <c r="Q733" s="206">
        <v>2019</v>
      </c>
      <c r="R733" s="6">
        <v>2018</v>
      </c>
      <c r="S733" s="5"/>
    </row>
    <row r="734" spans="3:19" ht="15.75" customHeight="1" x14ac:dyDescent="0.3">
      <c r="C734" s="298" t="s">
        <v>552</v>
      </c>
      <c r="M734" s="188"/>
      <c r="O734" s="13"/>
      <c r="P734" s="71">
        <v>22.392690999999999</v>
      </c>
      <c r="Q734" s="70">
        <v>106.050256765144</v>
      </c>
      <c r="R734" s="493">
        <v>213</v>
      </c>
      <c r="S734" s="493"/>
    </row>
    <row r="735" spans="3:19" ht="15.75" customHeight="1" x14ac:dyDescent="0.3">
      <c r="C735" s="50" t="s">
        <v>553</v>
      </c>
      <c r="M735" s="50"/>
      <c r="O735" s="188"/>
      <c r="P735" s="71">
        <v>-38.07</v>
      </c>
      <c r="Q735" s="70">
        <v>-51.978000000000002</v>
      </c>
      <c r="R735" s="493">
        <v>-9</v>
      </c>
      <c r="S735" s="493"/>
    </row>
    <row r="736" spans="3:19" ht="15.75" customHeight="1" x14ac:dyDescent="0.3">
      <c r="C736" s="50" t="s">
        <v>554</v>
      </c>
      <c r="M736" s="188"/>
      <c r="O736" s="188"/>
      <c r="P736" s="71">
        <v>11.56</v>
      </c>
      <c r="Q736" s="70">
        <v>7.8969999999999985</v>
      </c>
      <c r="R736" s="493">
        <v>-4</v>
      </c>
      <c r="S736" s="493"/>
    </row>
    <row r="737" spans="3:19" ht="18" x14ac:dyDescent="0.3">
      <c r="C737" s="50" t="s">
        <v>555</v>
      </c>
      <c r="M737" s="188"/>
      <c r="O737" s="188"/>
      <c r="P737" s="71">
        <v>34.844000000000001</v>
      </c>
      <c r="Q737" s="70">
        <v>0</v>
      </c>
    </row>
    <row r="738" spans="3:19" ht="15.75" customHeight="1" x14ac:dyDescent="0.3">
      <c r="C738" s="50" t="s">
        <v>556</v>
      </c>
      <c r="M738" s="188"/>
      <c r="O738" s="188"/>
      <c r="P738" s="71">
        <v>0</v>
      </c>
      <c r="Q738" s="70">
        <v>-35.527999999999999</v>
      </c>
      <c r="R738" s="493">
        <v>-86</v>
      </c>
      <c r="S738" s="493"/>
    </row>
    <row r="739" spans="3:19" ht="17.399999999999999" x14ac:dyDescent="0.3">
      <c r="C739" s="212" t="s">
        <v>557</v>
      </c>
      <c r="M739" s="188"/>
      <c r="O739" s="188"/>
      <c r="P739" s="71">
        <v>25.672000000000001</v>
      </c>
      <c r="Q739" s="70">
        <v>-5.43</v>
      </c>
      <c r="R739" s="7">
        <v>-8</v>
      </c>
      <c r="S739" s="7"/>
    </row>
    <row r="740" spans="3:19" x14ac:dyDescent="0.3">
      <c r="C740" s="213" t="s">
        <v>558</v>
      </c>
      <c r="M740" s="201"/>
      <c r="O740" s="201"/>
      <c r="P740" s="78">
        <v>-0.433</v>
      </c>
      <c r="Q740" s="77">
        <v>1.38</v>
      </c>
      <c r="R740" s="341"/>
      <c r="S740" s="416"/>
    </row>
    <row r="741" spans="3:19" x14ac:dyDescent="0.3">
      <c r="C741" s="226" t="s">
        <v>559</v>
      </c>
      <c r="M741" s="188"/>
      <c r="O741" s="188"/>
      <c r="P741" s="71">
        <v>55.966092800994204</v>
      </c>
      <c r="Q741" s="70">
        <v>22.392690999999999</v>
      </c>
      <c r="R741" s="493">
        <v>106</v>
      </c>
      <c r="S741" s="493"/>
    </row>
    <row r="742" spans="3:19" ht="18" x14ac:dyDescent="0.3">
      <c r="C742" s="344" t="s">
        <v>560</v>
      </c>
      <c r="M742" s="345"/>
      <c r="O742" s="345"/>
      <c r="P742" s="346"/>
      <c r="Q742" s="345"/>
    </row>
    <row r="743" spans="3:19" ht="17.399999999999999" x14ac:dyDescent="0.3">
      <c r="C743" s="347" t="s">
        <v>561</v>
      </c>
      <c r="M743" s="171"/>
      <c r="O743" s="171"/>
      <c r="P743" s="348"/>
      <c r="Q743" s="171"/>
    </row>
    <row r="744" spans="3:19" ht="17.399999999999999" x14ac:dyDescent="0.3">
      <c r="C744" s="347"/>
      <c r="M744" s="345"/>
      <c r="O744" s="345"/>
      <c r="P744" s="346"/>
      <c r="Q744" s="345"/>
    </row>
    <row r="745" spans="3:19" x14ac:dyDescent="0.3">
      <c r="C745" s="226"/>
      <c r="M745" s="188"/>
      <c r="O745" s="343"/>
      <c r="P745" s="54"/>
    </row>
    <row r="746" spans="3:19" x14ac:dyDescent="0.3">
      <c r="C746" s="53" t="s">
        <v>562</v>
      </c>
      <c r="M746" s="50"/>
      <c r="O746" s="56"/>
      <c r="P746" s="54"/>
    </row>
    <row r="747" spans="3:19" x14ac:dyDescent="0.3">
      <c r="C747" s="53"/>
      <c r="M747" s="212"/>
      <c r="O747" s="13"/>
      <c r="P747" s="319" t="s">
        <v>401</v>
      </c>
      <c r="Q747" s="349" t="s">
        <v>401</v>
      </c>
      <c r="R747" s="437">
        <v>44561</v>
      </c>
      <c r="S747" s="437"/>
    </row>
    <row r="748" spans="3:19" x14ac:dyDescent="0.3">
      <c r="C748" s="135" t="s">
        <v>563</v>
      </c>
      <c r="M748" s="213"/>
      <c r="O748" s="115"/>
      <c r="P748" s="205">
        <v>2020</v>
      </c>
      <c r="Q748" s="206">
        <v>2019</v>
      </c>
      <c r="R748" s="6">
        <v>2018</v>
      </c>
      <c r="S748" s="5"/>
    </row>
    <row r="749" spans="3:19" ht="15.75" customHeight="1" x14ac:dyDescent="0.3">
      <c r="C749" s="50" t="s">
        <v>564</v>
      </c>
      <c r="M749" s="212"/>
      <c r="O749" s="13"/>
      <c r="P749" s="71">
        <v>1050</v>
      </c>
      <c r="Q749" s="70">
        <v>1080</v>
      </c>
      <c r="R749" s="493">
        <v>849</v>
      </c>
      <c r="S749" s="493"/>
    </row>
    <row r="750" spans="3:19" ht="18" x14ac:dyDescent="0.3">
      <c r="C750" s="80" t="s">
        <v>565</v>
      </c>
      <c r="M750" s="213"/>
      <c r="O750" s="115"/>
      <c r="P750" s="78">
        <v>257</v>
      </c>
      <c r="Q750" s="77">
        <v>242</v>
      </c>
      <c r="R750" s="12">
        <v>291</v>
      </c>
      <c r="S750" s="7"/>
    </row>
    <row r="751" spans="3:19" x14ac:dyDescent="0.3">
      <c r="C751" s="53" t="s">
        <v>59</v>
      </c>
      <c r="M751" s="212"/>
      <c r="O751" s="13"/>
      <c r="P751" s="71">
        <v>1307</v>
      </c>
      <c r="Q751" s="70">
        <v>1322</v>
      </c>
      <c r="R751" s="434">
        <v>1140</v>
      </c>
      <c r="S751" s="434"/>
    </row>
    <row r="752" spans="3:19" ht="15.75" customHeight="1" x14ac:dyDescent="0.3">
      <c r="C752" s="50" t="s">
        <v>293</v>
      </c>
      <c r="M752" s="212"/>
      <c r="O752" s="13"/>
      <c r="P752" s="71">
        <v>-20</v>
      </c>
      <c r="Q752" s="70">
        <v>-19</v>
      </c>
      <c r="R752" s="493">
        <v>-74</v>
      </c>
      <c r="S752" s="493"/>
    </row>
    <row r="753" spans="3:19" x14ac:dyDescent="0.3">
      <c r="C753" s="80" t="s">
        <v>51</v>
      </c>
      <c r="M753" s="80"/>
      <c r="O753" s="115"/>
      <c r="P753" s="78">
        <v>-1552</v>
      </c>
      <c r="Q753" s="77">
        <v>-1493</v>
      </c>
      <c r="R753" s="15">
        <v>-1136</v>
      </c>
      <c r="S753" s="488"/>
    </row>
    <row r="754" spans="3:19" x14ac:dyDescent="0.3">
      <c r="C754" s="105" t="s">
        <v>566</v>
      </c>
      <c r="M754" s="105"/>
      <c r="O754" s="105"/>
      <c r="P754" s="350">
        <v>-1572</v>
      </c>
      <c r="Q754" s="107">
        <v>-1513</v>
      </c>
      <c r="R754" s="15">
        <v>-1210</v>
      </c>
      <c r="S754" s="488"/>
    </row>
    <row r="755" spans="3:19" ht="15.75" customHeight="1" x14ac:dyDescent="0.3">
      <c r="C755" s="53" t="s">
        <v>567</v>
      </c>
      <c r="M755" s="212"/>
      <c r="O755" s="13"/>
      <c r="P755" s="71">
        <v>-265</v>
      </c>
      <c r="Q755" s="70">
        <v>-191</v>
      </c>
      <c r="R755" s="493">
        <v>-70</v>
      </c>
      <c r="S755" s="493"/>
    </row>
    <row r="756" spans="3:19" ht="18" x14ac:dyDescent="0.3">
      <c r="C756" s="50" t="s">
        <v>568</v>
      </c>
      <c r="M756" s="212"/>
      <c r="O756" s="13"/>
      <c r="P756" s="71"/>
      <c r="Q756" s="70"/>
    </row>
    <row r="757" spans="3:19" ht="18" x14ac:dyDescent="0.3">
      <c r="C757" s="50" t="s">
        <v>569</v>
      </c>
      <c r="M757" s="212"/>
      <c r="O757" s="13"/>
      <c r="P757" s="71"/>
      <c r="Q757" s="70"/>
    </row>
    <row r="758" spans="3:19" x14ac:dyDescent="0.3">
      <c r="C758" s="50"/>
      <c r="M758" s="212"/>
      <c r="O758" s="13"/>
      <c r="P758" s="71"/>
      <c r="Q758" s="70"/>
      <c r="R758" s="493"/>
      <c r="S758" s="493"/>
    </row>
    <row r="759" spans="3:19" x14ac:dyDescent="0.3">
      <c r="C759" s="53"/>
      <c r="M759" s="212"/>
      <c r="O759" s="13"/>
      <c r="P759" s="319" t="s">
        <v>401</v>
      </c>
      <c r="Q759" s="320" t="s">
        <v>401</v>
      </c>
      <c r="R759" s="437">
        <v>44561</v>
      </c>
      <c r="S759" s="437"/>
    </row>
    <row r="760" spans="3:19" x14ac:dyDescent="0.3">
      <c r="C760" s="135" t="s">
        <v>570</v>
      </c>
      <c r="M760" s="213"/>
      <c r="O760" s="115"/>
      <c r="P760" s="205">
        <v>2020</v>
      </c>
      <c r="Q760" s="206">
        <v>2019</v>
      </c>
      <c r="R760" s="6">
        <v>2018</v>
      </c>
      <c r="S760" s="5"/>
    </row>
    <row r="761" spans="3:19" x14ac:dyDescent="0.3">
      <c r="C761" s="50" t="s">
        <v>566</v>
      </c>
      <c r="M761" s="212"/>
      <c r="O761" s="13"/>
      <c r="P761" s="71">
        <v>1572</v>
      </c>
      <c r="Q761" s="70">
        <v>1513</v>
      </c>
      <c r="R761" s="434">
        <v>1210</v>
      </c>
      <c r="S761" s="434"/>
    </row>
    <row r="762" spans="3:19" x14ac:dyDescent="0.3">
      <c r="C762" s="80" t="s">
        <v>571</v>
      </c>
      <c r="M762" s="213"/>
      <c r="O762" s="115"/>
      <c r="P762" s="78">
        <v>1350</v>
      </c>
      <c r="Q762" s="77">
        <v>1350</v>
      </c>
      <c r="R762" s="15">
        <v>1650</v>
      </c>
      <c r="S762" s="488"/>
    </row>
    <row r="763" spans="3:19" x14ac:dyDescent="0.3">
      <c r="C763" s="53" t="s">
        <v>247</v>
      </c>
      <c r="M763" s="212"/>
      <c r="O763" s="13"/>
      <c r="P763" s="71">
        <v>2922</v>
      </c>
      <c r="Q763" s="70">
        <v>2863</v>
      </c>
      <c r="R763" s="434">
        <v>2860</v>
      </c>
      <c r="S763" s="434"/>
    </row>
    <row r="764" spans="3:19" ht="15.75" customHeight="1" x14ac:dyDescent="0.3">
      <c r="C764" s="50" t="s">
        <v>572</v>
      </c>
      <c r="M764" s="50"/>
      <c r="O764" s="13"/>
      <c r="P764" s="71">
        <v>400</v>
      </c>
      <c r="Q764" s="70">
        <v>400</v>
      </c>
      <c r="R764" s="493">
        <v>400</v>
      </c>
      <c r="S764" s="493"/>
    </row>
    <row r="765" spans="3:19" x14ac:dyDescent="0.3">
      <c r="C765" s="120"/>
      <c r="O765" s="71"/>
      <c r="P765" s="71"/>
      <c r="Q765" s="70"/>
      <c r="R765" s="493"/>
      <c r="S765" s="493"/>
    </row>
    <row r="766" spans="3:19" x14ac:dyDescent="0.3">
      <c r="C766" s="120"/>
      <c r="O766" s="71"/>
      <c r="P766" s="71"/>
      <c r="Q766" s="70"/>
      <c r="R766" s="493"/>
      <c r="S766" s="493"/>
    </row>
    <row r="767" spans="3:19" x14ac:dyDescent="0.3">
      <c r="C767" s="94" t="s">
        <v>573</v>
      </c>
      <c r="M767" s="50"/>
      <c r="O767" s="56"/>
      <c r="P767" s="56"/>
      <c r="Q767" s="50"/>
      <c r="R767" s="493"/>
      <c r="S767" s="493"/>
    </row>
    <row r="768" spans="3:19" x14ac:dyDescent="0.3">
      <c r="C768" s="94"/>
      <c r="M768" s="50"/>
      <c r="O768" s="56"/>
      <c r="P768" s="56"/>
      <c r="Q768" s="50"/>
      <c r="R768" s="493"/>
      <c r="S768" s="493"/>
    </row>
    <row r="769" spans="3:21" ht="15" customHeight="1" x14ac:dyDescent="0.3">
      <c r="C769" s="50"/>
      <c r="M769" s="50"/>
      <c r="O769" s="50"/>
      <c r="P769" s="50"/>
      <c r="Q769" s="50"/>
      <c r="R769" s="472"/>
      <c r="S769" s="472"/>
    </row>
    <row r="770" spans="3:21" ht="15" customHeight="1" x14ac:dyDescent="0.3">
      <c r="C770" s="50"/>
      <c r="M770" s="50"/>
      <c r="N770" s="500" t="s">
        <v>574</v>
      </c>
      <c r="O770" s="500"/>
      <c r="P770" s="505" t="s">
        <v>575</v>
      </c>
      <c r="Q770" s="506"/>
      <c r="R770" s="491">
        <v>43465</v>
      </c>
      <c r="S770" s="491"/>
      <c r="T770" s="492"/>
    </row>
    <row r="771" spans="3:21" ht="28.2" x14ac:dyDescent="0.3">
      <c r="C771" s="94"/>
      <c r="N771" s="16" t="s">
        <v>576</v>
      </c>
      <c r="O771" s="17" t="s">
        <v>577</v>
      </c>
      <c r="P771" s="351" t="s">
        <v>576</v>
      </c>
      <c r="Q771" s="352" t="s">
        <v>577</v>
      </c>
      <c r="R771" s="5" t="s">
        <v>576</v>
      </c>
      <c r="S771" s="5"/>
      <c r="T771" s="473" t="s">
        <v>577</v>
      </c>
    </row>
    <row r="772" spans="3:21" ht="28.2" x14ac:dyDescent="0.3">
      <c r="C772" s="62" t="s">
        <v>578</v>
      </c>
      <c r="N772" s="18" t="s">
        <v>579</v>
      </c>
      <c r="O772" s="19" t="s">
        <v>580</v>
      </c>
      <c r="P772" s="353" t="s">
        <v>579</v>
      </c>
      <c r="Q772" s="354" t="s">
        <v>580</v>
      </c>
      <c r="R772" s="6" t="s">
        <v>579</v>
      </c>
      <c r="S772" s="6"/>
      <c r="T772" s="474" t="s">
        <v>580</v>
      </c>
    </row>
    <row r="773" spans="3:21" x14ac:dyDescent="0.3">
      <c r="C773" s="13" t="s">
        <v>581</v>
      </c>
      <c r="P773" s="56"/>
      <c r="Q773" s="56"/>
      <c r="R773" s="7" t="s">
        <v>23</v>
      </c>
      <c r="S773" s="7"/>
      <c r="T773" s="475" t="s">
        <v>23</v>
      </c>
    </row>
    <row r="774" spans="3:21" x14ac:dyDescent="0.3">
      <c r="D774" s="50" t="s">
        <v>582</v>
      </c>
      <c r="N774" s="20">
        <v>0</v>
      </c>
      <c r="O774" s="20">
        <v>0</v>
      </c>
      <c r="P774" s="14">
        <v>0</v>
      </c>
      <c r="Q774" s="14">
        <v>0</v>
      </c>
      <c r="R774" s="8">
        <v>74</v>
      </c>
      <c r="S774" s="7"/>
      <c r="T774" s="475">
        <v>1</v>
      </c>
    </row>
    <row r="775" spans="3:21" x14ac:dyDescent="0.3">
      <c r="D775" s="50" t="s">
        <v>583</v>
      </c>
      <c r="M775" s="115"/>
      <c r="N775" s="20">
        <v>0</v>
      </c>
      <c r="O775" s="20">
        <v>0</v>
      </c>
      <c r="P775" s="14">
        <v>0</v>
      </c>
      <c r="Q775" s="14">
        <v>0</v>
      </c>
      <c r="R775" s="8">
        <v>26</v>
      </c>
      <c r="S775" s="7"/>
      <c r="T775" s="475">
        <v>0</v>
      </c>
    </row>
    <row r="776" spans="3:21" x14ac:dyDescent="0.3">
      <c r="C776" s="50" t="s">
        <v>584</v>
      </c>
      <c r="P776" s="355"/>
      <c r="Q776" s="356"/>
      <c r="R776" s="7"/>
      <c r="S776" s="7"/>
      <c r="T776" s="475" t="s">
        <v>23</v>
      </c>
    </row>
    <row r="777" spans="3:21" x14ac:dyDescent="0.3">
      <c r="C777" s="50"/>
      <c r="D777" s="50" t="s">
        <v>582</v>
      </c>
      <c r="N777" s="22">
        <v>3057</v>
      </c>
      <c r="O777" s="20">
        <v>93</v>
      </c>
      <c r="P777" s="357">
        <v>2408.9389999999999</v>
      </c>
      <c r="Q777" s="222">
        <v>14.462</v>
      </c>
      <c r="R777" s="9">
        <v>2277</v>
      </c>
      <c r="S777" s="488"/>
      <c r="T777" s="475">
        <v>-29</v>
      </c>
    </row>
    <row r="778" spans="3:21" x14ac:dyDescent="0.3">
      <c r="C778" s="80"/>
      <c r="D778" s="50" t="s">
        <v>583</v>
      </c>
      <c r="M778" s="115"/>
      <c r="N778" s="23">
        <v>1212</v>
      </c>
      <c r="O778" s="11">
        <v>32</v>
      </c>
      <c r="P778" s="358">
        <v>1602</v>
      </c>
      <c r="Q778" s="359">
        <v>13.507</v>
      </c>
      <c r="R778" s="10">
        <v>1269</v>
      </c>
      <c r="S778" s="15"/>
      <c r="T778" s="476">
        <v>2</v>
      </c>
    </row>
    <row r="779" spans="3:21" x14ac:dyDescent="0.3">
      <c r="O779" s="71"/>
      <c r="P779" s="360"/>
      <c r="Q779" s="360"/>
      <c r="R779" s="493"/>
      <c r="S779" s="493"/>
    </row>
    <row r="780" spans="3:21" ht="15" customHeight="1" x14ac:dyDescent="0.3">
      <c r="C780" s="66"/>
      <c r="M780" s="50"/>
      <c r="O780" s="50"/>
      <c r="P780" s="502"/>
      <c r="Q780" s="502"/>
      <c r="R780" s="432"/>
      <c r="S780" s="432"/>
    </row>
    <row r="781" spans="3:21" ht="15.75" customHeight="1" x14ac:dyDescent="0.3">
      <c r="C781" s="361"/>
      <c r="L781" s="500" t="s">
        <v>574</v>
      </c>
      <c r="M781" s="500"/>
      <c r="N781" s="500"/>
      <c r="O781" s="91" t="s">
        <v>575</v>
      </c>
      <c r="P781" s="362"/>
      <c r="Q781" s="360"/>
      <c r="R781" s="477">
        <v>43465</v>
      </c>
      <c r="S781" s="477"/>
    </row>
    <row r="782" spans="3:21" x14ac:dyDescent="0.3">
      <c r="C782" s="361"/>
      <c r="L782" s="500" t="s">
        <v>585</v>
      </c>
      <c r="M782" s="500" t="s">
        <v>585</v>
      </c>
      <c r="N782" s="24" t="s">
        <v>577</v>
      </c>
      <c r="O782" s="363" t="s">
        <v>585</v>
      </c>
      <c r="P782" s="364" t="s">
        <v>585</v>
      </c>
      <c r="Q782" s="365" t="s">
        <v>577</v>
      </c>
      <c r="R782" s="5" t="s">
        <v>585</v>
      </c>
      <c r="S782" s="5"/>
      <c r="T782" s="5" t="s">
        <v>585</v>
      </c>
      <c r="U782" s="473" t="s">
        <v>577</v>
      </c>
    </row>
    <row r="783" spans="3:21" ht="28.2" x14ac:dyDescent="0.3">
      <c r="C783" s="366" t="s">
        <v>586</v>
      </c>
      <c r="L783" s="25" t="s">
        <v>587</v>
      </c>
      <c r="M783" s="25" t="s">
        <v>588</v>
      </c>
      <c r="N783" s="26" t="s">
        <v>580</v>
      </c>
      <c r="O783" s="367" t="s">
        <v>588</v>
      </c>
      <c r="P783" s="368" t="s">
        <v>588</v>
      </c>
      <c r="Q783" s="369" t="s">
        <v>580</v>
      </c>
      <c r="R783" s="6" t="s">
        <v>587</v>
      </c>
      <c r="S783" s="6"/>
      <c r="T783" s="6" t="s">
        <v>588</v>
      </c>
      <c r="U783" s="474" t="s">
        <v>580</v>
      </c>
    </row>
    <row r="784" spans="3:21" x14ac:dyDescent="0.3">
      <c r="C784" s="13" t="s">
        <v>589</v>
      </c>
      <c r="L784" s="20"/>
      <c r="M784" s="20"/>
      <c r="N784" s="21" t="s">
        <v>23</v>
      </c>
      <c r="O784" s="370"/>
      <c r="P784" s="371"/>
      <c r="Q784" s="372"/>
      <c r="R784" s="7"/>
      <c r="S784" s="7"/>
      <c r="T784" s="7"/>
      <c r="U784" s="475" t="s">
        <v>23</v>
      </c>
    </row>
    <row r="785" spans="3:21" x14ac:dyDescent="0.3">
      <c r="C785" s="176"/>
      <c r="D785" s="50" t="s">
        <v>583</v>
      </c>
      <c r="L785" s="20">
        <v>0</v>
      </c>
      <c r="M785" s="20">
        <v>22</v>
      </c>
      <c r="N785" s="21">
        <v>-79</v>
      </c>
      <c r="O785" s="71">
        <v>22</v>
      </c>
      <c r="P785" s="70">
        <v>18</v>
      </c>
      <c r="Q785" s="222">
        <v>-19</v>
      </c>
      <c r="R785" s="7">
        <v>0</v>
      </c>
      <c r="S785" s="7"/>
      <c r="T785" s="7">
        <v>18</v>
      </c>
      <c r="U785" s="475">
        <v>182</v>
      </c>
    </row>
    <row r="786" spans="3:21" x14ac:dyDescent="0.3">
      <c r="C786" s="50" t="s">
        <v>590</v>
      </c>
      <c r="L786" s="20"/>
      <c r="M786" s="20"/>
      <c r="N786" s="21" t="s">
        <v>23</v>
      </c>
      <c r="O786" s="71"/>
      <c r="P786" s="70"/>
      <c r="Q786" s="222"/>
      <c r="R786" s="7"/>
      <c r="S786" s="7"/>
      <c r="T786" s="7"/>
      <c r="U786" s="475" t="s">
        <v>23</v>
      </c>
    </row>
    <row r="787" spans="3:21" x14ac:dyDescent="0.3">
      <c r="C787" s="373"/>
      <c r="D787" s="50" t="s">
        <v>583</v>
      </c>
      <c r="L787" s="27">
        <v>3258</v>
      </c>
      <c r="M787" s="11">
        <v>18</v>
      </c>
      <c r="N787" s="28">
        <v>104</v>
      </c>
      <c r="O787" s="78">
        <v>18</v>
      </c>
      <c r="P787" s="77">
        <v>18</v>
      </c>
      <c r="Q787" s="359">
        <v>170</v>
      </c>
      <c r="R787" s="15">
        <v>3081</v>
      </c>
      <c r="S787" s="15"/>
      <c r="T787" s="12">
        <v>18</v>
      </c>
      <c r="U787" s="476">
        <v>-96</v>
      </c>
    </row>
    <row r="788" spans="3:21" x14ac:dyDescent="0.3">
      <c r="O788" s="374"/>
      <c r="P788" s="13"/>
    </row>
    <row r="789" spans="3:21" ht="14.4" x14ac:dyDescent="0.3">
      <c r="C789" s="50"/>
      <c r="M789" s="50"/>
      <c r="O789" s="50"/>
      <c r="P789" s="50"/>
      <c r="Q789" s="50"/>
    </row>
    <row r="790" spans="3:21" x14ac:dyDescent="0.3">
      <c r="M790" s="375"/>
      <c r="O790" s="374"/>
      <c r="P790" s="13"/>
    </row>
    <row r="791" spans="3:21" ht="14.4" x14ac:dyDescent="0.3">
      <c r="C791" s="50"/>
      <c r="M791" s="50"/>
      <c r="O791" s="50"/>
      <c r="P791" s="50"/>
      <c r="Q791" s="50"/>
    </row>
    <row r="792" spans="3:21" x14ac:dyDescent="0.3">
      <c r="C792" s="50"/>
      <c r="M792" s="50"/>
      <c r="O792" s="50"/>
      <c r="P792" s="50"/>
      <c r="Q792" s="50"/>
      <c r="R792" s="493"/>
      <c r="S792" s="493"/>
    </row>
    <row r="793" spans="3:21" x14ac:dyDescent="0.3">
      <c r="C793" s="50"/>
      <c r="M793" s="50"/>
      <c r="O793" s="50"/>
      <c r="P793" s="50"/>
      <c r="Q793" s="50"/>
      <c r="R793" s="493"/>
      <c r="S793" s="493"/>
    </row>
    <row r="794" spans="3:21" x14ac:dyDescent="0.3">
      <c r="C794" s="493"/>
      <c r="M794" s="493"/>
      <c r="O794" s="493"/>
      <c r="P794" s="493"/>
      <c r="Q794" s="493"/>
      <c r="R794" s="493"/>
      <c r="S794" s="493"/>
    </row>
    <row r="795" spans="3:21" x14ac:dyDescent="0.3">
      <c r="C795" s="53" t="s">
        <v>591</v>
      </c>
      <c r="M795" s="50"/>
      <c r="O795" s="50"/>
      <c r="P795" s="50"/>
      <c r="Q795" s="50"/>
      <c r="R795" s="493"/>
      <c r="S795" s="493"/>
    </row>
    <row r="796" spans="3:21" ht="15.75" customHeight="1" x14ac:dyDescent="0.3">
      <c r="C796" s="50"/>
      <c r="M796" s="496" t="s">
        <v>592</v>
      </c>
      <c r="O796" s="499"/>
      <c r="P796" s="499"/>
      <c r="Q796" s="499"/>
      <c r="R796" s="493"/>
      <c r="S796" s="493"/>
    </row>
    <row r="797" spans="3:21" x14ac:dyDescent="0.3">
      <c r="C797" s="50"/>
      <c r="M797" s="496"/>
      <c r="O797" s="499"/>
      <c r="P797" s="499"/>
      <c r="Q797" s="499"/>
      <c r="R797" s="493"/>
      <c r="S797" s="493"/>
    </row>
    <row r="798" spans="3:21" ht="15.75" customHeight="1" x14ac:dyDescent="0.3">
      <c r="C798" s="50"/>
      <c r="M798" s="496"/>
      <c r="O798" s="499" t="s">
        <v>593</v>
      </c>
      <c r="P798" s="499"/>
      <c r="Q798" s="499"/>
      <c r="R798" s="493"/>
      <c r="S798" s="493"/>
    </row>
    <row r="799" spans="3:21" x14ac:dyDescent="0.3">
      <c r="C799" s="135" t="s">
        <v>594</v>
      </c>
      <c r="M799" s="497"/>
      <c r="O799" s="503"/>
      <c r="P799" s="503" t="s">
        <v>595</v>
      </c>
      <c r="Q799" s="503" t="s">
        <v>596</v>
      </c>
      <c r="R799" s="25" t="s">
        <v>596</v>
      </c>
      <c r="S799" s="500"/>
    </row>
    <row r="800" spans="3:21" x14ac:dyDescent="0.3">
      <c r="C800" s="53" t="s">
        <v>597</v>
      </c>
      <c r="M800" s="360"/>
      <c r="O800" s="376"/>
      <c r="P800" s="148"/>
      <c r="Q800" s="148"/>
      <c r="R800" s="493" t="s">
        <v>23</v>
      </c>
      <c r="S800" s="493"/>
    </row>
    <row r="801" spans="3:19" x14ac:dyDescent="0.3">
      <c r="C801" s="120" t="s">
        <v>287</v>
      </c>
      <c r="M801" s="360"/>
      <c r="O801" s="377">
        <v>61</v>
      </c>
      <c r="P801" s="360"/>
      <c r="Q801" s="360"/>
      <c r="R801" s="495"/>
      <c r="S801" s="495"/>
    </row>
    <row r="802" spans="3:19" x14ac:dyDescent="0.3">
      <c r="C802" s="120" t="s">
        <v>44</v>
      </c>
      <c r="M802" s="360">
        <v>0</v>
      </c>
      <c r="O802" s="377">
        <v>3</v>
      </c>
      <c r="P802" s="360">
        <v>3</v>
      </c>
      <c r="Q802" s="360"/>
      <c r="R802" s="495"/>
      <c r="S802" s="495"/>
    </row>
    <row r="803" spans="3:19" x14ac:dyDescent="0.3">
      <c r="C803" s="120" t="s">
        <v>45</v>
      </c>
      <c r="M803" s="360">
        <v>27</v>
      </c>
      <c r="O803" s="377">
        <v>32</v>
      </c>
      <c r="P803" s="360"/>
      <c r="Q803" s="360">
        <v>32</v>
      </c>
      <c r="R803" s="495">
        <v>5</v>
      </c>
      <c r="S803" s="495"/>
    </row>
    <row r="804" spans="3:19" x14ac:dyDescent="0.3">
      <c r="C804" s="53" t="s">
        <v>598</v>
      </c>
      <c r="M804" s="360"/>
      <c r="O804" s="377"/>
      <c r="P804" s="360"/>
      <c r="Q804" s="360"/>
      <c r="R804" s="495"/>
      <c r="S804" s="495"/>
    </row>
    <row r="805" spans="3:19" ht="18" x14ac:dyDescent="0.3">
      <c r="C805" s="120" t="s">
        <v>599</v>
      </c>
      <c r="M805" s="360"/>
      <c r="O805" s="377">
        <v>1197</v>
      </c>
      <c r="P805" s="360"/>
      <c r="Q805" s="360"/>
      <c r="R805" s="495"/>
      <c r="S805" s="495"/>
    </row>
    <row r="806" spans="3:19" x14ac:dyDescent="0.3">
      <c r="C806" s="120" t="s">
        <v>44</v>
      </c>
      <c r="M806" s="360">
        <v>108</v>
      </c>
      <c r="O806" s="377">
        <v>260</v>
      </c>
      <c r="P806" s="360">
        <v>260</v>
      </c>
      <c r="Q806" s="360"/>
      <c r="R806" s="495"/>
      <c r="S806" s="495"/>
    </row>
    <row r="807" spans="3:19" x14ac:dyDescent="0.3">
      <c r="C807" s="120" t="s">
        <v>293</v>
      </c>
      <c r="M807" s="360"/>
      <c r="O807" s="377">
        <v>20</v>
      </c>
      <c r="P807" s="360"/>
      <c r="Q807" s="360"/>
      <c r="R807" s="495"/>
      <c r="S807" s="495"/>
    </row>
    <row r="808" spans="3:19" x14ac:dyDescent="0.3">
      <c r="C808" s="80" t="s">
        <v>51</v>
      </c>
      <c r="M808" s="360"/>
      <c r="O808" s="377">
        <v>1552</v>
      </c>
      <c r="P808" s="360"/>
      <c r="Q808" s="378"/>
      <c r="R808" s="454" t="s">
        <v>23</v>
      </c>
      <c r="S808" s="459"/>
    </row>
    <row r="809" spans="3:19" x14ac:dyDescent="0.3">
      <c r="C809" s="135" t="s">
        <v>600</v>
      </c>
      <c r="M809" s="379">
        <v>136</v>
      </c>
      <c r="O809" s="380">
        <v>3125</v>
      </c>
      <c r="P809" s="379"/>
      <c r="Q809" s="379"/>
      <c r="R809" s="454" t="s">
        <v>23</v>
      </c>
      <c r="S809" s="459"/>
    </row>
    <row r="810" spans="3:19" x14ac:dyDescent="0.3">
      <c r="C810" s="80"/>
      <c r="M810" s="381"/>
      <c r="O810" s="382"/>
      <c r="P810" s="355"/>
      <c r="Q810" s="355"/>
      <c r="R810" s="493"/>
      <c r="S810" s="493"/>
    </row>
    <row r="811" spans="3:19" x14ac:dyDescent="0.3">
      <c r="C811" s="53" t="s">
        <v>601</v>
      </c>
      <c r="M811" s="383"/>
      <c r="O811" s="384"/>
      <c r="P811" s="148"/>
      <c r="Q811" s="148"/>
      <c r="R811" s="494" t="s">
        <v>23</v>
      </c>
      <c r="S811" s="7"/>
    </row>
    <row r="812" spans="3:19" x14ac:dyDescent="0.3">
      <c r="C812" s="120" t="s">
        <v>59</v>
      </c>
      <c r="M812" s="360"/>
      <c r="O812" s="377">
        <v>1050</v>
      </c>
      <c r="P812" s="360">
        <v>330</v>
      </c>
      <c r="Q812" s="360"/>
      <c r="R812" s="495"/>
      <c r="S812" s="495"/>
    </row>
    <row r="813" spans="3:19" x14ac:dyDescent="0.3">
      <c r="C813" s="120" t="s">
        <v>44</v>
      </c>
      <c r="M813" s="360">
        <v>1</v>
      </c>
      <c r="O813" s="377">
        <v>1</v>
      </c>
      <c r="P813" s="360">
        <v>1</v>
      </c>
      <c r="Q813" s="360"/>
      <c r="R813" s="495"/>
      <c r="S813" s="495"/>
    </row>
    <row r="814" spans="3:19" x14ac:dyDescent="0.3">
      <c r="C814" s="120" t="s">
        <v>63</v>
      </c>
      <c r="M814" s="360"/>
      <c r="O814" s="377">
        <v>21</v>
      </c>
      <c r="P814" s="360"/>
      <c r="Q814" s="360"/>
      <c r="R814" s="495"/>
      <c r="S814" s="495"/>
    </row>
    <row r="815" spans="3:19" x14ac:dyDescent="0.3">
      <c r="C815" s="53" t="s">
        <v>602</v>
      </c>
      <c r="M815" s="360"/>
      <c r="O815" s="377"/>
      <c r="P815" s="360"/>
      <c r="Q815" s="360"/>
      <c r="R815" s="495"/>
      <c r="S815" s="495"/>
    </row>
    <row r="816" spans="3:19" x14ac:dyDescent="0.3">
      <c r="C816" s="120" t="s">
        <v>59</v>
      </c>
      <c r="M816" s="360"/>
      <c r="O816" s="377">
        <v>257</v>
      </c>
      <c r="P816" s="360">
        <v>257</v>
      </c>
      <c r="Q816" s="360"/>
      <c r="R816" s="495"/>
      <c r="S816" s="495"/>
    </row>
    <row r="817" spans="3:19" x14ac:dyDescent="0.3">
      <c r="C817" s="120" t="s">
        <v>44</v>
      </c>
      <c r="M817" s="360">
        <v>14</v>
      </c>
      <c r="O817" s="377">
        <v>111</v>
      </c>
      <c r="P817" s="360">
        <v>88</v>
      </c>
      <c r="Q817" s="360"/>
      <c r="R817" s="495"/>
      <c r="S817" s="495"/>
    </row>
    <row r="818" spans="3:19" x14ac:dyDescent="0.3">
      <c r="C818" s="122" t="s">
        <v>305</v>
      </c>
      <c r="M818" s="360"/>
      <c r="O818" s="377">
        <v>1872</v>
      </c>
      <c r="P818" s="360"/>
      <c r="Q818" s="360"/>
      <c r="R818" s="495"/>
      <c r="S818" s="495"/>
    </row>
    <row r="819" spans="3:19" x14ac:dyDescent="0.3">
      <c r="C819" s="105" t="s">
        <v>603</v>
      </c>
      <c r="M819" s="379">
        <v>15</v>
      </c>
      <c r="O819" s="380">
        <v>3312</v>
      </c>
      <c r="P819" s="379"/>
      <c r="Q819" s="379"/>
      <c r="R819" s="478" t="s">
        <v>23</v>
      </c>
      <c r="S819" s="459"/>
    </row>
    <row r="820" spans="3:19" ht="18" x14ac:dyDescent="0.3">
      <c r="C820" s="50" t="s">
        <v>604</v>
      </c>
      <c r="M820" s="50"/>
      <c r="O820" s="70"/>
      <c r="P820" s="70"/>
      <c r="Q820" s="50"/>
    </row>
    <row r="821" spans="3:19" ht="14.4" x14ac:dyDescent="0.3">
      <c r="C821" s="50"/>
      <c r="M821" s="50"/>
      <c r="O821" s="70"/>
      <c r="P821" s="70"/>
      <c r="Q821" s="50"/>
    </row>
    <row r="822" spans="3:19" ht="15" customHeight="1" x14ac:dyDescent="0.3">
      <c r="C822" s="50" t="s">
        <v>605</v>
      </c>
      <c r="M822" s="50"/>
      <c r="O822" s="70"/>
      <c r="P822" s="70"/>
      <c r="Q822" s="50"/>
    </row>
    <row r="823" spans="3:19" ht="15" customHeight="1" x14ac:dyDescent="0.3">
      <c r="C823" s="50"/>
      <c r="M823" s="50"/>
      <c r="O823" s="70"/>
      <c r="P823" s="70"/>
      <c r="Q823" s="50"/>
    </row>
    <row r="824" spans="3:19" ht="15" customHeight="1" x14ac:dyDescent="0.3">
      <c r="C824" s="50"/>
      <c r="M824" s="50"/>
      <c r="O824" s="50"/>
      <c r="P824" s="50"/>
      <c r="Q824" s="50"/>
    </row>
    <row r="825" spans="3:19" ht="14.4" x14ac:dyDescent="0.3">
      <c r="C825" s="50"/>
      <c r="M825" s="50"/>
      <c r="O825" s="50"/>
      <c r="P825" s="50"/>
      <c r="Q825" s="50"/>
    </row>
    <row r="826" spans="3:19" ht="14.4" x14ac:dyDescent="0.3">
      <c r="C826" s="50"/>
      <c r="M826" s="50"/>
      <c r="O826" s="50"/>
      <c r="P826" s="50"/>
      <c r="Q826" s="50"/>
    </row>
    <row r="827" spans="3:19" ht="14.4" x14ac:dyDescent="0.3">
      <c r="C827" s="50"/>
      <c r="M827" s="231"/>
      <c r="O827" s="231"/>
      <c r="P827" s="231"/>
      <c r="Q827" s="231"/>
    </row>
    <row r="828" spans="3:19" ht="14.4" x14ac:dyDescent="0.3">
      <c r="C828" s="50"/>
      <c r="M828" s="50"/>
      <c r="O828" s="50"/>
      <c r="P828" s="50"/>
      <c r="Q828" s="50"/>
    </row>
    <row r="829" spans="3:19" ht="14.4" x14ac:dyDescent="0.3">
      <c r="C829" s="50"/>
      <c r="M829" s="50"/>
      <c r="O829" s="50"/>
      <c r="P829" s="50"/>
      <c r="Q829" s="50"/>
    </row>
    <row r="830" spans="3:19" ht="14.4" x14ac:dyDescent="0.3">
      <c r="C830" s="50"/>
      <c r="M830" s="50"/>
      <c r="O830" s="50"/>
      <c r="P830" s="50"/>
      <c r="Q830" s="50"/>
    </row>
    <row r="831" spans="3:19" ht="14.4" x14ac:dyDescent="0.3">
      <c r="C831" s="50"/>
      <c r="M831" s="50"/>
      <c r="O831" s="50"/>
      <c r="P831" s="50"/>
      <c r="Q831" s="50"/>
    </row>
    <row r="832" spans="3:19" ht="14.4" x14ac:dyDescent="0.3">
      <c r="C832" s="50"/>
      <c r="M832" s="50"/>
      <c r="O832" s="56"/>
      <c r="P832" s="56"/>
      <c r="Q832" s="50"/>
    </row>
    <row r="833" spans="3:19" ht="14.4" x14ac:dyDescent="0.3">
      <c r="C833" s="50"/>
      <c r="M833" s="50"/>
      <c r="O833" s="50"/>
      <c r="P833" s="50"/>
      <c r="Q833" s="50"/>
    </row>
    <row r="834" spans="3:19" ht="14.4" x14ac:dyDescent="0.3">
      <c r="C834" s="50"/>
      <c r="M834" s="50"/>
      <c r="O834" s="50"/>
      <c r="P834" s="50"/>
      <c r="Q834" s="50"/>
    </row>
    <row r="835" spans="3:19" ht="14.4" x14ac:dyDescent="0.3">
      <c r="C835" s="50"/>
      <c r="M835" s="50"/>
      <c r="O835" s="50"/>
      <c r="P835" s="50"/>
      <c r="Q835" s="50"/>
    </row>
    <row r="836" spans="3:19" x14ac:dyDescent="0.3">
      <c r="C836" s="50"/>
    </row>
    <row r="837" spans="3:19" x14ac:dyDescent="0.3">
      <c r="C837" s="53" t="s">
        <v>606</v>
      </c>
      <c r="M837" s="50"/>
      <c r="O837" s="56"/>
      <c r="P837" s="56"/>
      <c r="Q837" s="50"/>
    </row>
    <row r="838" spans="3:19" ht="14.4" x14ac:dyDescent="0.3">
      <c r="C838" s="50"/>
      <c r="M838" s="50"/>
      <c r="O838" s="56"/>
      <c r="P838" s="56"/>
      <c r="Q838" s="50"/>
    </row>
    <row r="839" spans="3:19" ht="14.4" x14ac:dyDescent="0.3">
      <c r="C839" s="50"/>
      <c r="M839" s="50"/>
      <c r="O839" s="50"/>
      <c r="P839" s="50"/>
      <c r="Q839" s="50"/>
    </row>
    <row r="840" spans="3:19" ht="14.4" x14ac:dyDescent="0.3">
      <c r="C840" s="50"/>
      <c r="M840" s="50"/>
      <c r="O840" s="50"/>
      <c r="P840" s="50"/>
      <c r="Q840" s="50"/>
    </row>
    <row r="841" spans="3:19" ht="14.4" x14ac:dyDescent="0.3">
      <c r="C841" s="50"/>
      <c r="M841" s="50"/>
      <c r="O841" s="50"/>
      <c r="P841" s="50"/>
      <c r="Q841" s="50"/>
    </row>
    <row r="842" spans="3:19" ht="14.4" x14ac:dyDescent="0.3">
      <c r="C842" s="50"/>
      <c r="M842" s="50"/>
      <c r="O842" s="50"/>
      <c r="P842" s="50"/>
      <c r="Q842" s="50"/>
    </row>
    <row r="843" spans="3:19" ht="14.4" x14ac:dyDescent="0.3">
      <c r="C843" s="164"/>
      <c r="M843" s="164"/>
      <c r="O843" s="164"/>
      <c r="P843" s="164"/>
      <c r="Q843" s="164"/>
    </row>
    <row r="844" spans="3:19" ht="14.4" x14ac:dyDescent="0.3">
      <c r="C844" s="50"/>
      <c r="M844" s="50"/>
      <c r="O844" s="50"/>
      <c r="P844" s="50"/>
      <c r="Q844" s="50"/>
    </row>
    <row r="845" spans="3:19" ht="14.4" x14ac:dyDescent="0.3">
      <c r="C845" s="50"/>
      <c r="M845" s="50"/>
      <c r="O845" s="50"/>
      <c r="P845" s="50"/>
      <c r="Q845" s="50"/>
    </row>
    <row r="846" spans="3:19" ht="14.4" x14ac:dyDescent="0.3">
      <c r="C846" s="50"/>
      <c r="M846" s="50"/>
      <c r="O846" s="50"/>
      <c r="P846" s="50"/>
      <c r="Q846" s="50"/>
    </row>
    <row r="847" spans="3:19" ht="14.4" x14ac:dyDescent="0.3">
      <c r="C847" s="164"/>
      <c r="M847" s="164"/>
      <c r="O847" s="164"/>
      <c r="P847" s="164"/>
      <c r="Q847" s="164"/>
    </row>
    <row r="848" spans="3:19" x14ac:dyDescent="0.3">
      <c r="C848" s="164"/>
      <c r="M848" s="164"/>
      <c r="O848" s="13"/>
      <c r="P848" s="319" t="s">
        <v>401</v>
      </c>
      <c r="Q848" s="60" t="s">
        <v>401</v>
      </c>
      <c r="R848" s="437">
        <v>44561</v>
      </c>
      <c r="S848" s="437"/>
    </row>
    <row r="849" spans="3:19" x14ac:dyDescent="0.3">
      <c r="C849" s="385" t="s">
        <v>607</v>
      </c>
      <c r="M849" s="80"/>
      <c r="O849" s="115"/>
      <c r="P849" s="205">
        <v>2020</v>
      </c>
      <c r="Q849" s="206">
        <v>2019</v>
      </c>
      <c r="R849" s="6">
        <v>2018</v>
      </c>
      <c r="S849" s="5"/>
    </row>
    <row r="850" spans="3:19" ht="15.75" customHeight="1" x14ac:dyDescent="0.3">
      <c r="C850" s="50" t="s">
        <v>608</v>
      </c>
      <c r="M850" s="50"/>
      <c r="O850" s="13"/>
      <c r="P850" s="71">
        <v>273</v>
      </c>
      <c r="Q850" s="70">
        <v>216</v>
      </c>
      <c r="R850" s="493">
        <v>263</v>
      </c>
      <c r="S850" s="493"/>
    </row>
    <row r="851" spans="3:19" ht="15.75" customHeight="1" x14ac:dyDescent="0.3">
      <c r="C851" s="50" t="s">
        <v>609</v>
      </c>
      <c r="M851" s="50"/>
      <c r="O851" s="13"/>
      <c r="P851" s="71">
        <v>170</v>
      </c>
      <c r="Q851" s="70">
        <v>258</v>
      </c>
      <c r="R851" s="493">
        <v>283</v>
      </c>
      <c r="S851" s="493"/>
    </row>
    <row r="852" spans="3:19" ht="15.75" customHeight="1" x14ac:dyDescent="0.3">
      <c r="C852" s="50" t="s">
        <v>610</v>
      </c>
      <c r="M852" s="50"/>
      <c r="O852" s="13"/>
      <c r="P852" s="71">
        <v>90</v>
      </c>
      <c r="Q852" s="70">
        <v>102</v>
      </c>
      <c r="R852" s="493">
        <v>167</v>
      </c>
      <c r="S852" s="493"/>
    </row>
    <row r="853" spans="3:19" ht="15.75" customHeight="1" x14ac:dyDescent="0.3">
      <c r="C853" s="50" t="s">
        <v>316</v>
      </c>
      <c r="M853" s="50"/>
      <c r="O853" s="13"/>
      <c r="P853" s="71">
        <v>2</v>
      </c>
      <c r="Q853" s="70">
        <v>-54</v>
      </c>
      <c r="R853" s="493">
        <v>3</v>
      </c>
      <c r="S853" s="493"/>
    </row>
    <row r="854" spans="3:19" x14ac:dyDescent="0.3">
      <c r="C854" s="80" t="s">
        <v>611</v>
      </c>
      <c r="M854" s="80"/>
      <c r="O854" s="115"/>
      <c r="P854" s="78">
        <v>1</v>
      </c>
      <c r="Q854" s="77">
        <v>19</v>
      </c>
      <c r="R854" s="12">
        <v>6</v>
      </c>
      <c r="S854" s="7"/>
    </row>
    <row r="855" spans="3:19" x14ac:dyDescent="0.3">
      <c r="C855" s="120"/>
      <c r="O855" s="56"/>
      <c r="P855" s="53"/>
      <c r="Q855" s="50"/>
      <c r="R855" s="493"/>
      <c r="S855" s="493"/>
    </row>
    <row r="856" spans="3:19" x14ac:dyDescent="0.3">
      <c r="O856" s="56"/>
      <c r="P856" s="53"/>
      <c r="Q856" s="50"/>
    </row>
    <row r="857" spans="3:19" x14ac:dyDescent="0.3">
      <c r="C857" s="53" t="s">
        <v>612</v>
      </c>
      <c r="O857" s="56"/>
      <c r="P857" s="53"/>
      <c r="Q857" s="50"/>
    </row>
    <row r="858" spans="3:19" x14ac:dyDescent="0.3">
      <c r="C858" s="53"/>
      <c r="O858" s="56"/>
      <c r="P858" s="53"/>
      <c r="Q858" s="50"/>
    </row>
    <row r="859" spans="3:19" x14ac:dyDescent="0.3">
      <c r="C859" s="53"/>
      <c r="O859" s="13"/>
      <c r="P859" s="319" t="s">
        <v>401</v>
      </c>
      <c r="Q859" s="60" t="s">
        <v>401</v>
      </c>
      <c r="R859" s="437">
        <v>44561</v>
      </c>
      <c r="S859" s="437"/>
    </row>
    <row r="860" spans="3:19" x14ac:dyDescent="0.3">
      <c r="C860" s="135" t="s">
        <v>613</v>
      </c>
      <c r="M860" s="201"/>
      <c r="O860" s="115"/>
      <c r="P860" s="205">
        <v>2020</v>
      </c>
      <c r="Q860" s="206">
        <v>2019</v>
      </c>
      <c r="R860" s="6">
        <v>2018</v>
      </c>
      <c r="S860" s="5"/>
    </row>
    <row r="861" spans="3:19" x14ac:dyDescent="0.3">
      <c r="C861" s="13" t="s">
        <v>614</v>
      </c>
      <c r="O861" s="13"/>
      <c r="P861" s="54"/>
      <c r="Q861" s="50"/>
      <c r="R861" s="493"/>
      <c r="S861" s="493"/>
    </row>
    <row r="862" spans="3:19" ht="15.75" customHeight="1" x14ac:dyDescent="0.3">
      <c r="O862" s="13"/>
      <c r="P862" s="71">
        <v>26</v>
      </c>
      <c r="Q862" s="70">
        <v>26</v>
      </c>
      <c r="R862" s="493">
        <v>26</v>
      </c>
      <c r="S862" s="493"/>
    </row>
    <row r="863" spans="3:19" ht="15.75" customHeight="1" x14ac:dyDescent="0.3">
      <c r="O863" s="13"/>
      <c r="P863" s="71">
        <v>0</v>
      </c>
      <c r="Q863" s="70">
        <v>0</v>
      </c>
      <c r="R863" s="493">
        <v>116</v>
      </c>
      <c r="S863" s="493"/>
    </row>
    <row r="864" spans="3:19" x14ac:dyDescent="0.3">
      <c r="M864" s="115"/>
      <c r="O864" s="115"/>
      <c r="P864" s="78">
        <v>62</v>
      </c>
      <c r="Q864" s="77">
        <v>29</v>
      </c>
      <c r="R864" s="12">
        <v>34</v>
      </c>
      <c r="S864" s="7"/>
    </row>
    <row r="865" spans="3:19" ht="15.75" customHeight="1" x14ac:dyDescent="0.3">
      <c r="C865" s="189"/>
      <c r="M865" s="188"/>
      <c r="O865" s="13"/>
      <c r="P865" s="71">
        <v>88</v>
      </c>
      <c r="Q865" s="70">
        <v>55</v>
      </c>
      <c r="R865" s="493">
        <v>177</v>
      </c>
      <c r="S865" s="493"/>
    </row>
    <row r="866" spans="3:19" x14ac:dyDescent="0.3">
      <c r="C866" s="50" t="s">
        <v>615</v>
      </c>
      <c r="O866" s="13"/>
      <c r="P866" s="71"/>
      <c r="Q866" s="70"/>
      <c r="R866" s="493"/>
      <c r="S866" s="493"/>
    </row>
    <row r="867" spans="3:19" ht="15.75" customHeight="1" x14ac:dyDescent="0.3">
      <c r="C867" s="50"/>
      <c r="O867" s="13"/>
      <c r="P867" s="71">
        <v>40</v>
      </c>
      <c r="Q867" s="70">
        <v>31</v>
      </c>
      <c r="R867" s="493">
        <v>45</v>
      </c>
      <c r="S867" s="493"/>
    </row>
    <row r="868" spans="3:19" x14ac:dyDescent="0.3">
      <c r="M868" s="115"/>
      <c r="O868" s="115"/>
      <c r="P868" s="78">
        <v>0</v>
      </c>
      <c r="Q868" s="77">
        <v>0</v>
      </c>
      <c r="R868" s="12">
        <v>0</v>
      </c>
      <c r="S868" s="7"/>
    </row>
    <row r="869" spans="3:19" ht="15.75" customHeight="1" x14ac:dyDescent="0.3">
      <c r="C869" s="189"/>
      <c r="M869" s="340"/>
      <c r="O869" s="386"/>
      <c r="P869" s="333">
        <v>40</v>
      </c>
      <c r="Q869" s="148">
        <v>31</v>
      </c>
      <c r="R869" s="493">
        <v>45</v>
      </c>
      <c r="S869" s="493"/>
    </row>
    <row r="870" spans="3:19" x14ac:dyDescent="0.3">
      <c r="C870" s="13" t="s">
        <v>616</v>
      </c>
      <c r="O870" s="13"/>
      <c r="P870" s="71"/>
      <c r="Q870" s="70"/>
      <c r="R870" s="493"/>
      <c r="S870" s="493"/>
    </row>
    <row r="871" spans="3:19" ht="15.75" customHeight="1" x14ac:dyDescent="0.3">
      <c r="M871" s="115"/>
      <c r="O871" s="115"/>
      <c r="P871" s="71">
        <v>1</v>
      </c>
      <c r="Q871" s="70">
        <v>1</v>
      </c>
      <c r="R871" s="493">
        <v>1</v>
      </c>
      <c r="S871" s="493"/>
    </row>
    <row r="872" spans="3:19" x14ac:dyDescent="0.3">
      <c r="C872" s="387"/>
      <c r="M872" s="201"/>
      <c r="O872" s="115"/>
      <c r="P872" s="350">
        <v>1</v>
      </c>
      <c r="Q872" s="107">
        <v>1</v>
      </c>
      <c r="R872" s="436">
        <v>1</v>
      </c>
      <c r="S872" s="7"/>
    </row>
    <row r="873" spans="3:19" x14ac:dyDescent="0.3">
      <c r="C873" s="115" t="s">
        <v>247</v>
      </c>
      <c r="M873" s="388"/>
      <c r="O873" s="115"/>
      <c r="P873" s="350">
        <v>128</v>
      </c>
      <c r="Q873" s="107">
        <v>87</v>
      </c>
      <c r="R873" s="12">
        <v>223</v>
      </c>
      <c r="S873" s="7"/>
    </row>
    <row r="874" spans="3:19" ht="14.4" x14ac:dyDescent="0.3">
      <c r="C874" s="50"/>
      <c r="M874" s="189"/>
      <c r="O874" s="140"/>
      <c r="P874" s="50"/>
      <c r="Q874" s="50"/>
    </row>
    <row r="875" spans="3:19" ht="14.4" x14ac:dyDescent="0.3">
      <c r="C875" s="389"/>
      <c r="M875" s="389"/>
      <c r="O875" s="389"/>
      <c r="P875" s="389"/>
      <c r="Q875" s="389"/>
    </row>
    <row r="876" spans="3:19" x14ac:dyDescent="0.3">
      <c r="C876" s="390" t="s">
        <v>617</v>
      </c>
      <c r="M876" s="391"/>
      <c r="O876" s="391"/>
      <c r="P876" s="391"/>
      <c r="Q876" s="391"/>
    </row>
    <row r="877" spans="3:19" ht="15" x14ac:dyDescent="0.3">
      <c r="C877" s="391"/>
      <c r="M877" s="391"/>
      <c r="O877" s="391"/>
      <c r="P877" s="391"/>
      <c r="Q877" s="391"/>
    </row>
    <row r="878" spans="3:19" ht="14.4" x14ac:dyDescent="0.3">
      <c r="C878" s="50"/>
      <c r="M878" s="50"/>
      <c r="O878" s="50"/>
      <c r="P878" s="50"/>
      <c r="Q878" s="50"/>
    </row>
    <row r="879" spans="3:19" ht="14.4" x14ac:dyDescent="0.3">
      <c r="C879" s="50"/>
      <c r="M879" s="50"/>
      <c r="O879" s="50"/>
      <c r="P879" s="50"/>
      <c r="Q879" s="50"/>
    </row>
    <row r="880" spans="3:19" ht="14.4" x14ac:dyDescent="0.3">
      <c r="C880" s="50"/>
      <c r="M880" s="50"/>
      <c r="O880" s="50"/>
      <c r="P880" s="50"/>
      <c r="Q880" s="50"/>
      <c r="R880" s="437">
        <v>44197</v>
      </c>
      <c r="S880" s="437"/>
    </row>
    <row r="881" spans="18:19" x14ac:dyDescent="0.3">
      <c r="R881" s="432">
        <v>2019</v>
      </c>
      <c r="S881" s="432"/>
    </row>
    <row r="882" spans="18:19" x14ac:dyDescent="0.3">
      <c r="R882" s="493"/>
      <c r="S882" s="493"/>
    </row>
    <row r="883" spans="18:19" x14ac:dyDescent="0.3">
      <c r="R883" s="495">
        <v>35</v>
      </c>
      <c r="S883" s="495"/>
    </row>
    <row r="884" spans="18:19" x14ac:dyDescent="0.3">
      <c r="R884" s="479">
        <v>1467</v>
      </c>
      <c r="S884" s="524"/>
    </row>
    <row r="885" spans="18:19" x14ac:dyDescent="0.3">
      <c r="R885" s="480">
        <v>8210</v>
      </c>
      <c r="S885" s="480"/>
    </row>
    <row r="886" spans="18:19" x14ac:dyDescent="0.3">
      <c r="R886" s="493"/>
      <c r="S886" s="493"/>
    </row>
    <row r="887" spans="18:19" x14ac:dyDescent="0.3">
      <c r="R887" s="493"/>
      <c r="S887" s="493"/>
    </row>
    <row r="888" spans="18:19" x14ac:dyDescent="0.3">
      <c r="R888" s="15">
        <v>4574</v>
      </c>
      <c r="S888" s="488"/>
    </row>
    <row r="889" spans="18:19" x14ac:dyDescent="0.3">
      <c r="R889" s="442">
        <v>4616</v>
      </c>
      <c r="S889" s="442"/>
    </row>
    <row r="890" spans="18:19" x14ac:dyDescent="0.3">
      <c r="R890" s="493"/>
      <c r="S890" s="493"/>
    </row>
    <row r="891" spans="18:19" x14ac:dyDescent="0.3">
      <c r="R891" s="481">
        <v>8210</v>
      </c>
      <c r="S891" s="401"/>
    </row>
    <row r="893" spans="18:19" x14ac:dyDescent="0.3">
      <c r="R893" s="493"/>
      <c r="S893" s="493"/>
    </row>
    <row r="894" spans="18:19" x14ac:dyDescent="0.3">
      <c r="R894" s="482">
        <v>43112</v>
      </c>
      <c r="S894" s="525"/>
    </row>
    <row r="895" spans="18:19" x14ac:dyDescent="0.3">
      <c r="R895" s="12">
        <v>4</v>
      </c>
      <c r="S895" s="7"/>
    </row>
    <row r="896" spans="18:19" x14ac:dyDescent="0.3">
      <c r="R896" s="443">
        <v>4</v>
      </c>
      <c r="S896" s="443"/>
    </row>
    <row r="897" spans="18:19" x14ac:dyDescent="0.3">
      <c r="R897" s="493">
        <v>0</v>
      </c>
      <c r="S897" s="493"/>
    </row>
    <row r="898" spans="18:19" x14ac:dyDescent="0.3">
      <c r="R898" s="483">
        <v>3</v>
      </c>
      <c r="S898" s="20"/>
    </row>
    <row r="899" spans="18:19" x14ac:dyDescent="0.3">
      <c r="R899" s="493"/>
      <c r="S899" s="493"/>
    </row>
    <row r="900" spans="18:19" x14ac:dyDescent="0.3">
      <c r="R900" s="493"/>
      <c r="S900" s="493"/>
    </row>
    <row r="901" spans="18:19" x14ac:dyDescent="0.3">
      <c r="R901" s="437">
        <v>44197</v>
      </c>
      <c r="S901" s="437"/>
    </row>
    <row r="902" spans="18:19" x14ac:dyDescent="0.3">
      <c r="R902" s="432">
        <v>2019</v>
      </c>
      <c r="S902" s="432"/>
    </row>
    <row r="903" spans="18:19" x14ac:dyDescent="0.3">
      <c r="R903" s="493"/>
      <c r="S903" s="493"/>
    </row>
    <row r="904" spans="18:19" x14ac:dyDescent="0.3">
      <c r="R904" s="15">
        <v>3952</v>
      </c>
      <c r="S904" s="488"/>
    </row>
    <row r="905" spans="18:19" x14ac:dyDescent="0.3">
      <c r="R905" s="442">
        <v>8425</v>
      </c>
      <c r="S905" s="442"/>
    </row>
    <row r="906" spans="18:19" x14ac:dyDescent="0.3">
      <c r="R906" s="493"/>
      <c r="S906" s="493"/>
    </row>
    <row r="907" spans="18:19" x14ac:dyDescent="0.3">
      <c r="R907" s="493"/>
      <c r="S907" s="493"/>
    </row>
    <row r="908" spans="18:19" x14ac:dyDescent="0.3">
      <c r="R908" s="434">
        <v>1024</v>
      </c>
      <c r="S908" s="434"/>
    </row>
    <row r="909" spans="18:19" x14ac:dyDescent="0.3">
      <c r="R909" s="12">
        <v>332</v>
      </c>
      <c r="S909" s="7"/>
    </row>
    <row r="910" spans="18:19" x14ac:dyDescent="0.3">
      <c r="R910" s="442">
        <v>3809</v>
      </c>
      <c r="S910" s="442"/>
    </row>
    <row r="911" spans="18:19" x14ac:dyDescent="0.3">
      <c r="R911" s="493"/>
      <c r="S911" s="493"/>
    </row>
    <row r="912" spans="18:19" x14ac:dyDescent="0.3">
      <c r="R912" s="481">
        <v>8425</v>
      </c>
      <c r="S912" s="401"/>
    </row>
    <row r="913" spans="18:19" x14ac:dyDescent="0.3">
      <c r="R913" s="493"/>
      <c r="S913" s="493"/>
    </row>
    <row r="914" spans="18:19" x14ac:dyDescent="0.3">
      <c r="R914" s="493"/>
      <c r="S914" s="493"/>
    </row>
    <row r="915" spans="18:19" x14ac:dyDescent="0.3">
      <c r="R915" s="482">
        <v>43477</v>
      </c>
      <c r="S915" s="525"/>
    </row>
    <row r="916" spans="18:19" x14ac:dyDescent="0.3">
      <c r="R916" s="493">
        <v>45</v>
      </c>
      <c r="S916" s="493"/>
    </row>
    <row r="917" spans="18:19" x14ac:dyDescent="0.3">
      <c r="R917" s="493">
        <v>34</v>
      </c>
      <c r="S917" s="493"/>
    </row>
    <row r="918" spans="18:19" x14ac:dyDescent="0.3">
      <c r="R918" s="12">
        <v>-68</v>
      </c>
      <c r="S918" s="7"/>
    </row>
    <row r="919" spans="18:19" x14ac:dyDescent="0.3">
      <c r="R919" s="443">
        <v>11</v>
      </c>
      <c r="S919" s="443"/>
    </row>
    <row r="920" spans="18:19" x14ac:dyDescent="0.3">
      <c r="R920" s="12">
        <v>-13</v>
      </c>
      <c r="S920" s="7"/>
    </row>
    <row r="921" spans="18:19" x14ac:dyDescent="0.3">
      <c r="R921" s="443">
        <v>-2</v>
      </c>
      <c r="S921" s="443"/>
    </row>
    <row r="922" spans="18:19" x14ac:dyDescent="0.3">
      <c r="R922" s="493"/>
      <c r="S922" s="493"/>
    </row>
    <row r="923" spans="18:19" x14ac:dyDescent="0.3">
      <c r="R923" s="493"/>
      <c r="S923" s="493"/>
    </row>
    <row r="924" spans="18:19" x14ac:dyDescent="0.3">
      <c r="R924" s="484">
        <v>44561</v>
      </c>
      <c r="S924" s="484"/>
    </row>
    <row r="925" spans="18:19" x14ac:dyDescent="0.3">
      <c r="R925" s="472">
        <v>2019</v>
      </c>
      <c r="S925" s="472"/>
    </row>
    <row r="926" spans="18:19" x14ac:dyDescent="0.3">
      <c r="R926" s="493"/>
      <c r="S926" s="493"/>
    </row>
    <row r="927" spans="18:19" x14ac:dyDescent="0.3">
      <c r="R927" s="493">
        <v>316</v>
      </c>
      <c r="S927" s="493"/>
    </row>
    <row r="928" spans="18:19" x14ac:dyDescent="0.3">
      <c r="R928" s="485">
        <v>316</v>
      </c>
      <c r="S928" s="20"/>
    </row>
    <row r="929" spans="18:19" x14ac:dyDescent="0.3">
      <c r="R929" s="443"/>
      <c r="S929" s="443"/>
    </row>
    <row r="930" spans="18:19" x14ac:dyDescent="0.3">
      <c r="R930" s="493"/>
      <c r="S930" s="493"/>
    </row>
    <row r="931" spans="18:19" x14ac:dyDescent="0.3">
      <c r="R931" s="12">
        <v>-2</v>
      </c>
      <c r="S931" s="7"/>
    </row>
    <row r="932" spans="18:19" x14ac:dyDescent="0.3">
      <c r="R932" s="443">
        <v>-2</v>
      </c>
      <c r="S932" s="443"/>
    </row>
    <row r="933" spans="18:19" x14ac:dyDescent="0.3">
      <c r="R933" s="493"/>
      <c r="S933" s="493"/>
    </row>
    <row r="934" spans="18:19" x14ac:dyDescent="0.3">
      <c r="R934" s="493"/>
      <c r="S934" s="493"/>
    </row>
    <row r="935" spans="18:19" x14ac:dyDescent="0.3">
      <c r="R935" s="493">
        <v>220</v>
      </c>
      <c r="S935" s="493"/>
    </row>
    <row r="936" spans="18:19" x14ac:dyDescent="0.3">
      <c r="R936" s="12">
        <v>99</v>
      </c>
      <c r="S936" s="7"/>
    </row>
    <row r="937" spans="18:19" x14ac:dyDescent="0.3">
      <c r="R937" s="443">
        <v>319</v>
      </c>
      <c r="S937" s="443"/>
    </row>
    <row r="938" spans="18:19" x14ac:dyDescent="0.3">
      <c r="R938" s="493"/>
      <c r="S938" s="493"/>
    </row>
    <row r="939" spans="18:19" x14ac:dyDescent="0.3">
      <c r="R939" s="493"/>
      <c r="S939" s="493"/>
    </row>
    <row r="940" spans="18:19" x14ac:dyDescent="0.3">
      <c r="R940" s="482">
        <v>43477</v>
      </c>
      <c r="S940" s="525"/>
    </row>
    <row r="941" spans="18:19" x14ac:dyDescent="0.3">
      <c r="R941" s="493">
        <v>69</v>
      </c>
      <c r="S941" s="493"/>
    </row>
    <row r="942" spans="18:19" x14ac:dyDescent="0.3">
      <c r="R942" s="12">
        <v>-69</v>
      </c>
      <c r="S942" s="7"/>
    </row>
    <row r="943" spans="18:19" x14ac:dyDescent="0.3">
      <c r="R943" s="443">
        <v>0</v>
      </c>
      <c r="S943" s="443"/>
    </row>
  </sheetData>
  <mergeCells count="5">
    <mergeCell ref="U250:Y250"/>
    <mergeCell ref="U251:U252"/>
    <mergeCell ref="V251:V252"/>
    <mergeCell ref="W251:W252"/>
    <mergeCell ref="X251:X252"/>
  </mergeCells>
  <hyperlinks>
    <hyperlink ref="A1" r:id="rId1" xr:uid="{99ECD9A9-19A5-4431-BF85-7EEB6C8C88AF}"/>
    <hyperlink ref="A3" r:id="rId2" xr:uid="{60B20C77-5731-4E19-B9C6-F4DB14A22D4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FF6A-9B17-40FB-8BF9-A67A5C433049}">
  <dimension ref="A1:AH156"/>
  <sheetViews>
    <sheetView topLeftCell="A66" zoomScale="75" zoomScaleNormal="77" workbookViewId="0">
      <selection activeCell="Q84" sqref="Q84"/>
    </sheetView>
  </sheetViews>
  <sheetFormatPr defaultColWidth="8.88671875" defaultRowHeight="14.4" x14ac:dyDescent="0.3"/>
  <cols>
    <col min="1" max="4" width="8.88671875" style="851"/>
    <col min="5" max="5" width="10.88671875" style="851" bestFit="1" customWidth="1"/>
    <col min="6" max="6" width="12.33203125" style="851" bestFit="1" customWidth="1"/>
    <col min="7" max="7" width="14.44140625" style="953" customWidth="1"/>
    <col min="8" max="8" width="13.33203125" style="953" customWidth="1"/>
    <col min="9" max="9" width="11.33203125" style="953" bestFit="1" customWidth="1"/>
    <col min="10" max="10" width="10.109375" style="953" bestFit="1" customWidth="1"/>
    <col min="11" max="11" width="10.5546875" style="851" bestFit="1" customWidth="1"/>
    <col min="12" max="13" width="11.33203125" style="851" bestFit="1" customWidth="1"/>
    <col min="14" max="14" width="11.6640625" style="851" bestFit="1" customWidth="1"/>
    <col min="15" max="15" width="11.5546875" style="851" bestFit="1" customWidth="1"/>
    <col min="16" max="16" width="9" style="851" bestFit="1" customWidth="1"/>
    <col min="17" max="17" width="16.44140625" style="851" bestFit="1" customWidth="1"/>
    <col min="18" max="18" width="9" style="851" bestFit="1" customWidth="1"/>
    <col min="19" max="19" width="10.44140625" style="851" bestFit="1" customWidth="1"/>
    <col min="20" max="20" width="9" style="851" bestFit="1" customWidth="1"/>
    <col min="21" max="21" width="17" style="1096" customWidth="1"/>
    <col min="22" max="22" width="8.88671875" style="851"/>
    <col min="23" max="23" width="20.6640625" style="1012" customWidth="1"/>
    <col min="24" max="26" width="8.88671875" style="851"/>
    <col min="27" max="27" width="9.33203125" style="851" bestFit="1" customWidth="1"/>
    <col min="28" max="16384" width="8.88671875" style="851"/>
  </cols>
  <sheetData>
    <row r="1" spans="1:34" x14ac:dyDescent="0.3">
      <c r="F1" s="1018"/>
      <c r="G1" s="1018"/>
      <c r="H1" s="1018"/>
      <c r="I1" s="1018"/>
      <c r="J1" s="1018"/>
      <c r="K1" s="1018"/>
      <c r="L1" s="1018"/>
      <c r="M1" s="1018"/>
      <c r="N1" s="1018"/>
    </row>
    <row r="2" spans="1:34" x14ac:dyDescent="0.3">
      <c r="F2" s="1018"/>
      <c r="G2" s="1018"/>
      <c r="H2" s="1018"/>
      <c r="I2" s="1018"/>
      <c r="J2" s="1018"/>
      <c r="K2" s="1018"/>
      <c r="L2" s="1018"/>
      <c r="M2" s="1018"/>
      <c r="N2" s="1018"/>
    </row>
    <row r="3" spans="1:34" x14ac:dyDescent="0.3">
      <c r="F3" s="1018"/>
      <c r="G3" s="1018"/>
      <c r="H3" s="1018"/>
      <c r="I3" s="1018"/>
      <c r="J3" s="1018"/>
      <c r="K3" s="1018"/>
      <c r="L3" s="1018"/>
      <c r="M3" s="1018"/>
      <c r="N3" s="1018"/>
    </row>
    <row r="4" spans="1:34" x14ac:dyDescent="0.3">
      <c r="F4" s="1018"/>
      <c r="G4" s="1018"/>
      <c r="H4" s="1018"/>
      <c r="I4" s="1018"/>
      <c r="J4" s="1018"/>
      <c r="K4" s="1018"/>
      <c r="L4" s="1018"/>
      <c r="M4" s="1018"/>
      <c r="N4" s="1018"/>
    </row>
    <row r="5" spans="1:34" s="1104" customFormat="1" ht="15.6" x14ac:dyDescent="0.3">
      <c r="A5" s="1097" t="s">
        <v>239</v>
      </c>
      <c r="B5" s="1098"/>
      <c r="C5" s="1098"/>
      <c r="D5" s="1098"/>
      <c r="E5" s="1098"/>
      <c r="F5" s="1099">
        <v>42381</v>
      </c>
      <c r="G5" s="1100">
        <v>42747</v>
      </c>
      <c r="H5" s="1100">
        <v>43112</v>
      </c>
      <c r="I5" s="1101" t="s">
        <v>249</v>
      </c>
      <c r="J5" s="1102" t="s">
        <v>250</v>
      </c>
      <c r="K5" s="1103" t="s">
        <v>192</v>
      </c>
      <c r="L5" s="1103" t="s">
        <v>193</v>
      </c>
      <c r="M5" s="1103" t="s">
        <v>194</v>
      </c>
      <c r="N5" s="1103" t="s">
        <v>195</v>
      </c>
      <c r="O5" s="1103" t="s">
        <v>196</v>
      </c>
      <c r="Q5" s="1105"/>
      <c r="R5" s="1106"/>
      <c r="S5" s="1105"/>
      <c r="T5" s="1106"/>
      <c r="U5" s="1107"/>
      <c r="V5" s="1106"/>
      <c r="W5" s="1108"/>
    </row>
    <row r="6" spans="1:34" ht="15.6" x14ac:dyDescent="0.3">
      <c r="A6" s="1109" t="s">
        <v>26</v>
      </c>
      <c r="B6" s="1109"/>
      <c r="C6" s="1109"/>
      <c r="D6" s="1109"/>
      <c r="E6" s="1109"/>
      <c r="F6" s="1110">
        <v>2690</v>
      </c>
      <c r="G6" s="1111">
        <v>3243</v>
      </c>
      <c r="H6" s="1112">
        <v>3241</v>
      </c>
      <c r="I6" s="1113">
        <v>4033</v>
      </c>
      <c r="J6" s="1113">
        <v>4270</v>
      </c>
      <c r="K6" s="1114">
        <f>K22/T21</f>
        <v>3808.8482188494559</v>
      </c>
      <c r="L6" s="1114">
        <f>L22/T21</f>
        <v>4570.6178626193469</v>
      </c>
      <c r="M6" s="1114">
        <f>M22/T21</f>
        <v>5027.6796488812824</v>
      </c>
      <c r="N6" s="1114">
        <f>N22/T21</f>
        <v>5781.8315962134739</v>
      </c>
      <c r="O6" s="1114">
        <f>O22/T21</f>
        <v>6938.1979154561686</v>
      </c>
      <c r="Q6" s="1115"/>
      <c r="R6" s="1116"/>
      <c r="S6" s="1117"/>
      <c r="T6" s="1116"/>
      <c r="U6" s="1118"/>
      <c r="V6" s="1119"/>
      <c r="Z6" s="1120"/>
      <c r="AA6" s="1120"/>
      <c r="AB6" s="1120"/>
      <c r="AC6" s="1120"/>
    </row>
    <row r="7" spans="1:34" s="1001" customFormat="1" ht="15.6" x14ac:dyDescent="0.3">
      <c r="A7" s="1121" t="s">
        <v>252</v>
      </c>
      <c r="B7" s="1121"/>
      <c r="C7" s="1121"/>
      <c r="D7" s="1121"/>
      <c r="E7" s="1121"/>
      <c r="F7" s="1122">
        <f t="shared" ref="F7:J7" si="0">F6/F17</f>
        <v>0.23013089229189837</v>
      </c>
      <c r="G7" s="1123">
        <f>G6/G17</f>
        <v>0.24536581675115382</v>
      </c>
      <c r="H7" s="1123">
        <f t="shared" si="0"/>
        <v>0.21725432363587613</v>
      </c>
      <c r="I7" s="1123">
        <f t="shared" si="0"/>
        <v>0.25460858585858587</v>
      </c>
      <c r="J7" s="1123">
        <f t="shared" si="0"/>
        <v>0.36337332992936772</v>
      </c>
      <c r="K7" s="1123">
        <f>K6/K17</f>
        <v>0.41837830230691569</v>
      </c>
      <c r="L7" s="1123">
        <f t="shared" ref="L7:O7" si="1">L6/L17</f>
        <v>0.43240982361915992</v>
      </c>
      <c r="M7" s="1123">
        <f t="shared" si="1"/>
        <v>0.40802922096022159</v>
      </c>
      <c r="N7" s="1123">
        <f t="shared" si="1"/>
        <v>0.40454232095926795</v>
      </c>
      <c r="O7" s="1123">
        <f t="shared" si="1"/>
        <v>0.41217065780395085</v>
      </c>
      <c r="Q7" s="1115"/>
      <c r="R7" s="1124"/>
      <c r="S7" s="1117"/>
      <c r="T7" s="1115">
        <v>1599</v>
      </c>
      <c r="U7" s="1118"/>
      <c r="V7" s="1125"/>
      <c r="W7" s="1126"/>
    </row>
    <row r="8" spans="1:34" s="1001" customFormat="1" ht="28.5" customHeight="1" x14ac:dyDescent="0.3">
      <c r="A8" s="1121" t="s">
        <v>251</v>
      </c>
      <c r="B8" s="1121"/>
      <c r="C8" s="1121"/>
      <c r="D8" s="1121"/>
      <c r="E8" s="1121"/>
      <c r="F8" s="1122"/>
      <c r="G8" s="1123">
        <f>G6/F6</f>
        <v>1.2055762081784387</v>
      </c>
      <c r="H8" s="1123">
        <f>H6/G6-1</f>
        <v>-6.167129201356536E-4</v>
      </c>
      <c r="I8" s="1123">
        <f>I6/H6-1</f>
        <v>0.24436902190681886</v>
      </c>
      <c r="J8" s="1123">
        <f>J6/I6-1</f>
        <v>5.8765187205554126E-2</v>
      </c>
      <c r="K8" s="1123">
        <f>K6/J6-1</f>
        <v>-0.10799807521090021</v>
      </c>
      <c r="L8" s="1123">
        <f>L6/K6-1</f>
        <v>0.19999999999999996</v>
      </c>
      <c r="M8" s="1123">
        <f t="shared" ref="M8:O8" si="2">M6/L6-1</f>
        <v>0.10000000000000009</v>
      </c>
      <c r="N8" s="1123">
        <f t="shared" si="2"/>
        <v>0.14999999999999991</v>
      </c>
      <c r="O8" s="1123">
        <f t="shared" si="2"/>
        <v>0.19999999999999996</v>
      </c>
      <c r="Q8" s="1115"/>
      <c r="R8" s="1124"/>
      <c r="S8" s="1117"/>
      <c r="T8" s="1117">
        <v>137</v>
      </c>
      <c r="U8" s="1118"/>
      <c r="V8" s="1125"/>
      <c r="W8" s="1012"/>
      <c r="X8" s="851"/>
      <c r="Y8" s="851"/>
      <c r="Z8" s="1127"/>
      <c r="AA8" s="1127"/>
      <c r="AB8" s="1127"/>
      <c r="AC8" s="1127"/>
    </row>
    <row r="9" spans="1:34" ht="15.6" x14ac:dyDescent="0.3">
      <c r="A9" s="1128" t="s">
        <v>27</v>
      </c>
      <c r="B9" s="1109"/>
      <c r="C9" s="1109"/>
      <c r="D9" s="1109"/>
      <c r="E9" s="1109"/>
      <c r="F9" s="1110">
        <v>7395</v>
      </c>
      <c r="G9" s="1111">
        <v>8490</v>
      </c>
      <c r="H9" s="1112">
        <v>10105</v>
      </c>
      <c r="I9" s="1113">
        <v>10416</v>
      </c>
      <c r="J9" s="1113">
        <v>6063</v>
      </c>
      <c r="K9" s="1110">
        <f>K25/T25</f>
        <v>4724.9514408706309</v>
      </c>
      <c r="L9" s="1110">
        <f>L25/T25</f>
        <v>5197.4465849576936</v>
      </c>
      <c r="M9" s="1110">
        <f>M25/T25</f>
        <v>6236.9359019492322</v>
      </c>
      <c r="N9" s="1110">
        <f>N25/T25</f>
        <v>7172.4762872416168</v>
      </c>
      <c r="O9" s="1110">
        <f>O25/T25</f>
        <v>8248.3477303278596</v>
      </c>
      <c r="Q9" s="1117"/>
      <c r="R9" s="1116"/>
      <c r="S9" s="1117"/>
      <c r="T9" s="1117">
        <v>101</v>
      </c>
      <c r="U9" s="1118"/>
      <c r="V9" s="1125"/>
      <c r="W9" s="1126"/>
      <c r="X9" s="1001"/>
      <c r="Y9" s="1001"/>
      <c r="Z9" s="1001"/>
      <c r="AA9" s="1001"/>
      <c r="AB9" s="1001"/>
      <c r="AC9" s="1001"/>
    </row>
    <row r="10" spans="1:34" s="1001" customFormat="1" ht="15.6" x14ac:dyDescent="0.3">
      <c r="A10" s="1121" t="s">
        <v>252</v>
      </c>
      <c r="B10" s="1121"/>
      <c r="C10" s="1121"/>
      <c r="D10" s="1121"/>
      <c r="E10" s="1121"/>
      <c r="F10" s="1122">
        <f>F9/F17</f>
        <v>0.63264607750876889</v>
      </c>
      <c r="G10" s="1123">
        <f t="shared" ref="G10" si="3">G9/G17</f>
        <v>0.64235454339108722</v>
      </c>
      <c r="H10" s="1123">
        <f>H9/H17</f>
        <v>0.67736962059257277</v>
      </c>
      <c r="I10" s="1123">
        <f>I9/I17</f>
        <v>0.65757575757575759</v>
      </c>
      <c r="J10" s="1123">
        <f>J9/J17</f>
        <v>0.51595608884350264</v>
      </c>
      <c r="K10" s="1123">
        <f>K9/K17</f>
        <v>0.51900654705301164</v>
      </c>
      <c r="L10" s="1123">
        <f t="shared" ref="L10:O10" si="4">L9/L17</f>
        <v>0.49171184916859306</v>
      </c>
      <c r="M10" s="1123">
        <f t="shared" si="4"/>
        <v>0.50616830724635398</v>
      </c>
      <c r="N10" s="1123">
        <f t="shared" si="4"/>
        <v>0.50184273892831421</v>
      </c>
      <c r="O10" s="1123">
        <f t="shared" si="4"/>
        <v>0.49000143138485774</v>
      </c>
      <c r="Q10" s="1115"/>
      <c r="R10" s="1124"/>
      <c r="S10" s="1117"/>
      <c r="T10" s="1117">
        <v>0</v>
      </c>
      <c r="U10" s="1118"/>
      <c r="V10" s="1125"/>
      <c r="W10" s="1118"/>
      <c r="X10" s="851"/>
      <c r="Y10" s="851"/>
      <c r="Z10" s="1012"/>
      <c r="AA10" s="1012"/>
      <c r="AB10" s="1012"/>
      <c r="AC10" s="1012"/>
    </row>
    <row r="11" spans="1:34" s="1001" customFormat="1" ht="15.6" x14ac:dyDescent="0.3">
      <c r="A11" s="1121" t="s">
        <v>251</v>
      </c>
      <c r="B11" s="1121"/>
      <c r="C11" s="1121"/>
      <c r="D11" s="1121"/>
      <c r="E11" s="1121"/>
      <c r="F11" s="1122"/>
      <c r="G11" s="1123">
        <f>G9/F9-1</f>
        <v>0.14807302231237318</v>
      </c>
      <c r="H11" s="1123">
        <f>H9/G9-1</f>
        <v>0.19022379269729095</v>
      </c>
      <c r="I11" s="1123">
        <f>I9/H9-1</f>
        <v>3.0776843146957056E-2</v>
      </c>
      <c r="J11" s="1123">
        <f>J9/I9-1</f>
        <v>-0.4179147465437788</v>
      </c>
      <c r="K11" s="1123">
        <f>K9/J9-1</f>
        <v>-0.22069083937479284</v>
      </c>
      <c r="L11" s="1123">
        <f t="shared" ref="L11:O11" si="5">L9/K9-1</f>
        <v>9.9999999999999867E-2</v>
      </c>
      <c r="M11" s="1123">
        <f t="shared" si="5"/>
        <v>0.19999999999999996</v>
      </c>
      <c r="N11" s="1123">
        <f t="shared" si="5"/>
        <v>0.14999999999999991</v>
      </c>
      <c r="O11" s="1123">
        <f t="shared" si="5"/>
        <v>0.15000000000000013</v>
      </c>
      <c r="Q11" s="1115"/>
      <c r="R11" s="1124"/>
      <c r="S11" s="1115"/>
      <c r="T11" s="1117">
        <v>0</v>
      </c>
      <c r="U11" s="1118"/>
      <c r="V11" s="1125"/>
      <c r="W11" s="1126"/>
    </row>
    <row r="12" spans="1:34" ht="15.6" x14ac:dyDescent="0.3">
      <c r="A12" s="1109" t="s">
        <v>28</v>
      </c>
      <c r="B12" s="1109"/>
      <c r="C12" s="1109"/>
      <c r="D12" s="1109"/>
      <c r="E12" s="1109"/>
      <c r="F12" s="1110">
        <v>3552</v>
      </c>
      <c r="G12" s="1111">
        <v>3912</v>
      </c>
      <c r="H12" s="1112">
        <v>4315</v>
      </c>
      <c r="I12" s="1113">
        <v>4193</v>
      </c>
      <c r="J12" s="1113">
        <v>3055</v>
      </c>
      <c r="K12" s="1110">
        <f>K28/T28</f>
        <v>2320.038177585694</v>
      </c>
      <c r="L12" s="1110">
        <f>L28/T28</f>
        <v>2552.0419953442638</v>
      </c>
      <c r="M12" s="1110">
        <f>M28/T28</f>
        <v>2807.2461948786904</v>
      </c>
      <c r="N12" s="1110">
        <f>N28/T28</f>
        <v>3087.9708143665594</v>
      </c>
      <c r="O12" s="1110">
        <f>O28/T28</f>
        <v>3396.7678958032157</v>
      </c>
      <c r="Q12" s="1116"/>
      <c r="R12" s="1116"/>
      <c r="S12" s="1116"/>
      <c r="T12" s="1117">
        <v>10</v>
      </c>
      <c r="U12" s="1118"/>
      <c r="V12" s="1119"/>
      <c r="W12" s="1118"/>
    </row>
    <row r="13" spans="1:34" s="1001" customFormat="1" ht="15.6" x14ac:dyDescent="0.3">
      <c r="A13" s="1121" t="s">
        <v>252</v>
      </c>
      <c r="B13" s="1121"/>
      <c r="C13" s="1121"/>
      <c r="D13" s="1121"/>
      <c r="E13" s="1121"/>
      <c r="F13" s="1122">
        <f>F12/F17</f>
        <v>0.30387543844640258</v>
      </c>
      <c r="G13" s="1123">
        <f t="shared" ref="G13" si="6">G12/G17</f>
        <v>0.29598244684875541</v>
      </c>
      <c r="H13" s="1123">
        <f>H12/H17</f>
        <v>0.28924788845689769</v>
      </c>
      <c r="I13" s="1123">
        <f>I12/I17</f>
        <v>0.26470959595959598</v>
      </c>
      <c r="J13" s="1123">
        <f>J12/J17</f>
        <v>0.25997787422347035</v>
      </c>
      <c r="K13" s="1123">
        <f>K12/K17</f>
        <v>0.25484177322212642</v>
      </c>
      <c r="L13" s="1123">
        <f t="shared" ref="L13:O13" si="7">L12/L17</f>
        <v>0.24143957387045437</v>
      </c>
      <c r="M13" s="1123">
        <f t="shared" si="7"/>
        <v>0.22782646428054976</v>
      </c>
      <c r="N13" s="1123">
        <f t="shared" si="7"/>
        <v>0.21605867613239382</v>
      </c>
      <c r="O13" s="1123">
        <f t="shared" si="7"/>
        <v>0.20178842908209313</v>
      </c>
      <c r="T13" s="1129">
        <v>1847</v>
      </c>
      <c r="U13" s="1130"/>
      <c r="W13" s="1012"/>
      <c r="X13" s="851"/>
      <c r="Y13" s="851"/>
      <c r="Z13" s="851"/>
      <c r="AA13" s="851"/>
      <c r="AB13" s="851"/>
      <c r="AC13" s="851"/>
    </row>
    <row r="14" spans="1:34" s="1001" customFormat="1" x14ac:dyDescent="0.3">
      <c r="A14" s="1121" t="s">
        <v>251</v>
      </c>
      <c r="B14" s="1121"/>
      <c r="C14" s="1121"/>
      <c r="D14" s="1121"/>
      <c r="E14" s="1121"/>
      <c r="F14" s="1122"/>
      <c r="G14" s="1123">
        <f>G12/F12-1</f>
        <v>0.10135135135135132</v>
      </c>
      <c r="H14" s="1123">
        <f>H12/G12-1</f>
        <v>0.10301635991820035</v>
      </c>
      <c r="I14" s="1123">
        <f>I12/H12-1</f>
        <v>-2.8273464658169156E-2</v>
      </c>
      <c r="J14" s="1123">
        <f>J12/I12-1</f>
        <v>-0.27140472215597422</v>
      </c>
      <c r="K14" s="1123">
        <f>K12/J12-1</f>
        <v>-0.2405767012812785</v>
      </c>
      <c r="L14" s="1123">
        <f t="shared" ref="L14:O14" si="8">L12/K12-1</f>
        <v>0.10000000000000009</v>
      </c>
      <c r="M14" s="1123">
        <f t="shared" si="8"/>
        <v>0.10000000000000009</v>
      </c>
      <c r="N14" s="1123">
        <f t="shared" si="8"/>
        <v>9.9999999999999867E-2</v>
      </c>
      <c r="O14" s="1123">
        <f t="shared" si="8"/>
        <v>0.10000000000000009</v>
      </c>
      <c r="U14" s="1130"/>
      <c r="W14" s="1118"/>
      <c r="Y14" s="1005"/>
      <c r="Z14" s="1005"/>
      <c r="AA14" s="1005"/>
      <c r="AB14" s="1005"/>
      <c r="AC14" s="1005"/>
      <c r="AD14" s="1131"/>
      <c r="AE14" s="1131"/>
      <c r="AF14" s="1131"/>
      <c r="AG14" s="1131"/>
      <c r="AH14" s="1131"/>
    </row>
    <row r="15" spans="1:34" ht="15.6" x14ac:dyDescent="0.3">
      <c r="A15" s="1128" t="s">
        <v>29</v>
      </c>
      <c r="B15" s="1109"/>
      <c r="C15" s="1109"/>
      <c r="D15" s="1109"/>
      <c r="E15" s="1109"/>
      <c r="F15" s="1110">
        <v>294</v>
      </c>
      <c r="G15" s="1132">
        <v>237</v>
      </c>
      <c r="H15" s="1133">
        <v>264</v>
      </c>
      <c r="I15" s="1113">
        <v>246</v>
      </c>
      <c r="J15" s="1113">
        <v>177</v>
      </c>
      <c r="K15" s="1110">
        <v>250</v>
      </c>
      <c r="L15" s="1110">
        <v>250</v>
      </c>
      <c r="M15" s="1110">
        <v>250</v>
      </c>
      <c r="N15" s="1110">
        <v>250</v>
      </c>
      <c r="O15" s="1110">
        <v>250</v>
      </c>
      <c r="W15" s="1134"/>
      <c r="X15" s="1018"/>
      <c r="Y15" s="1018"/>
      <c r="Z15" s="1018"/>
      <c r="AA15" s="1018"/>
      <c r="AB15" s="1018"/>
      <c r="AC15" s="1018"/>
    </row>
    <row r="16" spans="1:34" ht="15.6" x14ac:dyDescent="0.3">
      <c r="A16" s="1135" t="s">
        <v>30</v>
      </c>
      <c r="B16" s="1109"/>
      <c r="C16" s="1109"/>
      <c r="D16" s="1109"/>
      <c r="E16" s="1109"/>
      <c r="F16" s="1110">
        <v>-2241</v>
      </c>
      <c r="G16" s="1111">
        <v>-2666</v>
      </c>
      <c r="H16" s="1112">
        <v>-3007</v>
      </c>
      <c r="I16" s="1113">
        <v>-3049</v>
      </c>
      <c r="J16" s="1113">
        <v>-1813</v>
      </c>
      <c r="K16" s="1110">
        <v>-2000</v>
      </c>
      <c r="L16" s="1110">
        <v>-2000</v>
      </c>
      <c r="M16" s="1110">
        <v>-2000</v>
      </c>
      <c r="N16" s="1110">
        <v>-2000</v>
      </c>
      <c r="O16" s="1110">
        <v>-2000</v>
      </c>
      <c r="W16" s="1136"/>
    </row>
    <row r="17" spans="1:34" ht="15.6" x14ac:dyDescent="0.3">
      <c r="A17" s="1137" t="s">
        <v>247</v>
      </c>
      <c r="B17" s="1138"/>
      <c r="C17" s="1138"/>
      <c r="D17" s="1138"/>
      <c r="E17" s="1138"/>
      <c r="F17" s="1139">
        <v>11689</v>
      </c>
      <c r="G17" s="1140">
        <v>13217</v>
      </c>
      <c r="H17" s="1140">
        <v>14918</v>
      </c>
      <c r="I17" s="1141">
        <v>15840</v>
      </c>
      <c r="J17" s="1141">
        <v>11751</v>
      </c>
      <c r="K17" s="1142">
        <f>K6+K9+K12+K15+K16</f>
        <v>9103.8378373057822</v>
      </c>
      <c r="L17" s="1142">
        <f t="shared" ref="L17:O17" si="9">L6+L9+L12+L15+L16</f>
        <v>10570.106442921304</v>
      </c>
      <c r="M17" s="1142">
        <f t="shared" si="9"/>
        <v>12321.861745709204</v>
      </c>
      <c r="N17" s="1142">
        <f>N6+N9+N12+N15+N16</f>
        <v>14292.27869782165</v>
      </c>
      <c r="O17" s="1142">
        <f t="shared" si="9"/>
        <v>16833.313541587246</v>
      </c>
      <c r="U17" s="1130"/>
      <c r="AD17" s="1015"/>
      <c r="AE17" s="1015"/>
      <c r="AF17" s="1015"/>
      <c r="AG17" s="1015"/>
      <c r="AH17" s="1015"/>
    </row>
    <row r="18" spans="1:34" s="1001" customFormat="1" ht="15.6" x14ac:dyDescent="0.3">
      <c r="A18" s="1143" t="s">
        <v>251</v>
      </c>
      <c r="B18" s="1144"/>
      <c r="C18" s="1144"/>
      <c r="D18" s="1144"/>
      <c r="E18" s="1144"/>
      <c r="F18" s="1145"/>
      <c r="G18" s="1146">
        <f>G17/F17-1</f>
        <v>0.13072119086320466</v>
      </c>
      <c r="H18" s="1146">
        <f t="shared" ref="H18:J18" si="10">H17/G17-1</f>
        <v>0.12869788908224256</v>
      </c>
      <c r="I18" s="1146">
        <f t="shared" si="10"/>
        <v>6.1804531438530708E-2</v>
      </c>
      <c r="J18" s="1146">
        <f t="shared" si="10"/>
        <v>-0.25814393939393943</v>
      </c>
      <c r="K18" s="1146">
        <f>K17/J17-1</f>
        <v>-0.22527122480590744</v>
      </c>
      <c r="L18" s="1146">
        <f t="shared" ref="L18" si="11">L17/K17-1</f>
        <v>0.16106049248889676</v>
      </c>
      <c r="M18" s="1146">
        <f t="shared" ref="M18" si="12">M17/L17-1</f>
        <v>0.16572730958268012</v>
      </c>
      <c r="N18" s="1146">
        <f t="shared" ref="N18" si="13">N17/M17-1</f>
        <v>0.1599122756590412</v>
      </c>
      <c r="O18" s="1146">
        <f t="shared" ref="O18" si="14">O17/N17-1</f>
        <v>0.17779074264434036</v>
      </c>
      <c r="U18" s="1130"/>
      <c r="W18" s="1012"/>
      <c r="X18" s="851"/>
      <c r="Y18" s="1002"/>
      <c r="Z18" s="1002"/>
      <c r="AA18" s="1002"/>
      <c r="AB18" s="1002"/>
      <c r="AC18" s="1002"/>
    </row>
    <row r="19" spans="1:34" s="1001" customFormat="1" ht="15.6" x14ac:dyDescent="0.3">
      <c r="A19" s="1143"/>
      <c r="B19" s="1144"/>
      <c r="C19" s="1144"/>
      <c r="D19" s="1144"/>
      <c r="E19" s="1144"/>
      <c r="F19" s="1145"/>
      <c r="G19" s="1146"/>
      <c r="H19" s="1146"/>
      <c r="I19" s="1146"/>
      <c r="J19" s="1146"/>
      <c r="K19" s="1147">
        <f>J17*(1+K20)</f>
        <v>11892.012000000001</v>
      </c>
      <c r="L19" s="1148">
        <f>K19*(1+L20)</f>
        <v>12486.6126</v>
      </c>
      <c r="M19" s="1148">
        <f>L19*(1+M20)</f>
        <v>13735.273860000001</v>
      </c>
      <c r="N19" s="1148">
        <f>M19*(1+N20)</f>
        <v>15383.506723200002</v>
      </c>
      <c r="O19" s="1148">
        <f>N19*(1+O20)</f>
        <v>17229.527529984003</v>
      </c>
      <c r="P19" s="1001" t="s">
        <v>259</v>
      </c>
      <c r="U19" s="1130"/>
      <c r="W19" s="1012"/>
      <c r="X19" s="851"/>
      <c r="Y19" s="851"/>
      <c r="Z19" s="851"/>
      <c r="AA19" s="851"/>
      <c r="AB19" s="851"/>
      <c r="AC19" s="851"/>
    </row>
    <row r="20" spans="1:34" s="1018" customFormat="1" x14ac:dyDescent="0.3">
      <c r="G20" s="1149"/>
      <c r="K20" s="1150">
        <v>1.2E-2</v>
      </c>
      <c r="L20" s="1150">
        <v>0.05</v>
      </c>
      <c r="M20" s="1150">
        <v>0.1</v>
      </c>
      <c r="N20" s="1151">
        <v>0.12</v>
      </c>
      <c r="O20" s="1151">
        <v>0.12</v>
      </c>
      <c r="T20" s="1018" t="s">
        <v>261</v>
      </c>
      <c r="U20" s="1130"/>
      <c r="W20" s="1108"/>
      <c r="X20" s="851"/>
      <c r="Y20" s="851"/>
      <c r="Z20" s="851"/>
      <c r="AA20" s="851"/>
      <c r="AB20" s="851"/>
      <c r="AC20" s="851"/>
    </row>
    <row r="21" spans="1:34" ht="15.6" x14ac:dyDescent="0.3">
      <c r="A21" s="1152" t="s">
        <v>258</v>
      </c>
      <c r="B21" s="1110"/>
      <c r="C21" s="1110"/>
      <c r="D21" s="1110"/>
      <c r="E21" s="1110"/>
      <c r="F21" s="1110"/>
      <c r="K21" s="1110"/>
      <c r="L21" s="1110"/>
      <c r="M21" s="1110"/>
      <c r="N21" s="1110"/>
      <c r="O21" s="1110"/>
      <c r="P21" s="1008">
        <f>G22/G6</f>
        <v>0.14677767499229108</v>
      </c>
      <c r="Q21" s="1008">
        <f>H22/H6</f>
        <v>0.27614933662449859</v>
      </c>
      <c r="R21" s="1008">
        <f t="shared" ref="R21" si="15">I22/I6</f>
        <v>0.45797173320109102</v>
      </c>
      <c r="S21" s="1008">
        <f>J22/J6</f>
        <v>0.29016393442622951</v>
      </c>
      <c r="T21" s="1008">
        <f>AVERAGE(P21:S21)</f>
        <v>0.29276566981102753</v>
      </c>
      <c r="U21" s="1130"/>
      <c r="V21" s="1008"/>
    </row>
    <row r="22" spans="1:34" x14ac:dyDescent="0.3">
      <c r="A22" s="1153" t="s">
        <v>26</v>
      </c>
      <c r="B22" s="1153"/>
      <c r="C22" s="1153"/>
      <c r="D22" s="1153"/>
      <c r="E22" s="1153"/>
      <c r="F22" s="1110">
        <v>518</v>
      </c>
      <c r="G22" s="1132">
        <v>476</v>
      </c>
      <c r="H22" s="1133">
        <v>895</v>
      </c>
      <c r="I22" s="1154">
        <v>1847</v>
      </c>
      <c r="J22" s="1154">
        <v>1239</v>
      </c>
      <c r="K22" s="1110">
        <f>J22*(1+K24)</f>
        <v>1115.1000000000001</v>
      </c>
      <c r="L22" s="1110">
        <f>K22*(1+L24)</f>
        <v>1338.1200000000001</v>
      </c>
      <c r="M22" s="1110">
        <f>L22*(1+M24)</f>
        <v>1471.9320000000002</v>
      </c>
      <c r="N22" s="1110">
        <f>M22*(1+N24)</f>
        <v>1692.7218000000003</v>
      </c>
      <c r="O22" s="1110">
        <f>N22*(1+O24)</f>
        <v>2031.2661600000001</v>
      </c>
      <c r="U22" s="1130"/>
      <c r="W22" s="1126"/>
    </row>
    <row r="23" spans="1:34" x14ac:dyDescent="0.3">
      <c r="A23" s="1121" t="s">
        <v>252</v>
      </c>
      <c r="B23" s="1121"/>
      <c r="C23" s="1121"/>
      <c r="D23" s="1121"/>
      <c r="E23" s="1121"/>
      <c r="F23" s="1110"/>
      <c r="G23" s="1155">
        <f t="shared" ref="G23:O23" si="16">G22/G33</f>
        <v>0.40649017933390263</v>
      </c>
      <c r="H23" s="1155">
        <f t="shared" si="16"/>
        <v>0.87573385518590996</v>
      </c>
      <c r="I23" s="1155">
        <f t="shared" si="16"/>
        <v>0.82862270076267386</v>
      </c>
      <c r="J23" s="1155">
        <f t="shared" si="16"/>
        <v>1.4963768115942029</v>
      </c>
      <c r="K23" s="1156">
        <f t="shared" si="16"/>
        <v>0.94268323611463356</v>
      </c>
      <c r="L23" s="1156">
        <f t="shared" si="16"/>
        <v>0.94326801071478938</v>
      </c>
      <c r="M23" s="1156">
        <f t="shared" si="16"/>
        <v>0.9170504500732678</v>
      </c>
      <c r="N23" s="1156">
        <f t="shared" si="16"/>
        <v>0.91632060360428147</v>
      </c>
      <c r="O23" s="1156">
        <f t="shared" si="16"/>
        <v>0.91903481901024053</v>
      </c>
      <c r="U23" s="1130"/>
    </row>
    <row r="24" spans="1:34" x14ac:dyDescent="0.3">
      <c r="A24" s="1121" t="s">
        <v>251</v>
      </c>
      <c r="B24" s="1121"/>
      <c r="C24" s="1121"/>
      <c r="D24" s="1121"/>
      <c r="E24" s="1121"/>
      <c r="F24" s="1110"/>
      <c r="G24" s="1155">
        <f>G22/F22-1</f>
        <v>-8.108108108108103E-2</v>
      </c>
      <c r="H24" s="1155">
        <f>H22/G22-1</f>
        <v>0.88025210084033612</v>
      </c>
      <c r="I24" s="1155">
        <f>I22/H22-1</f>
        <v>1.063687150837989</v>
      </c>
      <c r="J24" s="1155">
        <f>J22/I22-1</f>
        <v>-0.32918245804006496</v>
      </c>
      <c r="K24" s="1156">
        <v>-0.1</v>
      </c>
      <c r="L24" s="1156">
        <v>0.2</v>
      </c>
      <c r="M24" s="1156">
        <v>0.1</v>
      </c>
      <c r="N24" s="1156">
        <v>0.15</v>
      </c>
      <c r="O24" s="1156">
        <v>0.2</v>
      </c>
      <c r="P24" s="1001" t="s">
        <v>262</v>
      </c>
      <c r="Q24" s="1001"/>
      <c r="R24" s="1001"/>
      <c r="S24" s="1001"/>
      <c r="U24" s="1130"/>
      <c r="W24" s="1126"/>
    </row>
    <row r="25" spans="1:34" x14ac:dyDescent="0.3">
      <c r="A25" s="1153" t="s">
        <v>27</v>
      </c>
      <c r="B25" s="1153"/>
      <c r="C25" s="1153"/>
      <c r="D25" s="1153"/>
      <c r="E25" s="1153"/>
      <c r="F25" s="1110">
        <v>563</v>
      </c>
      <c r="G25" s="1132">
        <v>650</v>
      </c>
      <c r="H25" s="1133">
        <v>170</v>
      </c>
      <c r="I25" s="1113">
        <v>406</v>
      </c>
      <c r="J25" s="1157">
        <v>-396</v>
      </c>
      <c r="K25" s="1110">
        <f>J25*(1+K27)</f>
        <v>79.199999999999989</v>
      </c>
      <c r="L25" s="1110">
        <f>K25*(1+L27)</f>
        <v>87.11999999999999</v>
      </c>
      <c r="M25" s="1110">
        <f>L25*(1+M27)</f>
        <v>104.54399999999998</v>
      </c>
      <c r="N25" s="1110">
        <f>M25*(1+N27)</f>
        <v>120.22559999999997</v>
      </c>
      <c r="O25" s="1110">
        <f>N25*(1+O27)</f>
        <v>138.25943999999996</v>
      </c>
      <c r="P25" s="1001">
        <f>G25/G9</f>
        <v>7.656065959952886E-2</v>
      </c>
      <c r="Q25" s="1001">
        <f>H25/H9</f>
        <v>1.6823354774863929E-2</v>
      </c>
      <c r="R25" s="1001">
        <f t="shared" ref="R25:S25" si="17">I25/I9</f>
        <v>3.8978494623655914E-2</v>
      </c>
      <c r="S25" s="1001">
        <f t="shared" si="17"/>
        <v>-6.5314200890648197E-2</v>
      </c>
      <c r="T25" s="1001">
        <f>AVERAGE(P25:S25)</f>
        <v>1.6762077026850123E-2</v>
      </c>
      <c r="U25" s="1130"/>
      <c r="W25" s="1118"/>
    </row>
    <row r="26" spans="1:34" x14ac:dyDescent="0.3">
      <c r="A26" s="1121" t="s">
        <v>252</v>
      </c>
      <c r="B26" s="1121"/>
      <c r="C26" s="1121"/>
      <c r="D26" s="1121"/>
      <c r="E26" s="1121"/>
      <c r="F26" s="1110"/>
      <c r="G26" s="1155">
        <f t="shared" ref="G26:O26" si="18">G25/G33</f>
        <v>0.5550811272416738</v>
      </c>
      <c r="H26" s="1155">
        <f t="shared" si="18"/>
        <v>0.16634050880626222</v>
      </c>
      <c r="I26" s="1155">
        <f t="shared" si="18"/>
        <v>0.18214445939883356</v>
      </c>
      <c r="J26" s="1155">
        <f t="shared" si="18"/>
        <v>-0.47826086956521741</v>
      </c>
      <c r="K26" s="1158">
        <f>K25/K33</f>
        <v>6.6954095866091787E-2</v>
      </c>
      <c r="L26" s="1158">
        <f t="shared" si="18"/>
        <v>6.1412660369378258E-2</v>
      </c>
      <c r="M26" s="1158">
        <f t="shared" si="18"/>
        <v>6.5133526720296639E-2</v>
      </c>
      <c r="N26" s="1158">
        <f t="shared" si="18"/>
        <v>6.5081689360110356E-2</v>
      </c>
      <c r="O26" s="1158">
        <f t="shared" si="18"/>
        <v>6.2554697123914649E-2</v>
      </c>
      <c r="P26" s="1001"/>
      <c r="Q26" s="1001"/>
      <c r="R26" s="1001"/>
      <c r="S26" s="1001"/>
      <c r="U26" s="1130"/>
      <c r="W26" s="1126"/>
    </row>
    <row r="27" spans="1:34" x14ac:dyDescent="0.3">
      <c r="A27" s="1121" t="s">
        <v>251</v>
      </c>
      <c r="B27" s="1121"/>
      <c r="C27" s="1121"/>
      <c r="D27" s="1121"/>
      <c r="E27" s="1121"/>
      <c r="F27" s="1110"/>
      <c r="G27" s="1155">
        <f>G25/F25-1</f>
        <v>0.15452930728241565</v>
      </c>
      <c r="H27" s="1155">
        <f>H25/G25-1</f>
        <v>-0.7384615384615385</v>
      </c>
      <c r="I27" s="1155">
        <f>I25/H25-1</f>
        <v>1.388235294117647</v>
      </c>
      <c r="J27" s="1155">
        <f>J25/I25-1</f>
        <v>-1.9753694581280787</v>
      </c>
      <c r="K27" s="1159">
        <v>-1.2</v>
      </c>
      <c r="L27" s="1158">
        <v>0.1</v>
      </c>
      <c r="M27" s="1158">
        <v>0.2</v>
      </c>
      <c r="N27" s="1158">
        <v>0.15</v>
      </c>
      <c r="O27" s="1158">
        <v>0.15</v>
      </c>
      <c r="P27" s="1001"/>
      <c r="Q27" s="1001"/>
      <c r="R27" s="1001"/>
      <c r="S27" s="1001"/>
      <c r="U27" s="1130"/>
      <c r="W27" s="1118"/>
    </row>
    <row r="28" spans="1:34" x14ac:dyDescent="0.3">
      <c r="A28" s="1153" t="s">
        <v>28</v>
      </c>
      <c r="B28" s="1153"/>
      <c r="C28" s="1153"/>
      <c r="D28" s="1153"/>
      <c r="E28" s="1153"/>
      <c r="F28" s="1110">
        <v>-11</v>
      </c>
      <c r="G28" s="1132">
        <v>69</v>
      </c>
      <c r="H28" s="1133">
        <v>77</v>
      </c>
      <c r="I28" s="1113">
        <v>102</v>
      </c>
      <c r="J28" s="1157">
        <v>68</v>
      </c>
      <c r="K28" s="1110">
        <f>J28*(1+K30)</f>
        <v>47.599999999999994</v>
      </c>
      <c r="L28" s="1110">
        <f>K28*(1+L30)</f>
        <v>52.36</v>
      </c>
      <c r="M28" s="1110">
        <f>L28*(1+M30)</f>
        <v>57.596000000000004</v>
      </c>
      <c r="N28" s="1110">
        <f>M28*(1+N30)</f>
        <v>63.35560000000001</v>
      </c>
      <c r="O28" s="1110">
        <f>N28*(1+O30)</f>
        <v>69.691160000000011</v>
      </c>
      <c r="P28" s="1001">
        <f>G28/G12</f>
        <v>1.763803680981595E-2</v>
      </c>
      <c r="Q28" s="1001">
        <f t="shared" ref="Q28:S28" si="19">H28/H12</f>
        <v>1.7844727694090384E-2</v>
      </c>
      <c r="R28" s="1001">
        <f t="shared" si="19"/>
        <v>2.4326258049129502E-2</v>
      </c>
      <c r="S28" s="1001">
        <f t="shared" si="19"/>
        <v>2.2258592471358429E-2</v>
      </c>
      <c r="T28" s="1001">
        <f>AVERAGE(P28:S28)</f>
        <v>2.0516903756098565E-2</v>
      </c>
      <c r="U28" s="1130"/>
    </row>
    <row r="29" spans="1:34" x14ac:dyDescent="0.3">
      <c r="A29" s="1121" t="s">
        <v>252</v>
      </c>
      <c r="B29" s="1121"/>
      <c r="C29" s="1121"/>
      <c r="D29" s="1121"/>
      <c r="E29" s="1121"/>
      <c r="F29" s="1110"/>
      <c r="G29" s="1155">
        <f t="shared" ref="G29" si="20">G28/G33</f>
        <v>5.8923996584116137E-2</v>
      </c>
      <c r="H29" s="1155">
        <f t="shared" ref="H29:N29" si="21">H28/H33</f>
        <v>7.5342465753424653E-2</v>
      </c>
      <c r="I29" s="1155">
        <f t="shared" si="21"/>
        <v>4.5760430686406457E-2</v>
      </c>
      <c r="J29" s="1155">
        <f t="shared" si="21"/>
        <v>8.2125603864734303E-2</v>
      </c>
      <c r="K29" s="1156">
        <f t="shared" si="21"/>
        <v>4.0240087919519815E-2</v>
      </c>
      <c r="L29" s="1156">
        <f t="shared" si="21"/>
        <v>3.690962921189906E-2</v>
      </c>
      <c r="M29" s="1156">
        <f t="shared" si="21"/>
        <v>3.5883748517200477E-2</v>
      </c>
      <c r="N29" s="1156">
        <f t="shared" si="21"/>
        <v>3.4296268668431759E-2</v>
      </c>
      <c r="O29" s="1156">
        <f>O28/O33</f>
        <v>3.1531368896143934E-2</v>
      </c>
      <c r="P29" s="1001"/>
      <c r="Q29" s="1001"/>
      <c r="R29" s="1001"/>
      <c r="S29" s="1001"/>
      <c r="U29" s="1130"/>
      <c r="W29" s="1118"/>
    </row>
    <row r="30" spans="1:34" x14ac:dyDescent="0.3">
      <c r="A30" s="1121" t="s">
        <v>251</v>
      </c>
      <c r="B30" s="1121"/>
      <c r="C30" s="1121"/>
      <c r="D30" s="1121"/>
      <c r="E30" s="1121"/>
      <c r="F30" s="1110"/>
      <c r="G30" s="1155">
        <f>G28/F28-1</f>
        <v>-7.2727272727272725</v>
      </c>
      <c r="H30" s="1155">
        <f>H28/G28-1</f>
        <v>0.11594202898550732</v>
      </c>
      <c r="I30" s="1155">
        <f>I28/H28-1</f>
        <v>0.32467532467532467</v>
      </c>
      <c r="J30" s="1155">
        <f>J28/I28-1</f>
        <v>-0.33333333333333337</v>
      </c>
      <c r="K30" s="1158">
        <v>-0.3</v>
      </c>
      <c r="L30" s="1158">
        <v>0.1</v>
      </c>
      <c r="M30" s="1158">
        <v>0.1</v>
      </c>
      <c r="N30" s="1158">
        <v>0.1</v>
      </c>
      <c r="O30" s="1158">
        <v>0.1</v>
      </c>
      <c r="S30" s="851" t="s">
        <v>618</v>
      </c>
      <c r="U30" s="1130"/>
      <c r="W30" s="1134"/>
      <c r="X30" s="1018"/>
      <c r="Y30" s="1018"/>
      <c r="Z30" s="1018"/>
      <c r="AA30" s="1018"/>
      <c r="AB30" s="1018"/>
      <c r="AC30" s="1018"/>
    </row>
    <row r="31" spans="1:34" x14ac:dyDescent="0.3">
      <c r="A31" s="1153" t="s">
        <v>29</v>
      </c>
      <c r="B31" s="1153"/>
      <c r="C31" s="1153"/>
      <c r="D31" s="1153"/>
      <c r="E31" s="1153"/>
      <c r="F31" s="1110">
        <v>-5</v>
      </c>
      <c r="G31" s="1132">
        <v>-24</v>
      </c>
      <c r="H31" s="1133">
        <v>-122</v>
      </c>
      <c r="I31" s="1113">
        <v>-123</v>
      </c>
      <c r="J31" s="1157">
        <v>-84</v>
      </c>
      <c r="K31" s="1110">
        <v>-60</v>
      </c>
      <c r="L31" s="1110">
        <v>-60</v>
      </c>
      <c r="M31" s="1110">
        <v>-30</v>
      </c>
      <c r="N31" s="1110">
        <v>-30</v>
      </c>
      <c r="O31" s="1110">
        <v>-30</v>
      </c>
      <c r="U31" s="1130"/>
      <c r="W31" s="1136"/>
    </row>
    <row r="32" spans="1:34" x14ac:dyDescent="0.3">
      <c r="A32" s="1160" t="s">
        <v>30</v>
      </c>
      <c r="B32" s="1153"/>
      <c r="C32" s="1153"/>
      <c r="D32" s="1153"/>
      <c r="E32" s="1153"/>
      <c r="F32" s="1110"/>
      <c r="G32" s="1132">
        <v>0</v>
      </c>
      <c r="H32" s="1133">
        <v>2</v>
      </c>
      <c r="I32" s="1113">
        <v>-2</v>
      </c>
      <c r="J32" s="1157">
        <v>1</v>
      </c>
      <c r="K32" s="1110">
        <v>1</v>
      </c>
      <c r="L32" s="1110">
        <v>1</v>
      </c>
      <c r="M32" s="1110">
        <v>1</v>
      </c>
      <c r="N32" s="1110">
        <v>1</v>
      </c>
      <c r="O32" s="1110">
        <v>1</v>
      </c>
      <c r="U32" s="1130"/>
    </row>
    <row r="33" spans="1:29" x14ac:dyDescent="0.3">
      <c r="A33" s="1161" t="s">
        <v>247</v>
      </c>
      <c r="B33" s="1162"/>
      <c r="C33" s="1162"/>
      <c r="D33" s="1162"/>
      <c r="E33" s="1162"/>
      <c r="F33" s="1139"/>
      <c r="G33" s="1140">
        <v>1171</v>
      </c>
      <c r="H33" s="1140">
        <v>1022</v>
      </c>
      <c r="I33" s="1141">
        <v>2229</v>
      </c>
      <c r="J33" s="1163">
        <v>828</v>
      </c>
      <c r="K33" s="1139">
        <f>K22+K25+K28+K31+K32</f>
        <v>1182.9000000000001</v>
      </c>
      <c r="L33" s="1139">
        <f>L22+L25+L28+L31+L32</f>
        <v>1418.6</v>
      </c>
      <c r="M33" s="1139">
        <f>M22+M25+M28+M31+M32</f>
        <v>1605.0720000000001</v>
      </c>
      <c r="N33" s="1139">
        <f>N22+N25+N28+N31+N32</f>
        <v>1847.3030000000003</v>
      </c>
      <c r="O33" s="1139">
        <f>O22+O25+O28+O31+O32</f>
        <v>2210.2167599999998</v>
      </c>
      <c r="P33" s="851" t="s">
        <v>619</v>
      </c>
    </row>
    <row r="34" spans="1:29" x14ac:dyDescent="0.3">
      <c r="A34" s="1164"/>
      <c r="B34" s="1164"/>
      <c r="C34" s="1164"/>
      <c r="D34" s="1164"/>
      <c r="E34" s="1164"/>
      <c r="F34" s="1165"/>
      <c r="G34" s="1111"/>
      <c r="H34" s="1111"/>
      <c r="I34" s="1166"/>
      <c r="J34" s="1167"/>
      <c r="K34" s="1165"/>
      <c r="L34" s="1165"/>
      <c r="M34" s="1165"/>
      <c r="N34" s="1165"/>
      <c r="O34" s="1165"/>
    </row>
    <row r="35" spans="1:29" s="1018" customFormat="1" x14ac:dyDescent="0.3">
      <c r="A35" s="1168"/>
      <c r="B35" s="1168"/>
      <c r="C35" s="1168"/>
      <c r="D35" s="1168"/>
      <c r="E35" s="1168"/>
      <c r="G35" s="1168"/>
      <c r="H35" s="1168"/>
      <c r="I35" s="1168"/>
      <c r="J35" s="1168"/>
      <c r="K35" s="1169"/>
      <c r="L35" s="1169"/>
      <c r="M35" s="1169"/>
      <c r="N35" s="1169"/>
      <c r="O35" s="1169"/>
      <c r="U35" s="1170"/>
      <c r="W35" s="1012"/>
      <c r="X35" s="851"/>
      <c r="Y35" s="851"/>
      <c r="Z35" s="851"/>
      <c r="AA35" s="851"/>
      <c r="AB35" s="851"/>
      <c r="AC35" s="851"/>
    </row>
    <row r="36" spans="1:29" x14ac:dyDescent="0.3">
      <c r="A36" s="1160" t="s">
        <v>264</v>
      </c>
      <c r="B36" s="1171"/>
      <c r="C36" s="1171"/>
      <c r="D36" s="1171"/>
      <c r="E36" s="1171"/>
      <c r="F36" s="1172"/>
      <c r="G36" s="1173" t="s">
        <v>265</v>
      </c>
      <c r="H36" s="1174">
        <v>43112</v>
      </c>
      <c r="I36" s="1175" t="s">
        <v>249</v>
      </c>
      <c r="J36" s="1176" t="s">
        <v>250</v>
      </c>
      <c r="K36" s="1172"/>
      <c r="L36" s="1172"/>
      <c r="M36" s="1172"/>
      <c r="N36" s="1172"/>
      <c r="O36" s="1172"/>
    </row>
    <row r="37" spans="1:29" x14ac:dyDescent="0.3">
      <c r="A37" s="1153" t="s">
        <v>26</v>
      </c>
      <c r="B37" s="1153"/>
      <c r="C37" s="1153"/>
      <c r="D37" s="1153"/>
      <c r="E37" s="1153"/>
      <c r="F37" s="1110"/>
      <c r="G37" s="1132">
        <v>110</v>
      </c>
      <c r="H37" s="1133">
        <v>128</v>
      </c>
      <c r="I37" s="1113">
        <v>166</v>
      </c>
      <c r="J37" s="1113">
        <v>184</v>
      </c>
      <c r="K37" s="1110">
        <f>J37*(1+K39)</f>
        <v>202.4</v>
      </c>
      <c r="L37" s="1110">
        <f>K37*(1+L39)</f>
        <v>222.64000000000001</v>
      </c>
      <c r="M37" s="1110">
        <f>L37*(1+M39)</f>
        <v>244.90400000000002</v>
      </c>
      <c r="N37" s="1110">
        <f>M37*(1+N39)</f>
        <v>269.39440000000008</v>
      </c>
      <c r="O37" s="1110">
        <f>N37*(1+O39)</f>
        <v>296.33384000000012</v>
      </c>
    </row>
    <row r="38" spans="1:29" x14ac:dyDescent="0.3">
      <c r="A38" s="1121" t="s">
        <v>252</v>
      </c>
      <c r="B38" s="1121"/>
      <c r="C38" s="1121"/>
      <c r="D38" s="1121"/>
      <c r="E38" s="1121"/>
      <c r="F38" s="1110"/>
      <c r="G38" s="1123">
        <f t="shared" ref="G38:O38" si="22">G37/G48</f>
        <v>0.29649595687331537</v>
      </c>
      <c r="H38" s="1123">
        <f t="shared" si="22"/>
        <v>0.20846905537459284</v>
      </c>
      <c r="I38" s="1123">
        <f t="shared" si="22"/>
        <v>0.33067729083665337</v>
      </c>
      <c r="J38" s="1123">
        <f t="shared" si="22"/>
        <v>0.27058823529411763</v>
      </c>
      <c r="K38" s="1123">
        <f t="shared" si="22"/>
        <v>0.25006177415369413</v>
      </c>
      <c r="L38" s="1123">
        <f t="shared" si="22"/>
        <v>0.26835735981871656</v>
      </c>
      <c r="M38" s="1123">
        <f>M37/M48</f>
        <v>0.28747840132221475</v>
      </c>
      <c r="N38" s="1123">
        <f t="shared" si="22"/>
        <v>0.30738945844473681</v>
      </c>
      <c r="O38" s="1123">
        <f t="shared" si="22"/>
        <v>0.32804465733288601</v>
      </c>
    </row>
    <row r="39" spans="1:29" x14ac:dyDescent="0.3">
      <c r="A39" s="1121" t="s">
        <v>251</v>
      </c>
      <c r="B39" s="1121"/>
      <c r="C39" s="1121"/>
      <c r="D39" s="1121"/>
      <c r="E39" s="1121"/>
      <c r="F39" s="1110"/>
      <c r="G39" s="1123"/>
      <c r="H39" s="1123">
        <f>H37/G37-1</f>
        <v>0.16363636363636358</v>
      </c>
      <c r="I39" s="1123">
        <f>I37/H37-1</f>
        <v>0.296875</v>
      </c>
      <c r="J39" s="1123">
        <f>J37/I37-1</f>
        <v>0.10843373493975905</v>
      </c>
      <c r="K39" s="1177">
        <v>0.1</v>
      </c>
      <c r="L39" s="1177">
        <v>0.1</v>
      </c>
      <c r="M39" s="1177">
        <v>0.1</v>
      </c>
      <c r="N39" s="1177">
        <v>0.1</v>
      </c>
      <c r="O39" s="1177">
        <v>0.1</v>
      </c>
    </row>
    <row r="40" spans="1:29" x14ac:dyDescent="0.3">
      <c r="A40" s="1153" t="s">
        <v>27</v>
      </c>
      <c r="B40" s="1153"/>
      <c r="C40" s="1153"/>
      <c r="D40" s="1153"/>
      <c r="E40" s="1153"/>
      <c r="F40" s="1110"/>
      <c r="G40" s="1132">
        <v>213</v>
      </c>
      <c r="H40" s="1133">
        <v>345</v>
      </c>
      <c r="I40" s="1113">
        <v>232</v>
      </c>
      <c r="J40" s="1113">
        <v>425</v>
      </c>
      <c r="K40" s="1110">
        <v>515</v>
      </c>
      <c r="L40" s="1110">
        <v>515</v>
      </c>
      <c r="M40" s="1110">
        <v>515</v>
      </c>
      <c r="N40" s="1110">
        <v>515</v>
      </c>
      <c r="O40" s="1110">
        <v>515</v>
      </c>
    </row>
    <row r="41" spans="1:29" x14ac:dyDescent="0.3">
      <c r="A41" s="1121" t="s">
        <v>252</v>
      </c>
      <c r="B41" s="1121"/>
      <c r="C41" s="1121"/>
      <c r="D41" s="1121"/>
      <c r="E41" s="1121"/>
      <c r="F41" s="1110"/>
      <c r="G41" s="1123">
        <f t="shared" ref="G41:O41" si="23">G40/G48</f>
        <v>0.57412398921832886</v>
      </c>
      <c r="H41" s="1123">
        <f t="shared" si="23"/>
        <v>0.56188925081433228</v>
      </c>
      <c r="I41" s="1123">
        <f t="shared" si="23"/>
        <v>0.46215139442231074</v>
      </c>
      <c r="J41" s="1123">
        <f t="shared" si="23"/>
        <v>0.625</v>
      </c>
      <c r="K41" s="1123">
        <f t="shared" si="23"/>
        <v>0.63627378304917226</v>
      </c>
      <c r="L41" s="1123">
        <f t="shared" si="23"/>
        <v>0.62075116918181383</v>
      </c>
      <c r="M41" s="1123">
        <f t="shared" si="23"/>
        <v>0.60452820975133348</v>
      </c>
      <c r="N41" s="1123">
        <f t="shared" si="23"/>
        <v>0.58763497347769444</v>
      </c>
      <c r="O41" s="1123">
        <f t="shared" si="23"/>
        <v>0.57011038134030267</v>
      </c>
      <c r="P41" s="851" t="s">
        <v>266</v>
      </c>
    </row>
    <row r="42" spans="1:29" x14ac:dyDescent="0.3">
      <c r="A42" s="1121" t="s">
        <v>251</v>
      </c>
      <c r="B42" s="1121"/>
      <c r="C42" s="1121"/>
      <c r="D42" s="1121"/>
      <c r="E42" s="1121"/>
      <c r="F42" s="1110"/>
      <c r="G42" s="1123"/>
      <c r="H42" s="1123">
        <f t="shared" ref="H42:O42" si="24">H40/G40-1</f>
        <v>0.61971830985915499</v>
      </c>
      <c r="I42" s="1123">
        <f t="shared" si="24"/>
        <v>-0.327536231884058</v>
      </c>
      <c r="J42" s="1123">
        <f t="shared" si="24"/>
        <v>0.8318965517241379</v>
      </c>
      <c r="K42" s="1123">
        <f t="shared" si="24"/>
        <v>0.21176470588235285</v>
      </c>
      <c r="L42" s="1123">
        <f t="shared" si="24"/>
        <v>0</v>
      </c>
      <c r="M42" s="1123">
        <f t="shared" si="24"/>
        <v>0</v>
      </c>
      <c r="N42" s="1123">
        <f t="shared" si="24"/>
        <v>0</v>
      </c>
      <c r="O42" s="1123">
        <f t="shared" si="24"/>
        <v>0</v>
      </c>
    </row>
    <row r="43" spans="1:29" x14ac:dyDescent="0.3">
      <c r="A43" s="1153" t="s">
        <v>28</v>
      </c>
      <c r="B43" s="1153"/>
      <c r="C43" s="1153"/>
      <c r="D43" s="1153"/>
      <c r="E43" s="1153"/>
      <c r="F43" s="1110"/>
      <c r="G43" s="1132">
        <v>25</v>
      </c>
      <c r="H43" s="1133">
        <v>25</v>
      </c>
      <c r="I43" s="1113">
        <v>33</v>
      </c>
      <c r="J43" s="1113">
        <v>28</v>
      </c>
      <c r="K43" s="1178">
        <f>J43</f>
        <v>28</v>
      </c>
      <c r="L43" s="1178">
        <f>K43</f>
        <v>28</v>
      </c>
      <c r="M43" s="1178">
        <f>L43</f>
        <v>28</v>
      </c>
      <c r="N43" s="1178">
        <f>M43</f>
        <v>28</v>
      </c>
      <c r="O43" s="1178">
        <f>N43</f>
        <v>28</v>
      </c>
      <c r="P43" s="851" t="s">
        <v>267</v>
      </c>
    </row>
    <row r="44" spans="1:29" x14ac:dyDescent="0.3">
      <c r="A44" s="1121" t="s">
        <v>252</v>
      </c>
      <c r="B44" s="1121"/>
      <c r="C44" s="1121"/>
      <c r="D44" s="1121"/>
      <c r="E44" s="1121"/>
      <c r="F44" s="1110"/>
      <c r="G44" s="1123">
        <f t="shared" ref="G44" si="25">G43/G48</f>
        <v>6.7385444743935305E-2</v>
      </c>
      <c r="H44" s="1123">
        <f t="shared" ref="H44:O44" si="26">H43/H48</f>
        <v>4.071661237785016E-2</v>
      </c>
      <c r="I44" s="1123">
        <f t="shared" si="26"/>
        <v>6.5737051792828682E-2</v>
      </c>
      <c r="J44" s="1123">
        <f t="shared" si="26"/>
        <v>4.1176470588235294E-2</v>
      </c>
      <c r="K44" s="1123">
        <f t="shared" si="26"/>
        <v>3.4593526068692863E-2</v>
      </c>
      <c r="L44" s="1123">
        <f t="shared" si="26"/>
        <v>3.3749578130273371E-2</v>
      </c>
      <c r="M44" s="1123">
        <f t="shared" si="26"/>
        <v>3.2867553151528811E-2</v>
      </c>
      <c r="N44" s="1123">
        <f t="shared" si="26"/>
        <v>3.1949085936651349E-2</v>
      </c>
      <c r="O44" s="1123">
        <f t="shared" si="26"/>
        <v>3.0996292577725192E-2</v>
      </c>
      <c r="W44" s="1134"/>
      <c r="X44" s="1018"/>
      <c r="Y44" s="1018"/>
      <c r="Z44" s="1018"/>
      <c r="AA44" s="1018"/>
      <c r="AB44" s="1018"/>
      <c r="AC44" s="1018"/>
    </row>
    <row r="45" spans="1:29" x14ac:dyDescent="0.3">
      <c r="A45" s="1121" t="s">
        <v>251</v>
      </c>
      <c r="B45" s="1121"/>
      <c r="C45" s="1121"/>
      <c r="D45" s="1121"/>
      <c r="E45" s="1121"/>
      <c r="F45" s="1110"/>
      <c r="G45" s="1123"/>
      <c r="H45" s="1123">
        <f t="shared" ref="H45:O45" si="27">H43/G43-1</f>
        <v>0</v>
      </c>
      <c r="I45" s="1123">
        <f t="shared" si="27"/>
        <v>0.32000000000000006</v>
      </c>
      <c r="J45" s="1123">
        <f t="shared" si="27"/>
        <v>-0.15151515151515149</v>
      </c>
      <c r="K45" s="1123">
        <f t="shared" si="27"/>
        <v>0</v>
      </c>
      <c r="L45" s="1123">
        <f t="shared" si="27"/>
        <v>0</v>
      </c>
      <c r="M45" s="1123">
        <f t="shared" si="27"/>
        <v>0</v>
      </c>
      <c r="N45" s="1123">
        <f t="shared" si="27"/>
        <v>0</v>
      </c>
      <c r="O45" s="1123">
        <f t="shared" si="27"/>
        <v>0</v>
      </c>
    </row>
    <row r="46" spans="1:29" x14ac:dyDescent="0.3">
      <c r="A46" s="1153" t="s">
        <v>29</v>
      </c>
      <c r="B46" s="1153"/>
      <c r="C46" s="1153"/>
      <c r="D46" s="1153"/>
      <c r="E46" s="1153"/>
      <c r="F46" s="1110"/>
      <c r="G46" s="1132">
        <v>24</v>
      </c>
      <c r="H46" s="1133">
        <v>116</v>
      </c>
      <c r="I46" s="1113">
        <v>71</v>
      </c>
      <c r="J46" s="1113">
        <v>43</v>
      </c>
      <c r="K46" s="1178">
        <v>64</v>
      </c>
      <c r="L46" s="1178">
        <v>64</v>
      </c>
      <c r="M46" s="1178">
        <v>64</v>
      </c>
      <c r="N46" s="1178">
        <v>64</v>
      </c>
      <c r="O46" s="1178">
        <v>64</v>
      </c>
      <c r="Q46" s="851" t="s">
        <v>268</v>
      </c>
      <c r="W46" s="1179"/>
      <c r="X46" s="1005"/>
      <c r="Y46" s="1005"/>
      <c r="Z46" s="1005"/>
      <c r="AA46" s="1005"/>
      <c r="AB46" s="1005"/>
      <c r="AC46" s="1005"/>
    </row>
    <row r="47" spans="1:29" x14ac:dyDescent="0.3">
      <c r="A47" s="1160" t="s">
        <v>30</v>
      </c>
      <c r="B47" s="1153"/>
      <c r="C47" s="1153"/>
      <c r="D47" s="1153"/>
      <c r="E47" s="1153"/>
      <c r="F47" s="1110"/>
      <c r="G47" s="1132">
        <v>0</v>
      </c>
      <c r="H47" s="1133">
        <v>0</v>
      </c>
      <c r="I47" s="1113">
        <v>0</v>
      </c>
      <c r="J47" s="1113">
        <v>0</v>
      </c>
      <c r="K47" s="1178">
        <f>J47</f>
        <v>0</v>
      </c>
      <c r="L47" s="1178">
        <f>K47</f>
        <v>0</v>
      </c>
      <c r="M47" s="1178">
        <f>L47</f>
        <v>0</v>
      </c>
      <c r="N47" s="1178">
        <f>M47</f>
        <v>0</v>
      </c>
      <c r="O47" s="1178">
        <f>N47</f>
        <v>0</v>
      </c>
      <c r="P47" s="851" t="s">
        <v>269</v>
      </c>
    </row>
    <row r="48" spans="1:29" x14ac:dyDescent="0.3">
      <c r="A48" s="1161" t="s">
        <v>247</v>
      </c>
      <c r="B48" s="1162"/>
      <c r="C48" s="1162"/>
      <c r="D48" s="1162"/>
      <c r="E48" s="1162"/>
      <c r="F48" s="1139"/>
      <c r="G48" s="1180">
        <v>371</v>
      </c>
      <c r="H48" s="1180">
        <v>614</v>
      </c>
      <c r="I48" s="1141">
        <v>502</v>
      </c>
      <c r="J48" s="1141">
        <v>680</v>
      </c>
      <c r="K48" s="1181">
        <f>K37+K40+K43+K46</f>
        <v>809.4</v>
      </c>
      <c r="L48" s="1181">
        <f>L37+L40+L43+L46</f>
        <v>829.64</v>
      </c>
      <c r="M48" s="1181">
        <f>M37+M40+M43+M46</f>
        <v>851.904</v>
      </c>
      <c r="N48" s="1181">
        <f>N37+N40+N43+N46</f>
        <v>876.39440000000013</v>
      </c>
      <c r="O48" s="1181">
        <f>O37+O40+O43+O46</f>
        <v>903.33384000000012</v>
      </c>
      <c r="Q48" s="1182">
        <f>AVERAGE(G46:J46)</f>
        <v>63.5</v>
      </c>
    </row>
    <row r="49" spans="1:29" s="1018" customFormat="1" x14ac:dyDescent="0.3">
      <c r="H49" s="1018">
        <f t="shared" ref="H49:N49" si="28">H37+H40+H43+H46</f>
        <v>614</v>
      </c>
      <c r="I49" s="1018">
        <f t="shared" si="28"/>
        <v>502</v>
      </c>
      <c r="J49" s="1018">
        <f t="shared" si="28"/>
        <v>680</v>
      </c>
      <c r="K49" s="1149">
        <f t="shared" si="28"/>
        <v>809.4</v>
      </c>
      <c r="L49" s="1149">
        <f t="shared" si="28"/>
        <v>829.64</v>
      </c>
      <c r="M49" s="1018">
        <f t="shared" si="28"/>
        <v>851.904</v>
      </c>
      <c r="N49" s="1018">
        <f t="shared" si="28"/>
        <v>876.39440000000013</v>
      </c>
      <c r="U49" s="1170"/>
      <c r="W49" s="1179"/>
      <c r="X49" s="1005"/>
      <c r="Y49" s="1005"/>
      <c r="Z49" s="1005"/>
      <c r="AA49" s="1005"/>
      <c r="AB49" s="1005"/>
      <c r="AC49" s="1005"/>
    </row>
    <row r="50" spans="1:29" x14ac:dyDescent="0.3">
      <c r="A50" s="1160" t="s">
        <v>270</v>
      </c>
      <c r="B50" s="1183"/>
      <c r="C50" s="1183"/>
      <c r="D50" s="1183"/>
      <c r="E50" s="1183"/>
      <c r="F50" s="1172"/>
      <c r="G50" s="1173" t="s">
        <v>265</v>
      </c>
      <c r="H50" s="1174">
        <v>43112</v>
      </c>
      <c r="I50" s="1175" t="s">
        <v>249</v>
      </c>
      <c r="J50" s="1176" t="s">
        <v>250</v>
      </c>
      <c r="K50" s="1172"/>
      <c r="L50" s="1172"/>
      <c r="M50" s="1172"/>
      <c r="N50" s="1172"/>
      <c r="O50" s="1172"/>
    </row>
    <row r="51" spans="1:29" s="1005" customFormat="1" x14ac:dyDescent="0.3">
      <c r="A51" s="1184" t="s">
        <v>26</v>
      </c>
      <c r="B51" s="1184"/>
      <c r="C51" s="1184"/>
      <c r="D51" s="1184"/>
      <c r="E51" s="1184"/>
      <c r="F51" s="1114"/>
      <c r="G51" s="1185">
        <v>122</v>
      </c>
      <c r="H51" s="1186">
        <v>159</v>
      </c>
      <c r="I51" s="1187">
        <v>424</v>
      </c>
      <c r="J51" s="1188">
        <v>804</v>
      </c>
      <c r="K51" s="1114">
        <f>J51*(1+K53)</f>
        <v>1085.4000000000001</v>
      </c>
      <c r="L51" s="1114">
        <f>K51*(1+L53)</f>
        <v>1465.2900000000002</v>
      </c>
      <c r="M51" s="1114">
        <f t="shared" ref="M51:O51" si="29">K51*(1+M53)</f>
        <v>1411.0200000000002</v>
      </c>
      <c r="N51" s="1114">
        <f t="shared" si="29"/>
        <v>1904.8770000000004</v>
      </c>
      <c r="O51" s="1114">
        <f t="shared" si="29"/>
        <v>1834.3260000000002</v>
      </c>
      <c r="U51" s="1189"/>
      <c r="W51" s="1012"/>
      <c r="X51" s="851"/>
      <c r="Y51" s="851"/>
      <c r="Z51" s="851"/>
      <c r="AA51" s="851"/>
      <c r="AB51" s="851"/>
      <c r="AC51" s="851"/>
    </row>
    <row r="52" spans="1:29" x14ac:dyDescent="0.3">
      <c r="A52" s="1121" t="s">
        <v>252</v>
      </c>
      <c r="B52" s="1121"/>
      <c r="C52" s="1121"/>
      <c r="D52" s="1121"/>
      <c r="E52" s="1121"/>
      <c r="F52" s="1110"/>
      <c r="G52" s="1155">
        <f>G51/G62</f>
        <v>0.22761194029850745</v>
      </c>
      <c r="H52" s="1155">
        <f>H51/H62</f>
        <v>0.36301369863013699</v>
      </c>
      <c r="I52" s="1155">
        <f>I51/I62</f>
        <v>0.47640449438202248</v>
      </c>
      <c r="J52" s="1155">
        <f>J51/J62</f>
        <v>0.67167919799498743</v>
      </c>
      <c r="K52" s="1156">
        <f>K51/K62</f>
        <v>0.76053673405038014</v>
      </c>
      <c r="L52" s="1156">
        <f t="shared" ref="L52:O52" si="30">L51/L62</f>
        <v>0.8307868943082517</v>
      </c>
      <c r="M52" s="1156">
        <f t="shared" si="30"/>
        <v>0.83461947791476443</v>
      </c>
      <c r="N52" s="1156">
        <f t="shared" si="30"/>
        <v>0.85905456057291407</v>
      </c>
      <c r="O52" s="1156">
        <f t="shared" si="30"/>
        <v>0.85169028940404812</v>
      </c>
      <c r="W52" s="1179"/>
      <c r="X52" s="1005"/>
      <c r="Y52" s="1005"/>
      <c r="Z52" s="1005"/>
      <c r="AA52" s="1005"/>
      <c r="AB52" s="1005"/>
      <c r="AC52" s="1005"/>
    </row>
    <row r="53" spans="1:29" x14ac:dyDescent="0.3">
      <c r="A53" s="1121" t="s">
        <v>251</v>
      </c>
      <c r="B53" s="1121"/>
      <c r="C53" s="1121"/>
      <c r="D53" s="1121"/>
      <c r="E53" s="1121"/>
      <c r="F53" s="1110"/>
      <c r="G53" s="1155"/>
      <c r="H53" s="1155">
        <f>H51/G51-1</f>
        <v>0.30327868852459017</v>
      </c>
      <c r="I53" s="1155">
        <f>I51/H51-1</f>
        <v>1.6666666666666665</v>
      </c>
      <c r="J53" s="1155">
        <f>J51/I51-1</f>
        <v>0.89622641509433953</v>
      </c>
      <c r="K53" s="1158">
        <v>0.35</v>
      </c>
      <c r="L53" s="1158">
        <v>0.35</v>
      </c>
      <c r="M53" s="1158">
        <v>0.3</v>
      </c>
      <c r="N53" s="1158">
        <v>0.3</v>
      </c>
      <c r="O53" s="1158">
        <v>0.3</v>
      </c>
    </row>
    <row r="54" spans="1:29" s="1005" customFormat="1" x14ac:dyDescent="0.3">
      <c r="A54" s="1190" t="s">
        <v>27</v>
      </c>
      <c r="B54" s="1184"/>
      <c r="C54" s="1184"/>
      <c r="D54" s="1184"/>
      <c r="E54" s="1184"/>
      <c r="F54" s="1114"/>
      <c r="G54" s="1185">
        <v>307</v>
      </c>
      <c r="H54" s="1186">
        <v>196</v>
      </c>
      <c r="I54" s="1187">
        <v>373</v>
      </c>
      <c r="J54" s="1188">
        <v>307</v>
      </c>
      <c r="K54" s="1114">
        <f>J54*(1+K56)</f>
        <v>260.95</v>
      </c>
      <c r="L54" s="1114">
        <f>K54*(1+L56)</f>
        <v>221.80749999999998</v>
      </c>
      <c r="M54" s="1114">
        <f t="shared" ref="M54:O54" si="31">L54*(1+M56)</f>
        <v>199.62674999999999</v>
      </c>
      <c r="N54" s="1114">
        <f t="shared" si="31"/>
        <v>229.57076249999997</v>
      </c>
      <c r="O54" s="1114">
        <f t="shared" si="31"/>
        <v>234.16217774999998</v>
      </c>
      <c r="U54" s="1189"/>
      <c r="W54" s="1012"/>
      <c r="X54" s="851"/>
      <c r="Y54" s="851"/>
      <c r="Z54" s="851"/>
      <c r="AA54" s="851"/>
      <c r="AB54" s="851"/>
      <c r="AC54" s="851"/>
    </row>
    <row r="55" spans="1:29" x14ac:dyDescent="0.3">
      <c r="A55" s="1121" t="s">
        <v>252</v>
      </c>
      <c r="B55" s="1121"/>
      <c r="C55" s="1121"/>
      <c r="D55" s="1121"/>
      <c r="E55" s="1121"/>
      <c r="F55" s="1110"/>
      <c r="G55" s="1155">
        <f>G54/G62</f>
        <v>0.57276119402985071</v>
      </c>
      <c r="H55" s="1155">
        <f>H54/H62</f>
        <v>0.44748858447488582</v>
      </c>
      <c r="I55" s="1155">
        <f>I54/I62</f>
        <v>0.41910112359550561</v>
      </c>
      <c r="J55" s="1155">
        <f>J54/J62</f>
        <v>0.25647451963241436</v>
      </c>
      <c r="K55" s="1156">
        <f>K54/K62</f>
        <v>0.18284693269803454</v>
      </c>
      <c r="L55" s="1156">
        <f t="shared" ref="L55:O55" si="32">L54/L62</f>
        <v>0.12575992742684211</v>
      </c>
      <c r="M55" s="1156">
        <f t="shared" si="32"/>
        <v>0.11807938502843417</v>
      </c>
      <c r="N55" s="1156">
        <f t="shared" si="32"/>
        <v>0.10353099465205694</v>
      </c>
      <c r="O55" s="1156">
        <f t="shared" si="32"/>
        <v>0.1087231238805859</v>
      </c>
    </row>
    <row r="56" spans="1:29" x14ac:dyDescent="0.3">
      <c r="A56" s="1121" t="s">
        <v>251</v>
      </c>
      <c r="B56" s="1121"/>
      <c r="C56" s="1121"/>
      <c r="D56" s="1121"/>
      <c r="E56" s="1121"/>
      <c r="F56" s="1110"/>
      <c r="G56" s="1155"/>
      <c r="H56" s="1155">
        <f>H54/G54-1</f>
        <v>-0.3615635179153095</v>
      </c>
      <c r="I56" s="1155">
        <f>I54/H54-1</f>
        <v>0.90306122448979598</v>
      </c>
      <c r="J56" s="1155">
        <f>J54/I54-1</f>
        <v>-0.17694369973190349</v>
      </c>
      <c r="K56" s="1158">
        <v>-0.15</v>
      </c>
      <c r="L56" s="1158">
        <v>-0.15</v>
      </c>
      <c r="M56" s="1158">
        <v>-0.1</v>
      </c>
      <c r="N56" s="1158">
        <v>0.15</v>
      </c>
      <c r="O56" s="1158">
        <v>0.02</v>
      </c>
    </row>
    <row r="57" spans="1:29" s="1005" customFormat="1" x14ac:dyDescent="0.3">
      <c r="A57" s="1184" t="s">
        <v>28</v>
      </c>
      <c r="B57" s="1184"/>
      <c r="C57" s="1184"/>
      <c r="D57" s="1184"/>
      <c r="E57" s="1184"/>
      <c r="F57" s="1114"/>
      <c r="G57" s="1185">
        <v>37</v>
      </c>
      <c r="H57" s="1186">
        <v>28</v>
      </c>
      <c r="I57" s="1187">
        <v>37</v>
      </c>
      <c r="J57" s="1188">
        <v>26</v>
      </c>
      <c r="K57" s="1114">
        <f>J57*(1+K59)</f>
        <v>20.8</v>
      </c>
      <c r="L57" s="1114">
        <f t="shared" ref="L57:O57" si="33">K57*(1+L59)</f>
        <v>16.64</v>
      </c>
      <c r="M57" s="1114">
        <f t="shared" si="33"/>
        <v>19.968</v>
      </c>
      <c r="N57" s="1114">
        <f t="shared" si="33"/>
        <v>22.963199999999997</v>
      </c>
      <c r="O57" s="1114">
        <f t="shared" si="33"/>
        <v>25.259519999999998</v>
      </c>
      <c r="U57" s="1189"/>
      <c r="W57" s="1179"/>
    </row>
    <row r="58" spans="1:29" x14ac:dyDescent="0.3">
      <c r="A58" s="1121" t="s">
        <v>252</v>
      </c>
      <c r="B58" s="1121"/>
      <c r="C58" s="1121"/>
      <c r="D58" s="1121"/>
      <c r="E58" s="1121"/>
      <c r="F58" s="1110"/>
      <c r="G58" s="1155">
        <f>G57/G62</f>
        <v>6.9029850746268662E-2</v>
      </c>
      <c r="H58" s="1155">
        <f t="shared" ref="H58:J58" si="34">H57/H62</f>
        <v>6.3926940639269403E-2</v>
      </c>
      <c r="I58" s="1155">
        <f t="shared" si="34"/>
        <v>4.1573033707865172E-2</v>
      </c>
      <c r="J58" s="1155">
        <f t="shared" si="34"/>
        <v>2.1720969089390141E-2</v>
      </c>
      <c r="K58" s="1156">
        <f>K57/K62</f>
        <v>1.4574501629120974E-2</v>
      </c>
      <c r="L58" s="1156">
        <f t="shared" ref="L58:O58" si="35">L57/L62</f>
        <v>9.4345105209817214E-3</v>
      </c>
      <c r="M58" s="1156">
        <f t="shared" si="35"/>
        <v>1.1811088244675493E-2</v>
      </c>
      <c r="N58" s="1156">
        <f t="shared" si="35"/>
        <v>1.0355861131898771E-2</v>
      </c>
      <c r="O58" s="1156">
        <f t="shared" si="35"/>
        <v>1.1728170401012327E-2</v>
      </c>
    </row>
    <row r="59" spans="1:29" x14ac:dyDescent="0.3">
      <c r="A59" s="1121" t="s">
        <v>251</v>
      </c>
      <c r="B59" s="1121"/>
      <c r="C59" s="1121"/>
      <c r="D59" s="1121"/>
      <c r="E59" s="1121"/>
      <c r="F59" s="1110"/>
      <c r="G59" s="1155"/>
      <c r="H59" s="1155">
        <f>H57/G57-1</f>
        <v>-0.2432432432432432</v>
      </c>
      <c r="I59" s="1155">
        <f>I57/H57-1</f>
        <v>0.3214285714285714</v>
      </c>
      <c r="J59" s="1155">
        <f>J57/I57-1</f>
        <v>-0.29729729729729726</v>
      </c>
      <c r="K59" s="1158">
        <v>-0.2</v>
      </c>
      <c r="L59" s="1158">
        <v>-0.2</v>
      </c>
      <c r="M59" s="1158">
        <v>0.2</v>
      </c>
      <c r="N59" s="1158">
        <v>0.15</v>
      </c>
      <c r="O59" s="1158">
        <v>0.1</v>
      </c>
    </row>
    <row r="60" spans="1:29" x14ac:dyDescent="0.3">
      <c r="A60" s="1153" t="s">
        <v>29</v>
      </c>
      <c r="B60" s="1191"/>
      <c r="C60" s="1191"/>
      <c r="D60" s="1191"/>
      <c r="E60" s="1191"/>
      <c r="F60" s="1110"/>
      <c r="G60" s="1132">
        <v>70</v>
      </c>
      <c r="H60" s="1133">
        <v>55</v>
      </c>
      <c r="I60" s="1192">
        <v>56</v>
      </c>
      <c r="J60" s="1113">
        <v>60</v>
      </c>
      <c r="K60" s="1110">
        <v>60</v>
      </c>
      <c r="L60" s="1110">
        <v>60</v>
      </c>
      <c r="M60" s="1110">
        <v>60</v>
      </c>
      <c r="N60" s="1110">
        <v>60</v>
      </c>
      <c r="O60" s="1110">
        <v>60</v>
      </c>
    </row>
    <row r="61" spans="1:29" x14ac:dyDescent="0.3">
      <c r="A61" s="1160" t="s">
        <v>30</v>
      </c>
      <c r="B61" s="1191"/>
      <c r="C61" s="1191"/>
      <c r="D61" s="1191"/>
      <c r="E61" s="1191"/>
      <c r="F61" s="1110"/>
      <c r="G61" s="1132">
        <v>0</v>
      </c>
      <c r="H61" s="1133">
        <v>0</v>
      </c>
      <c r="I61" s="1192">
        <v>0</v>
      </c>
      <c r="J61" s="1113">
        <v>0</v>
      </c>
      <c r="K61" s="1110">
        <v>0</v>
      </c>
      <c r="L61" s="1110">
        <v>0</v>
      </c>
      <c r="M61" s="1110">
        <v>0</v>
      </c>
      <c r="N61" s="1110">
        <v>0</v>
      </c>
      <c r="O61" s="1110">
        <v>0</v>
      </c>
    </row>
    <row r="62" spans="1:29" s="1005" customFormat="1" x14ac:dyDescent="0.3">
      <c r="A62" s="1193" t="s">
        <v>247</v>
      </c>
      <c r="B62" s="1194"/>
      <c r="C62" s="1194"/>
      <c r="D62" s="1194"/>
      <c r="E62" s="1194"/>
      <c r="F62" s="1195"/>
      <c r="G62" s="1004">
        <v>536</v>
      </c>
      <c r="H62" s="1004">
        <v>438</v>
      </c>
      <c r="I62" s="1196">
        <v>890</v>
      </c>
      <c r="J62" s="1197">
        <v>1197</v>
      </c>
      <c r="K62" s="1195">
        <f>K51+K54+K57+K60+K61</f>
        <v>1427.15</v>
      </c>
      <c r="L62" s="1195">
        <f t="shared" ref="L62:O62" si="36">L51+L54+L57+L60+L61</f>
        <v>1763.7375000000002</v>
      </c>
      <c r="M62" s="1195">
        <f t="shared" si="36"/>
        <v>1690.6147500000002</v>
      </c>
      <c r="N62" s="1195">
        <f t="shared" si="36"/>
        <v>2217.4109625000006</v>
      </c>
      <c r="O62" s="1195">
        <f t="shared" si="36"/>
        <v>2153.7476977500005</v>
      </c>
      <c r="U62" s="1189"/>
      <c r="W62" s="1012"/>
      <c r="X62" s="851"/>
      <c r="Y62" s="851"/>
      <c r="Z62" s="851"/>
      <c r="AA62" s="851"/>
      <c r="AB62" s="851"/>
      <c r="AC62" s="851"/>
    </row>
    <row r="63" spans="1:29" x14ac:dyDescent="0.3">
      <c r="G63" s="1018"/>
      <c r="H63" s="1018"/>
      <c r="I63" s="1018"/>
      <c r="J63" s="1018"/>
    </row>
    <row r="64" spans="1:29" x14ac:dyDescent="0.3">
      <c r="G64" s="1018"/>
      <c r="H64" s="1018"/>
      <c r="I64" s="1018"/>
      <c r="J64" s="1018"/>
    </row>
    <row r="65" spans="1:14" x14ac:dyDescent="0.3">
      <c r="E65" s="1198"/>
      <c r="F65" s="1198">
        <v>42747</v>
      </c>
      <c r="G65" s="1199">
        <v>43112</v>
      </c>
      <c r="H65" s="1199">
        <v>43477</v>
      </c>
      <c r="I65" s="1199">
        <v>43842</v>
      </c>
      <c r="J65" s="1018"/>
    </row>
    <row r="66" spans="1:14" x14ac:dyDescent="0.3">
      <c r="A66" s="851" t="s">
        <v>78</v>
      </c>
      <c r="F66" s="851">
        <v>-104</v>
      </c>
      <c r="G66" s="1018">
        <v>90</v>
      </c>
      <c r="H66" s="1018">
        <f t="shared" ref="H66:N66" si="37">SUM(H67:H69)</f>
        <v>-780</v>
      </c>
      <c r="I66" s="1018">
        <f t="shared" si="37"/>
        <v>658</v>
      </c>
      <c r="J66" s="1018">
        <f t="shared" si="37"/>
        <v>24</v>
      </c>
      <c r="K66" s="851">
        <f t="shared" si="37"/>
        <v>24</v>
      </c>
      <c r="L66" s="851">
        <f t="shared" si="37"/>
        <v>260</v>
      </c>
      <c r="M66" s="851">
        <f t="shared" si="37"/>
        <v>260</v>
      </c>
      <c r="N66" s="851">
        <f t="shared" si="37"/>
        <v>260</v>
      </c>
    </row>
    <row r="67" spans="1:14" x14ac:dyDescent="0.3">
      <c r="A67" s="851" t="s">
        <v>271</v>
      </c>
      <c r="F67" s="851">
        <v>-111</v>
      </c>
      <c r="G67" s="1018">
        <v>-44</v>
      </c>
      <c r="H67" s="1018">
        <v>-787</v>
      </c>
      <c r="I67" s="1018">
        <v>735</v>
      </c>
      <c r="J67" s="1018">
        <v>100</v>
      </c>
      <c r="K67" s="851">
        <v>100</v>
      </c>
      <c r="L67" s="851">
        <v>100</v>
      </c>
      <c r="M67" s="851">
        <v>100</v>
      </c>
      <c r="N67" s="851">
        <v>100</v>
      </c>
    </row>
    <row r="68" spans="1:14" x14ac:dyDescent="0.3">
      <c r="A68" s="851" t="s">
        <v>272</v>
      </c>
      <c r="F68" s="851">
        <v>-155</v>
      </c>
      <c r="G68" s="1018">
        <v>83</v>
      </c>
      <c r="H68" s="1018">
        <v>-197</v>
      </c>
      <c r="I68" s="1018">
        <v>-176</v>
      </c>
      <c r="J68" s="1018">
        <v>-176</v>
      </c>
      <c r="K68" s="851">
        <v>-176</v>
      </c>
      <c r="L68" s="851">
        <v>100</v>
      </c>
      <c r="M68" s="851">
        <v>100</v>
      </c>
      <c r="N68" s="851">
        <v>100</v>
      </c>
    </row>
    <row r="69" spans="1:14" x14ac:dyDescent="0.3">
      <c r="A69" s="851" t="s">
        <v>273</v>
      </c>
      <c r="F69" s="851">
        <v>162</v>
      </c>
      <c r="G69" s="1018">
        <v>60</v>
      </c>
      <c r="H69" s="1018">
        <v>204</v>
      </c>
      <c r="I69" s="1018">
        <v>99</v>
      </c>
      <c r="J69" s="1018">
        <v>100</v>
      </c>
      <c r="K69" s="851">
        <v>100</v>
      </c>
      <c r="L69" s="851">
        <v>60</v>
      </c>
      <c r="M69" s="851">
        <v>60</v>
      </c>
      <c r="N69" s="851">
        <v>60</v>
      </c>
    </row>
    <row r="70" spans="1:14" ht="15.6" x14ac:dyDescent="0.3">
      <c r="A70" s="851" t="s">
        <v>274</v>
      </c>
      <c r="G70" s="1200">
        <v>858</v>
      </c>
      <c r="H70" s="1201">
        <v>1595</v>
      </c>
      <c r="I70" s="1201">
        <v>1125</v>
      </c>
      <c r="J70" s="1202">
        <f>J71*K17/365</f>
        <v>872.97075152247214</v>
      </c>
      <c r="K70" s="1203">
        <f>K71*L17/365</f>
        <v>1013.571850691084</v>
      </c>
      <c r="L70" s="1203">
        <f>L71*M17/365</f>
        <v>1181.5483865748552</v>
      </c>
      <c r="M70" s="1203">
        <f>M71*N17/365</f>
        <v>1370.4924778733089</v>
      </c>
      <c r="N70" s="1203">
        <f>N71*O17/365</f>
        <v>1614.1533533028867</v>
      </c>
    </row>
    <row r="71" spans="1:14" ht="15.6" x14ac:dyDescent="0.3">
      <c r="A71" s="851" t="s">
        <v>275</v>
      </c>
      <c r="F71" s="1204">
        <v>26.9</v>
      </c>
      <c r="G71" s="1204">
        <v>21</v>
      </c>
      <c r="H71" s="1205">
        <v>36.700000000000003</v>
      </c>
      <c r="I71" s="1205">
        <v>35</v>
      </c>
      <c r="J71" s="1018">
        <v>35</v>
      </c>
      <c r="K71" s="851">
        <v>35</v>
      </c>
      <c r="L71" s="851">
        <v>35</v>
      </c>
      <c r="M71" s="851">
        <v>35</v>
      </c>
      <c r="N71" s="851">
        <v>35</v>
      </c>
    </row>
    <row r="72" spans="1:14" x14ac:dyDescent="0.3">
      <c r="G72" s="1018"/>
      <c r="H72" s="1018"/>
      <c r="I72" s="1018"/>
      <c r="J72" s="1018"/>
    </row>
    <row r="73" spans="1:14" x14ac:dyDescent="0.3">
      <c r="G73" s="1018"/>
      <c r="H73" s="1018"/>
      <c r="I73" s="1018"/>
      <c r="J73" s="1018"/>
    </row>
    <row r="74" spans="1:14" x14ac:dyDescent="0.3">
      <c r="G74" s="1018"/>
      <c r="H74" s="1018"/>
      <c r="I74" s="1018"/>
      <c r="J74" s="1018"/>
    </row>
    <row r="75" spans="1:14" x14ac:dyDescent="0.3">
      <c r="G75" s="1018"/>
      <c r="H75" s="1018"/>
      <c r="I75" s="1018"/>
      <c r="J75" s="1018"/>
    </row>
    <row r="76" spans="1:14" x14ac:dyDescent="0.3">
      <c r="G76" s="1018"/>
      <c r="H76" s="1018"/>
      <c r="I76" s="1018"/>
      <c r="J76" s="1018"/>
    </row>
    <row r="77" spans="1:14" x14ac:dyDescent="0.3">
      <c r="G77" s="1018"/>
      <c r="H77" s="1018"/>
      <c r="I77" s="1018"/>
      <c r="J77" s="1018"/>
    </row>
    <row r="78" spans="1:14" x14ac:dyDescent="0.3">
      <c r="G78" s="1018"/>
      <c r="H78" s="1018"/>
      <c r="I78" s="1018"/>
      <c r="J78" s="1018"/>
    </row>
    <row r="79" spans="1:14" x14ac:dyDescent="0.3">
      <c r="G79" s="1018"/>
      <c r="H79" s="1018"/>
      <c r="I79" s="1018"/>
      <c r="J79" s="1018"/>
    </row>
    <row r="80" spans="1:14" x14ac:dyDescent="0.3">
      <c r="G80" s="1018"/>
      <c r="H80" s="1018"/>
      <c r="I80" s="1018"/>
      <c r="J80" s="1018"/>
    </row>
    <row r="81" spans="7:10" x14ac:dyDescent="0.3">
      <c r="G81" s="1018"/>
      <c r="H81" s="1018"/>
      <c r="I81" s="1018"/>
      <c r="J81" s="1018"/>
    </row>
    <row r="82" spans="7:10" x14ac:dyDescent="0.3">
      <c r="G82" s="1018"/>
      <c r="H82" s="1018"/>
      <c r="I82" s="1018"/>
      <c r="J82" s="1018"/>
    </row>
    <row r="83" spans="7:10" x14ac:dyDescent="0.3">
      <c r="G83" s="1018"/>
      <c r="H83" s="1018"/>
      <c r="I83" s="1018"/>
      <c r="J83" s="1018"/>
    </row>
    <row r="84" spans="7:10" x14ac:dyDescent="0.3">
      <c r="G84" s="1018"/>
      <c r="H84" s="1018"/>
      <c r="I84" s="1018"/>
      <c r="J84" s="1018"/>
    </row>
    <row r="85" spans="7:10" x14ac:dyDescent="0.3">
      <c r="G85" s="1018"/>
      <c r="H85" s="1018"/>
      <c r="I85" s="1018"/>
      <c r="J85" s="1018"/>
    </row>
    <row r="86" spans="7:10" x14ac:dyDescent="0.3">
      <c r="G86" s="1018"/>
      <c r="H86" s="1018"/>
      <c r="I86" s="1018"/>
      <c r="J86" s="1018"/>
    </row>
    <row r="87" spans="7:10" x14ac:dyDescent="0.3">
      <c r="G87" s="1018"/>
      <c r="H87" s="1018"/>
      <c r="I87" s="1018"/>
      <c r="J87" s="1018"/>
    </row>
    <row r="88" spans="7:10" x14ac:dyDescent="0.3">
      <c r="G88" s="1018"/>
      <c r="H88" s="1018"/>
      <c r="I88" s="1018"/>
      <c r="J88" s="1018"/>
    </row>
    <row r="89" spans="7:10" x14ac:dyDescent="0.3">
      <c r="G89" s="1018"/>
      <c r="H89" s="1018"/>
      <c r="I89" s="1018"/>
      <c r="J89" s="1018"/>
    </row>
    <row r="90" spans="7:10" x14ac:dyDescent="0.3">
      <c r="G90" s="1018"/>
      <c r="H90" s="1018"/>
      <c r="I90" s="1018"/>
      <c r="J90" s="1018"/>
    </row>
    <row r="91" spans="7:10" x14ac:dyDescent="0.3">
      <c r="G91" s="1018"/>
      <c r="H91" s="1018"/>
      <c r="I91" s="1018"/>
      <c r="J91" s="1018"/>
    </row>
    <row r="92" spans="7:10" x14ac:dyDescent="0.3">
      <c r="G92" s="1018"/>
      <c r="H92" s="1018"/>
      <c r="I92" s="1018"/>
      <c r="J92" s="1018"/>
    </row>
    <row r="93" spans="7:10" x14ac:dyDescent="0.3">
      <c r="G93" s="1018"/>
      <c r="H93" s="1018"/>
      <c r="I93" s="1018"/>
      <c r="J93" s="1018"/>
    </row>
    <row r="94" spans="7:10" x14ac:dyDescent="0.3">
      <c r="G94" s="1018"/>
      <c r="H94" s="1018"/>
      <c r="I94" s="1018"/>
      <c r="J94" s="1018"/>
    </row>
    <row r="95" spans="7:10" x14ac:dyDescent="0.3">
      <c r="G95" s="1018"/>
      <c r="H95" s="1018"/>
      <c r="I95" s="1018"/>
      <c r="J95" s="1018"/>
    </row>
    <row r="96" spans="7:10" x14ac:dyDescent="0.3">
      <c r="G96" s="1018"/>
      <c r="H96" s="1018"/>
      <c r="I96" s="1018"/>
      <c r="J96" s="1018"/>
    </row>
    <row r="97" spans="7:10" x14ac:dyDescent="0.3">
      <c r="G97" s="1018"/>
      <c r="H97" s="1018"/>
      <c r="I97" s="1018"/>
      <c r="J97" s="1018"/>
    </row>
    <row r="98" spans="7:10" x14ac:dyDescent="0.3">
      <c r="G98" s="1018"/>
      <c r="H98" s="1018"/>
      <c r="I98" s="1018"/>
      <c r="J98" s="1018"/>
    </row>
    <row r="99" spans="7:10" x14ac:dyDescent="0.3">
      <c r="G99" s="1018"/>
      <c r="H99" s="1018"/>
      <c r="I99" s="1018"/>
      <c r="J99" s="1018"/>
    </row>
    <row r="100" spans="7:10" x14ac:dyDescent="0.3">
      <c r="G100" s="1018"/>
      <c r="H100" s="1018"/>
      <c r="I100" s="1018"/>
      <c r="J100" s="1018"/>
    </row>
    <row r="101" spans="7:10" x14ac:dyDescent="0.3">
      <c r="G101" s="1018"/>
      <c r="H101" s="1018"/>
      <c r="I101" s="1018"/>
      <c r="J101" s="1018"/>
    </row>
    <row r="102" spans="7:10" x14ac:dyDescent="0.3">
      <c r="G102" s="1018"/>
      <c r="H102" s="1018"/>
      <c r="I102" s="1018"/>
      <c r="J102" s="1018"/>
    </row>
    <row r="103" spans="7:10" x14ac:dyDescent="0.3">
      <c r="G103" s="1018"/>
      <c r="H103" s="1018"/>
      <c r="I103" s="1018"/>
      <c r="J103" s="1018"/>
    </row>
    <row r="104" spans="7:10" x14ac:dyDescent="0.3">
      <c r="G104" s="1018"/>
      <c r="H104" s="1018"/>
      <c r="I104" s="1018"/>
      <c r="J104" s="1018"/>
    </row>
    <row r="105" spans="7:10" x14ac:dyDescent="0.3">
      <c r="G105" s="1018"/>
      <c r="H105" s="1018"/>
      <c r="I105" s="1018"/>
      <c r="J105" s="1018"/>
    </row>
    <row r="106" spans="7:10" x14ac:dyDescent="0.3">
      <c r="G106" s="1018"/>
      <c r="H106" s="1018"/>
      <c r="I106" s="1018"/>
      <c r="J106" s="1018"/>
    </row>
    <row r="107" spans="7:10" x14ac:dyDescent="0.3">
      <c r="G107" s="1018"/>
      <c r="H107" s="1018"/>
      <c r="I107" s="1018"/>
      <c r="J107" s="1018"/>
    </row>
    <row r="108" spans="7:10" x14ac:dyDescent="0.3">
      <c r="G108" s="1018"/>
      <c r="H108" s="1018"/>
      <c r="I108" s="1018"/>
      <c r="J108" s="1018"/>
    </row>
    <row r="109" spans="7:10" x14ac:dyDescent="0.3">
      <c r="G109" s="1018"/>
      <c r="H109" s="1018"/>
      <c r="I109" s="1018"/>
      <c r="J109" s="1018"/>
    </row>
    <row r="110" spans="7:10" x14ac:dyDescent="0.3">
      <c r="G110" s="1018"/>
      <c r="H110" s="1018"/>
      <c r="I110" s="1018"/>
      <c r="J110" s="1018"/>
    </row>
    <row r="111" spans="7:10" x14ac:dyDescent="0.3">
      <c r="G111" s="1018"/>
      <c r="H111" s="1018"/>
      <c r="I111" s="1018"/>
      <c r="J111" s="1018"/>
    </row>
    <row r="112" spans="7:10" x14ac:dyDescent="0.3">
      <c r="G112" s="1018"/>
      <c r="H112" s="1018"/>
      <c r="I112" s="1018"/>
      <c r="J112" s="1018"/>
    </row>
    <row r="113" spans="7:10" x14ac:dyDescent="0.3">
      <c r="G113" s="1018"/>
      <c r="H113" s="1018"/>
      <c r="I113" s="1018"/>
      <c r="J113" s="1018"/>
    </row>
    <row r="114" spans="7:10" x14ac:dyDescent="0.3">
      <c r="G114" s="1018"/>
      <c r="H114" s="1018"/>
      <c r="I114" s="1018"/>
      <c r="J114" s="1018"/>
    </row>
    <row r="115" spans="7:10" x14ac:dyDescent="0.3">
      <c r="G115" s="1018"/>
      <c r="H115" s="1018"/>
      <c r="I115" s="1018"/>
      <c r="J115" s="1018"/>
    </row>
    <row r="116" spans="7:10" x14ac:dyDescent="0.3">
      <c r="G116" s="1018"/>
      <c r="H116" s="1018"/>
      <c r="I116" s="1018"/>
      <c r="J116" s="1018"/>
    </row>
    <row r="117" spans="7:10" x14ac:dyDescent="0.3">
      <c r="G117" s="1018"/>
      <c r="H117" s="1018"/>
      <c r="I117" s="1018"/>
      <c r="J117" s="1018"/>
    </row>
    <row r="118" spans="7:10" x14ac:dyDescent="0.3">
      <c r="G118" s="1018"/>
      <c r="H118" s="1018"/>
      <c r="I118" s="1018"/>
      <c r="J118" s="1018"/>
    </row>
    <row r="119" spans="7:10" x14ac:dyDescent="0.3">
      <c r="G119" s="1018"/>
      <c r="H119" s="1018"/>
      <c r="I119" s="1018"/>
      <c r="J119" s="1018"/>
    </row>
    <row r="120" spans="7:10" x14ac:dyDescent="0.3">
      <c r="G120" s="1018"/>
      <c r="H120" s="1018"/>
      <c r="I120" s="1018"/>
      <c r="J120" s="1018"/>
    </row>
    <row r="121" spans="7:10" x14ac:dyDescent="0.3">
      <c r="G121" s="1018"/>
      <c r="H121" s="1018"/>
      <c r="I121" s="1018"/>
      <c r="J121" s="1018"/>
    </row>
    <row r="122" spans="7:10" x14ac:dyDescent="0.3">
      <c r="G122" s="1018"/>
      <c r="H122" s="1018"/>
      <c r="I122" s="1018"/>
      <c r="J122" s="1018"/>
    </row>
    <row r="123" spans="7:10" x14ac:dyDescent="0.3">
      <c r="G123" s="1018"/>
      <c r="H123" s="1018"/>
      <c r="I123" s="1018"/>
      <c r="J123" s="1018"/>
    </row>
    <row r="124" spans="7:10" x14ac:dyDescent="0.3">
      <c r="G124" s="1018"/>
      <c r="H124" s="1018"/>
      <c r="I124" s="1018"/>
      <c r="J124" s="1018"/>
    </row>
    <row r="125" spans="7:10" x14ac:dyDescent="0.3">
      <c r="G125" s="1018"/>
      <c r="H125" s="1018"/>
      <c r="I125" s="1018"/>
      <c r="J125" s="1018"/>
    </row>
    <row r="126" spans="7:10" x14ac:dyDescent="0.3">
      <c r="G126" s="1018"/>
      <c r="H126" s="1018"/>
      <c r="I126" s="1018"/>
      <c r="J126" s="1018"/>
    </row>
    <row r="127" spans="7:10" x14ac:dyDescent="0.3">
      <c r="G127" s="1018"/>
      <c r="H127" s="1018"/>
      <c r="I127" s="1018"/>
      <c r="J127" s="1018"/>
    </row>
    <row r="128" spans="7:10" x14ac:dyDescent="0.3">
      <c r="G128" s="1018"/>
      <c r="H128" s="1018"/>
      <c r="I128" s="1018"/>
      <c r="J128" s="1018"/>
    </row>
    <row r="129" spans="7:10" x14ac:dyDescent="0.3">
      <c r="G129" s="1018"/>
      <c r="H129" s="1018"/>
      <c r="I129" s="1018"/>
      <c r="J129" s="1018"/>
    </row>
    <row r="130" spans="7:10" x14ac:dyDescent="0.3">
      <c r="G130" s="1018"/>
      <c r="H130" s="1018"/>
      <c r="I130" s="1018"/>
      <c r="J130" s="1018"/>
    </row>
    <row r="131" spans="7:10" x14ac:dyDescent="0.3">
      <c r="G131" s="1018"/>
      <c r="H131" s="1018"/>
      <c r="I131" s="1018"/>
      <c r="J131" s="1018"/>
    </row>
    <row r="132" spans="7:10" x14ac:dyDescent="0.3">
      <c r="G132" s="1018"/>
      <c r="H132" s="1018"/>
      <c r="I132" s="1018"/>
      <c r="J132" s="1018"/>
    </row>
    <row r="133" spans="7:10" x14ac:dyDescent="0.3">
      <c r="G133" s="1018"/>
      <c r="H133" s="1018"/>
      <c r="I133" s="1018"/>
      <c r="J133" s="1018"/>
    </row>
    <row r="134" spans="7:10" x14ac:dyDescent="0.3">
      <c r="G134" s="1018"/>
      <c r="H134" s="1018"/>
      <c r="I134" s="1018"/>
      <c r="J134" s="1018"/>
    </row>
    <row r="135" spans="7:10" x14ac:dyDescent="0.3">
      <c r="G135" s="1018"/>
      <c r="H135" s="1018"/>
      <c r="I135" s="1018"/>
      <c r="J135" s="1018"/>
    </row>
    <row r="136" spans="7:10" x14ac:dyDescent="0.3">
      <c r="G136" s="1018"/>
      <c r="H136" s="1018"/>
      <c r="I136" s="1018"/>
      <c r="J136" s="1018"/>
    </row>
    <row r="137" spans="7:10" x14ac:dyDescent="0.3">
      <c r="G137" s="1018"/>
      <c r="H137" s="1018"/>
      <c r="I137" s="1018"/>
      <c r="J137" s="1018"/>
    </row>
    <row r="138" spans="7:10" x14ac:dyDescent="0.3">
      <c r="G138" s="1018"/>
      <c r="H138" s="1018"/>
      <c r="I138" s="1018"/>
      <c r="J138" s="1018"/>
    </row>
    <row r="139" spans="7:10" x14ac:dyDescent="0.3">
      <c r="G139" s="1018"/>
      <c r="H139" s="1018"/>
      <c r="I139" s="1018"/>
      <c r="J139" s="1018"/>
    </row>
    <row r="140" spans="7:10" x14ac:dyDescent="0.3">
      <c r="G140" s="1018"/>
      <c r="H140" s="1018"/>
      <c r="I140" s="1018"/>
      <c r="J140" s="1018"/>
    </row>
    <row r="141" spans="7:10" x14ac:dyDescent="0.3">
      <c r="G141" s="1018"/>
      <c r="H141" s="1018"/>
      <c r="I141" s="1018"/>
      <c r="J141" s="1018"/>
    </row>
    <row r="142" spans="7:10" x14ac:dyDescent="0.3">
      <c r="G142" s="1018"/>
      <c r="H142" s="1018"/>
      <c r="I142" s="1018"/>
      <c r="J142" s="1018"/>
    </row>
    <row r="143" spans="7:10" x14ac:dyDescent="0.3">
      <c r="G143" s="1018"/>
      <c r="H143" s="1018"/>
      <c r="I143" s="1018"/>
      <c r="J143" s="1018"/>
    </row>
    <row r="144" spans="7:10" x14ac:dyDescent="0.3">
      <c r="G144" s="1018"/>
      <c r="H144" s="1018"/>
      <c r="I144" s="1018"/>
      <c r="J144" s="1018"/>
    </row>
    <row r="145" spans="7:10" x14ac:dyDescent="0.3">
      <c r="G145" s="1018"/>
      <c r="H145" s="1018"/>
      <c r="I145" s="1018"/>
      <c r="J145" s="1018"/>
    </row>
    <row r="146" spans="7:10" x14ac:dyDescent="0.3">
      <c r="G146" s="1018"/>
      <c r="H146" s="1018"/>
      <c r="I146" s="1018"/>
      <c r="J146" s="1018"/>
    </row>
    <row r="147" spans="7:10" x14ac:dyDescent="0.3">
      <c r="G147" s="1018"/>
      <c r="H147" s="1018"/>
      <c r="I147" s="1018"/>
      <c r="J147" s="1018"/>
    </row>
    <row r="148" spans="7:10" x14ac:dyDescent="0.3">
      <c r="G148" s="1018"/>
      <c r="H148" s="1018"/>
      <c r="I148" s="1018"/>
      <c r="J148" s="1018"/>
    </row>
    <row r="149" spans="7:10" x14ac:dyDescent="0.3">
      <c r="G149" s="1018"/>
      <c r="H149" s="1018"/>
      <c r="I149" s="1018"/>
      <c r="J149" s="1018"/>
    </row>
    <row r="150" spans="7:10" x14ac:dyDescent="0.3">
      <c r="G150" s="1018"/>
      <c r="H150" s="1018"/>
      <c r="I150" s="1018"/>
      <c r="J150" s="1018"/>
    </row>
    <row r="151" spans="7:10" x14ac:dyDescent="0.3">
      <c r="G151" s="1018"/>
      <c r="H151" s="1018"/>
      <c r="I151" s="1018"/>
      <c r="J151" s="1018"/>
    </row>
    <row r="152" spans="7:10" x14ac:dyDescent="0.3">
      <c r="G152" s="1018"/>
      <c r="H152" s="1018"/>
      <c r="I152" s="1018"/>
      <c r="J152" s="1018"/>
    </row>
    <row r="153" spans="7:10" x14ac:dyDescent="0.3">
      <c r="G153" s="1018"/>
      <c r="H153" s="1018"/>
      <c r="I153" s="1018"/>
      <c r="J153" s="1018"/>
    </row>
    <row r="154" spans="7:10" x14ac:dyDescent="0.3">
      <c r="G154" s="1018"/>
      <c r="H154" s="1018"/>
      <c r="I154" s="1018"/>
      <c r="J154" s="1018"/>
    </row>
    <row r="155" spans="7:10" x14ac:dyDescent="0.3">
      <c r="G155" s="1018"/>
      <c r="H155" s="1018"/>
      <c r="I155" s="1018"/>
      <c r="J155" s="1018"/>
    </row>
    <row r="156" spans="7:10" x14ac:dyDescent="0.3">
      <c r="G156" s="1018"/>
      <c r="H156" s="1018"/>
      <c r="I156" s="1018"/>
      <c r="J156" s="101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9074-BBBE-4B77-A181-77BE69035CB3}">
  <dimension ref="A2:M51"/>
  <sheetViews>
    <sheetView topLeftCell="A26" workbookViewId="0">
      <selection activeCell="F30" sqref="F30"/>
    </sheetView>
  </sheetViews>
  <sheetFormatPr defaultRowHeight="14.4" x14ac:dyDescent="0.3"/>
  <cols>
    <col min="1" max="1" width="41.109375" customWidth="1"/>
    <col min="12" max="13" width="11.5546875" customWidth="1"/>
  </cols>
  <sheetData>
    <row r="2" spans="1:13" x14ac:dyDescent="0.3">
      <c r="A2" s="1239" t="s">
        <v>35</v>
      </c>
      <c r="B2" s="1239"/>
      <c r="C2" s="1239"/>
      <c r="D2" s="1239"/>
      <c r="F2" s="1240" t="s">
        <v>36</v>
      </c>
      <c r="G2" s="1240"/>
      <c r="H2" s="1241"/>
      <c r="J2" s="1240" t="s">
        <v>37</v>
      </c>
      <c r="K2" s="1240"/>
      <c r="L2" s="1241"/>
      <c r="M2" s="1060"/>
    </row>
    <row r="3" spans="1:13" x14ac:dyDescent="0.3">
      <c r="A3" s="1045"/>
      <c r="B3" s="863" t="s">
        <v>3</v>
      </c>
      <c r="C3" s="863" t="s">
        <v>4</v>
      </c>
      <c r="D3" s="863" t="s">
        <v>5</v>
      </c>
      <c r="F3" s="863" t="s">
        <v>3</v>
      </c>
      <c r="G3" s="863" t="s">
        <v>4</v>
      </c>
      <c r="H3" s="863" t="s">
        <v>5</v>
      </c>
      <c r="J3" s="863" t="s">
        <v>3</v>
      </c>
      <c r="K3" s="863" t="s">
        <v>4</v>
      </c>
      <c r="L3" s="1061" t="s">
        <v>5</v>
      </c>
      <c r="M3" s="900"/>
    </row>
    <row r="4" spans="1:13" x14ac:dyDescent="0.3">
      <c r="A4" t="s">
        <v>38</v>
      </c>
      <c r="F4" s="424"/>
      <c r="G4" s="424"/>
      <c r="H4" s="424"/>
    </row>
    <row r="5" spans="1:13" x14ac:dyDescent="0.3">
      <c r="A5" t="s">
        <v>39</v>
      </c>
      <c r="B5">
        <v>124</v>
      </c>
      <c r="C5">
        <v>135</v>
      </c>
      <c r="D5">
        <v>264</v>
      </c>
      <c r="F5" s="1047">
        <f>B5/B24</f>
        <v>1.5103532277710109E-2</v>
      </c>
      <c r="G5" s="1047">
        <f>C5/C24</f>
        <v>1.3785356887572755E-2</v>
      </c>
      <c r="H5" s="1047">
        <f>D5/D24</f>
        <v>2.6897605705552725E-2</v>
      </c>
      <c r="I5" s="1047"/>
      <c r="J5" s="1047">
        <v>1</v>
      </c>
      <c r="K5" s="1047">
        <f>C5/B5</f>
        <v>1.0887096774193548</v>
      </c>
      <c r="L5" s="1047">
        <f>D5/B5</f>
        <v>2.129032258064516</v>
      </c>
      <c r="M5" s="424"/>
    </row>
    <row r="6" spans="1:13" x14ac:dyDescent="0.3">
      <c r="A6" t="s">
        <v>40</v>
      </c>
      <c r="B6" s="399">
        <v>3737</v>
      </c>
      <c r="C6" s="399">
        <v>4187</v>
      </c>
      <c r="D6" s="399">
        <v>4477</v>
      </c>
      <c r="F6" s="1047">
        <f>B6/B24</f>
        <v>0.45517661388550545</v>
      </c>
      <c r="G6" s="1047">
        <f>C6/C24</f>
        <v>0.42755029102420095</v>
      </c>
      <c r="H6" s="1047">
        <f>D6/D24</f>
        <v>0.45613856342333164</v>
      </c>
      <c r="I6" s="1047"/>
      <c r="J6" s="1047">
        <v>1</v>
      </c>
      <c r="K6" s="1047">
        <f t="shared" ref="K6:K12" si="0">C6/B6</f>
        <v>1.1204174471501205</v>
      </c>
      <c r="L6" s="1047">
        <f t="shared" ref="L6:L12" si="1">D6/B6</f>
        <v>1.198019801980198</v>
      </c>
      <c r="M6" s="424"/>
    </row>
    <row r="7" spans="1:13" x14ac:dyDescent="0.3">
      <c r="A7" t="s">
        <v>41</v>
      </c>
      <c r="B7" s="399">
        <v>106</v>
      </c>
      <c r="C7" s="399">
        <v>22</v>
      </c>
      <c r="D7" s="399">
        <v>56</v>
      </c>
      <c r="F7" s="1047">
        <f>B7/B24</f>
        <v>1.2911084043848964E-2</v>
      </c>
      <c r="G7" s="1047">
        <f>C7/C24</f>
        <v>2.2465026039007454E-3</v>
      </c>
      <c r="H7" s="1047">
        <f>D7/D24</f>
        <v>5.7055527254202751E-3</v>
      </c>
      <c r="I7" s="1047"/>
      <c r="J7" s="1047">
        <v>1</v>
      </c>
      <c r="K7" s="1047">
        <f t="shared" si="0"/>
        <v>0.20754716981132076</v>
      </c>
      <c r="L7" s="1047">
        <f t="shared" si="1"/>
        <v>0.52830188679245282</v>
      </c>
      <c r="M7" s="424"/>
    </row>
    <row r="8" spans="1:13" x14ac:dyDescent="0.3">
      <c r="A8" t="s">
        <v>42</v>
      </c>
      <c r="B8">
        <v>87</v>
      </c>
      <c r="C8">
        <v>56</v>
      </c>
      <c r="D8">
        <v>61</v>
      </c>
      <c r="F8" s="1047">
        <f>B8/B24</f>
        <v>1.0596833130328867E-2</v>
      </c>
      <c r="G8" s="1047">
        <f>C8/C24</f>
        <v>5.7183702644746249E-3</v>
      </c>
      <c r="H8" s="1047">
        <f>D8/D24</f>
        <v>6.2149770759042282E-3</v>
      </c>
      <c r="I8" s="1047"/>
      <c r="J8" s="1047">
        <v>1</v>
      </c>
      <c r="K8" s="1047">
        <f t="shared" si="0"/>
        <v>0.64367816091954022</v>
      </c>
      <c r="L8" s="1047">
        <f t="shared" si="1"/>
        <v>0.70114942528735635</v>
      </c>
      <c r="M8" s="424"/>
    </row>
    <row r="9" spans="1:13" x14ac:dyDescent="0.3">
      <c r="A9" s="1" t="s">
        <v>43</v>
      </c>
      <c r="B9">
        <v>35</v>
      </c>
      <c r="C9">
        <v>40</v>
      </c>
      <c r="D9">
        <v>35</v>
      </c>
      <c r="F9" s="1047">
        <f>B9/B24</f>
        <v>4.2630937880633376E-3</v>
      </c>
      <c r="G9" s="1047">
        <f>C9/C24</f>
        <v>4.0845501889104465E-3</v>
      </c>
      <c r="H9" s="1047">
        <f>D9/D24</f>
        <v>3.5659704533876719E-3</v>
      </c>
      <c r="I9" s="1047"/>
      <c r="J9" s="1047">
        <v>1</v>
      </c>
      <c r="K9" s="1047">
        <f t="shared" si="0"/>
        <v>1.1428571428571428</v>
      </c>
      <c r="L9" s="1047">
        <f t="shared" si="1"/>
        <v>1</v>
      </c>
      <c r="M9" s="424"/>
    </row>
    <row r="10" spans="1:13" x14ac:dyDescent="0.3">
      <c r="A10" t="s">
        <v>44</v>
      </c>
      <c r="B10">
        <v>3</v>
      </c>
      <c r="C10">
        <v>7</v>
      </c>
      <c r="D10">
        <v>3</v>
      </c>
      <c r="F10" s="1047">
        <f>B10/B24</f>
        <v>3.654080389768575E-4</v>
      </c>
      <c r="G10" s="1047">
        <f>C10/C24</f>
        <v>7.1479628305932811E-4</v>
      </c>
      <c r="H10" s="1047">
        <f>D10/D24</f>
        <v>3.0565461029037188E-4</v>
      </c>
      <c r="I10" s="1047"/>
      <c r="J10" s="1047">
        <v>1</v>
      </c>
      <c r="K10" s="1047">
        <f t="shared" si="0"/>
        <v>2.3333333333333335</v>
      </c>
      <c r="L10" s="1047">
        <f t="shared" si="1"/>
        <v>1</v>
      </c>
      <c r="M10" s="424"/>
    </row>
    <row r="11" spans="1:13" x14ac:dyDescent="0.3">
      <c r="A11" t="s">
        <v>45</v>
      </c>
      <c r="B11">
        <v>5</v>
      </c>
      <c r="C11">
        <v>5</v>
      </c>
      <c r="D11">
        <v>32</v>
      </c>
      <c r="F11" s="1047">
        <f>B11/B24</f>
        <v>6.0901339829476245E-4</v>
      </c>
      <c r="G11" s="1047">
        <f>C11/C24</f>
        <v>5.1056877361380581E-4</v>
      </c>
      <c r="H11" s="1047">
        <f>D11/D24</f>
        <v>3.2603158430973E-3</v>
      </c>
      <c r="I11" s="1047"/>
      <c r="J11" s="1047">
        <v>1</v>
      </c>
      <c r="K11" s="1047">
        <f t="shared" si="0"/>
        <v>1</v>
      </c>
      <c r="L11" s="1047">
        <f t="shared" si="1"/>
        <v>6.4</v>
      </c>
      <c r="M11" s="424"/>
    </row>
    <row r="12" spans="1:13" x14ac:dyDescent="0.3">
      <c r="A12" s="895" t="s">
        <v>46</v>
      </c>
      <c r="B12" s="1052">
        <v>4096</v>
      </c>
      <c r="C12" s="1052">
        <v>4452</v>
      </c>
      <c r="D12" s="1052">
        <v>4928</v>
      </c>
      <c r="F12" s="1049">
        <f>B12/B24</f>
        <v>0.49890377588306944</v>
      </c>
      <c r="G12" s="1049">
        <f>C12/C24</f>
        <v>0.45461043602573264</v>
      </c>
      <c r="H12" s="1049">
        <f>D12/D24</f>
        <v>0.50208863983698426</v>
      </c>
      <c r="I12" s="1047"/>
      <c r="J12" s="1049">
        <v>1</v>
      </c>
      <c r="K12" s="1049">
        <f t="shared" si="0"/>
        <v>1.0869140625</v>
      </c>
      <c r="L12" s="1049">
        <f t="shared" si="1"/>
        <v>1.203125</v>
      </c>
      <c r="M12" s="424"/>
    </row>
    <row r="13" spans="1:13" x14ac:dyDescent="0.3">
      <c r="F13" s="1047"/>
      <c r="G13" s="1047"/>
      <c r="H13" s="1047"/>
      <c r="I13" s="1047"/>
      <c r="J13" s="1047"/>
      <c r="K13" s="1047"/>
      <c r="L13" s="1047"/>
      <c r="M13" s="424"/>
    </row>
    <row r="14" spans="1:13" x14ac:dyDescent="0.3">
      <c r="A14" t="s">
        <v>47</v>
      </c>
      <c r="F14" s="1047"/>
      <c r="G14" s="1047"/>
      <c r="H14" s="1047"/>
      <c r="I14" s="1047"/>
      <c r="J14" s="1047"/>
      <c r="K14" s="1047"/>
      <c r="L14" s="1047"/>
      <c r="M14" s="424"/>
    </row>
    <row r="15" spans="1:13" x14ac:dyDescent="0.3">
      <c r="A15" t="s">
        <v>48</v>
      </c>
      <c r="B15" s="399">
        <v>1467</v>
      </c>
      <c r="C15" s="399">
        <v>1678</v>
      </c>
      <c r="D15" s="399">
        <v>1829</v>
      </c>
      <c r="F15" s="1047">
        <f>B15/B24</f>
        <v>0.17868453105968332</v>
      </c>
      <c r="G15" s="1047">
        <f>C15/C24</f>
        <v>0.17134688042479321</v>
      </c>
      <c r="H15" s="1047">
        <f>D15/D24</f>
        <v>0.18634742740703006</v>
      </c>
      <c r="I15" s="1047"/>
      <c r="J15" s="1047">
        <v>1</v>
      </c>
      <c r="K15" s="1047">
        <f>C15/B15</f>
        <v>1.143830947511929</v>
      </c>
      <c r="L15" s="1047">
        <f>D15/B15</f>
        <v>1.2467620995228357</v>
      </c>
      <c r="M15" s="424"/>
    </row>
    <row r="16" spans="1:13" x14ac:dyDescent="0.3">
      <c r="A16" t="s">
        <v>49</v>
      </c>
      <c r="B16" s="399">
        <v>1231</v>
      </c>
      <c r="C16" s="399">
        <v>1915</v>
      </c>
      <c r="D16">
        <v>1208</v>
      </c>
      <c r="F16" s="1047">
        <f>B16/B24</f>
        <v>0.14993909866017052</v>
      </c>
      <c r="G16" s="1047">
        <f>C16/C24</f>
        <v>0.19554784029408762</v>
      </c>
      <c r="H16" s="1047">
        <f>D16/D24</f>
        <v>0.12307692307692308</v>
      </c>
      <c r="I16" s="1047"/>
      <c r="J16" s="1047">
        <v>1</v>
      </c>
      <c r="K16" s="1047">
        <f t="shared" ref="K16:K20" si="2">C16/B16</f>
        <v>1.5556458164094233</v>
      </c>
      <c r="L16" s="1047">
        <f t="shared" ref="L16:L20" si="3">D16/B16</f>
        <v>0.98131600324939072</v>
      </c>
      <c r="M16" s="424"/>
    </row>
    <row r="17" spans="1:13" x14ac:dyDescent="0.3">
      <c r="A17" t="s">
        <v>44</v>
      </c>
      <c r="B17">
        <v>206</v>
      </c>
      <c r="C17">
        <v>236</v>
      </c>
      <c r="D17">
        <v>260</v>
      </c>
      <c r="F17" s="1047">
        <f>B17/B24</f>
        <v>2.5091352009744213E-2</v>
      </c>
      <c r="G17" s="1047">
        <f>C17/C24</f>
        <v>2.4098846114571634E-2</v>
      </c>
      <c r="H17" s="1047">
        <f>D17/D24</f>
        <v>2.6490066225165563E-2</v>
      </c>
      <c r="I17" s="1047"/>
      <c r="J17" s="1047">
        <v>1</v>
      </c>
      <c r="K17" s="1047">
        <f t="shared" si="2"/>
        <v>1.145631067961165</v>
      </c>
      <c r="L17" s="1047">
        <f t="shared" si="3"/>
        <v>1.2621359223300972</v>
      </c>
      <c r="M17" s="424"/>
    </row>
    <row r="18" spans="1:13" x14ac:dyDescent="0.3">
      <c r="A18" t="s">
        <v>50</v>
      </c>
      <c r="B18">
        <v>74</v>
      </c>
      <c r="C18">
        <v>19</v>
      </c>
      <c r="D18">
        <v>20</v>
      </c>
      <c r="F18" s="1047">
        <f>B18/B24</f>
        <v>9.0133982947624841E-3</v>
      </c>
      <c r="G18" s="1047">
        <f>C18/C24</f>
        <v>1.9401613397324619E-3</v>
      </c>
      <c r="H18" s="1047">
        <f>D18/D24</f>
        <v>2.0376974019358125E-3</v>
      </c>
      <c r="I18" s="1047"/>
      <c r="J18" s="1047">
        <v>1</v>
      </c>
      <c r="K18" s="1047">
        <f t="shared" si="2"/>
        <v>0.25675675675675674</v>
      </c>
      <c r="L18" s="1047">
        <f t="shared" si="3"/>
        <v>0.27027027027027029</v>
      </c>
      <c r="M18" s="424"/>
    </row>
    <row r="19" spans="1:13" x14ac:dyDescent="0.3">
      <c r="A19" t="s">
        <v>51</v>
      </c>
      <c r="B19" s="399">
        <v>1136</v>
      </c>
      <c r="C19" s="399">
        <v>1493</v>
      </c>
      <c r="D19" s="399">
        <v>1552</v>
      </c>
      <c r="F19" s="1047">
        <f>B19/B24</f>
        <v>0.13836784409257002</v>
      </c>
      <c r="G19" s="1047">
        <f>C19/C24</f>
        <v>0.15245583580108241</v>
      </c>
      <c r="H19" s="1047">
        <f>D19/D24</f>
        <v>0.15812531839021907</v>
      </c>
      <c r="I19" s="1047"/>
      <c r="J19" s="1047">
        <v>1</v>
      </c>
      <c r="K19" s="1047">
        <f t="shared" si="2"/>
        <v>1.3142605633802817</v>
      </c>
      <c r="L19" s="1047">
        <f t="shared" si="3"/>
        <v>1.3661971830985915</v>
      </c>
      <c r="M19" s="424"/>
    </row>
    <row r="20" spans="1:13" x14ac:dyDescent="0.3">
      <c r="A20" s="1050" t="s">
        <v>52</v>
      </c>
      <c r="B20" s="1051">
        <v>4113</v>
      </c>
      <c r="C20" s="1051">
        <f>C15+C16+C17+C18+C19</f>
        <v>5341</v>
      </c>
      <c r="D20" s="1051">
        <f>D15+D16+D17+D18+D19</f>
        <v>4869</v>
      </c>
      <c r="F20" s="1049">
        <f>B20/B24</f>
        <v>0.50097442143727167</v>
      </c>
      <c r="G20" s="1049">
        <f>C20/C24</f>
        <v>0.5453895639742673</v>
      </c>
      <c r="H20" s="1049">
        <f>D20/D24</f>
        <v>0.49607743250127356</v>
      </c>
      <c r="I20" s="1047"/>
      <c r="J20" s="1049">
        <v>1</v>
      </c>
      <c r="K20" s="1049">
        <f t="shared" si="2"/>
        <v>1.2985655239484561</v>
      </c>
      <c r="L20" s="1049">
        <f t="shared" si="3"/>
        <v>1.1838074398249452</v>
      </c>
      <c r="M20" s="424"/>
    </row>
    <row r="21" spans="1:13" x14ac:dyDescent="0.3">
      <c r="F21" s="1047"/>
      <c r="G21" s="1047"/>
      <c r="H21" s="1047"/>
      <c r="I21" s="1047"/>
      <c r="J21" s="1047"/>
      <c r="K21" s="1047"/>
      <c r="L21" s="1047"/>
    </row>
    <row r="22" spans="1:13" x14ac:dyDescent="0.3">
      <c r="A22" s="1050" t="s">
        <v>53</v>
      </c>
      <c r="B22" s="1050">
        <v>0</v>
      </c>
      <c r="C22" s="1051">
        <v>0</v>
      </c>
      <c r="D22" s="1051">
        <v>17</v>
      </c>
      <c r="F22" s="1049">
        <v>0</v>
      </c>
      <c r="G22" s="1049">
        <v>0</v>
      </c>
      <c r="H22" s="1049">
        <f>D22/D24</f>
        <v>1.7320427916454407E-3</v>
      </c>
      <c r="I22" s="1047"/>
      <c r="J22" s="1049"/>
      <c r="K22" s="1049"/>
      <c r="L22" s="1049"/>
    </row>
    <row r="23" spans="1:13" x14ac:dyDescent="0.3">
      <c r="F23" s="1047"/>
      <c r="G23" s="1047"/>
      <c r="H23" s="1047"/>
      <c r="I23" s="1047"/>
      <c r="J23" s="1047"/>
      <c r="K23" s="1047"/>
      <c r="L23" s="1047"/>
    </row>
    <row r="24" spans="1:13" x14ac:dyDescent="0.3">
      <c r="A24" s="1050" t="s">
        <v>54</v>
      </c>
      <c r="B24" s="1051">
        <v>8210</v>
      </c>
      <c r="C24" s="1051">
        <f>C12+C20+C22</f>
        <v>9793</v>
      </c>
      <c r="D24" s="1051">
        <v>9815</v>
      </c>
      <c r="F24" s="1049">
        <v>1</v>
      </c>
      <c r="G24" s="1049">
        <v>1</v>
      </c>
      <c r="H24" s="1049">
        <v>1</v>
      </c>
      <c r="I24" s="1047"/>
      <c r="J24" s="1049">
        <v>1</v>
      </c>
      <c r="K24" s="1049">
        <f>C24/B24</f>
        <v>1.1928136419001218</v>
      </c>
      <c r="L24" s="1049">
        <f>D24/B24</f>
        <v>1.1954933008526187</v>
      </c>
      <c r="M24" s="424"/>
    </row>
    <row r="27" spans="1:13" x14ac:dyDescent="0.3">
      <c r="A27" s="1239" t="s">
        <v>55</v>
      </c>
      <c r="B27" s="1239"/>
      <c r="C27" s="1239"/>
      <c r="D27" s="1239"/>
      <c r="F27" s="1240" t="s">
        <v>36</v>
      </c>
      <c r="G27" s="1240"/>
      <c r="H27" s="1241"/>
      <c r="J27" s="1240" t="s">
        <v>36</v>
      </c>
      <c r="K27" s="1240"/>
      <c r="L27" s="1241"/>
      <c r="M27" s="1060"/>
    </row>
    <row r="28" spans="1:13" x14ac:dyDescent="0.3">
      <c r="A28" s="1045"/>
      <c r="B28" s="863" t="s">
        <v>3</v>
      </c>
      <c r="C28" s="863" t="s">
        <v>4</v>
      </c>
      <c r="D28" s="863" t="s">
        <v>5</v>
      </c>
      <c r="F28" s="863" t="s">
        <v>3</v>
      </c>
      <c r="G28" s="863" t="s">
        <v>4</v>
      </c>
      <c r="H28" s="863" t="s">
        <v>5</v>
      </c>
      <c r="J28" s="863" t="s">
        <v>3</v>
      </c>
      <c r="K28" s="863" t="s">
        <v>4</v>
      </c>
      <c r="L28" s="1061" t="s">
        <v>5</v>
      </c>
      <c r="M28" s="900"/>
    </row>
    <row r="30" spans="1:13" x14ac:dyDescent="0.3">
      <c r="A30" s="1050" t="s">
        <v>56</v>
      </c>
      <c r="B30" s="1051">
        <v>4616</v>
      </c>
      <c r="C30" s="1051">
        <v>5922</v>
      </c>
      <c r="D30" s="1051">
        <v>5929</v>
      </c>
      <c r="F30" s="1049">
        <f>B30/$B$51</f>
        <v>0.56224116930572476</v>
      </c>
      <c r="G30" s="1049">
        <f>C30/$C$51</f>
        <v>0.60471765546819156</v>
      </c>
      <c r="H30" s="1049">
        <f>D30/$D$51</f>
        <v>0.60407539480387162</v>
      </c>
      <c r="I30" s="1047"/>
      <c r="J30" s="1049">
        <v>1</v>
      </c>
      <c r="K30" s="1049">
        <f>C30/B30</f>
        <v>1.2829289428076256</v>
      </c>
      <c r="L30" s="1049">
        <f>D30/B30</f>
        <v>1.2844454072790294</v>
      </c>
    </row>
    <row r="31" spans="1:13" x14ac:dyDescent="0.3">
      <c r="F31" s="1047"/>
      <c r="G31" s="1047"/>
      <c r="H31" s="1047"/>
      <c r="I31" s="1047"/>
      <c r="J31" s="1047"/>
      <c r="K31" s="1047"/>
      <c r="L31" s="1047"/>
    </row>
    <row r="32" spans="1:13" x14ac:dyDescent="0.3">
      <c r="A32" t="s">
        <v>57</v>
      </c>
      <c r="F32" s="1047"/>
      <c r="G32" s="1047"/>
      <c r="H32" s="1047"/>
      <c r="I32" s="1047"/>
      <c r="J32" s="1047"/>
      <c r="K32" s="1047"/>
      <c r="L32" s="1047"/>
    </row>
    <row r="33" spans="1:12" x14ac:dyDescent="0.3">
      <c r="A33" t="s">
        <v>58</v>
      </c>
      <c r="F33" s="1047"/>
      <c r="G33" s="1047"/>
      <c r="H33" s="1047"/>
      <c r="I33" s="1047"/>
      <c r="J33" s="1047"/>
      <c r="K33" s="1047"/>
      <c r="L33" s="1047"/>
    </row>
    <row r="34" spans="1:12" x14ac:dyDescent="0.3">
      <c r="A34" t="s">
        <v>59</v>
      </c>
      <c r="B34">
        <v>849</v>
      </c>
      <c r="C34">
        <v>1080</v>
      </c>
      <c r="D34">
        <v>1050</v>
      </c>
      <c r="F34" s="1047">
        <f t="shared" ref="F34:F40" si="4">B34/$B$51</f>
        <v>0.10341047503045067</v>
      </c>
      <c r="G34" s="1047">
        <f t="shared" ref="G34:G40" si="5">C34/$C$51</f>
        <v>0.11028285510058204</v>
      </c>
      <c r="H34" s="1047">
        <f t="shared" ref="H34:H40" si="6">D34/$D$51</f>
        <v>0.10697911360163016</v>
      </c>
      <c r="I34" s="1047"/>
      <c r="J34" s="1047">
        <v>1</v>
      </c>
      <c r="K34" s="1047">
        <f t="shared" ref="K34:K51" si="7">C34/B34</f>
        <v>1.2720848056537102</v>
      </c>
      <c r="L34" s="1047">
        <f t="shared" ref="L34:L51" si="8">D34/B34</f>
        <v>1.2367491166077738</v>
      </c>
    </row>
    <row r="35" spans="1:12" x14ac:dyDescent="0.3">
      <c r="A35" t="s">
        <v>60</v>
      </c>
      <c r="B35">
        <v>260</v>
      </c>
      <c r="C35">
        <v>255</v>
      </c>
      <c r="D35">
        <v>222</v>
      </c>
      <c r="F35" s="1047">
        <f t="shared" si="4"/>
        <v>3.1668696711327646E-2</v>
      </c>
      <c r="G35" s="1047">
        <f t="shared" si="5"/>
        <v>2.6039007454304094E-2</v>
      </c>
      <c r="H35" s="1047">
        <f t="shared" si="6"/>
        <v>2.2618441161487521E-2</v>
      </c>
      <c r="I35" s="1047"/>
      <c r="J35" s="1047">
        <v>1</v>
      </c>
      <c r="K35" s="1047">
        <f t="shared" si="7"/>
        <v>0.98076923076923073</v>
      </c>
      <c r="L35" s="1047">
        <f t="shared" si="8"/>
        <v>0.85384615384615381</v>
      </c>
    </row>
    <row r="36" spans="1:12" x14ac:dyDescent="0.3">
      <c r="A36" t="s">
        <v>61</v>
      </c>
      <c r="B36">
        <v>100</v>
      </c>
      <c r="C36">
        <v>93</v>
      </c>
      <c r="D36">
        <v>232</v>
      </c>
      <c r="F36" s="1047">
        <f t="shared" si="4"/>
        <v>1.2180267965895249E-2</v>
      </c>
      <c r="G36" s="1047">
        <f t="shared" si="5"/>
        <v>9.4965791892167879E-3</v>
      </c>
      <c r="H36" s="1047">
        <f t="shared" si="6"/>
        <v>2.3637289862455425E-2</v>
      </c>
      <c r="I36" s="1047"/>
      <c r="J36" s="1047">
        <v>1</v>
      </c>
      <c r="K36" s="1047">
        <f t="shared" si="7"/>
        <v>0.93</v>
      </c>
      <c r="L36" s="1047">
        <f t="shared" si="8"/>
        <v>2.3199999999999998</v>
      </c>
    </row>
    <row r="37" spans="1:12" x14ac:dyDescent="0.3">
      <c r="A37" t="s">
        <v>62</v>
      </c>
      <c r="B37">
        <v>124</v>
      </c>
      <c r="C37">
        <v>111</v>
      </c>
      <c r="D37">
        <v>111</v>
      </c>
      <c r="F37" s="1047">
        <f t="shared" si="4"/>
        <v>1.5103532277710109E-2</v>
      </c>
      <c r="G37" s="1047">
        <f t="shared" si="5"/>
        <v>1.1334626774226489E-2</v>
      </c>
      <c r="H37" s="1047">
        <f t="shared" si="6"/>
        <v>1.130922058074376E-2</v>
      </c>
      <c r="I37" s="1047"/>
      <c r="J37" s="1047">
        <v>1</v>
      </c>
      <c r="K37" s="1047">
        <f t="shared" si="7"/>
        <v>0.89516129032258063</v>
      </c>
      <c r="L37" s="1047">
        <f t="shared" si="8"/>
        <v>0.89516129032258063</v>
      </c>
    </row>
    <row r="38" spans="1:12" x14ac:dyDescent="0.3">
      <c r="A38" t="s">
        <v>44</v>
      </c>
      <c r="B38">
        <v>0</v>
      </c>
      <c r="C38">
        <v>1</v>
      </c>
      <c r="D38">
        <v>1</v>
      </c>
      <c r="F38" s="1047">
        <f t="shared" si="4"/>
        <v>0</v>
      </c>
      <c r="G38" s="1047">
        <f t="shared" si="5"/>
        <v>1.0211375472276115E-4</v>
      </c>
      <c r="H38" s="1047">
        <f t="shared" si="6"/>
        <v>1.0188487009679063E-4</v>
      </c>
      <c r="I38" s="1047"/>
      <c r="J38" s="1047">
        <v>1</v>
      </c>
      <c r="K38" s="1047"/>
      <c r="L38" s="1047"/>
    </row>
    <row r="39" spans="1:12" x14ac:dyDescent="0.3">
      <c r="A39" t="s">
        <v>63</v>
      </c>
      <c r="B39">
        <v>14</v>
      </c>
      <c r="C39">
        <v>21</v>
      </c>
      <c r="D39">
        <v>21</v>
      </c>
      <c r="F39" s="1047">
        <f t="shared" si="4"/>
        <v>1.7052375152253349E-3</v>
      </c>
      <c r="G39" s="1047">
        <f t="shared" si="5"/>
        <v>2.1443888491779841E-3</v>
      </c>
      <c r="H39" s="1047">
        <f t="shared" si="6"/>
        <v>2.1395822720326032E-3</v>
      </c>
      <c r="I39" s="1047"/>
      <c r="J39" s="1047">
        <v>1</v>
      </c>
      <c r="K39" s="1047">
        <f t="shared" si="7"/>
        <v>1.5</v>
      </c>
      <c r="L39" s="1047">
        <f t="shared" si="8"/>
        <v>1.5</v>
      </c>
    </row>
    <row r="40" spans="1:12" x14ac:dyDescent="0.3">
      <c r="A40" s="1050" t="s">
        <v>64</v>
      </c>
      <c r="B40" s="1051">
        <v>1347</v>
      </c>
      <c r="C40" s="1050">
        <v>1561</v>
      </c>
      <c r="D40" s="1050">
        <v>1638</v>
      </c>
      <c r="F40" s="1049">
        <f t="shared" si="4"/>
        <v>0.16406820950060902</v>
      </c>
      <c r="G40" s="1049">
        <f t="shared" si="5"/>
        <v>0.15939957112223016</v>
      </c>
      <c r="H40" s="1049">
        <f t="shared" si="6"/>
        <v>0.16688741721854305</v>
      </c>
      <c r="I40" s="1047"/>
      <c r="J40" s="1049">
        <v>1</v>
      </c>
      <c r="K40" s="1049">
        <f t="shared" si="7"/>
        <v>1.1588715664439495</v>
      </c>
      <c r="L40" s="1049">
        <f t="shared" si="8"/>
        <v>1.2160356347438752</v>
      </c>
    </row>
    <row r="41" spans="1:12" x14ac:dyDescent="0.3">
      <c r="F41" s="1047"/>
      <c r="G41" s="1047"/>
      <c r="H41" s="1047"/>
      <c r="I41" s="1047"/>
      <c r="J41" s="1047"/>
      <c r="K41" s="1047"/>
      <c r="L41" s="1047"/>
    </row>
    <row r="42" spans="1:12" x14ac:dyDescent="0.3">
      <c r="A42" t="s">
        <v>65</v>
      </c>
      <c r="F42" s="1047"/>
      <c r="G42" s="1047"/>
      <c r="H42" s="1047"/>
      <c r="I42" s="1047"/>
      <c r="J42" s="1047"/>
      <c r="K42" s="1047"/>
      <c r="L42" s="1047"/>
    </row>
    <row r="43" spans="1:12" x14ac:dyDescent="0.3">
      <c r="A43" s="1" t="s">
        <v>59</v>
      </c>
      <c r="B43">
        <v>291</v>
      </c>
      <c r="C43">
        <v>242</v>
      </c>
      <c r="D43">
        <v>257</v>
      </c>
      <c r="F43" s="1047">
        <f>B43/$B$51</f>
        <v>3.544457978075518E-2</v>
      </c>
      <c r="G43" s="1047">
        <f>C43/$C$51</f>
        <v>2.4711528642908199E-2</v>
      </c>
      <c r="H43" s="1047">
        <f>D43/$D$51</f>
        <v>2.618441161487519E-2</v>
      </c>
      <c r="I43" s="1047"/>
      <c r="J43" s="1047">
        <v>1</v>
      </c>
      <c r="K43" s="1047">
        <f t="shared" si="7"/>
        <v>0.83161512027491413</v>
      </c>
      <c r="L43" s="1047">
        <f t="shared" si="8"/>
        <v>0.88316151202749138</v>
      </c>
    </row>
    <row r="44" spans="1:12" x14ac:dyDescent="0.3">
      <c r="A44" s="1" t="s">
        <v>66</v>
      </c>
      <c r="B44">
        <v>59</v>
      </c>
      <c r="C44">
        <v>16</v>
      </c>
      <c r="D44">
        <v>7</v>
      </c>
      <c r="F44" s="1047">
        <f>B44/$B$51</f>
        <v>7.1863580998781972E-3</v>
      </c>
      <c r="G44" s="1047">
        <f>C44/$C$51</f>
        <v>1.6338200755641784E-3</v>
      </c>
      <c r="H44" s="1047">
        <f>D44/$D$51</f>
        <v>7.1319409067753439E-4</v>
      </c>
      <c r="I44" s="1047"/>
      <c r="J44" s="1047">
        <v>1</v>
      </c>
      <c r="K44" s="1047">
        <f t="shared" si="7"/>
        <v>0.2711864406779661</v>
      </c>
      <c r="L44" s="1047">
        <f t="shared" si="8"/>
        <v>0.11864406779661017</v>
      </c>
    </row>
    <row r="45" spans="1:12" x14ac:dyDescent="0.3">
      <c r="A45" s="1" t="s">
        <v>44</v>
      </c>
      <c r="B45">
        <v>149</v>
      </c>
      <c r="C45">
        <v>63</v>
      </c>
      <c r="D45">
        <v>111</v>
      </c>
      <c r="F45" s="1047">
        <f>B45/$B$51</f>
        <v>1.8148599269183923E-2</v>
      </c>
      <c r="G45" s="1047">
        <f>C45/$C$51</f>
        <v>6.4331665475339528E-3</v>
      </c>
      <c r="H45" s="1047">
        <f>D45/$D$51</f>
        <v>1.130922058074376E-2</v>
      </c>
      <c r="I45" s="1047"/>
      <c r="J45" s="1047">
        <v>1</v>
      </c>
      <c r="K45" s="1047">
        <f t="shared" si="7"/>
        <v>0.42281879194630873</v>
      </c>
      <c r="L45" s="1047">
        <f t="shared" si="8"/>
        <v>0.74496644295302017</v>
      </c>
    </row>
    <row r="46" spans="1:12" x14ac:dyDescent="0.3">
      <c r="A46" s="1" t="s">
        <v>67</v>
      </c>
      <c r="B46">
        <v>1749</v>
      </c>
      <c r="C46">
        <v>1990</v>
      </c>
      <c r="D46">
        <v>1872</v>
      </c>
      <c r="F46" s="1047">
        <f>B46/$B$51</f>
        <v>0.21303288672350792</v>
      </c>
      <c r="G46" s="1047">
        <f>C46/$C$51</f>
        <v>0.20320637189829471</v>
      </c>
      <c r="H46" s="1047">
        <f>D46/$D$51</f>
        <v>0.19072847682119207</v>
      </c>
      <c r="I46" s="1047"/>
      <c r="J46" s="1047">
        <v>1</v>
      </c>
      <c r="K46" s="1047">
        <f t="shared" si="7"/>
        <v>1.1377930245854775</v>
      </c>
      <c r="L46" s="1047">
        <f t="shared" si="8"/>
        <v>1.0703259005145798</v>
      </c>
    </row>
    <row r="47" spans="1:12" x14ac:dyDescent="0.3">
      <c r="A47" s="1050" t="s">
        <v>68</v>
      </c>
      <c r="B47" s="1050">
        <v>2247</v>
      </c>
      <c r="C47" s="1050">
        <v>2311</v>
      </c>
      <c r="D47" s="1050">
        <v>2247</v>
      </c>
      <c r="F47" s="1049">
        <f>B47/$B$51</f>
        <v>0.27369062119366627</v>
      </c>
      <c r="G47" s="1049">
        <f>C47/$C$51</f>
        <v>0.23598488716430102</v>
      </c>
      <c r="H47" s="1049">
        <f>D47/$D$51</f>
        <v>0.22893530310748852</v>
      </c>
      <c r="I47" s="1047"/>
      <c r="J47" s="1049">
        <v>1</v>
      </c>
      <c r="K47" s="1049">
        <f t="shared" si="7"/>
        <v>1.0284824210057855</v>
      </c>
      <c r="L47" s="1049">
        <f t="shared" si="8"/>
        <v>1</v>
      </c>
    </row>
    <row r="48" spans="1:12" x14ac:dyDescent="0.3">
      <c r="F48" s="1047"/>
      <c r="G48" s="1047"/>
      <c r="H48" s="1047"/>
      <c r="I48" s="1047"/>
      <c r="J48" s="1047"/>
      <c r="K48" s="1047"/>
      <c r="L48" s="1047"/>
    </row>
    <row r="49" spans="1:12" x14ac:dyDescent="0.3">
      <c r="A49" s="1062" t="s">
        <v>69</v>
      </c>
      <c r="B49" s="1050">
        <v>3594</v>
      </c>
      <c r="C49" s="1050">
        <f>C40+C47</f>
        <v>3872</v>
      </c>
      <c r="D49" s="1050">
        <v>3886</v>
      </c>
      <c r="F49" s="1049">
        <f>B49/$B$51</f>
        <v>0.43775883069427529</v>
      </c>
      <c r="G49" s="1049">
        <f>C49/$C$51</f>
        <v>0.39538445828653118</v>
      </c>
      <c r="H49" s="1049">
        <f>D49/$D$51</f>
        <v>0.39592460519612838</v>
      </c>
      <c r="I49" s="1047"/>
      <c r="J49" s="1049">
        <v>1</v>
      </c>
      <c r="K49" s="1049">
        <f t="shared" si="7"/>
        <v>1.0773511407902059</v>
      </c>
      <c r="L49" s="1049">
        <f t="shared" si="8"/>
        <v>1.0812465219810796</v>
      </c>
    </row>
    <row r="50" spans="1:12" x14ac:dyDescent="0.3">
      <c r="A50" s="1"/>
      <c r="F50" s="1047"/>
      <c r="G50" s="1047"/>
      <c r="H50" s="1047"/>
      <c r="I50" s="1047"/>
      <c r="J50" s="1047"/>
      <c r="K50" s="1047"/>
      <c r="L50" s="1047"/>
    </row>
    <row r="51" spans="1:12" x14ac:dyDescent="0.3">
      <c r="A51" s="1062" t="s">
        <v>70</v>
      </c>
      <c r="B51" s="1050">
        <v>8210</v>
      </c>
      <c r="C51" s="1051">
        <v>9793</v>
      </c>
      <c r="D51" s="1051">
        <f>D30+D49</f>
        <v>9815</v>
      </c>
      <c r="F51" s="1049">
        <f>B51/$B$51</f>
        <v>1</v>
      </c>
      <c r="G51" s="1049">
        <f>C51/$C$51</f>
        <v>1</v>
      </c>
      <c r="H51" s="1049">
        <f>D51/$D$51</f>
        <v>1</v>
      </c>
      <c r="I51" s="1047"/>
      <c r="J51" s="1049">
        <v>1</v>
      </c>
      <c r="K51" s="1049">
        <f t="shared" si="7"/>
        <v>1.1928136419001218</v>
      </c>
      <c r="L51" s="1049">
        <f t="shared" si="8"/>
        <v>1.1954933008526187</v>
      </c>
    </row>
  </sheetData>
  <mergeCells count="6">
    <mergeCell ref="A2:D2"/>
    <mergeCell ref="F2:H2"/>
    <mergeCell ref="J2:L2"/>
    <mergeCell ref="A27:D27"/>
    <mergeCell ref="F27:H27"/>
    <mergeCell ref="J27:L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6457-8E69-4E06-B1DD-B7DC3F4BA59D}">
  <dimension ref="A1:N57"/>
  <sheetViews>
    <sheetView workbookViewId="0">
      <selection activeCell="Q8" sqref="Q8"/>
    </sheetView>
  </sheetViews>
  <sheetFormatPr defaultRowHeight="14.4" x14ac:dyDescent="0.3"/>
  <cols>
    <col min="1" max="1" width="51" bestFit="1" customWidth="1"/>
    <col min="5" max="5" width="3.5546875" customWidth="1"/>
    <col min="9" max="9" width="6.109375" bestFit="1" customWidth="1"/>
    <col min="11" max="11" width="11.33203125" bestFit="1" customWidth="1"/>
  </cols>
  <sheetData>
    <row r="1" spans="1:14" x14ac:dyDescent="0.3">
      <c r="A1" s="1239" t="s">
        <v>71</v>
      </c>
      <c r="B1" s="1239"/>
      <c r="C1" s="1239"/>
      <c r="D1" s="1239"/>
      <c r="F1" s="1063" t="s">
        <v>72</v>
      </c>
      <c r="G1" s="861"/>
      <c r="H1" s="861"/>
      <c r="J1" s="1063" t="s">
        <v>73</v>
      </c>
      <c r="K1" s="1063"/>
      <c r="L1" s="1063"/>
    </row>
    <row r="2" spans="1:14" x14ac:dyDescent="0.3">
      <c r="A2" s="862" t="s">
        <v>74</v>
      </c>
      <c r="B2" s="863" t="s">
        <v>3</v>
      </c>
      <c r="C2" s="863" t="s">
        <v>4</v>
      </c>
      <c r="D2" s="863" t="s">
        <v>5</v>
      </c>
      <c r="F2" s="863" t="s">
        <v>3</v>
      </c>
      <c r="G2" s="863" t="s">
        <v>4</v>
      </c>
      <c r="H2" s="863" t="s">
        <v>5</v>
      </c>
      <c r="J2" s="863" t="s">
        <v>3</v>
      </c>
      <c r="K2" s="863" t="s">
        <v>4</v>
      </c>
      <c r="L2" s="863" t="s">
        <v>5</v>
      </c>
    </row>
    <row r="3" spans="1:14" x14ac:dyDescent="0.3">
      <c r="A3" t="s">
        <v>75</v>
      </c>
      <c r="B3" s="864">
        <v>951</v>
      </c>
      <c r="C3" s="864">
        <v>2067</v>
      </c>
      <c r="D3" s="864">
        <v>786</v>
      </c>
      <c r="F3" s="795">
        <f>B3/$G$40</f>
        <v>6.3748491754926931E-2</v>
      </c>
      <c r="G3" s="795">
        <f>C3/$H$40</f>
        <v>0.13049242424242424</v>
      </c>
      <c r="H3" s="795">
        <f>D3/$I$40</f>
        <v>6.688792443196323E-2</v>
      </c>
      <c r="J3" s="757">
        <v>1</v>
      </c>
      <c r="K3" s="795">
        <f>C3/B3</f>
        <v>2.1735015772870661</v>
      </c>
      <c r="L3" s="795">
        <f>D3/B3</f>
        <v>0.82649842271293372</v>
      </c>
    </row>
    <row r="4" spans="1:14" x14ac:dyDescent="0.3">
      <c r="A4" s="865" t="s">
        <v>76</v>
      </c>
      <c r="B4" s="866">
        <v>590</v>
      </c>
      <c r="C4" s="866">
        <v>551</v>
      </c>
      <c r="D4" s="866">
        <v>997</v>
      </c>
      <c r="F4" s="795">
        <f>B4/$G$40</f>
        <v>3.9549537471510923E-2</v>
      </c>
      <c r="G4" s="867">
        <f>C4/$H$40</f>
        <v>3.4785353535353537E-2</v>
      </c>
      <c r="H4" s="867">
        <f t="shared" ref="H4:H36" si="0">D4/$I$40</f>
        <v>8.4843843077184927E-2</v>
      </c>
      <c r="J4" s="868">
        <v>1</v>
      </c>
      <c r="K4" s="867">
        <f t="shared" ref="K4:K36" si="1">C4/B4</f>
        <v>0.93389830508474581</v>
      </c>
      <c r="L4" s="867">
        <f t="shared" ref="L4:L15" si="2">D4/B4</f>
        <v>1.6898305084745762</v>
      </c>
    </row>
    <row r="5" spans="1:14" x14ac:dyDescent="0.3">
      <c r="A5" s="425" t="s">
        <v>77</v>
      </c>
      <c r="B5" s="869">
        <f>SUM(B3:B4)</f>
        <v>1541</v>
      </c>
      <c r="C5" s="869">
        <f>SUM(C3:C4)</f>
        <v>2618</v>
      </c>
      <c r="D5" s="869">
        <f>SUM(D3:D4)</f>
        <v>1783</v>
      </c>
      <c r="F5" s="870">
        <f t="shared" ref="F5:F36" si="3">B5/$G$40</f>
        <v>0.10329802922643785</v>
      </c>
      <c r="G5" s="871">
        <f t="shared" ref="G5:G36" si="4">C5/$H$40</f>
        <v>0.16527777777777777</v>
      </c>
      <c r="H5" s="871">
        <f t="shared" si="0"/>
        <v>0.15173176750914816</v>
      </c>
      <c r="J5" s="872">
        <v>1</v>
      </c>
      <c r="K5" s="871">
        <f t="shared" si="1"/>
        <v>1.6988968202465931</v>
      </c>
      <c r="L5" s="871">
        <f t="shared" si="2"/>
        <v>1.1570408825438028</v>
      </c>
    </row>
    <row r="6" spans="1:14" x14ac:dyDescent="0.3">
      <c r="A6" s="865" t="s">
        <v>78</v>
      </c>
      <c r="B6" s="866"/>
      <c r="C6" s="866"/>
      <c r="D6" s="866"/>
      <c r="F6" s="795"/>
      <c r="G6" s="867"/>
      <c r="H6" s="867"/>
      <c r="J6" s="873"/>
      <c r="K6" s="867"/>
      <c r="L6" s="867"/>
    </row>
    <row r="7" spans="1:14" x14ac:dyDescent="0.3">
      <c r="A7" s="874" t="s">
        <v>79</v>
      </c>
      <c r="B7" s="864">
        <v>-44</v>
      </c>
      <c r="C7" s="864">
        <v>-787</v>
      </c>
      <c r="D7" s="864">
        <v>735</v>
      </c>
      <c r="F7" s="875">
        <f t="shared" si="3"/>
        <v>-2.949457031773696E-3</v>
      </c>
      <c r="G7" s="795">
        <f t="shared" si="4"/>
        <v>-4.9684343434343435E-2</v>
      </c>
      <c r="H7" s="795">
        <f t="shared" si="0"/>
        <v>6.2547868266530512E-2</v>
      </c>
      <c r="J7" s="757">
        <v>1</v>
      </c>
      <c r="K7" s="795">
        <f t="shared" si="1"/>
        <v>17.886363636363637</v>
      </c>
      <c r="L7" s="795">
        <f t="shared" si="2"/>
        <v>-16.704545454545453</v>
      </c>
    </row>
    <row r="8" spans="1:14" x14ac:dyDescent="0.3">
      <c r="A8" s="874" t="s">
        <v>80</v>
      </c>
      <c r="B8" s="864">
        <v>83</v>
      </c>
      <c r="C8" s="864">
        <v>-197</v>
      </c>
      <c r="D8" s="864">
        <v>-176</v>
      </c>
      <c r="F8" s="795">
        <f t="shared" si="3"/>
        <v>5.563748491754927E-3</v>
      </c>
      <c r="G8" s="795">
        <f t="shared" si="4"/>
        <v>-1.2436868686868687E-2</v>
      </c>
      <c r="H8" s="795">
        <f t="shared" si="0"/>
        <v>-1.497744872776785E-2</v>
      </c>
      <c r="J8" s="757">
        <v>1</v>
      </c>
      <c r="K8" s="795">
        <f t="shared" si="1"/>
        <v>-2.3734939759036147</v>
      </c>
      <c r="L8" s="795">
        <f t="shared" si="2"/>
        <v>-2.1204819277108435</v>
      </c>
    </row>
    <row r="9" spans="1:14" x14ac:dyDescent="0.3">
      <c r="A9" s="1046" t="s">
        <v>81</v>
      </c>
      <c r="B9" s="866">
        <v>60</v>
      </c>
      <c r="C9" s="866">
        <v>204</v>
      </c>
      <c r="D9" s="866">
        <v>-99</v>
      </c>
      <c r="F9" s="867">
        <f t="shared" si="3"/>
        <v>4.0219868615095859E-3</v>
      </c>
      <c r="G9" s="867">
        <f t="shared" si="4"/>
        <v>1.2878787878787878E-2</v>
      </c>
      <c r="H9" s="867">
        <f t="shared" si="0"/>
        <v>-8.4248149093694158E-3</v>
      </c>
      <c r="J9" s="868">
        <v>1</v>
      </c>
      <c r="K9" s="867">
        <f t="shared" si="1"/>
        <v>3.4</v>
      </c>
      <c r="L9" s="867">
        <f t="shared" si="2"/>
        <v>-1.65</v>
      </c>
      <c r="N9" s="425"/>
    </row>
    <row r="10" spans="1:14" x14ac:dyDescent="0.3">
      <c r="A10" s="425" t="s">
        <v>82</v>
      </c>
      <c r="B10" s="869">
        <f>SUM(B5:B9)</f>
        <v>1640</v>
      </c>
      <c r="C10" s="869">
        <f>SUM(C5:C9)</f>
        <v>1838</v>
      </c>
      <c r="D10" s="869">
        <f>SUM(D5:D9)</f>
        <v>2243</v>
      </c>
      <c r="F10" s="871">
        <f t="shared" si="3"/>
        <v>0.10993430754792868</v>
      </c>
      <c r="G10" s="871">
        <f t="shared" si="4"/>
        <v>0.11603535353535353</v>
      </c>
      <c r="H10" s="871">
        <f t="shared" si="0"/>
        <v>0.19087737213854139</v>
      </c>
      <c r="J10" s="872">
        <v>1</v>
      </c>
      <c r="K10" s="871">
        <f t="shared" si="1"/>
        <v>1.1207317073170733</v>
      </c>
      <c r="L10" s="871">
        <f t="shared" si="2"/>
        <v>1.3676829268292683</v>
      </c>
    </row>
    <row r="11" spans="1:14" x14ac:dyDescent="0.3">
      <c r="A11" s="876" t="s">
        <v>83</v>
      </c>
      <c r="B11" s="864">
        <v>-47</v>
      </c>
      <c r="C11" s="864">
        <v>-55</v>
      </c>
      <c r="D11" s="864">
        <v>-46</v>
      </c>
      <c r="F11" s="795">
        <f t="shared" si="3"/>
        <v>-3.1505563748491757E-3</v>
      </c>
      <c r="G11" s="795">
        <f t="shared" si="4"/>
        <v>-3.472222222222222E-3</v>
      </c>
      <c r="H11" s="795">
        <f t="shared" si="0"/>
        <v>-3.9145604629393241E-3</v>
      </c>
      <c r="J11" s="757">
        <v>1</v>
      </c>
      <c r="K11" s="795">
        <f t="shared" si="1"/>
        <v>1.1702127659574468</v>
      </c>
      <c r="L11" s="795">
        <f t="shared" si="2"/>
        <v>0.97872340425531912</v>
      </c>
    </row>
    <row r="12" spans="1:14" x14ac:dyDescent="0.3">
      <c r="A12" t="s">
        <v>84</v>
      </c>
      <c r="B12" s="864">
        <v>5</v>
      </c>
      <c r="C12" s="864">
        <v>8</v>
      </c>
      <c r="D12" s="864">
        <v>4</v>
      </c>
      <c r="F12" s="795">
        <f t="shared" si="3"/>
        <v>3.3516557179246549E-4</v>
      </c>
      <c r="G12" s="795">
        <f t="shared" si="4"/>
        <v>5.0505050505050505E-4</v>
      </c>
      <c r="H12" s="795">
        <f t="shared" si="0"/>
        <v>3.4039656199472384E-4</v>
      </c>
      <c r="J12" s="757">
        <v>1</v>
      </c>
      <c r="K12" s="795">
        <f t="shared" si="1"/>
        <v>1.6</v>
      </c>
      <c r="L12" s="795">
        <f t="shared" si="2"/>
        <v>0.8</v>
      </c>
    </row>
    <row r="13" spans="1:14" x14ac:dyDescent="0.3">
      <c r="A13" t="s">
        <v>85</v>
      </c>
      <c r="B13" s="864">
        <v>6</v>
      </c>
      <c r="C13" s="864">
        <v>-1</v>
      </c>
      <c r="D13" s="864">
        <v>-11</v>
      </c>
      <c r="F13" s="795">
        <f t="shared" si="3"/>
        <v>4.0219868615095857E-4</v>
      </c>
      <c r="G13" s="795">
        <f t="shared" si="4"/>
        <v>-6.3131313131313131E-5</v>
      </c>
      <c r="H13" s="795">
        <f t="shared" si="0"/>
        <v>-9.3609054548549064E-4</v>
      </c>
      <c r="J13" s="757">
        <v>1</v>
      </c>
      <c r="K13" s="795">
        <f t="shared" si="1"/>
        <v>-0.16666666666666666</v>
      </c>
      <c r="L13" s="795">
        <f t="shared" si="2"/>
        <v>-1.8333333333333333</v>
      </c>
    </row>
    <row r="14" spans="1:14" x14ac:dyDescent="0.3">
      <c r="A14" s="865" t="s">
        <v>86</v>
      </c>
      <c r="B14" s="866">
        <v>-151</v>
      </c>
      <c r="C14" s="866">
        <v>-333</v>
      </c>
      <c r="D14" s="866">
        <v>-133</v>
      </c>
      <c r="F14" s="867">
        <f t="shared" si="3"/>
        <v>-1.0122000268132458E-2</v>
      </c>
      <c r="G14" s="867">
        <f t="shared" si="4"/>
        <v>-2.1022727272727273E-2</v>
      </c>
      <c r="H14" s="867">
        <f t="shared" si="0"/>
        <v>-1.1318185686324568E-2</v>
      </c>
      <c r="J14" s="868">
        <v>1</v>
      </c>
      <c r="K14" s="867">
        <f t="shared" si="1"/>
        <v>2.2052980132450331</v>
      </c>
      <c r="L14" s="867">
        <f t="shared" si="2"/>
        <v>0.88079470198675491</v>
      </c>
    </row>
    <row r="15" spans="1:14" x14ac:dyDescent="0.3">
      <c r="A15" s="877" t="s">
        <v>87</v>
      </c>
      <c r="B15" s="869">
        <f>SUM(B10:B14)</f>
        <v>1453</v>
      </c>
      <c r="C15" s="869">
        <f>SUM(C10:C14)</f>
        <v>1457</v>
      </c>
      <c r="D15" s="869">
        <f>SUM(D10:D14)</f>
        <v>2057</v>
      </c>
      <c r="F15" s="871">
        <f t="shared" si="3"/>
        <v>9.7399115162890473E-2</v>
      </c>
      <c r="G15" s="871">
        <f t="shared" si="4"/>
        <v>9.1982323232323235E-2</v>
      </c>
      <c r="H15" s="871">
        <f t="shared" si="0"/>
        <v>0.17504893200578675</v>
      </c>
      <c r="J15" s="872">
        <v>1</v>
      </c>
      <c r="K15" s="871">
        <f t="shared" si="1"/>
        <v>1.0027529249827942</v>
      </c>
      <c r="L15" s="871">
        <f t="shared" si="2"/>
        <v>1.4156916724019271</v>
      </c>
    </row>
    <row r="16" spans="1:14" x14ac:dyDescent="0.3">
      <c r="A16" s="997"/>
      <c r="B16" s="869"/>
      <c r="C16" s="869"/>
      <c r="D16" s="869"/>
      <c r="F16" s="795"/>
      <c r="G16" s="795"/>
      <c r="H16" s="795"/>
      <c r="K16" s="795"/>
      <c r="L16" s="425"/>
    </row>
    <row r="17" spans="1:12" x14ac:dyDescent="0.3">
      <c r="A17" s="862" t="s">
        <v>88</v>
      </c>
      <c r="B17" s="863" t="s">
        <v>3</v>
      </c>
      <c r="C17" s="863" t="s">
        <v>4</v>
      </c>
      <c r="D17" s="863" t="s">
        <v>5</v>
      </c>
      <c r="F17" s="863" t="s">
        <v>3</v>
      </c>
      <c r="G17" s="863" t="s">
        <v>4</v>
      </c>
      <c r="H17" s="863" t="s">
        <v>5</v>
      </c>
      <c r="J17" s="863" t="s">
        <v>3</v>
      </c>
      <c r="K17" s="863" t="s">
        <v>4</v>
      </c>
      <c r="L17" s="863" t="s">
        <v>5</v>
      </c>
    </row>
    <row r="18" spans="1:12" x14ac:dyDescent="0.3">
      <c r="A18" s="878" t="s">
        <v>89</v>
      </c>
      <c r="B18" s="864">
        <v>-347</v>
      </c>
      <c r="C18" s="864">
        <v>-522</v>
      </c>
      <c r="D18" s="864">
        <v>-727</v>
      </c>
      <c r="F18" s="795">
        <f t="shared" si="3"/>
        <v>-2.3260490682397106E-2</v>
      </c>
      <c r="G18" s="795">
        <f t="shared" si="4"/>
        <v>-3.2954545454545452E-2</v>
      </c>
      <c r="H18" s="795">
        <f t="shared" si="0"/>
        <v>-6.1867075142541063E-2</v>
      </c>
      <c r="J18" s="757">
        <v>1</v>
      </c>
      <c r="K18" s="795">
        <f t="shared" si="1"/>
        <v>1.5043227665706052</v>
      </c>
      <c r="L18" s="795">
        <f>D18/B18</f>
        <v>2.0951008645533142</v>
      </c>
    </row>
    <row r="19" spans="1:12" x14ac:dyDescent="0.3">
      <c r="A19" s="878" t="s">
        <v>90</v>
      </c>
      <c r="B19" s="864">
        <v>-34</v>
      </c>
      <c r="C19" s="864">
        <v>-45</v>
      </c>
      <c r="D19" s="864">
        <v>-35</v>
      </c>
      <c r="F19" s="795">
        <f t="shared" si="3"/>
        <v>-2.2791258881887651E-3</v>
      </c>
      <c r="G19" s="795">
        <f t="shared" si="4"/>
        <v>-2.840909090909091E-3</v>
      </c>
      <c r="H19" s="795">
        <f t="shared" si="0"/>
        <v>-2.9784699174538339E-3</v>
      </c>
      <c r="J19" s="757">
        <v>1</v>
      </c>
      <c r="K19" s="795">
        <f t="shared" si="1"/>
        <v>1.3235294117647058</v>
      </c>
      <c r="L19" s="795">
        <f t="shared" ref="L19:L26" si="5">D19/B19</f>
        <v>1.0294117647058822</v>
      </c>
    </row>
    <row r="20" spans="1:12" x14ac:dyDescent="0.3">
      <c r="A20" s="878" t="s">
        <v>91</v>
      </c>
      <c r="B20" s="864">
        <v>-15</v>
      </c>
      <c r="C20" s="864">
        <v>-1</v>
      </c>
      <c r="D20" s="864">
        <v>-175</v>
      </c>
      <c r="F20" s="795">
        <f t="shared" si="3"/>
        <v>-1.0054967153773965E-3</v>
      </c>
      <c r="G20" s="795">
        <f t="shared" si="4"/>
        <v>-6.3131313131313131E-5</v>
      </c>
      <c r="H20" s="795">
        <f t="shared" si="0"/>
        <v>-1.4892349587269168E-2</v>
      </c>
      <c r="J20" s="757">
        <v>1</v>
      </c>
      <c r="K20" s="795">
        <f t="shared" si="1"/>
        <v>6.6666666666666666E-2</v>
      </c>
      <c r="L20" s="795">
        <f t="shared" si="5"/>
        <v>11.666666666666666</v>
      </c>
    </row>
    <row r="21" spans="1:12" x14ac:dyDescent="0.3">
      <c r="A21" s="878" t="s">
        <v>92</v>
      </c>
      <c r="B21" s="864">
        <v>0</v>
      </c>
      <c r="C21" s="864">
        <v>0</v>
      </c>
      <c r="D21" s="864">
        <v>-35</v>
      </c>
      <c r="F21" s="795">
        <f t="shared" si="3"/>
        <v>0</v>
      </c>
      <c r="G21" s="795">
        <f t="shared" si="4"/>
        <v>0</v>
      </c>
      <c r="H21" s="795">
        <f t="shared" si="0"/>
        <v>-2.9784699174538339E-3</v>
      </c>
      <c r="J21" s="879" t="s">
        <v>93</v>
      </c>
      <c r="K21" s="880" t="s">
        <v>93</v>
      </c>
      <c r="L21" s="880" t="s">
        <v>93</v>
      </c>
    </row>
    <row r="22" spans="1:12" ht="28.8" x14ac:dyDescent="0.3">
      <c r="A22" s="878" t="s">
        <v>94</v>
      </c>
      <c r="B22" s="864">
        <v>0</v>
      </c>
      <c r="C22" s="864">
        <v>145</v>
      </c>
      <c r="D22" s="864">
        <v>-2</v>
      </c>
      <c r="F22" s="795">
        <f t="shared" si="3"/>
        <v>0</v>
      </c>
      <c r="G22" s="795">
        <f t="shared" si="4"/>
        <v>9.154040404040404E-3</v>
      </c>
      <c r="H22" s="795">
        <f t="shared" si="0"/>
        <v>-1.7019828099736192E-4</v>
      </c>
      <c r="J22" s="879" t="s">
        <v>93</v>
      </c>
      <c r="K22" s="880" t="s">
        <v>93</v>
      </c>
      <c r="L22" s="880" t="s">
        <v>93</v>
      </c>
    </row>
    <row r="23" spans="1:12" ht="15.75" customHeight="1" x14ac:dyDescent="0.3">
      <c r="A23" s="876" t="s">
        <v>95</v>
      </c>
      <c r="B23" s="864">
        <v>2</v>
      </c>
      <c r="C23" s="864">
        <v>0</v>
      </c>
      <c r="D23" s="864">
        <v>1</v>
      </c>
      <c r="F23" s="795">
        <f t="shared" si="3"/>
        <v>1.340662287169862E-4</v>
      </c>
      <c r="G23" s="795">
        <f t="shared" si="4"/>
        <v>0</v>
      </c>
      <c r="H23" s="795">
        <f t="shared" si="0"/>
        <v>8.509914049868096E-5</v>
      </c>
      <c r="J23" s="757">
        <v>1</v>
      </c>
      <c r="K23" s="795">
        <f t="shared" si="1"/>
        <v>0</v>
      </c>
      <c r="L23" s="795">
        <f t="shared" si="5"/>
        <v>0.5</v>
      </c>
    </row>
    <row r="24" spans="1:12" x14ac:dyDescent="0.3">
      <c r="A24" s="876" t="s">
        <v>96</v>
      </c>
      <c r="B24" s="864">
        <v>2</v>
      </c>
      <c r="C24" s="864">
        <v>0</v>
      </c>
      <c r="D24" s="864">
        <v>0</v>
      </c>
      <c r="F24" s="795">
        <f t="shared" si="3"/>
        <v>1.340662287169862E-4</v>
      </c>
      <c r="G24" s="795">
        <f t="shared" si="4"/>
        <v>0</v>
      </c>
      <c r="H24" s="795">
        <f t="shared" si="0"/>
        <v>0</v>
      </c>
      <c r="J24" s="757">
        <v>1</v>
      </c>
      <c r="K24" s="795">
        <f t="shared" si="1"/>
        <v>0</v>
      </c>
      <c r="L24" s="795">
        <f t="shared" si="5"/>
        <v>0</v>
      </c>
    </row>
    <row r="25" spans="1:12" x14ac:dyDescent="0.3">
      <c r="A25" s="881" t="s">
        <v>97</v>
      </c>
      <c r="B25" s="866">
        <v>-191</v>
      </c>
      <c r="C25" s="866">
        <v>120</v>
      </c>
      <c r="D25" s="866">
        <v>-66</v>
      </c>
      <c r="F25" s="867">
        <f t="shared" si="3"/>
        <v>-1.2803324842472182E-2</v>
      </c>
      <c r="G25" s="867">
        <f t="shared" si="4"/>
        <v>7.575757575757576E-3</v>
      </c>
      <c r="H25" s="867">
        <f t="shared" si="0"/>
        <v>-5.6165432729129439E-3</v>
      </c>
      <c r="J25" s="868">
        <v>1</v>
      </c>
      <c r="K25" s="867">
        <f t="shared" si="1"/>
        <v>-0.62827225130890052</v>
      </c>
      <c r="L25" s="867">
        <f t="shared" si="5"/>
        <v>0.34554973821989526</v>
      </c>
    </row>
    <row r="26" spans="1:12" x14ac:dyDescent="0.3">
      <c r="A26" s="882" t="s">
        <v>98</v>
      </c>
      <c r="B26" s="869">
        <f>SUM(B18:B25)</f>
        <v>-583</v>
      </c>
      <c r="C26" s="869">
        <f>SUM(C18:C25)</f>
        <v>-303</v>
      </c>
      <c r="D26" s="869">
        <f>SUM(D18:D25)</f>
        <v>-1039</v>
      </c>
      <c r="F26" s="871">
        <f t="shared" si="3"/>
        <v>-3.9080305671001472E-2</v>
      </c>
      <c r="G26" s="871">
        <f t="shared" si="4"/>
        <v>-1.9128787878787877E-2</v>
      </c>
      <c r="H26" s="871">
        <f t="shared" si="0"/>
        <v>-8.8418006978129515E-2</v>
      </c>
      <c r="J26" s="872">
        <v>1</v>
      </c>
      <c r="K26" s="871">
        <f t="shared" si="1"/>
        <v>0.51972555746140647</v>
      </c>
      <c r="L26" s="871">
        <f t="shared" si="5"/>
        <v>1.7821612349914238</v>
      </c>
    </row>
    <row r="27" spans="1:12" x14ac:dyDescent="0.3">
      <c r="B27" s="864"/>
      <c r="C27" s="864"/>
      <c r="D27" s="864"/>
      <c r="F27" s="795"/>
      <c r="G27" s="795"/>
      <c r="H27" s="795"/>
      <c r="K27" s="795"/>
    </row>
    <row r="28" spans="1:12" x14ac:dyDescent="0.3">
      <c r="A28" s="862" t="s">
        <v>99</v>
      </c>
      <c r="B28" s="863" t="s">
        <v>3</v>
      </c>
      <c r="C28" s="863" t="s">
        <v>4</v>
      </c>
      <c r="D28" s="863" t="s">
        <v>5</v>
      </c>
      <c r="F28" s="863" t="s">
        <v>3</v>
      </c>
      <c r="G28" s="863" t="s">
        <v>4</v>
      </c>
      <c r="H28" s="863" t="s">
        <v>5</v>
      </c>
      <c r="J28" s="863" t="s">
        <v>3</v>
      </c>
      <c r="K28" s="863" t="s">
        <v>4</v>
      </c>
      <c r="L28" s="863" t="s">
        <v>5</v>
      </c>
    </row>
    <row r="29" spans="1:12" ht="28.8" x14ac:dyDescent="0.3">
      <c r="A29" s="1" t="s">
        <v>100</v>
      </c>
      <c r="B29" s="880">
        <v>-18</v>
      </c>
      <c r="C29" s="880">
        <v>9</v>
      </c>
      <c r="D29" s="880">
        <v>-35</v>
      </c>
      <c r="F29" s="795">
        <f t="shared" si="3"/>
        <v>-1.2065960584528757E-3</v>
      </c>
      <c r="G29" s="795">
        <f t="shared" si="4"/>
        <v>5.6818181818181815E-4</v>
      </c>
      <c r="H29" s="795">
        <f t="shared" si="0"/>
        <v>-2.9784699174538339E-3</v>
      </c>
      <c r="J29" s="883">
        <v>1</v>
      </c>
      <c r="K29" s="795">
        <f t="shared" si="1"/>
        <v>-0.5</v>
      </c>
      <c r="L29" s="884">
        <f>D29/B29</f>
        <v>1.9444444444444444</v>
      </c>
    </row>
    <row r="30" spans="1:12" x14ac:dyDescent="0.3">
      <c r="A30" s="1" t="s">
        <v>101</v>
      </c>
      <c r="B30" s="880">
        <v>0</v>
      </c>
      <c r="C30" s="880">
        <v>12</v>
      </c>
      <c r="D30" s="880">
        <v>0</v>
      </c>
      <c r="F30" s="795">
        <f t="shared" si="3"/>
        <v>0</v>
      </c>
      <c r="G30" s="795">
        <f t="shared" si="4"/>
        <v>7.5757575757575758E-4</v>
      </c>
      <c r="H30" s="795">
        <f t="shared" si="0"/>
        <v>0</v>
      </c>
      <c r="J30" s="880" t="s">
        <v>93</v>
      </c>
      <c r="K30" s="880" t="s">
        <v>93</v>
      </c>
      <c r="L30" s="880" t="s">
        <v>93</v>
      </c>
    </row>
    <row r="31" spans="1:12" x14ac:dyDescent="0.3">
      <c r="A31" s="1" t="s">
        <v>102</v>
      </c>
      <c r="B31" s="880">
        <v>-64</v>
      </c>
      <c r="C31" s="880">
        <v>-234</v>
      </c>
      <c r="D31" s="880">
        <v>-142</v>
      </c>
      <c r="F31" s="795">
        <f t="shared" si="3"/>
        <v>-4.2901193189435584E-3</v>
      </c>
      <c r="G31" s="795">
        <f t="shared" si="4"/>
        <v>-1.4772727272727272E-2</v>
      </c>
      <c r="H31" s="795">
        <f t="shared" si="0"/>
        <v>-1.2084077950812696E-2</v>
      </c>
      <c r="J31" s="883">
        <v>1</v>
      </c>
      <c r="K31" s="795">
        <f t="shared" si="1"/>
        <v>3.65625</v>
      </c>
      <c r="L31" s="884">
        <f t="shared" ref="L31:L36" si="6">D31/B31</f>
        <v>2.21875</v>
      </c>
    </row>
    <row r="32" spans="1:12" x14ac:dyDescent="0.3">
      <c r="A32" s="1" t="s">
        <v>103</v>
      </c>
      <c r="B32" s="880">
        <v>-435</v>
      </c>
      <c r="C32" s="880">
        <v>-583</v>
      </c>
      <c r="D32" s="880">
        <v>-783</v>
      </c>
      <c r="F32" s="795">
        <f t="shared" si="3"/>
        <v>-2.9159404745944497E-2</v>
      </c>
      <c r="G32" s="795">
        <f t="shared" si="4"/>
        <v>-3.6805555555555557E-2</v>
      </c>
      <c r="H32" s="795">
        <f t="shared" si="0"/>
        <v>-6.6632627010467196E-2</v>
      </c>
      <c r="J32" s="883">
        <v>1</v>
      </c>
      <c r="K32" s="795">
        <f t="shared" si="1"/>
        <v>1.3402298850574712</v>
      </c>
      <c r="L32" s="884">
        <f t="shared" si="6"/>
        <v>1.8</v>
      </c>
    </row>
    <row r="33" spans="1:12" x14ac:dyDescent="0.3">
      <c r="A33" s="885" t="s">
        <v>104</v>
      </c>
      <c r="B33" s="866">
        <v>0</v>
      </c>
      <c r="C33" s="866">
        <v>-1</v>
      </c>
      <c r="D33" s="866">
        <v>-1</v>
      </c>
      <c r="F33" s="795">
        <f t="shared" si="3"/>
        <v>0</v>
      </c>
      <c r="G33" s="867">
        <f t="shared" si="4"/>
        <v>-6.3131313131313131E-5</v>
      </c>
      <c r="H33" s="867">
        <f t="shared" si="0"/>
        <v>-8.509914049868096E-5</v>
      </c>
      <c r="J33" s="866" t="s">
        <v>93</v>
      </c>
      <c r="K33" s="886" t="s">
        <v>93</v>
      </c>
      <c r="L33" s="886" t="s">
        <v>93</v>
      </c>
    </row>
    <row r="34" spans="1:12" x14ac:dyDescent="0.3">
      <c r="A34" s="882" t="s">
        <v>105</v>
      </c>
      <c r="B34" s="869">
        <f>SUM(B29:B33)</f>
        <v>-517</v>
      </c>
      <c r="C34" s="869">
        <f>SUM(C29:C33)</f>
        <v>-797</v>
      </c>
      <c r="D34" s="869">
        <f>SUM(D29:D33)</f>
        <v>-961</v>
      </c>
      <c r="F34" s="870">
        <f t="shared" si="3"/>
        <v>-3.4656120123340933E-2</v>
      </c>
      <c r="G34" s="871">
        <f t="shared" si="4"/>
        <v>-5.0315656565656564E-2</v>
      </c>
      <c r="H34" s="871">
        <f t="shared" si="0"/>
        <v>-8.1780274019232407E-2</v>
      </c>
      <c r="J34" s="887">
        <v>1</v>
      </c>
      <c r="K34" s="871">
        <f t="shared" si="1"/>
        <v>1.5415860735009672</v>
      </c>
      <c r="L34" s="888">
        <f t="shared" si="6"/>
        <v>1.8588007736943908</v>
      </c>
    </row>
    <row r="35" spans="1:12" x14ac:dyDescent="0.3">
      <c r="A35" s="873"/>
      <c r="B35" s="866"/>
      <c r="C35" s="866"/>
      <c r="D35" s="866"/>
      <c r="F35" s="867"/>
      <c r="G35" s="867"/>
      <c r="H35" s="867"/>
      <c r="J35" s="873"/>
      <c r="K35" s="867"/>
      <c r="L35" s="889"/>
    </row>
    <row r="36" spans="1:12" x14ac:dyDescent="0.3">
      <c r="A36" s="890" t="s">
        <v>106</v>
      </c>
      <c r="B36" s="890">
        <f>SUM(B15,B26,B34)</f>
        <v>353</v>
      </c>
      <c r="C36" s="890">
        <f t="shared" ref="C36:D36" si="7">SUM(C15,C26,C34)</f>
        <v>357</v>
      </c>
      <c r="D36" s="890">
        <f t="shared" si="7"/>
        <v>57</v>
      </c>
      <c r="F36" s="891">
        <f t="shared" si="3"/>
        <v>2.3662689368548064E-2</v>
      </c>
      <c r="G36" s="891">
        <f t="shared" si="4"/>
        <v>2.2537878787878787E-2</v>
      </c>
      <c r="H36" s="891">
        <f t="shared" si="0"/>
        <v>4.8506510084248148E-3</v>
      </c>
      <c r="J36" s="892">
        <v>1</v>
      </c>
      <c r="K36" s="891">
        <f t="shared" si="1"/>
        <v>1.0113314447592068</v>
      </c>
      <c r="L36" s="893">
        <f t="shared" si="6"/>
        <v>0.16147308781869688</v>
      </c>
    </row>
    <row r="39" spans="1:12" x14ac:dyDescent="0.3">
      <c r="F39" s="894"/>
      <c r="G39" s="895">
        <v>2018</v>
      </c>
      <c r="H39" s="895">
        <v>2019</v>
      </c>
      <c r="I39" s="896">
        <v>2020</v>
      </c>
    </row>
    <row r="40" spans="1:12" x14ac:dyDescent="0.3">
      <c r="F40" s="897" t="s">
        <v>107</v>
      </c>
      <c r="G40" s="873">
        <v>14918</v>
      </c>
      <c r="H40" s="873">
        <v>15840</v>
      </c>
      <c r="I40" s="898">
        <v>11751</v>
      </c>
    </row>
    <row r="44" spans="1:12" x14ac:dyDescent="0.3">
      <c r="A44" s="899"/>
      <c r="B44" s="900"/>
      <c r="C44" s="900"/>
      <c r="D44" s="900"/>
    </row>
    <row r="45" spans="1:12" x14ac:dyDescent="0.3">
      <c r="A45" s="901"/>
      <c r="B45" s="864"/>
      <c r="C45" s="864"/>
      <c r="D45" s="864"/>
    </row>
    <row r="46" spans="1:12" x14ac:dyDescent="0.3">
      <c r="A46" s="902"/>
      <c r="B46" s="869"/>
      <c r="C46" s="869"/>
      <c r="D46" s="869"/>
    </row>
    <row r="47" spans="1:12" x14ac:dyDescent="0.3">
      <c r="A47" s="902"/>
      <c r="B47" s="864"/>
      <c r="C47" s="864"/>
      <c r="D47" s="864"/>
    </row>
    <row r="48" spans="1:12" x14ac:dyDescent="0.3">
      <c r="A48" s="902"/>
      <c r="B48" s="864"/>
      <c r="C48" s="864"/>
      <c r="D48" s="864"/>
    </row>
    <row r="49" spans="1:4" x14ac:dyDescent="0.3">
      <c r="A49" s="902"/>
      <c r="B49" s="864"/>
      <c r="C49" s="864"/>
      <c r="D49" s="864"/>
    </row>
    <row r="50" spans="1:4" x14ac:dyDescent="0.3">
      <c r="A50" s="902"/>
      <c r="B50" s="864"/>
      <c r="C50" s="864"/>
      <c r="D50" s="864"/>
    </row>
    <row r="51" spans="1:4" x14ac:dyDescent="0.3">
      <c r="B51" s="864"/>
      <c r="C51" s="864"/>
      <c r="D51" s="864"/>
    </row>
    <row r="52" spans="1:4" x14ac:dyDescent="0.3">
      <c r="A52" s="425"/>
      <c r="B52" s="864"/>
      <c r="C52" s="864"/>
      <c r="D52" s="864"/>
    </row>
    <row r="53" spans="1:4" x14ac:dyDescent="0.3">
      <c r="A53" s="874"/>
      <c r="B53" s="864"/>
      <c r="C53" s="864"/>
      <c r="D53" s="864"/>
    </row>
    <row r="54" spans="1:4" x14ac:dyDescent="0.3">
      <c r="A54" s="874"/>
      <c r="B54" s="864"/>
      <c r="C54" s="864"/>
      <c r="D54" s="864"/>
    </row>
    <row r="55" spans="1:4" x14ac:dyDescent="0.3">
      <c r="A55" s="902"/>
      <c r="B55" s="864"/>
      <c r="C55" s="864"/>
      <c r="D55" s="864"/>
    </row>
    <row r="56" spans="1:4" x14ac:dyDescent="0.3">
      <c r="A56" s="903"/>
      <c r="B56" s="864"/>
      <c r="C56" s="864"/>
      <c r="D56" s="864"/>
    </row>
    <row r="57" spans="1:4" x14ac:dyDescent="0.3">
      <c r="A57" s="882"/>
      <c r="B57" s="869"/>
      <c r="C57" s="869"/>
      <c r="D57" s="869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4FE0-FEB1-4860-939E-5CF46458C440}">
  <dimension ref="A1:G36"/>
  <sheetViews>
    <sheetView workbookViewId="0">
      <selection activeCell="H16" sqref="H16"/>
    </sheetView>
  </sheetViews>
  <sheetFormatPr defaultRowHeight="14.4" x14ac:dyDescent="0.3"/>
  <cols>
    <col min="1" max="1" width="34.6640625" bestFit="1" customWidth="1"/>
  </cols>
  <sheetData>
    <row r="1" spans="1:7" x14ac:dyDescent="0.3">
      <c r="A1" s="1242" t="s">
        <v>108</v>
      </c>
      <c r="B1" s="1242"/>
      <c r="C1" s="1242"/>
      <c r="D1" s="1242"/>
      <c r="E1" s="1242"/>
      <c r="F1" s="1242"/>
    </row>
    <row r="2" spans="1:7" x14ac:dyDescent="0.3">
      <c r="A2" s="1064"/>
      <c r="B2" s="1065" t="s">
        <v>109</v>
      </c>
      <c r="C2" s="1065" t="s">
        <v>110</v>
      </c>
      <c r="D2" s="1065" t="s">
        <v>111</v>
      </c>
      <c r="E2" s="1065" t="s">
        <v>4</v>
      </c>
      <c r="F2" s="1065" t="s">
        <v>5</v>
      </c>
    </row>
    <row r="3" spans="1:7" x14ac:dyDescent="0.3">
      <c r="A3" s="890" t="s">
        <v>112</v>
      </c>
      <c r="B3" s="1066"/>
      <c r="C3" s="1066"/>
      <c r="D3" s="1066"/>
      <c r="E3" s="1066"/>
      <c r="F3" s="1066"/>
    </row>
    <row r="4" spans="1:7" x14ac:dyDescent="0.3">
      <c r="A4" t="s">
        <v>113</v>
      </c>
      <c r="B4" s="795">
        <f>1155/7118</f>
        <v>0.16226468109019387</v>
      </c>
      <c r="C4" s="1067">
        <f>1171/7618</f>
        <v>0.15371488579679707</v>
      </c>
      <c r="D4" s="795">
        <f>1025/8008.5</f>
        <v>0.12798901167509522</v>
      </c>
      <c r="E4" s="1067">
        <f>2229/9001.5</f>
        <v>0.24762539576737211</v>
      </c>
      <c r="F4" s="1067">
        <f>828/9804</f>
        <v>8.4455324357405145E-2</v>
      </c>
    </row>
    <row r="5" spans="1:7" x14ac:dyDescent="0.3">
      <c r="A5" t="s">
        <v>114</v>
      </c>
      <c r="B5" s="1067">
        <v>0.16900000000000001</v>
      </c>
      <c r="C5" s="1067">
        <v>0.17499999999999999</v>
      </c>
      <c r="D5" s="1067">
        <v>0.21099999999999999</v>
      </c>
      <c r="E5" s="1067">
        <v>0.26600000000000001</v>
      </c>
      <c r="F5" s="1067">
        <v>0.17299999999999999</v>
      </c>
    </row>
    <row r="6" spans="1:7" x14ac:dyDescent="0.3">
      <c r="A6" t="s">
        <v>115</v>
      </c>
      <c r="B6" s="1067">
        <v>0.28100000000000003</v>
      </c>
      <c r="C6" s="1067">
        <v>0.22700000000000001</v>
      </c>
      <c r="D6" s="1067">
        <v>0.17299999999999999</v>
      </c>
      <c r="E6" s="1067">
        <v>0.35799999999999998</v>
      </c>
      <c r="F6" s="1067">
        <v>0.11799999999999999</v>
      </c>
    </row>
    <row r="7" spans="1:7" x14ac:dyDescent="0.3">
      <c r="A7" s="890" t="s">
        <v>116</v>
      </c>
      <c r="B7" s="873"/>
      <c r="C7" s="873"/>
      <c r="D7" s="873"/>
      <c r="E7" s="873"/>
      <c r="F7" s="873"/>
    </row>
    <row r="8" spans="1:7" x14ac:dyDescent="0.3">
      <c r="A8" t="s">
        <v>117</v>
      </c>
      <c r="B8" s="741">
        <f>3285/2123</f>
        <v>1.5473386716910034</v>
      </c>
      <c r="C8" s="741">
        <f>3530/1951</f>
        <v>1.8093285494618145</v>
      </c>
      <c r="D8" s="741">
        <f>4129/2247</f>
        <v>1.8375611927013795</v>
      </c>
      <c r="E8" s="741">
        <f>5341/2311</f>
        <v>2.3111207269580269</v>
      </c>
      <c r="F8" s="741">
        <f>4869/2247</f>
        <v>2.1668891855807741</v>
      </c>
    </row>
    <row r="9" spans="1:7" x14ac:dyDescent="0.3">
      <c r="A9" t="s">
        <v>118</v>
      </c>
      <c r="B9">
        <f>3285-2123</f>
        <v>1162</v>
      </c>
      <c r="C9">
        <f>3530-1951</f>
        <v>1579</v>
      </c>
      <c r="D9">
        <f>4129-2247</f>
        <v>1882</v>
      </c>
      <c r="E9">
        <f>5341-2311</f>
        <v>3030</v>
      </c>
      <c r="F9">
        <f>4869-2247</f>
        <v>2622</v>
      </c>
    </row>
    <row r="10" spans="1:7" x14ac:dyDescent="0.3">
      <c r="A10" s="890" t="s">
        <v>119</v>
      </c>
      <c r="B10" s="873"/>
      <c r="C10" s="873"/>
      <c r="D10" s="873"/>
      <c r="E10" s="873"/>
      <c r="F10" s="873"/>
    </row>
    <row r="11" spans="1:7" x14ac:dyDescent="0.3">
      <c r="A11" t="s">
        <v>120</v>
      </c>
      <c r="B11">
        <v>12.3</v>
      </c>
      <c r="C11">
        <v>12.4</v>
      </c>
      <c r="D11">
        <v>12.8</v>
      </c>
      <c r="E11" s="741">
        <v>10.1</v>
      </c>
      <c r="F11">
        <v>7.5</v>
      </c>
    </row>
    <row r="12" spans="1:7" x14ac:dyDescent="0.3">
      <c r="A12" t="s">
        <v>121</v>
      </c>
      <c r="B12">
        <v>7.6</v>
      </c>
      <c r="C12">
        <v>7.3</v>
      </c>
      <c r="D12">
        <v>8.1999999999999993</v>
      </c>
      <c r="E12">
        <v>7.8</v>
      </c>
      <c r="F12">
        <v>5.3</v>
      </c>
    </row>
    <row r="13" spans="1:7" x14ac:dyDescent="0.3">
      <c r="A13" t="s">
        <v>122</v>
      </c>
      <c r="B13">
        <v>6.9</v>
      </c>
      <c r="C13">
        <v>6.8</v>
      </c>
      <c r="D13">
        <v>7.2</v>
      </c>
      <c r="E13">
        <v>6.7</v>
      </c>
      <c r="F13">
        <v>4.9000000000000004</v>
      </c>
      <c r="G13" s="3"/>
    </row>
    <row r="14" spans="1:7" x14ac:dyDescent="0.3">
      <c r="A14" s="890" t="s">
        <v>123</v>
      </c>
      <c r="B14" s="873"/>
      <c r="C14" s="873"/>
      <c r="D14" s="873"/>
      <c r="E14" s="873"/>
      <c r="F14" s="873"/>
    </row>
    <row r="15" spans="1:7" x14ac:dyDescent="0.3">
      <c r="A15" t="s">
        <v>124</v>
      </c>
      <c r="B15" s="1067">
        <v>0.50600000000000001</v>
      </c>
      <c r="C15" s="1067">
        <v>0.55800000000000005</v>
      </c>
      <c r="D15" s="1067">
        <v>0.56499999999999995</v>
      </c>
      <c r="E15" s="1067">
        <v>0.60799999999999998</v>
      </c>
      <c r="F15" s="1067">
        <v>0.61099999999999999</v>
      </c>
    </row>
    <row r="16" spans="1:7" x14ac:dyDescent="0.3">
      <c r="A16" t="s">
        <v>125</v>
      </c>
      <c r="B16" s="1067">
        <v>0.154</v>
      </c>
      <c r="C16" s="1067">
        <v>8.6999999999999994E-2</v>
      </c>
      <c r="D16" s="1067">
        <v>-1.4999999999999999E-2</v>
      </c>
      <c r="E16" s="1067">
        <v>-3.3000000000000002E-2</v>
      </c>
      <c r="F16" s="1067">
        <v>-4.7E-2</v>
      </c>
    </row>
    <row r="17" spans="1:6" x14ac:dyDescent="0.3">
      <c r="A17" s="890" t="s">
        <v>126</v>
      </c>
      <c r="B17" s="873"/>
      <c r="C17" s="873"/>
      <c r="D17" s="873"/>
      <c r="E17" s="873"/>
      <c r="F17" s="873"/>
    </row>
    <row r="18" spans="1:6" x14ac:dyDescent="0.3">
      <c r="A18" t="s">
        <v>127</v>
      </c>
      <c r="B18">
        <v>5013</v>
      </c>
      <c r="C18">
        <v>5297</v>
      </c>
      <c r="D18">
        <v>5468</v>
      </c>
      <c r="E18">
        <v>5474</v>
      </c>
      <c r="F18">
        <v>4833</v>
      </c>
    </row>
    <row r="19" spans="1:6" x14ac:dyDescent="0.3">
      <c r="A19" t="s">
        <v>128</v>
      </c>
      <c r="B19" s="741">
        <f>B36/B18</f>
        <v>2.3317374825453818</v>
      </c>
      <c r="C19" s="741">
        <f>C36/C18</f>
        <v>2.4951859543137624</v>
      </c>
      <c r="D19" s="741">
        <f>D36/D18</f>
        <v>2.7282370153621067</v>
      </c>
      <c r="E19" s="741">
        <f>E36/E18</f>
        <v>2.8936792108147609</v>
      </c>
      <c r="F19" s="741">
        <f>F36/F18</f>
        <v>2.4314090626939788</v>
      </c>
    </row>
    <row r="35" spans="1:6" x14ac:dyDescent="0.3">
      <c r="A35" s="894"/>
      <c r="B35" s="895">
        <v>2016</v>
      </c>
      <c r="C35" s="895">
        <v>2017</v>
      </c>
      <c r="D35" s="895">
        <v>2018</v>
      </c>
      <c r="E35" s="895">
        <v>2019</v>
      </c>
      <c r="F35" s="896">
        <v>2020</v>
      </c>
    </row>
    <row r="36" spans="1:6" x14ac:dyDescent="0.3">
      <c r="A36" s="897" t="s">
        <v>107</v>
      </c>
      <c r="B36" s="885">
        <v>11689</v>
      </c>
      <c r="C36" s="885">
        <v>13217</v>
      </c>
      <c r="D36" s="873">
        <v>14918</v>
      </c>
      <c r="E36" s="873">
        <v>15840</v>
      </c>
      <c r="F36" s="898">
        <v>11751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F3FF-8978-41F0-A8F2-F8CCBC5876EC}">
  <dimension ref="A1:H14"/>
  <sheetViews>
    <sheetView workbookViewId="0">
      <selection activeCell="H5" sqref="H5"/>
    </sheetView>
  </sheetViews>
  <sheetFormatPr defaultRowHeight="14.4" x14ac:dyDescent="0.3"/>
  <cols>
    <col min="1" max="1" width="25.109375" customWidth="1"/>
  </cols>
  <sheetData>
    <row r="1" spans="1:8" x14ac:dyDescent="0.3">
      <c r="A1" s="1239" t="s">
        <v>129</v>
      </c>
      <c r="B1" s="1239"/>
      <c r="C1" s="1239"/>
      <c r="D1" s="1239"/>
      <c r="E1" s="1239"/>
      <c r="F1" s="1239"/>
      <c r="G1" s="1239"/>
      <c r="H1" s="1239"/>
    </row>
    <row r="2" spans="1:8" x14ac:dyDescent="0.3">
      <c r="A2" s="1045"/>
      <c r="B2" s="863">
        <v>2020</v>
      </c>
      <c r="C2" s="863">
        <v>2019</v>
      </c>
      <c r="D2" s="863">
        <v>2018</v>
      </c>
      <c r="E2" s="1045">
        <v>2017</v>
      </c>
      <c r="F2" s="900"/>
      <c r="G2" s="900"/>
      <c r="H2" s="900"/>
    </row>
    <row r="3" spans="1:8" x14ac:dyDescent="0.3">
      <c r="A3" t="s">
        <v>130</v>
      </c>
      <c r="B3">
        <v>0.93</v>
      </c>
      <c r="C3">
        <v>2.33</v>
      </c>
      <c r="D3">
        <v>1.01</v>
      </c>
      <c r="E3">
        <v>1.17</v>
      </c>
    </row>
    <row r="4" spans="1:8" x14ac:dyDescent="0.3">
      <c r="A4" t="s">
        <v>131</v>
      </c>
      <c r="B4">
        <v>7.72</v>
      </c>
      <c r="C4">
        <v>7.71</v>
      </c>
      <c r="D4">
        <v>6.01</v>
      </c>
      <c r="E4">
        <v>5.64</v>
      </c>
    </row>
    <row r="6" spans="1:8" x14ac:dyDescent="0.3">
      <c r="A6" t="s">
        <v>132</v>
      </c>
      <c r="B6">
        <v>63.75</v>
      </c>
      <c r="C6">
        <v>13.32</v>
      </c>
      <c r="D6">
        <v>22.24</v>
      </c>
      <c r="E6">
        <v>15.16</v>
      </c>
    </row>
    <row r="7" spans="1:8" x14ac:dyDescent="0.3">
      <c r="A7" t="s">
        <v>133</v>
      </c>
      <c r="B7" s="571">
        <f>B11/B4</f>
        <v>7.6632124352331603</v>
      </c>
      <c r="C7" s="571">
        <f>C11/C4</f>
        <v>4.0233463035019454</v>
      </c>
      <c r="D7" s="571">
        <f>D11/D4</f>
        <v>3.7354409317803663</v>
      </c>
      <c r="E7" s="571">
        <f>E11/E4</f>
        <v>3.1524822695035466</v>
      </c>
      <c r="F7" s="571"/>
    </row>
    <row r="9" spans="1:8" x14ac:dyDescent="0.3">
      <c r="A9" t="s">
        <v>134</v>
      </c>
      <c r="B9">
        <v>0.8</v>
      </c>
      <c r="C9">
        <v>1.02</v>
      </c>
      <c r="D9">
        <v>0.76</v>
      </c>
      <c r="E9">
        <v>0.56999999999999995</v>
      </c>
    </row>
    <row r="10" spans="1:8" x14ac:dyDescent="0.3">
      <c r="A10" t="s">
        <v>135</v>
      </c>
      <c r="B10">
        <v>1.4</v>
      </c>
      <c r="C10">
        <v>3.3</v>
      </c>
      <c r="D10">
        <v>3.4</v>
      </c>
      <c r="E10">
        <v>3.2</v>
      </c>
    </row>
    <row r="11" spans="1:8" x14ac:dyDescent="0.3">
      <c r="A11" t="s">
        <v>136</v>
      </c>
      <c r="B11">
        <v>59.16</v>
      </c>
      <c r="C11">
        <v>31.02</v>
      </c>
      <c r="D11">
        <v>22.45</v>
      </c>
      <c r="E11">
        <v>17.78</v>
      </c>
    </row>
    <row r="14" spans="1:8" x14ac:dyDescent="0.3">
      <c r="A14" s="1"/>
    </row>
  </sheetData>
  <mergeCells count="2">
    <mergeCell ref="A1:D1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25F-D0EA-4566-825D-6750544C11BD}">
  <sheetPr>
    <tabColor theme="9" tint="-0.249977111117893"/>
  </sheetPr>
  <dimension ref="A1:AO56"/>
  <sheetViews>
    <sheetView zoomScale="65" zoomScaleNormal="130" workbookViewId="0">
      <selection activeCell="A24" sqref="A24:F24"/>
    </sheetView>
  </sheetViews>
  <sheetFormatPr defaultRowHeight="14.4" x14ac:dyDescent="0.3"/>
  <cols>
    <col min="1" max="1" width="12.44140625" customWidth="1"/>
    <col min="2" max="2" width="11.88671875" customWidth="1"/>
    <col min="3" max="3" width="12" customWidth="1"/>
    <col min="4" max="4" width="24.109375" style="571" bestFit="1" customWidth="1"/>
    <col min="6" max="6" width="9.109375" bestFit="1" customWidth="1"/>
    <col min="7" max="7" width="20.44140625" customWidth="1"/>
    <col min="8" max="8" width="17.88671875" customWidth="1"/>
    <col min="9" max="9" width="10.5546875" customWidth="1"/>
    <col min="10" max="12" width="14.33203125" bestFit="1" customWidth="1"/>
    <col min="13" max="13" width="13.6640625" customWidth="1"/>
    <col min="14" max="17" width="14.33203125" bestFit="1" customWidth="1"/>
    <col min="18" max="18" width="9.88671875" bestFit="1" customWidth="1"/>
    <col min="19" max="19" width="6.33203125" bestFit="1" customWidth="1"/>
    <col min="20" max="21" width="9.33203125" bestFit="1" customWidth="1"/>
    <col min="31" max="31" width="9" bestFit="1" customWidth="1"/>
    <col min="32" max="32" width="10" bestFit="1" customWidth="1"/>
    <col min="33" max="34" width="10.44140625" bestFit="1" customWidth="1"/>
    <col min="35" max="35" width="10" bestFit="1" customWidth="1"/>
    <col min="36" max="40" width="13.33203125" bestFit="1" customWidth="1"/>
    <col min="41" max="41" width="9" bestFit="1" customWidth="1"/>
  </cols>
  <sheetData>
    <row r="1" spans="1:41" ht="79.8" x14ac:dyDescent="0.3">
      <c r="A1" t="s">
        <v>137</v>
      </c>
      <c r="AD1" s="1011" t="s">
        <v>138</v>
      </c>
      <c r="AE1" s="1012"/>
      <c r="AF1" s="1012">
        <v>255775535</v>
      </c>
      <c r="AG1" s="1013">
        <v>255822047</v>
      </c>
      <c r="AH1" s="1013">
        <v>767151336</v>
      </c>
      <c r="AI1" s="851">
        <v>767370423</v>
      </c>
      <c r="AJ1" s="1014">
        <v>767370423</v>
      </c>
      <c r="AK1" s="1014">
        <v>767370423</v>
      </c>
      <c r="AL1" s="1014">
        <v>767370423</v>
      </c>
      <c r="AM1" s="1014">
        <v>767370423</v>
      </c>
      <c r="AN1" s="1014">
        <v>767370423</v>
      </c>
      <c r="AO1" s="1014"/>
    </row>
    <row r="2" spans="1:41" x14ac:dyDescent="0.3">
      <c r="A2" t="s">
        <v>139</v>
      </c>
      <c r="B2" t="s">
        <v>140</v>
      </c>
      <c r="C2" t="s">
        <v>141</v>
      </c>
      <c r="D2" s="571" t="s">
        <v>142</v>
      </c>
      <c r="E2" t="s">
        <v>143</v>
      </c>
      <c r="AD2" s="851" t="s">
        <v>144</v>
      </c>
      <c r="AE2" s="851"/>
      <c r="AF2" s="1014">
        <f>I15*AF1/10^6</f>
        <v>434.81840949999997</v>
      </c>
      <c r="AG2" s="1014">
        <f>J15*AG1/10^6</f>
        <v>583.27426716000002</v>
      </c>
      <c r="AH2" s="1014">
        <f>K15*AH1/10^6</f>
        <v>782.49436272000003</v>
      </c>
      <c r="AI2" s="1014">
        <f>L15*AI1/10^6</f>
        <v>613.89633839999999</v>
      </c>
      <c r="AJ2" s="1014">
        <f>AJ4*0.51</f>
        <v>515.96704645630962</v>
      </c>
      <c r="AK2" s="1014">
        <f>AK4*0.51</f>
        <v>620.27175876970068</v>
      </c>
      <c r="AL2" s="1014">
        <f>AL4*0.51</f>
        <v>838.79453342853947</v>
      </c>
      <c r="AM2" s="1014">
        <f>AM4*0.51</f>
        <v>991.04823931032945</v>
      </c>
      <c r="AN2" s="1014">
        <f>AN4*0.51</f>
        <v>1323.336871096503</v>
      </c>
      <c r="AO2" s="1014">
        <v>4000</v>
      </c>
    </row>
    <row r="3" spans="1:41" x14ac:dyDescent="0.3">
      <c r="A3" s="749">
        <v>44127</v>
      </c>
      <c r="B3" s="750">
        <v>0.1</v>
      </c>
      <c r="C3" s="750">
        <f t="shared" ref="C3" si="0">SUM(B3:B6)</f>
        <v>1.1200000000000001</v>
      </c>
      <c r="D3" s="751">
        <f>(C3-C7)/C7</f>
        <v>0.47368421052631593</v>
      </c>
      <c r="E3">
        <f>(D3+D7+D9)/3</f>
        <v>0.18466415563679664</v>
      </c>
      <c r="G3" t="s">
        <v>145</v>
      </c>
      <c r="H3" t="s">
        <v>146</v>
      </c>
      <c r="I3" t="s">
        <v>147</v>
      </c>
      <c r="J3" t="s">
        <v>148</v>
      </c>
      <c r="K3" t="s">
        <v>143</v>
      </c>
      <c r="AD3" s="851" t="s">
        <v>149</v>
      </c>
      <c r="AE3" s="1002">
        <f>'Forecasting development (final)'!AF71</f>
        <v>989</v>
      </c>
      <c r="AF3" s="1002">
        <f>'Forecasting development (final)'!AE71</f>
        <v>1100</v>
      </c>
      <c r="AG3" s="1002">
        <f>'Forecasting development (final)'!AD71</f>
        <v>1421</v>
      </c>
      <c r="AH3" s="1002">
        <f>'Forecasting development (final)'!AC71</f>
        <v>1964</v>
      </c>
      <c r="AI3" s="1002">
        <f>'Forecasting development (final)'!AB71</f>
        <v>1415</v>
      </c>
      <c r="AJ3" s="1002">
        <f>'Forecasting development (final)'!AG71</f>
        <v>1163.6355761764435</v>
      </c>
      <c r="AK3" s="1002">
        <f>'Forecasting development (final)'!AH71</f>
        <v>1395.9288191708054</v>
      </c>
      <c r="AL3" s="1002">
        <f>'Forecasting development (final)'!AI71</f>
        <v>1875.8753591174532</v>
      </c>
      <c r="AM3" s="1002">
        <f>'Forecasting development (final)'!AJ71</f>
        <v>2252.3163658817184</v>
      </c>
      <c r="AN3" s="1002">
        <f>'Forecasting development (final)'!AK71</f>
        <v>2594.7781786205942</v>
      </c>
      <c r="AO3" s="851"/>
    </row>
    <row r="4" spans="1:41" x14ac:dyDescent="0.3">
      <c r="A4" s="749">
        <v>44116</v>
      </c>
      <c r="B4" s="750">
        <v>0.1</v>
      </c>
      <c r="C4" s="750"/>
      <c r="D4" s="751"/>
      <c r="G4">
        <v>2020</v>
      </c>
      <c r="H4">
        <v>0.8</v>
      </c>
      <c r="I4" s="743">
        <f>(H4-H5)/H5</f>
        <v>-0.2156862745098039</v>
      </c>
      <c r="K4" s="742">
        <f>AVERAGE(I4:I7)</f>
        <v>0.19633342933256537</v>
      </c>
      <c r="M4" t="s">
        <v>150</v>
      </c>
      <c r="N4" s="424">
        <f>DCF!AA3</f>
        <v>1.72E-2</v>
      </c>
      <c r="AD4" s="851" t="s">
        <v>151</v>
      </c>
      <c r="AE4" s="851"/>
      <c r="AF4" s="1002">
        <f>AF3+Forcasts!L187-Forcasts!L198</f>
        <v>928</v>
      </c>
      <c r="AG4" s="1002">
        <f>AG3+Forcasts!M187-Forcasts!M198</f>
        <v>1142</v>
      </c>
      <c r="AH4" s="1002">
        <f>AH3+Forcasts!N187-Forcasts!N198</f>
        <v>1890</v>
      </c>
      <c r="AI4" s="1002">
        <f>L15/(N7-5%)</f>
        <v>28.93937201562726</v>
      </c>
      <c r="AJ4" s="1002">
        <f>AJ3+Forcasts!P187-Forcasts!P198</f>
        <v>1011.7000910908032</v>
      </c>
      <c r="AK4" s="1002">
        <f>AK3+Forcasts!Q187-Forcasts!Q198</f>
        <v>1216.2191348425504</v>
      </c>
      <c r="AL4" s="1002">
        <f>AL3+Forcasts!R187-Forcasts!R198</f>
        <v>1644.6951635853716</v>
      </c>
      <c r="AM4" s="1002">
        <f>AM3+Forcasts!S187-Forcasts!S198</f>
        <v>1943.2318417849597</v>
      </c>
      <c r="AN4" s="1002">
        <f>AN3+Forcasts!T187-Forcasts!T198</f>
        <v>2594.7781786205942</v>
      </c>
      <c r="AO4" s="851"/>
    </row>
    <row r="5" spans="1:41" x14ac:dyDescent="0.3">
      <c r="A5" s="749">
        <v>43970</v>
      </c>
      <c r="B5" s="750">
        <v>0.46</v>
      </c>
      <c r="C5" s="750"/>
      <c r="D5" s="751"/>
      <c r="G5">
        <v>2019</v>
      </c>
      <c r="H5">
        <v>1.02</v>
      </c>
      <c r="I5" s="743">
        <f t="shared" ref="I5:I7" si="1">(H5-H6)/H6</f>
        <v>0.34210526315789475</v>
      </c>
      <c r="K5" s="795">
        <f>AVERAGE(J16:Q16)</f>
        <v>6.0574773166746788E-2</v>
      </c>
      <c r="M5" t="s">
        <v>152</v>
      </c>
      <c r="N5">
        <v>0.73</v>
      </c>
      <c r="AD5" s="1015"/>
      <c r="AE5" s="1015"/>
      <c r="AF5" s="1015"/>
      <c r="AG5" s="1015"/>
      <c r="AH5" s="1015"/>
      <c r="AI5" s="1015"/>
      <c r="AJ5" s="1015"/>
      <c r="AK5" s="1015"/>
      <c r="AL5" s="1015"/>
      <c r="AM5" s="1015"/>
      <c r="AN5" s="1015"/>
      <c r="AO5" s="1015"/>
    </row>
    <row r="6" spans="1:41" x14ac:dyDescent="0.3">
      <c r="A6" s="749">
        <v>43929</v>
      </c>
      <c r="B6" s="750">
        <v>0.46</v>
      </c>
      <c r="C6" s="750"/>
      <c r="D6" s="751"/>
      <c r="G6">
        <v>2018</v>
      </c>
      <c r="H6" s="425">
        <v>0.76</v>
      </c>
      <c r="I6" s="743">
        <f t="shared" si="1"/>
        <v>0.33333333333333348</v>
      </c>
      <c r="M6" t="s">
        <v>153</v>
      </c>
      <c r="N6" s="424">
        <v>0.1</v>
      </c>
      <c r="AD6" s="851" t="s">
        <v>154</v>
      </c>
      <c r="AE6" s="851"/>
      <c r="AF6" s="851"/>
      <c r="AG6" s="851"/>
      <c r="AH6" s="851"/>
      <c r="AI6" s="851"/>
      <c r="AJ6" s="851">
        <f>1/(1+N7)^M14</f>
        <v>0.92795023217314809</v>
      </c>
      <c r="AK6" s="851">
        <f>1/(1+N7)^N14</f>
        <v>0.86109163339019934</v>
      </c>
      <c r="AL6" s="851">
        <f>1/(1+N7)^O14</f>
        <v>0.79905018112679072</v>
      </c>
      <c r="AM6" s="851">
        <f>1/(1+N7)^P14</f>
        <v>0.74147880109460151</v>
      </c>
      <c r="AN6" s="851">
        <f>1/(1+N7)^Q14</f>
        <v>0.6880554256272029</v>
      </c>
      <c r="AO6" s="851"/>
    </row>
    <row r="7" spans="1:41" x14ac:dyDescent="0.3">
      <c r="A7" s="47">
        <v>43741</v>
      </c>
      <c r="B7">
        <v>0.38</v>
      </c>
      <c r="C7">
        <f>SUM(B7:B8)</f>
        <v>0.76</v>
      </c>
      <c r="D7" s="571">
        <f>(C7-C9)/C9</f>
        <v>0.3411780484447629</v>
      </c>
      <c r="G7">
        <v>2017</v>
      </c>
      <c r="H7" s="425">
        <v>0.56999999999999995</v>
      </c>
      <c r="I7" s="743">
        <f t="shared" si="1"/>
        <v>0.32558139534883712</v>
      </c>
      <c r="M7" t="s">
        <v>155</v>
      </c>
      <c r="N7" s="424">
        <f>N4+N5*(N6-N4)</f>
        <v>7.7644000000000005E-2</v>
      </c>
      <c r="AD7" s="851" t="s">
        <v>156</v>
      </c>
      <c r="AE7" s="851"/>
      <c r="AF7" s="851"/>
      <c r="AG7" s="851"/>
      <c r="AH7" s="851"/>
      <c r="AI7" s="851"/>
      <c r="AJ7" s="1016">
        <f>AJ6*AJ2</f>
        <v>478.79174055282601</v>
      </c>
      <c r="AK7" s="1016">
        <f t="shared" ref="AK7:AN7" si="2">AK6*AK2</f>
        <v>534.11082190481329</v>
      </c>
      <c r="AL7" s="1016">
        <f t="shared" si="2"/>
        <v>670.23892386423643</v>
      </c>
      <c r="AM7" s="1016">
        <f t="shared" si="2"/>
        <v>734.84126031073879</v>
      </c>
      <c r="AN7" s="1016">
        <f t="shared" si="2"/>
        <v>910.52911409047533</v>
      </c>
      <c r="AO7" s="851"/>
    </row>
    <row r="8" spans="1:41" x14ac:dyDescent="0.3">
      <c r="A8" s="47">
        <v>43558</v>
      </c>
      <c r="B8">
        <v>0.38</v>
      </c>
      <c r="G8">
        <v>2016</v>
      </c>
      <c r="H8">
        <v>0.43</v>
      </c>
      <c r="L8" s="50"/>
      <c r="M8" s="50"/>
      <c r="N8" s="50"/>
      <c r="AD8" s="851" t="s">
        <v>157</v>
      </c>
      <c r="AE8" s="851"/>
      <c r="AF8" s="851"/>
      <c r="AG8" s="851"/>
      <c r="AH8" s="851"/>
      <c r="AI8" s="851"/>
      <c r="AJ8" s="1016">
        <f>SUM(AJ7:AN7)</f>
        <v>3328.5118607230897</v>
      </c>
      <c r="AK8" s="851"/>
      <c r="AL8" s="851"/>
      <c r="AM8" s="851"/>
      <c r="AN8" s="851"/>
      <c r="AO8" s="851"/>
    </row>
    <row r="9" spans="1:41" x14ac:dyDescent="0.3">
      <c r="A9" s="749">
        <v>43382</v>
      </c>
      <c r="B9" s="750">
        <v>0.283333</v>
      </c>
      <c r="C9" s="750">
        <f>SUM(B9:B10)</f>
        <v>0.566666</v>
      </c>
      <c r="D9" s="751">
        <f>(C9-C11)/C11</f>
        <v>-0.26086979206068883</v>
      </c>
      <c r="G9" t="s">
        <v>158</v>
      </c>
      <c r="L9" s="50"/>
      <c r="M9" s="50"/>
      <c r="N9" s="50"/>
      <c r="AD9" s="851" t="s">
        <v>159</v>
      </c>
      <c r="AE9" s="851"/>
      <c r="AF9" s="851"/>
      <c r="AG9" s="851"/>
      <c r="AH9" s="851"/>
      <c r="AI9" s="851"/>
      <c r="AJ9" s="851">
        <f>AO2/(N7-2%)^AN6</f>
        <v>28492.453617770236</v>
      </c>
      <c r="AK9" s="851"/>
      <c r="AL9" s="851"/>
      <c r="AM9" s="851"/>
      <c r="AN9" s="851"/>
      <c r="AO9" s="851"/>
    </row>
    <row r="10" spans="1:41" x14ac:dyDescent="0.3">
      <c r="A10" s="749">
        <v>43196</v>
      </c>
      <c r="B10" s="750">
        <v>0.283333</v>
      </c>
      <c r="C10" s="750"/>
      <c r="D10" s="751"/>
      <c r="L10" s="50"/>
      <c r="M10" s="50"/>
      <c r="N10" s="50"/>
      <c r="AD10" s="851"/>
      <c r="AE10" s="851"/>
      <c r="AF10" s="851"/>
      <c r="AG10" s="851"/>
      <c r="AH10" s="851"/>
      <c r="AI10" s="851"/>
      <c r="AJ10" s="1017">
        <f>AJ8+AJ9</f>
        <v>31820.965478493326</v>
      </c>
      <c r="AK10" s="851"/>
      <c r="AL10" s="1018"/>
      <c r="AM10" s="851"/>
      <c r="AN10" s="851"/>
      <c r="AO10" s="851"/>
    </row>
    <row r="11" spans="1:41" x14ac:dyDescent="0.3">
      <c r="A11" s="47">
        <v>42831</v>
      </c>
      <c r="B11">
        <v>0.43333300000000002</v>
      </c>
      <c r="C11">
        <f>SUM(B11:B12)</f>
        <v>0.76666600000000007</v>
      </c>
      <c r="I11">
        <v>1.7</v>
      </c>
      <c r="J11">
        <v>2.2799999999999998</v>
      </c>
      <c r="AD11" s="851"/>
      <c r="AE11" s="851"/>
      <c r="AF11" s="851"/>
      <c r="AG11" s="851"/>
      <c r="AH11" s="851"/>
      <c r="AI11" s="851"/>
      <c r="AJ11" s="851"/>
      <c r="AK11" s="851"/>
      <c r="AL11" s="851"/>
      <c r="AM11" s="851"/>
      <c r="AN11" s="851"/>
      <c r="AO11" s="851"/>
    </row>
    <row r="12" spans="1:41" x14ac:dyDescent="0.3">
      <c r="A12" s="47">
        <v>42460</v>
      </c>
      <c r="B12">
        <v>0.33333299999999999</v>
      </c>
      <c r="AD12" s="851" t="s">
        <v>160</v>
      </c>
      <c r="AE12" s="1010">
        <v>0.04</v>
      </c>
      <c r="AF12" s="851"/>
      <c r="AG12" s="851"/>
      <c r="AH12" s="851"/>
      <c r="AI12" s="851"/>
      <c r="AJ12" s="851"/>
      <c r="AK12" s="851"/>
      <c r="AL12" s="851"/>
      <c r="AM12" s="851"/>
      <c r="AN12" s="851"/>
      <c r="AO12" s="851"/>
    </row>
    <row r="13" spans="1:41" x14ac:dyDescent="0.3">
      <c r="G13" t="s">
        <v>161</v>
      </c>
      <c r="AD13" s="851" t="s">
        <v>162</v>
      </c>
      <c r="AE13" s="1001">
        <f>N7</f>
        <v>7.7644000000000005E-2</v>
      </c>
      <c r="AF13" s="851"/>
      <c r="AG13" s="851"/>
      <c r="AH13" s="851"/>
      <c r="AI13" s="851"/>
      <c r="AJ13" s="851"/>
      <c r="AK13" s="851"/>
      <c r="AL13" s="851"/>
      <c r="AM13" s="851"/>
      <c r="AN13" s="851"/>
      <c r="AO13" s="851"/>
    </row>
    <row r="14" spans="1:41" x14ac:dyDescent="0.3">
      <c r="A14" t="s">
        <v>163</v>
      </c>
      <c r="H14">
        <v>2016</v>
      </c>
      <c r="I14">
        <v>2017</v>
      </c>
      <c r="J14">
        <v>2018</v>
      </c>
      <c r="K14">
        <v>2019</v>
      </c>
      <c r="L14">
        <v>2020</v>
      </c>
      <c r="M14">
        <v>1</v>
      </c>
      <c r="N14">
        <v>2</v>
      </c>
      <c r="O14">
        <v>3</v>
      </c>
      <c r="P14">
        <v>4</v>
      </c>
      <c r="Q14">
        <v>5</v>
      </c>
      <c r="R14" t="s">
        <v>164</v>
      </c>
      <c r="AD14" s="851"/>
      <c r="AE14" s="851"/>
      <c r="AF14" s="851"/>
      <c r="AG14" s="851"/>
      <c r="AH14" s="851"/>
      <c r="AI14" s="851"/>
      <c r="AJ14" s="851"/>
      <c r="AK14" s="851"/>
      <c r="AL14" s="851"/>
      <c r="AM14" s="851"/>
      <c r="AN14" s="851"/>
      <c r="AO14" s="851"/>
    </row>
    <row r="15" spans="1:41" x14ac:dyDescent="0.3">
      <c r="A15" t="s">
        <v>165</v>
      </c>
      <c r="G15" s="849" t="s">
        <v>166</v>
      </c>
      <c r="H15" s="849"/>
      <c r="I15" s="926">
        <v>1.7</v>
      </c>
      <c r="J15" s="926">
        <v>2.2799999999999998</v>
      </c>
      <c r="K15">
        <v>1.02</v>
      </c>
      <c r="L15" s="425">
        <v>0.8</v>
      </c>
      <c r="M15" s="928">
        <f>AJ2*10^6/AJ1</f>
        <v>0.67238328581802742</v>
      </c>
      <c r="N15" s="928">
        <f>AK2*10^6/AK1</f>
        <v>0.80830813930093404</v>
      </c>
      <c r="O15" s="928">
        <f>AL2*10^6/AL1</f>
        <v>1.0930764442931098</v>
      </c>
      <c r="P15" s="928">
        <f>AM2*10^6/AM1</f>
        <v>1.2914861058051614</v>
      </c>
      <c r="Q15" s="928">
        <f>AN2*10^6/AN1</f>
        <v>1.7245085703498675</v>
      </c>
    </row>
    <row r="16" spans="1:41" x14ac:dyDescent="0.3">
      <c r="G16" s="849"/>
      <c r="H16" s="849"/>
      <c r="I16" s="849"/>
      <c r="J16" s="952">
        <f>(J15-I15)/I15</f>
        <v>0.34117647058823519</v>
      </c>
      <c r="K16" s="952">
        <f t="shared" ref="K16:Q16" si="3">(K15-J15)/J15</f>
        <v>-0.55263157894736836</v>
      </c>
      <c r="L16" s="952">
        <f t="shared" si="3"/>
        <v>-0.2156862745098039</v>
      </c>
      <c r="M16" s="952">
        <f t="shared" si="3"/>
        <v>-0.15952089272746578</v>
      </c>
      <c r="N16" s="952">
        <f t="shared" si="3"/>
        <v>0.20215382557812878</v>
      </c>
      <c r="O16" s="952">
        <f t="shared" si="3"/>
        <v>0.3523016670826275</v>
      </c>
      <c r="P16" s="952">
        <f t="shared" si="3"/>
        <v>0.18151490003095139</v>
      </c>
      <c r="Q16" s="952">
        <f t="shared" si="3"/>
        <v>0.33529006823866947</v>
      </c>
      <c r="R16" s="1006">
        <v>0.04</v>
      </c>
    </row>
    <row r="18" spans="1:22" x14ac:dyDescent="0.3">
      <c r="H18">
        <v>2016</v>
      </c>
      <c r="I18">
        <v>2017</v>
      </c>
      <c r="J18">
        <v>2018</v>
      </c>
      <c r="K18">
        <v>2019</v>
      </c>
      <c r="L18">
        <v>2020</v>
      </c>
      <c r="M18">
        <v>1</v>
      </c>
      <c r="N18">
        <v>2</v>
      </c>
      <c r="O18">
        <v>3</v>
      </c>
      <c r="P18">
        <v>4</v>
      </c>
      <c r="Q18">
        <v>5</v>
      </c>
    </row>
    <row r="19" spans="1:22" x14ac:dyDescent="0.3">
      <c r="A19" t="s">
        <v>139</v>
      </c>
      <c r="B19" t="s">
        <v>167</v>
      </c>
      <c r="G19" s="849" t="s">
        <v>166</v>
      </c>
      <c r="H19" s="849"/>
      <c r="I19" s="926">
        <v>0.56999999999999995</v>
      </c>
      <c r="J19" s="926">
        <v>7.6</v>
      </c>
      <c r="K19">
        <v>1.02</v>
      </c>
      <c r="L19" s="425">
        <v>0.8</v>
      </c>
      <c r="M19" s="928">
        <v>0.67238328581802742</v>
      </c>
      <c r="N19" s="928">
        <v>0.80830813930093404</v>
      </c>
      <c r="O19" s="928">
        <v>1.0930764442931098</v>
      </c>
      <c r="P19" s="928">
        <v>1.2914861058051614</v>
      </c>
      <c r="Q19" s="928">
        <v>1.7245085703498675</v>
      </c>
    </row>
    <row r="20" spans="1:22" x14ac:dyDescent="0.3">
      <c r="A20" s="47">
        <v>43558</v>
      </c>
      <c r="B20" s="48">
        <v>0.12569444444444444</v>
      </c>
      <c r="C20" s="48"/>
      <c r="G20" t="s">
        <v>168</v>
      </c>
      <c r="M20">
        <f>1/(1+$N$7)^M18</f>
        <v>0.92795023217314809</v>
      </c>
      <c r="N20">
        <f>1/(1+$N$7)^N18</f>
        <v>0.86109163339019934</v>
      </c>
      <c r="O20">
        <f>1/(1+$N$7)^O18</f>
        <v>0.79905018112679072</v>
      </c>
      <c r="P20">
        <f>1/(1+$N$7)^P18</f>
        <v>0.74147880109460151</v>
      </c>
      <c r="Q20">
        <f>1/(1+$N$7)^Q18</f>
        <v>0.6880554256272029</v>
      </c>
    </row>
    <row r="21" spans="1:22" s="425" customFormat="1" x14ac:dyDescent="0.3">
      <c r="D21" s="928"/>
      <c r="G21"/>
      <c r="H21"/>
      <c r="I21"/>
      <c r="J21"/>
      <c r="K21"/>
      <c r="L21"/>
      <c r="M21">
        <f>M19*M20</f>
        <v>0.62393822618418271</v>
      </c>
      <c r="N21">
        <f>N19*N20</f>
        <v>0.69602737595323405</v>
      </c>
      <c r="O21">
        <f>O19*O20</f>
        <v>0.87342293079783773</v>
      </c>
      <c r="P21">
        <f>P19*P20</f>
        <v>0.95760956936274677</v>
      </c>
      <c r="Q21">
        <f>Q19*Q20</f>
        <v>1.1865574783698372</v>
      </c>
    </row>
    <row r="22" spans="1:22" x14ac:dyDescent="0.3">
      <c r="A22" t="s">
        <v>169</v>
      </c>
      <c r="H22">
        <f>SUM(M21:Q21)</f>
        <v>4.3375555806678383</v>
      </c>
      <c r="Q22">
        <f>Q15/(N7-R16)</f>
        <v>45.81098104212802</v>
      </c>
    </row>
    <row r="23" spans="1:22" x14ac:dyDescent="0.3">
      <c r="H23" s="822">
        <f>Q22*Q20</f>
        <v>31.520494059341118</v>
      </c>
    </row>
    <row r="24" spans="1:22" x14ac:dyDescent="0.3">
      <c r="A24" s="927"/>
      <c r="D24" s="822"/>
      <c r="G24" t="s">
        <v>170</v>
      </c>
      <c r="H24" s="425">
        <v>36.1</v>
      </c>
    </row>
    <row r="25" spans="1:22" ht="15" thickBot="1" x14ac:dyDescent="0.35"/>
    <row r="26" spans="1:22" x14ac:dyDescent="0.3">
      <c r="C26" s="1243" t="s">
        <v>155</v>
      </c>
      <c r="D26" s="1244"/>
      <c r="E26" s="1244"/>
      <c r="F26" s="1244"/>
      <c r="G26" s="1244"/>
      <c r="H26" s="1244"/>
      <c r="I26" s="1244"/>
      <c r="J26" s="1245"/>
      <c r="S26" s="1038"/>
      <c r="T26" s="1039" t="s">
        <v>171</v>
      </c>
      <c r="U26" s="771" t="s">
        <v>172</v>
      </c>
      <c r="V26" t="s">
        <v>173</v>
      </c>
    </row>
    <row r="27" spans="1:22" ht="15" thickBot="1" x14ac:dyDescent="0.35">
      <c r="C27" s="1252" t="s">
        <v>174</v>
      </c>
      <c r="D27" s="987"/>
      <c r="E27" s="988">
        <v>6.6600000000000006E-2</v>
      </c>
      <c r="F27" s="988">
        <v>7.1999999999999995E-2</v>
      </c>
      <c r="G27" s="988">
        <v>7.7399999999999997E-2</v>
      </c>
      <c r="H27" s="988">
        <v>8.2799999999999999E-2</v>
      </c>
      <c r="I27" s="988">
        <v>8.8200000000000001E-2</v>
      </c>
      <c r="J27" s="1044">
        <v>9.3600000000000003E-2</v>
      </c>
      <c r="S27" s="1040" t="s">
        <v>175</v>
      </c>
      <c r="T27" s="1041">
        <f>H24*DCF!C33</f>
        <v>27723.717000000001</v>
      </c>
      <c r="U27" s="1042">
        <v>29967.787481321502</v>
      </c>
      <c r="V27" s="571">
        <f>U27-T27</f>
        <v>2244.0704813215016</v>
      </c>
    </row>
    <row r="28" spans="1:22" x14ac:dyDescent="0.3">
      <c r="C28" s="1252"/>
      <c r="D28" s="989">
        <v>2.5000000000000001E-2</v>
      </c>
      <c r="E28" s="955">
        <f t="shared" ref="E28:J34" si="4">($Q$19/(E$27-$D28))*(1/(1+E$27)^5)+(($M$19*1/(1+E$27)^1)+$N$19/(1+E$27)^2+$O$19/(1+E$27)^3+$P$19/(1+E$27)^4+$Z$39/(1+E$27)^5)</f>
        <v>33.270250796236965</v>
      </c>
      <c r="F28" s="955">
        <f t="shared" si="4"/>
        <v>29.113354282205439</v>
      </c>
      <c r="G28" s="955">
        <f t="shared" si="4"/>
        <v>25.822795651915627</v>
      </c>
      <c r="H28" s="955">
        <f t="shared" si="4"/>
        <v>23.155435659521874</v>
      </c>
      <c r="I28" s="955">
        <f t="shared" si="4"/>
        <v>20.951245765704705</v>
      </c>
      <c r="J28" s="990">
        <f t="shared" si="4"/>
        <v>19.100596392664624</v>
      </c>
      <c r="M28" s="750" t="s">
        <v>176</v>
      </c>
    </row>
    <row r="29" spans="1:22" x14ac:dyDescent="0.3">
      <c r="C29" s="1252"/>
      <c r="D29" s="989">
        <v>0.03</v>
      </c>
      <c r="E29" s="955">
        <f t="shared" si="4"/>
        <v>37.372792916736373</v>
      </c>
      <c r="F29" s="955">
        <f t="shared" si="4"/>
        <v>32.198774253218076</v>
      </c>
      <c r="G29" s="955">
        <f t="shared" si="4"/>
        <v>28.21413316474473</v>
      </c>
      <c r="H29" s="955">
        <f t="shared" si="4"/>
        <v>25.053593682551668</v>
      </c>
      <c r="I29" s="955">
        <f t="shared" si="4"/>
        <v>22.487459666437122</v>
      </c>
      <c r="J29" s="990">
        <f t="shared" si="4"/>
        <v>20.364056756654367</v>
      </c>
      <c r="M29" s="750">
        <v>46.39</v>
      </c>
    </row>
    <row r="30" spans="1:22" x14ac:dyDescent="0.3">
      <c r="C30" s="1252"/>
      <c r="D30" s="989">
        <v>3.5000000000000003E-2</v>
      </c>
      <c r="E30" s="955">
        <f t="shared" si="4"/>
        <v>42.773607860178643</v>
      </c>
      <c r="F30" s="955">
        <f t="shared" si="4"/>
        <v>36.118091513693578</v>
      </c>
      <c r="G30" s="955">
        <f t="shared" si="4"/>
        <v>31.169465373995806</v>
      </c>
      <c r="H30" s="955">
        <f t="shared" si="4"/>
        <v>27.348855894499831</v>
      </c>
      <c r="I30" s="955">
        <f t="shared" si="4"/>
        <v>24.312435578585401</v>
      </c>
      <c r="J30" s="990">
        <f t="shared" si="4"/>
        <v>21.843124691290829</v>
      </c>
    </row>
    <row r="31" spans="1:22" x14ac:dyDescent="0.3">
      <c r="C31" s="1252"/>
      <c r="D31" s="989">
        <v>0.04</v>
      </c>
      <c r="E31" s="955">
        <f t="shared" si="4"/>
        <v>50.204804361305975</v>
      </c>
      <c r="F31" s="955">
        <f t="shared" si="4"/>
        <v>41.262195418067684</v>
      </c>
      <c r="G31" s="993">
        <f t="shared" si="4"/>
        <v>34.914993361121496</v>
      </c>
      <c r="H31" s="955">
        <f t="shared" si="4"/>
        <v>30.180394324192886</v>
      </c>
      <c r="I31" s="955">
        <f t="shared" si="4"/>
        <v>26.516037198648263</v>
      </c>
      <c r="J31" s="990">
        <f t="shared" si="4"/>
        <v>23.59813813612066</v>
      </c>
    </row>
    <row r="32" spans="1:22" x14ac:dyDescent="0.3">
      <c r="C32" s="1252"/>
      <c r="D32" s="989">
        <v>4.4999999999999998E-2</v>
      </c>
      <c r="E32" s="955">
        <f t="shared" si="4"/>
        <v>61.076369612955212</v>
      </c>
      <c r="F32" s="955">
        <f t="shared" si="4"/>
        <v>48.311522990728484</v>
      </c>
      <c r="G32" s="955">
        <f t="shared" si="4"/>
        <v>39.816548504767454</v>
      </c>
      <c r="H32" s="955">
        <f t="shared" si="4"/>
        <v>33.761016994545479</v>
      </c>
      <c r="I32" s="955">
        <f t="shared" si="4"/>
        <v>29.229731786318265</v>
      </c>
      <c r="J32" s="990">
        <f t="shared" si="4"/>
        <v>25.714265458487496</v>
      </c>
    </row>
    <row r="33" spans="2:26" x14ac:dyDescent="0.3">
      <c r="C33" s="1252"/>
      <c r="D33" s="989">
        <v>0.05</v>
      </c>
      <c r="E33" s="955">
        <f t="shared" si="4"/>
        <v>78.497070558369089</v>
      </c>
      <c r="F33" s="955">
        <f t="shared" si="4"/>
        <v>58.565090369144208</v>
      </c>
      <c r="G33" s="955">
        <f t="shared" si="4"/>
        <v>46.506992386970346</v>
      </c>
      <c r="H33" s="955">
        <f t="shared" si="4"/>
        <v>38.433292918054363</v>
      </c>
      <c r="I33" s="955">
        <f t="shared" si="4"/>
        <v>32.653817627305031</v>
      </c>
      <c r="J33" s="990">
        <f t="shared" si="4"/>
        <v>28.315743084149474</v>
      </c>
    </row>
    <row r="34" spans="2:26" ht="15" thickBot="1" x14ac:dyDescent="0.35">
      <c r="C34" s="1253"/>
      <c r="D34" s="991">
        <v>5.5E-2</v>
      </c>
      <c r="E34" s="984">
        <f t="shared" si="4"/>
        <v>110.93561714638106</v>
      </c>
      <c r="F34" s="984">
        <f t="shared" si="4"/>
        <v>74.850167970157401</v>
      </c>
      <c r="G34" s="984">
        <f t="shared" si="4"/>
        <v>56.184241573728087</v>
      </c>
      <c r="H34" s="984">
        <f t="shared" si="4"/>
        <v>44.786243634192324</v>
      </c>
      <c r="I34" s="984">
        <f t="shared" si="4"/>
        <v>37.109254625215513</v>
      </c>
      <c r="J34" s="992">
        <f t="shared" si="4"/>
        <v>31.591178643920777</v>
      </c>
    </row>
    <row r="35" spans="2:26" x14ac:dyDescent="0.3">
      <c r="C35" s="986"/>
      <c r="D35" s="1043"/>
    </row>
    <row r="36" spans="2:26" x14ac:dyDescent="0.3">
      <c r="D36"/>
    </row>
    <row r="37" spans="2:26" x14ac:dyDescent="0.3">
      <c r="D37"/>
      <c r="M37" s="571"/>
    </row>
    <row r="38" spans="2:26" x14ac:dyDescent="0.3">
      <c r="D38"/>
      <c r="K38" s="424"/>
      <c r="L38" s="424"/>
      <c r="M38" s="571"/>
    </row>
    <row r="39" spans="2:26" x14ac:dyDescent="0.3">
      <c r="B39" s="851"/>
      <c r="C39" s="851"/>
      <c r="D39" s="851"/>
      <c r="E39" s="1007"/>
      <c r="F39" s="1003"/>
      <c r="G39" s="1003"/>
      <c r="H39" s="1003"/>
      <c r="I39" s="1003"/>
      <c r="J39" s="1003"/>
      <c r="M39" s="571"/>
      <c r="P39" s="849"/>
      <c r="Q39" s="849"/>
      <c r="R39" s="926"/>
      <c r="S39" s="926"/>
      <c r="U39" s="425"/>
      <c r="V39" s="928"/>
      <c r="W39" s="928"/>
      <c r="X39" s="928"/>
      <c r="Y39" s="928"/>
      <c r="Z39" s="928"/>
    </row>
    <row r="40" spans="2:26" x14ac:dyDescent="0.3">
      <c r="B40" s="1003"/>
      <c r="C40" s="1008"/>
      <c r="D40" s="1008"/>
      <c r="E40" s="1008"/>
      <c r="F40" s="1008"/>
      <c r="G40" s="1008"/>
      <c r="H40" s="1008"/>
      <c r="I40" s="1008"/>
      <c r="J40" s="1008"/>
      <c r="M40" s="571"/>
    </row>
    <row r="41" spans="2:26" x14ac:dyDescent="0.3">
      <c r="B41" s="1003"/>
      <c r="C41" s="1002"/>
      <c r="D41" s="1002"/>
      <c r="E41" s="1002"/>
      <c r="F41" s="1002"/>
      <c r="G41" s="1002"/>
      <c r="H41" s="1002"/>
      <c r="I41" s="1002"/>
      <c r="J41" s="1002"/>
      <c r="M41" s="571"/>
    </row>
    <row r="42" spans="2:26" x14ac:dyDescent="0.3">
      <c r="B42" s="1003"/>
      <c r="C42" s="1002"/>
      <c r="D42" s="1002"/>
      <c r="E42" s="1002"/>
      <c r="F42" s="1009"/>
      <c r="G42" s="1009"/>
      <c r="H42" s="1009"/>
      <c r="I42" s="1009"/>
      <c r="J42" s="1009"/>
      <c r="M42" s="571"/>
    </row>
    <row r="43" spans="2:26" x14ac:dyDescent="0.3">
      <c r="B43" s="1007"/>
      <c r="C43" s="851"/>
      <c r="D43" s="851"/>
      <c r="E43" s="851"/>
      <c r="F43" s="851"/>
      <c r="G43" s="851"/>
      <c r="H43" s="851"/>
      <c r="I43" s="851"/>
      <c r="J43" s="851"/>
      <c r="M43" s="571"/>
      <c r="Q43" s="822"/>
    </row>
    <row r="44" spans="2:26" x14ac:dyDescent="0.3">
      <c r="B44" s="1003"/>
      <c r="C44" s="851"/>
      <c r="D44" s="851"/>
      <c r="E44" s="851"/>
      <c r="F44" s="1010"/>
      <c r="G44" s="1010"/>
      <c r="H44" s="1010"/>
      <c r="I44" s="1010"/>
      <c r="J44" s="1010"/>
      <c r="M44" s="571"/>
      <c r="Q44" s="425"/>
    </row>
    <row r="45" spans="2:26" x14ac:dyDescent="0.3">
      <c r="B45" s="1003"/>
      <c r="C45" s="1002"/>
      <c r="D45" s="1002"/>
      <c r="E45" s="1002"/>
      <c r="F45" s="851"/>
      <c r="G45" s="851"/>
      <c r="H45" s="851"/>
      <c r="I45" s="851"/>
      <c r="J45" s="851"/>
      <c r="M45" s="571"/>
    </row>
    <row r="46" spans="2:26" ht="15" thickBot="1" x14ac:dyDescent="0.35">
      <c r="B46" s="851"/>
      <c r="C46" s="851"/>
      <c r="D46" s="851"/>
      <c r="E46" s="851"/>
      <c r="F46" s="851"/>
      <c r="G46" s="851"/>
      <c r="H46" s="851"/>
      <c r="I46" s="851"/>
      <c r="J46" s="851"/>
      <c r="M46" s="571"/>
      <c r="P46" s="1246" t="s">
        <v>177</v>
      </c>
      <c r="Q46" s="1246"/>
      <c r="R46" s="1246"/>
      <c r="S46" s="1246"/>
      <c r="T46" s="1246"/>
      <c r="U46" s="1246"/>
      <c r="V46" s="1246"/>
      <c r="W46" s="1246"/>
    </row>
    <row r="47" spans="2:26" x14ac:dyDescent="0.3">
      <c r="B47" s="851"/>
      <c r="C47" s="851"/>
      <c r="D47" s="851"/>
      <c r="E47" s="851"/>
      <c r="F47" s="851"/>
      <c r="G47" s="851"/>
      <c r="H47" s="851"/>
      <c r="I47" s="851"/>
      <c r="J47" s="851"/>
      <c r="K47" s="766" t="s">
        <v>178</v>
      </c>
      <c r="L47" s="782"/>
      <c r="M47" s="1247" t="s">
        <v>179</v>
      </c>
      <c r="N47" s="1248"/>
      <c r="O47" s="1249"/>
      <c r="P47" s="1250" t="s">
        <v>180</v>
      </c>
      <c r="Q47" s="788"/>
      <c r="R47" s="790">
        <v>6.7000000000000004E-2</v>
      </c>
      <c r="S47" s="790">
        <v>7.1999999999999995E-2</v>
      </c>
      <c r="T47" s="790">
        <v>7.6999999999999999E-2</v>
      </c>
      <c r="U47" s="790">
        <v>8.2000000000000003E-2</v>
      </c>
      <c r="V47" s="790">
        <v>8.6999999999999994E-2</v>
      </c>
      <c r="W47" s="790"/>
    </row>
    <row r="48" spans="2:26" x14ac:dyDescent="0.3">
      <c r="B48" s="851"/>
      <c r="C48" s="851"/>
      <c r="D48" s="851" t="s">
        <v>181</v>
      </c>
      <c r="E48" s="1005">
        <v>5.5897625455671003</v>
      </c>
      <c r="F48" s="851"/>
      <c r="G48" s="851"/>
      <c r="H48" s="851"/>
      <c r="I48" s="851"/>
      <c r="J48" s="851"/>
      <c r="K48" s="1019" t="e">
        <f>#REF!</f>
        <v>#REF!</v>
      </c>
      <c r="L48" s="1020"/>
      <c r="M48" s="1021">
        <v>0</v>
      </c>
      <c r="N48" s="1021">
        <v>5.0000000000000001E-3</v>
      </c>
      <c r="O48" s="1022">
        <v>0.01</v>
      </c>
      <c r="P48" s="1251"/>
      <c r="Q48" s="789">
        <v>1.0999999999999999E-2</v>
      </c>
    </row>
    <row r="49" spans="2:20" x14ac:dyDescent="0.3">
      <c r="B49" s="851"/>
      <c r="C49" s="851"/>
      <c r="D49" s="851" t="s">
        <v>182</v>
      </c>
      <c r="E49" s="851">
        <v>30.794795899104773</v>
      </c>
      <c r="F49" s="851"/>
      <c r="G49" s="851"/>
      <c r="H49" s="851"/>
      <c r="I49" s="851"/>
      <c r="J49" s="851"/>
      <c r="K49" s="1023" t="s">
        <v>183</v>
      </c>
      <c r="L49" s="1024"/>
      <c r="M49" s="1025">
        <f>SUM(V39:Z39)</f>
        <v>0</v>
      </c>
      <c r="N49" s="1026" t="e">
        <f>#REF!</f>
        <v>#REF!</v>
      </c>
      <c r="O49" s="1026" t="e">
        <f>#REF!</f>
        <v>#REF!</v>
      </c>
      <c r="P49" s="1251"/>
      <c r="Q49" s="789">
        <v>1.4E-2</v>
      </c>
    </row>
    <row r="50" spans="2:20" x14ac:dyDescent="0.3">
      <c r="B50" s="851"/>
      <c r="C50" s="851"/>
      <c r="D50" s="851" t="s">
        <v>184</v>
      </c>
      <c r="E50" s="851">
        <v>0.72306593715441669</v>
      </c>
      <c r="F50" s="851"/>
      <c r="G50" s="851"/>
      <c r="H50" s="851"/>
      <c r="I50" s="851"/>
      <c r="J50" s="851"/>
      <c r="K50" s="1023" t="s">
        <v>185</v>
      </c>
      <c r="L50" s="1024"/>
      <c r="M50" s="1026"/>
      <c r="N50" s="1021" t="e">
        <f>(#REF!*(1+N48))/(#REF!-N48)</f>
        <v>#REF!</v>
      </c>
      <c r="O50" s="1027" t="e">
        <f>(#REF!*(1+O48))/(#REF!-O48)</f>
        <v>#REF!</v>
      </c>
      <c r="P50" s="1251"/>
      <c r="Q50" s="789">
        <v>1.7000000000000001E-2</v>
      </c>
    </row>
    <row r="51" spans="2:20" x14ac:dyDescent="0.3">
      <c r="B51" s="851"/>
      <c r="C51" s="851"/>
      <c r="D51" s="851" t="s">
        <v>182</v>
      </c>
      <c r="E51" s="851">
        <v>22.266667956265181</v>
      </c>
      <c r="F51" s="851"/>
      <c r="G51" s="851"/>
      <c r="H51" s="851"/>
      <c r="I51" s="851"/>
      <c r="J51" s="851"/>
      <c r="K51" s="1023" t="s">
        <v>186</v>
      </c>
      <c r="L51" s="1024"/>
      <c r="M51" s="1026" t="e">
        <f>1/(1+#REF!)^5</f>
        <v>#REF!</v>
      </c>
      <c r="N51" s="1026" t="e">
        <f>1/(1+#REF!)^5</f>
        <v>#REF!</v>
      </c>
      <c r="O51" s="1027" t="e">
        <f>1/(1+#REF!)^5</f>
        <v>#REF!</v>
      </c>
      <c r="P51" s="1251"/>
      <c r="Q51" s="789">
        <v>0.02</v>
      </c>
    </row>
    <row r="52" spans="2:20" x14ac:dyDescent="0.3">
      <c r="B52" s="851"/>
      <c r="C52" s="851"/>
      <c r="D52" s="851"/>
      <c r="E52" s="851"/>
      <c r="F52" s="851"/>
      <c r="G52" s="851"/>
      <c r="H52" s="851"/>
      <c r="I52" s="851"/>
      <c r="J52" s="851"/>
      <c r="K52" s="1023" t="s">
        <v>187</v>
      </c>
      <c r="L52" s="1024"/>
      <c r="M52" s="1026" t="e">
        <f>M50*M51</f>
        <v>#REF!</v>
      </c>
      <c r="N52" s="1026" t="e">
        <f>N50*N51</f>
        <v>#REF!</v>
      </c>
      <c r="O52" s="1027" t="e">
        <f>O50*O51</f>
        <v>#REF!</v>
      </c>
      <c r="P52" s="1251"/>
      <c r="Q52" s="789">
        <v>2.3E-2</v>
      </c>
    </row>
    <row r="53" spans="2:20" ht="15" thickBot="1" x14ac:dyDescent="0.35">
      <c r="D53"/>
      <c r="K53" s="1028" t="s">
        <v>188</v>
      </c>
      <c r="L53" s="1029"/>
      <c r="M53" s="1030" t="e">
        <f>M49+M52</f>
        <v>#REF!</v>
      </c>
      <c r="N53" s="1030" t="e">
        <f>N49+N52</f>
        <v>#REF!</v>
      </c>
      <c r="O53" s="1031" t="e">
        <f>O49+O52</f>
        <v>#REF!</v>
      </c>
      <c r="P53" s="1251"/>
      <c r="Q53" s="789">
        <v>2.5999999999999999E-2</v>
      </c>
      <c r="T53" s="822"/>
    </row>
    <row r="54" spans="2:20" x14ac:dyDescent="0.3">
      <c r="D54"/>
      <c r="K54" s="1032" t="s">
        <v>189</v>
      </c>
      <c r="L54" s="1033"/>
      <c r="M54" s="1015">
        <v>767.97</v>
      </c>
      <c r="N54" s="851"/>
      <c r="O54" s="851"/>
      <c r="P54" s="1251"/>
      <c r="Q54" s="789">
        <v>2.9000000000000001E-2</v>
      </c>
      <c r="R54" s="425"/>
      <c r="T54" s="822"/>
    </row>
    <row r="55" spans="2:20" x14ac:dyDescent="0.3">
      <c r="D55"/>
      <c r="K55" s="1034" t="s">
        <v>190</v>
      </c>
      <c r="L55" s="1035"/>
      <c r="M55" s="851" t="e">
        <f>M53/#REF!</f>
        <v>#REF!</v>
      </c>
      <c r="N55" s="851" t="e">
        <f>N53/#REF!</f>
        <v>#REF!</v>
      </c>
      <c r="O55" s="851" t="e">
        <f>O53/#REF!</f>
        <v>#REF!</v>
      </c>
      <c r="P55" s="1251"/>
      <c r="Q55" s="789"/>
      <c r="R55" s="425"/>
      <c r="S55" s="425"/>
    </row>
    <row r="56" spans="2:20" x14ac:dyDescent="0.3">
      <c r="K56" s="851"/>
      <c r="L56" s="851"/>
      <c r="M56" s="851"/>
      <c r="N56" s="851"/>
      <c r="O56" s="851"/>
      <c r="P56" s="851"/>
    </row>
  </sheetData>
  <mergeCells count="5">
    <mergeCell ref="C26:J26"/>
    <mergeCell ref="P46:W46"/>
    <mergeCell ref="M47:O47"/>
    <mergeCell ref="P47:P55"/>
    <mergeCell ref="C27:C34"/>
  </mergeCells>
  <conditionalFormatting sqref="E28:J34">
    <cfRule type="cellIs" dxfId="0" priority="1" operator="greaterThan">
      <formula>46.39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1554-E15A-4772-BE4C-AF59A1143FA0}">
  <sheetPr>
    <tabColor theme="9" tint="-0.249977111117893"/>
  </sheetPr>
  <dimension ref="A1:AE86"/>
  <sheetViews>
    <sheetView topLeftCell="I1" zoomScale="52" workbookViewId="0">
      <selection activeCell="L18" sqref="L18"/>
    </sheetView>
  </sheetViews>
  <sheetFormatPr defaultRowHeight="14.4" x14ac:dyDescent="0.3"/>
  <cols>
    <col min="1" max="1" width="24" customWidth="1"/>
    <col min="2" max="2" width="9.33203125" customWidth="1"/>
    <col min="3" max="3" width="8.33203125" customWidth="1"/>
    <col min="4" max="4" width="13.6640625" customWidth="1"/>
    <col min="5" max="5" width="13.33203125" bestFit="1" customWidth="1"/>
    <col min="6" max="6" width="8.88671875" customWidth="1"/>
    <col min="7" max="7" width="14.6640625" bestFit="1" customWidth="1"/>
    <col min="8" max="8" width="24.6640625" customWidth="1"/>
    <col min="9" max="9" width="16" customWidth="1"/>
    <col min="10" max="10" width="14.6640625" bestFit="1" customWidth="1"/>
    <col min="12" max="12" width="9.88671875" bestFit="1" customWidth="1"/>
    <col min="21" max="21" width="9" bestFit="1" customWidth="1"/>
    <col min="23" max="23" width="18" bestFit="1" customWidth="1"/>
    <col min="24" max="24" width="9" bestFit="1" customWidth="1"/>
    <col min="26" max="26" width="18.44140625" bestFit="1" customWidth="1"/>
    <col min="27" max="27" width="9" bestFit="1" customWidth="1"/>
    <col min="29" max="29" width="9" bestFit="1" customWidth="1"/>
    <col min="30" max="30" width="18.33203125" bestFit="1" customWidth="1"/>
    <col min="31" max="31" width="9" bestFit="1" customWidth="1"/>
  </cols>
  <sheetData>
    <row r="1" spans="1:31" ht="15" thickBot="1" x14ac:dyDescent="0.35">
      <c r="A1" t="s">
        <v>191</v>
      </c>
      <c r="V1" s="851"/>
      <c r="W1" s="851"/>
      <c r="X1" s="851"/>
      <c r="Y1" s="851"/>
    </row>
    <row r="2" spans="1:31" ht="15.6" x14ac:dyDescent="0.3">
      <c r="A2" s="590" t="s">
        <v>24</v>
      </c>
      <c r="B2" s="590"/>
      <c r="C2" s="591">
        <v>2018</v>
      </c>
      <c r="D2" s="592">
        <v>2019</v>
      </c>
      <c r="E2" s="593">
        <v>2020</v>
      </c>
      <c r="F2" s="594" t="s">
        <v>192</v>
      </c>
      <c r="G2" s="594" t="s">
        <v>193</v>
      </c>
      <c r="H2" s="594" t="s">
        <v>194</v>
      </c>
      <c r="I2" s="594" t="s">
        <v>195</v>
      </c>
      <c r="J2" s="594" t="s">
        <v>196</v>
      </c>
      <c r="K2" s="589"/>
      <c r="L2" s="589"/>
      <c r="V2" s="851"/>
      <c r="W2" s="852" t="s">
        <v>178</v>
      </c>
      <c r="X2" s="853"/>
      <c r="Y2" s="851"/>
      <c r="Z2" s="770" t="s">
        <v>178</v>
      </c>
      <c r="AA2" s="771"/>
    </row>
    <row r="3" spans="1:31" x14ac:dyDescent="0.3">
      <c r="A3" t="s">
        <v>197</v>
      </c>
      <c r="V3" s="851"/>
      <c r="W3" s="854" t="s">
        <v>198</v>
      </c>
      <c r="X3" s="855">
        <v>5.0000000000000001E-3</v>
      </c>
      <c r="Y3" s="851"/>
      <c r="Z3" s="772" t="s">
        <v>198</v>
      </c>
      <c r="AA3" s="773">
        <v>1.72E-2</v>
      </c>
      <c r="AE3" s="424"/>
    </row>
    <row r="4" spans="1:31" x14ac:dyDescent="0.3">
      <c r="A4" t="s">
        <v>199</v>
      </c>
      <c r="C4" s="399">
        <f>'Forecasting development (final)'!H22</f>
        <v>14918</v>
      </c>
      <c r="D4" s="399">
        <f>'Forecasting development (final)'!I22</f>
        <v>15840</v>
      </c>
      <c r="E4" s="399">
        <f>'Forecasting development (final)'!J22</f>
        <v>11751</v>
      </c>
      <c r="F4" s="399">
        <f>'Forecasting development (final)'!K22</f>
        <v>11892.012000000001</v>
      </c>
      <c r="G4" s="399">
        <f>'Forecasting development (final)'!L22</f>
        <v>12580.6206</v>
      </c>
      <c r="H4" s="399">
        <f>'Forecasting development (final)'!M22</f>
        <v>13838.682660000002</v>
      </c>
      <c r="I4" s="399">
        <f>'Forecasting development (final)'!N22</f>
        <v>15499.324579200003</v>
      </c>
      <c r="J4" s="399">
        <f>'Forecasting development (final)'!O22</f>
        <v>17824.223266080004</v>
      </c>
      <c r="T4" s="753" t="s">
        <v>200</v>
      </c>
      <c r="U4" s="753">
        <v>0.8</v>
      </c>
      <c r="V4" s="851"/>
      <c r="W4" s="854" t="s">
        <v>201</v>
      </c>
      <c r="X4" s="855">
        <v>6.5000000000000002E-2</v>
      </c>
      <c r="Y4" s="851"/>
      <c r="Z4" s="772" t="s">
        <v>201</v>
      </c>
      <c r="AA4" s="773">
        <v>6.5000000000000002E-2</v>
      </c>
    </row>
    <row r="5" spans="1:31" x14ac:dyDescent="0.3">
      <c r="A5" t="s">
        <v>147</v>
      </c>
      <c r="C5" s="742"/>
      <c r="D5" s="743">
        <f t="shared" ref="D5:J5" si="0">D4/C4-1</f>
        <v>6.1804531438530708E-2</v>
      </c>
      <c r="E5" s="743">
        <f t="shared" si="0"/>
        <v>-0.25814393939393943</v>
      </c>
      <c r="F5" s="743">
        <f t="shared" si="0"/>
        <v>1.2000000000000011E-2</v>
      </c>
      <c r="G5" s="743">
        <f t="shared" si="0"/>
        <v>5.7905138339920947E-2</v>
      </c>
      <c r="H5" s="743">
        <f t="shared" si="0"/>
        <v>0.10000000000000009</v>
      </c>
      <c r="I5" s="743">
        <f t="shared" si="0"/>
        <v>0.12000000000000011</v>
      </c>
      <c r="J5" s="743">
        <f t="shared" si="0"/>
        <v>0.14999999999999991</v>
      </c>
      <c r="L5" s="795"/>
      <c r="T5" s="753" t="s">
        <v>202</v>
      </c>
      <c r="U5" s="753">
        <v>46.39</v>
      </c>
      <c r="V5" s="851"/>
      <c r="W5" s="854" t="s">
        <v>203</v>
      </c>
      <c r="X5" s="856">
        <v>1</v>
      </c>
      <c r="Y5" s="851"/>
      <c r="Z5" s="772" t="s">
        <v>203</v>
      </c>
      <c r="AA5" s="774">
        <v>0.73</v>
      </c>
      <c r="AE5" s="424"/>
    </row>
    <row r="6" spans="1:31" ht="15.6" x14ac:dyDescent="0.3">
      <c r="A6" t="s">
        <v>204</v>
      </c>
      <c r="C6" s="595">
        <f>Forcasts!L184</f>
        <v>947</v>
      </c>
      <c r="D6" s="948">
        <f>Forcasts!M184</f>
        <v>2067</v>
      </c>
      <c r="E6" s="948">
        <f>Forcasts!N184</f>
        <v>786</v>
      </c>
      <c r="F6" s="948">
        <f>Forcasts!O184</f>
        <v>706.45709914525855</v>
      </c>
      <c r="G6" s="948">
        <f>Forcasts!P184</f>
        <v>749.67742542820133</v>
      </c>
      <c r="H6" s="948">
        <f>Forcasts!Q184</f>
        <v>888.5484216412749</v>
      </c>
      <c r="I6" s="948">
        <f>Forcasts!R184</f>
        <v>1145.9009776604075</v>
      </c>
      <c r="J6" s="948">
        <f>Forcasts!S184</f>
        <v>1535.4226204837939</v>
      </c>
      <c r="T6" s="753" t="s">
        <v>162</v>
      </c>
      <c r="U6" s="754">
        <v>0.19633342933256537</v>
      </c>
      <c r="V6" s="851"/>
      <c r="W6" s="854" t="s">
        <v>205</v>
      </c>
      <c r="X6" s="855">
        <f>X3+X4*X5</f>
        <v>7.0000000000000007E-2</v>
      </c>
      <c r="Y6" s="851"/>
      <c r="Z6" s="772" t="s">
        <v>205</v>
      </c>
      <c r="AA6" s="949">
        <f>AA3+AA4*AA5</f>
        <v>6.4649999999999999E-2</v>
      </c>
      <c r="AE6" s="424"/>
    </row>
    <row r="7" spans="1:31" ht="15.6" x14ac:dyDescent="0.3">
      <c r="A7" t="s">
        <v>147</v>
      </c>
      <c r="C7" s="595"/>
      <c r="D7" s="745">
        <f t="shared" ref="D7:J7" si="1">D6/C6-1</f>
        <v>1.1826821541710664</v>
      </c>
      <c r="E7" s="745">
        <f t="shared" si="1"/>
        <v>-0.61973875181422344</v>
      </c>
      <c r="F7" s="745">
        <f t="shared" si="1"/>
        <v>-0.10119961940806799</v>
      </c>
      <c r="G7" s="745">
        <f t="shared" si="1"/>
        <v>6.1178982184813435E-2</v>
      </c>
      <c r="H7" s="745">
        <f t="shared" si="1"/>
        <v>0.18524100033258062</v>
      </c>
      <c r="I7" s="745">
        <f t="shared" si="1"/>
        <v>0.28963256222296363</v>
      </c>
      <c r="J7" s="745">
        <f t="shared" si="1"/>
        <v>0.3399260934558892</v>
      </c>
      <c r="T7" s="755" t="s">
        <v>177</v>
      </c>
      <c r="U7" s="756">
        <v>0.21357852525841145</v>
      </c>
      <c r="V7" s="851"/>
      <c r="W7" s="854"/>
      <c r="X7" s="856"/>
      <c r="Y7" s="851"/>
      <c r="Z7" s="772"/>
      <c r="AA7" s="774"/>
    </row>
    <row r="8" spans="1:31" x14ac:dyDescent="0.3">
      <c r="A8" t="s">
        <v>206</v>
      </c>
      <c r="C8" s="741">
        <f>-Forcasts!L174</f>
        <v>48</v>
      </c>
      <c r="D8" s="741">
        <f>-Forcasts!M174</f>
        <v>109</v>
      </c>
      <c r="E8" s="741">
        <f>-Forcasts!N174</f>
        <v>45</v>
      </c>
      <c r="F8" s="741">
        <f>-Forcasts!O174</f>
        <v>79.976549900000009</v>
      </c>
      <c r="G8" s="741">
        <f>-Forcasts!P174</f>
        <v>89.418691111969991</v>
      </c>
      <c r="H8" s="741">
        <f>-Forcasts!Q174</f>
        <v>103.23517655291359</v>
      </c>
      <c r="I8" s="741">
        <f>-Forcasts!R174</f>
        <v>119.83292121708436</v>
      </c>
      <c r="J8" s="741">
        <f>-Forcasts!S174</f>
        <v>141.29301657532002</v>
      </c>
      <c r="M8" t="s">
        <v>207</v>
      </c>
      <c r="V8" s="851"/>
      <c r="W8" s="854" t="s">
        <v>208</v>
      </c>
      <c r="X8" s="855">
        <v>1.9E-2</v>
      </c>
      <c r="Y8" s="851"/>
      <c r="Z8" s="772" t="s">
        <v>208</v>
      </c>
      <c r="AA8" s="773">
        <v>1.9E-2</v>
      </c>
    </row>
    <row r="9" spans="1:31" x14ac:dyDescent="0.3">
      <c r="M9" t="s">
        <v>209</v>
      </c>
      <c r="V9" s="851"/>
      <c r="W9" s="854"/>
      <c r="X9" s="855"/>
      <c r="Y9" s="851"/>
      <c r="Z9" s="772"/>
      <c r="AA9" s="773"/>
    </row>
    <row r="10" spans="1:31" ht="15.6" x14ac:dyDescent="0.3">
      <c r="A10" t="s">
        <v>210</v>
      </c>
      <c r="C10" s="794">
        <f>C6+C8</f>
        <v>995</v>
      </c>
      <c r="D10" s="794">
        <f t="shared" ref="D10:J10" si="2">D6+D8</f>
        <v>2176</v>
      </c>
      <c r="E10" s="794">
        <f>E6+E8</f>
        <v>831</v>
      </c>
      <c r="F10" s="794">
        <f t="shared" si="2"/>
        <v>786.43364904525856</v>
      </c>
      <c r="G10" s="794">
        <f t="shared" si="2"/>
        <v>839.09611654017135</v>
      </c>
      <c r="H10" s="794">
        <f t="shared" si="2"/>
        <v>991.78359819418847</v>
      </c>
      <c r="I10" s="794">
        <f t="shared" si="2"/>
        <v>1265.7338988774918</v>
      </c>
      <c r="J10" s="794">
        <f t="shared" si="2"/>
        <v>1676.715637059114</v>
      </c>
      <c r="V10" s="851"/>
      <c r="W10" s="854" t="s">
        <v>211</v>
      </c>
      <c r="X10" s="857">
        <v>0.6</v>
      </c>
      <c r="Y10" s="851"/>
      <c r="Z10" s="772" t="s">
        <v>211</v>
      </c>
      <c r="AA10" s="775">
        <v>0.6</v>
      </c>
    </row>
    <row r="11" spans="1:31" ht="15.6" x14ac:dyDescent="0.3">
      <c r="C11" s="794"/>
      <c r="D11" s="970">
        <f>D10/D4</f>
        <v>0.13737373737373737</v>
      </c>
      <c r="E11" s="970">
        <f t="shared" ref="E11:J11" si="3">E10/E4</f>
        <v>7.071738575440388E-2</v>
      </c>
      <c r="F11" s="970">
        <f t="shared" si="3"/>
        <v>6.6131252562245862E-2</v>
      </c>
      <c r="G11" s="970">
        <f t="shared" si="3"/>
        <v>6.6697513836493194E-2</v>
      </c>
      <c r="H11" s="970">
        <f t="shared" si="3"/>
        <v>7.1667486173441042E-2</v>
      </c>
      <c r="I11" s="970">
        <f t="shared" si="3"/>
        <v>8.1663810084737415E-2</v>
      </c>
      <c r="J11" s="970">
        <f t="shared" si="3"/>
        <v>9.4069492511909381E-2</v>
      </c>
      <c r="V11" s="851"/>
      <c r="W11" s="854"/>
      <c r="X11" s="857"/>
      <c r="Y11" s="851"/>
      <c r="Z11" s="772"/>
      <c r="AA11" s="775"/>
    </row>
    <row r="12" spans="1:31" ht="15.6" x14ac:dyDescent="0.3">
      <c r="A12" t="s">
        <v>212</v>
      </c>
      <c r="C12" s="595"/>
      <c r="D12" s="745">
        <f>D10/C10-1</f>
        <v>1.1869346733668342</v>
      </c>
      <c r="E12" s="745">
        <f t="shared" ref="E12:J12" si="4">E10/D10-1</f>
        <v>-0.61810661764705888</v>
      </c>
      <c r="F12" s="745">
        <f t="shared" si="4"/>
        <v>-5.3629784542408521E-2</v>
      </c>
      <c r="G12" s="745">
        <f t="shared" si="4"/>
        <v>6.6963649837269434E-2</v>
      </c>
      <c r="H12" s="745">
        <f t="shared" si="4"/>
        <v>0.18196661698732486</v>
      </c>
      <c r="I12" s="745">
        <f t="shared" si="4"/>
        <v>0.27621983382474191</v>
      </c>
      <c r="J12" s="745">
        <f t="shared" si="4"/>
        <v>0.32469837344650299</v>
      </c>
      <c r="M12" s="744"/>
      <c r="V12" s="851"/>
      <c r="W12" s="854" t="s">
        <v>213</v>
      </c>
      <c r="X12" s="857">
        <v>0.4</v>
      </c>
      <c r="Y12" s="851"/>
      <c r="Z12" s="772" t="s">
        <v>213</v>
      </c>
      <c r="AA12" s="775">
        <v>0.4</v>
      </c>
    </row>
    <row r="13" spans="1:31" ht="15.6" x14ac:dyDescent="0.3">
      <c r="A13" t="s">
        <v>214</v>
      </c>
      <c r="C13" s="595">
        <f>Forcasts!L187</f>
        <v>-172</v>
      </c>
      <c r="D13" s="595">
        <f>Forcasts!M187</f>
        <v>-278</v>
      </c>
      <c r="E13" s="595">
        <f>Forcasts!N187</f>
        <v>-72</v>
      </c>
      <c r="F13" s="595">
        <f>Forcasts!O187</f>
        <v>-141.2914198290517</v>
      </c>
      <c r="G13" s="595">
        <f>Forcasts!P187</f>
        <v>-149.93548508564027</v>
      </c>
      <c r="H13" s="595">
        <f>Forcasts!Q187</f>
        <v>-177.70968432825498</v>
      </c>
      <c r="I13" s="595">
        <f>Forcasts!R187</f>
        <v>-229.18019553208151</v>
      </c>
      <c r="J13" s="595">
        <f>Forcasts!S187</f>
        <v>-307.0845240967588</v>
      </c>
      <c r="M13" t="s">
        <v>215</v>
      </c>
      <c r="V13" s="851"/>
      <c r="W13" s="854"/>
      <c r="X13" s="856"/>
      <c r="Y13" s="851"/>
      <c r="Z13" s="772"/>
      <c r="AA13" s="774"/>
    </row>
    <row r="14" spans="1:31" ht="15" thickBot="1" x14ac:dyDescent="0.35">
      <c r="A14" t="s">
        <v>216</v>
      </c>
      <c r="C14" s="575">
        <f>-'Forecasting development (final)'!H69</f>
        <v>-438</v>
      </c>
      <c r="D14" s="575">
        <f>-568</f>
        <v>-568</v>
      </c>
      <c r="E14" s="575">
        <f>-972</f>
        <v>-972</v>
      </c>
      <c r="F14" s="575">
        <f>-Forcasts!AD301</f>
        <v>-1377.15</v>
      </c>
      <c r="G14" s="575">
        <f>-Forcasts!AE301</f>
        <v>-1713.7375000000002</v>
      </c>
      <c r="H14" s="575">
        <f>-Forcasts!AF301</f>
        <v>-1670.6147500000002</v>
      </c>
      <c r="I14" s="575">
        <f>-Forcasts!AG301</f>
        <v>-2197.4109625000006</v>
      </c>
      <c r="J14" s="575">
        <f>-Forcasts!AH301</f>
        <v>-2133.7476977500005</v>
      </c>
      <c r="L14" s="571">
        <f>-Forcasts!AD301</f>
        <v>-1377.15</v>
      </c>
      <c r="V14" s="851"/>
      <c r="W14" s="858" t="s">
        <v>217</v>
      </c>
      <c r="X14" s="859">
        <f>X10*X6+X12*X8*(1-'DDM model (Dividents)'!H9)</f>
        <v>4.9600000000000005E-2</v>
      </c>
      <c r="Y14" s="851"/>
      <c r="Z14" s="776" t="s">
        <v>217</v>
      </c>
      <c r="AA14" s="777">
        <f>AA10*AA6+AA12*AA8*(1-'DDM model (Dividents)'!H9)</f>
        <v>4.6390000000000001E-2</v>
      </c>
    </row>
    <row r="15" spans="1:31" ht="15" thickTop="1" x14ac:dyDescent="0.3">
      <c r="A15" t="s">
        <v>218</v>
      </c>
      <c r="C15">
        <f>'Forecasting development (final)'!H55</f>
        <v>614</v>
      </c>
      <c r="D15">
        <f>'Forecasting development (final)'!I55</f>
        <v>502</v>
      </c>
      <c r="E15">
        <f>'Forecasting development (final)'!J55</f>
        <v>680</v>
      </c>
      <c r="F15">
        <f>'Forecasting development (final)'!K55</f>
        <v>744.4</v>
      </c>
      <c r="G15">
        <f>'Forecasting development (final)'!L55</f>
        <v>789.64</v>
      </c>
      <c r="H15">
        <f>'Forecasting development (final)'!M55</f>
        <v>851.904</v>
      </c>
      <c r="I15">
        <f>'Forecasting development (final)'!N55</f>
        <v>876.39440000000013</v>
      </c>
      <c r="J15">
        <f>'Forecasting development (final)'!O55</f>
        <v>903.33384000000012</v>
      </c>
      <c r="V15" s="851"/>
      <c r="W15" s="851"/>
      <c r="X15" s="851"/>
      <c r="Y15" s="851"/>
    </row>
    <row r="16" spans="1:31" x14ac:dyDescent="0.3">
      <c r="A16" t="s">
        <v>219</v>
      </c>
      <c r="C16" s="399"/>
      <c r="D16" s="399">
        <f>C55-B55</f>
        <v>1461</v>
      </c>
      <c r="E16" s="399">
        <f>D55-C55</f>
        <v>-408</v>
      </c>
      <c r="F16" s="399">
        <f>-(E55-D55)</f>
        <v>408.06150175342464</v>
      </c>
      <c r="G16" s="399">
        <f>-(F55-E55)</f>
        <v>459.08012211493133</v>
      </c>
      <c r="H16" s="821">
        <f t="shared" ref="H16:J16" si="5">-(G55-F55)</f>
        <v>230.97184314402375</v>
      </c>
      <c r="I16" s="821">
        <f t="shared" si="5"/>
        <v>393.1511758952297</v>
      </c>
      <c r="J16" s="821">
        <f t="shared" si="5"/>
        <v>261.98332610916259</v>
      </c>
      <c r="L16" s="814">
        <f>C55-B55</f>
        <v>1461</v>
      </c>
      <c r="V16" s="851"/>
      <c r="W16" s="851"/>
      <c r="X16" s="851"/>
      <c r="Y16" s="851"/>
    </row>
    <row r="17" spans="1:25" x14ac:dyDescent="0.3">
      <c r="A17" t="s">
        <v>220</v>
      </c>
      <c r="D17">
        <f t="shared" ref="D17:J17" si="6">SUM(D6:D16)</f>
        <v>5471.5069905649107</v>
      </c>
      <c r="E17">
        <f t="shared" si="6"/>
        <v>888.83287201629332</v>
      </c>
      <c r="F17" s="752">
        <f>SUM(F6:F16)</f>
        <v>1206.7986818635018</v>
      </c>
      <c r="G17">
        <f t="shared" si="6"/>
        <v>1063.4342102554924</v>
      </c>
      <c r="H17" s="822">
        <f t="shared" si="6"/>
        <v>1218.557480307639</v>
      </c>
      <c r="I17" s="822">
        <f t="shared" si="6"/>
        <v>1375.0697318242637</v>
      </c>
      <c r="J17" s="822">
        <f t="shared" si="6"/>
        <v>2078.6749123400464</v>
      </c>
      <c r="V17" s="851"/>
      <c r="W17" s="851"/>
      <c r="X17" s="851"/>
      <c r="Y17" s="851"/>
    </row>
    <row r="18" spans="1:25" x14ac:dyDescent="0.3">
      <c r="E18" s="743">
        <f>(E17-D17)/D17</f>
        <v>-0.83755245610596851</v>
      </c>
      <c r="F18" s="743">
        <f>(F17-E17)/E17</f>
        <v>0.35773408011554703</v>
      </c>
      <c r="G18" s="743">
        <f t="shared" ref="G18:J18" si="7">(G17-F17)/F17</f>
        <v>-0.11879733858064073</v>
      </c>
      <c r="H18" s="743">
        <f t="shared" si="7"/>
        <v>0.14587011453663681</v>
      </c>
      <c r="I18" s="743">
        <f t="shared" si="7"/>
        <v>0.1284405980398326</v>
      </c>
      <c r="J18" s="743">
        <f t="shared" si="7"/>
        <v>0.51168690883940171</v>
      </c>
      <c r="L18" s="1237">
        <f>AVERAGE(E18:J18)</f>
        <v>3.1230317807468145E-2</v>
      </c>
      <c r="M18" s="818"/>
      <c r="N18" s="818"/>
    </row>
    <row r="19" spans="1:25" x14ac:dyDescent="0.3">
      <c r="L19" s="818"/>
      <c r="M19" s="818"/>
      <c r="N19" s="818"/>
    </row>
    <row r="20" spans="1:25" x14ac:dyDescent="0.3">
      <c r="A20" t="s">
        <v>168</v>
      </c>
      <c r="F20">
        <f>1/(1+$U$7)^1</f>
        <v>0.82400930733927291</v>
      </c>
      <c r="G20">
        <f>1/(1+$U$7)^2</f>
        <v>0.67899133858174843</v>
      </c>
      <c r="H20">
        <f>1/(1+$U$7)^3</f>
        <v>0.55949518259411224</v>
      </c>
      <c r="I20">
        <f>1/(1+$U$7)^4</f>
        <v>0.46102923786903449</v>
      </c>
      <c r="J20">
        <f>1/(1+$U$7)^5</f>
        <v>0.37989238295961603</v>
      </c>
      <c r="L20" s="818"/>
      <c r="M20" s="818"/>
      <c r="N20" s="818"/>
    </row>
    <row r="21" spans="1:25" x14ac:dyDescent="0.3">
      <c r="A21" t="s">
        <v>221</v>
      </c>
      <c r="F21">
        <f>F17*F20</f>
        <v>994.41334594029172</v>
      </c>
      <c r="G21">
        <f t="shared" ref="G21:J21" si="8">G17*G20</f>
        <v>722.06261791500128</v>
      </c>
      <c r="H21">
        <f t="shared" si="8"/>
        <v>681.77703994614387</v>
      </c>
      <c r="I21">
        <f t="shared" si="8"/>
        <v>633.9473504797179</v>
      </c>
      <c r="J21">
        <f t="shared" si="8"/>
        <v>789.67276584723118</v>
      </c>
      <c r="L21" s="818"/>
      <c r="M21" s="818"/>
      <c r="N21" s="818"/>
    </row>
    <row r="22" spans="1:25" x14ac:dyDescent="0.3">
      <c r="A22" t="s">
        <v>222</v>
      </c>
      <c r="C22" s="1036">
        <f>SUM(F21:J21)</f>
        <v>3821.8731201283863</v>
      </c>
      <c r="L22" s="818"/>
      <c r="M22" s="818"/>
      <c r="N22" s="818"/>
    </row>
    <row r="23" spans="1:25" s="851" customFormat="1" x14ac:dyDescent="0.3">
      <c r="A23" s="953" t="s">
        <v>221</v>
      </c>
      <c r="B23" s="953"/>
      <c r="C23" s="953"/>
      <c r="D23" s="953"/>
      <c r="E23" s="953"/>
      <c r="F23" s="953">
        <f>F17*F20</f>
        <v>994.41334594029172</v>
      </c>
      <c r="G23" s="953">
        <f>G17*G20</f>
        <v>722.06261791500128</v>
      </c>
      <c r="H23" s="953">
        <f>H17*H20</f>
        <v>681.77703994614387</v>
      </c>
      <c r="I23" s="953">
        <f>I17*I20</f>
        <v>633.9473504797179</v>
      </c>
      <c r="J23" s="953">
        <f>J17*J20</f>
        <v>789.67276584723118</v>
      </c>
      <c r="K23" s="953"/>
      <c r="L23" s="954"/>
      <c r="M23" s="954"/>
      <c r="N23" s="954"/>
      <c r="P23" s="851" t="s">
        <v>223</v>
      </c>
    </row>
    <row r="24" spans="1:25" s="851" customFormat="1" x14ac:dyDescent="0.3">
      <c r="A24" s="851" t="s">
        <v>141</v>
      </c>
      <c r="C24" s="851">
        <f>SUM(F23:J23)</f>
        <v>3821.8731201283863</v>
      </c>
      <c r="P24" s="851" t="s">
        <v>224</v>
      </c>
    </row>
    <row r="25" spans="1:25" ht="15" thickBot="1" x14ac:dyDescent="0.35">
      <c r="A25" t="s">
        <v>185</v>
      </c>
      <c r="P25" t="s">
        <v>185</v>
      </c>
    </row>
    <row r="26" spans="1:25" x14ac:dyDescent="0.3">
      <c r="A26" s="766" t="s">
        <v>178</v>
      </c>
      <c r="B26" s="782"/>
      <c r="C26" s="1247" t="s">
        <v>179</v>
      </c>
      <c r="D26" s="1248"/>
      <c r="E26" s="1249"/>
      <c r="P26" t="s">
        <v>225</v>
      </c>
    </row>
    <row r="27" spans="1:25" x14ac:dyDescent="0.3">
      <c r="A27" s="767">
        <v>7.1999999999999995E-2</v>
      </c>
      <c r="B27" s="783"/>
      <c r="C27" s="950">
        <v>0.01</v>
      </c>
      <c r="D27" s="950">
        <v>1.4999999999999999E-2</v>
      </c>
      <c r="E27" s="951">
        <v>0.02</v>
      </c>
    </row>
    <row r="28" spans="1:25" x14ac:dyDescent="0.3">
      <c r="A28" s="761" t="s">
        <v>183</v>
      </c>
      <c r="B28" s="784"/>
      <c r="C28" s="760">
        <f>$C$22</f>
        <v>3821.8731201283863</v>
      </c>
      <c r="D28" s="760">
        <f>$C$22</f>
        <v>3821.8731201283863</v>
      </c>
      <c r="E28" s="760">
        <f>$C$22</f>
        <v>3821.8731201283863</v>
      </c>
    </row>
    <row r="29" spans="1:25" x14ac:dyDescent="0.3">
      <c r="A29" s="761" t="s">
        <v>185</v>
      </c>
      <c r="B29" s="784"/>
      <c r="C29" s="760">
        <f>($J$17*(1+C27))/($A$27-C27)</f>
        <v>33862.284862313667</v>
      </c>
      <c r="D29" s="760">
        <f>($J$17*(1+D27))/($A$27-D27)</f>
        <v>37015.000632020128</v>
      </c>
      <c r="E29" s="762">
        <f>($J$17*(1+E27))/($A$27-E27)</f>
        <v>40774.007895900919</v>
      </c>
    </row>
    <row r="30" spans="1:25" x14ac:dyDescent="0.3">
      <c r="A30" s="761" t="s">
        <v>186</v>
      </c>
      <c r="B30" s="784"/>
      <c r="C30" s="760">
        <f>1/(1+$A$27)^5</f>
        <v>0.7063599598746293</v>
      </c>
      <c r="D30" s="760">
        <f>1/(1+$A$27)^5</f>
        <v>0.7063599598746293</v>
      </c>
      <c r="E30" s="762">
        <f>1/(1+$A$27)^5</f>
        <v>0.7063599598746293</v>
      </c>
    </row>
    <row r="31" spans="1:25" x14ac:dyDescent="0.3">
      <c r="A31" s="761" t="s">
        <v>187</v>
      </c>
      <c r="B31" s="784"/>
      <c r="C31" s="760">
        <f>C29*C30</f>
        <v>23918.96217660715</v>
      </c>
      <c r="D31" s="760">
        <f>D29*D30</f>
        <v>26145.914361193114</v>
      </c>
      <c r="E31" s="762">
        <f>E29*E30</f>
        <v>28801.126581276392</v>
      </c>
    </row>
    <row r="32" spans="1:25" ht="15" thickBot="1" x14ac:dyDescent="0.35">
      <c r="A32" s="763" t="s">
        <v>188</v>
      </c>
      <c r="B32" s="785"/>
      <c r="C32" s="764">
        <f>C28+C31</f>
        <v>27740.835296735539</v>
      </c>
      <c r="D32" s="764">
        <f>D28+D31</f>
        <v>29967.787481321502</v>
      </c>
      <c r="E32" s="765">
        <f>E28+E31</f>
        <v>32622.999701404777</v>
      </c>
    </row>
    <row r="33" spans="1:11" x14ac:dyDescent="0.3">
      <c r="A33" s="778" t="s">
        <v>189</v>
      </c>
      <c r="B33" s="786"/>
      <c r="C33" s="425">
        <v>767.97</v>
      </c>
    </row>
    <row r="34" spans="1:11" x14ac:dyDescent="0.3">
      <c r="A34" s="819" t="s">
        <v>190</v>
      </c>
      <c r="B34" s="787"/>
      <c r="C34">
        <f>C32/$C$33</f>
        <v>36.122290319590007</v>
      </c>
      <c r="D34" s="1037">
        <f>D32/$C$33</f>
        <v>39.022080916339831</v>
      </c>
      <c r="E34">
        <f>E32/$C$33</f>
        <v>42.479523550926174</v>
      </c>
    </row>
    <row r="35" spans="1:11" x14ac:dyDescent="0.3">
      <c r="A35" s="769"/>
    </row>
    <row r="36" spans="1:11" x14ac:dyDescent="0.3">
      <c r="A36" s="769"/>
    </row>
    <row r="37" spans="1:11" x14ac:dyDescent="0.3">
      <c r="A37" t="s">
        <v>226</v>
      </c>
    </row>
    <row r="38" spans="1:11" x14ac:dyDescent="0.3">
      <c r="A38" t="s">
        <v>227</v>
      </c>
      <c r="F38" t="s">
        <v>228</v>
      </c>
    </row>
    <row r="39" spans="1:11" ht="15" thickBot="1" x14ac:dyDescent="0.35"/>
    <row r="40" spans="1:11" x14ac:dyDescent="0.3">
      <c r="B40" s="1257" t="s">
        <v>217</v>
      </c>
      <c r="C40" s="1258"/>
      <c r="D40" s="1258"/>
      <c r="E40" s="1258"/>
      <c r="F40" s="1258"/>
      <c r="G40" s="1258"/>
      <c r="H40" s="1258"/>
      <c r="I40" s="1259"/>
    </row>
    <row r="41" spans="1:11" x14ac:dyDescent="0.3">
      <c r="B41" s="1254" t="s">
        <v>229</v>
      </c>
      <c r="C41" s="971"/>
      <c r="D41" s="972">
        <v>6.6000000000000003E-2</v>
      </c>
      <c r="E41" s="972">
        <v>6.8000000000000005E-2</v>
      </c>
      <c r="F41" s="972">
        <v>7.0000000000000007E-2</v>
      </c>
      <c r="G41" s="972">
        <v>7.1999999999999995E-2</v>
      </c>
      <c r="H41" s="972">
        <v>7.3999999999999996E-2</v>
      </c>
      <c r="I41" s="973">
        <v>7.5999999999999998E-2</v>
      </c>
      <c r="K41" s="750" t="s">
        <v>176</v>
      </c>
    </row>
    <row r="42" spans="1:11" x14ac:dyDescent="0.3">
      <c r="B42" s="1255"/>
      <c r="C42" s="974">
        <v>0</v>
      </c>
      <c r="D42" s="975">
        <f t="shared" ref="D42:I49" si="9">(((($J$17*(1+$C42))/(D$41-$C42))*$C$30+$C$28))/$C$33</f>
        <v>33.944988255171488</v>
      </c>
      <c r="E42" s="975">
        <f t="shared" si="9"/>
        <v>33.092976591488402</v>
      </c>
      <c r="F42" s="975">
        <f t="shared" si="9"/>
        <v>32.28965130858721</v>
      </c>
      <c r="G42" s="975">
        <f t="shared" si="9"/>
        <v>31.530955208069429</v>
      </c>
      <c r="H42" s="975">
        <f t="shared" si="9"/>
        <v>30.813269707579629</v>
      </c>
      <c r="I42" s="976">
        <f t="shared" si="9"/>
        <v>30.133357128168235</v>
      </c>
      <c r="K42" s="750">
        <v>46.39</v>
      </c>
    </row>
    <row r="43" spans="1:11" x14ac:dyDescent="0.3">
      <c r="B43" s="1255"/>
      <c r="C43" s="974">
        <v>5.0000000000000001E-3</v>
      </c>
      <c r="D43" s="975">
        <f t="shared" si="9"/>
        <v>36.476161266526361</v>
      </c>
      <c r="E43" s="975">
        <f t="shared" si="9"/>
        <v>35.476174930761943</v>
      </c>
      <c r="F43" s="975">
        <f t="shared" si="9"/>
        <v>34.53772621565993</v>
      </c>
      <c r="G43" s="983">
        <f t="shared" si="9"/>
        <v>33.655304289519236</v>
      </c>
      <c r="H43" s="975">
        <f t="shared" si="9"/>
        <v>32.824037257647582</v>
      </c>
      <c r="I43" s="976">
        <f t="shared" si="9"/>
        <v>32.039602171233462</v>
      </c>
    </row>
    <row r="44" spans="1:11" x14ac:dyDescent="0.3">
      <c r="B44" s="1255"/>
      <c r="C44" s="974">
        <v>0.01</v>
      </c>
      <c r="D44" s="975">
        <f t="shared" si="9"/>
        <v>39.45932945848034</v>
      </c>
      <c r="E44" s="975">
        <f t="shared" si="9"/>
        <v>38.270269535427467</v>
      </c>
      <c r="F44" s="975">
        <f t="shared" si="9"/>
        <v>37.160480273911432</v>
      </c>
      <c r="G44" s="975">
        <f t="shared" si="9"/>
        <v>36.122290319590007</v>
      </c>
      <c r="H44" s="975">
        <f t="shared" si="9"/>
        <v>35.148987237413643</v>
      </c>
      <c r="I44" s="976">
        <f t="shared" si="9"/>
        <v>34.234672220823732</v>
      </c>
    </row>
    <row r="45" spans="1:11" x14ac:dyDescent="0.3">
      <c r="A45" s="50"/>
      <c r="B45" s="1255"/>
      <c r="C45" s="974">
        <v>1.4999999999999999E-2</v>
      </c>
      <c r="D45" s="975">
        <f t="shared" si="9"/>
        <v>43.027432590033129</v>
      </c>
      <c r="E45" s="975">
        <f t="shared" si="9"/>
        <v>41.591551801350626</v>
      </c>
      <c r="F45" s="975">
        <f t="shared" si="9"/>
        <v>40.26009870639048</v>
      </c>
      <c r="G45" s="982">
        <f t="shared" si="9"/>
        <v>39.022080916339831</v>
      </c>
      <c r="H45" s="975">
        <f t="shared" si="9"/>
        <v>37.867996535784137</v>
      </c>
      <c r="I45" s="976">
        <f t="shared" si="9"/>
        <v>36.789589819527166</v>
      </c>
    </row>
    <row r="46" spans="1:11" x14ac:dyDescent="0.3">
      <c r="B46" s="1255"/>
      <c r="C46" s="974">
        <v>0.02</v>
      </c>
      <c r="D46" s="977">
        <f t="shared" si="9"/>
        <v>47.371210315401754</v>
      </c>
      <c r="E46" s="975">
        <f t="shared" si="9"/>
        <v>45.604767872674458</v>
      </c>
      <c r="F46" s="975">
        <f t="shared" si="9"/>
        <v>43.979640825365344</v>
      </c>
      <c r="G46" s="975">
        <f t="shared" si="9"/>
        <v>42.479523550926174</v>
      </c>
      <c r="H46" s="975">
        <f t="shared" si="9"/>
        <v>41.090526074593605</v>
      </c>
      <c r="I46" s="976">
        <f t="shared" si="9"/>
        <v>39.800742703713354</v>
      </c>
    </row>
    <row r="47" spans="1:11" x14ac:dyDescent="0.3">
      <c r="B47" s="1255"/>
      <c r="C47" s="974">
        <v>2.5000000000000001E-2</v>
      </c>
      <c r="D47" s="977">
        <f t="shared" si="9"/>
        <v>52.774446022567588</v>
      </c>
      <c r="E47" s="977">
        <f t="shared" si="9"/>
        <v>50.551290007096846</v>
      </c>
      <c r="F47" s="977">
        <f t="shared" si="9"/>
        <v>48.525747859667959</v>
      </c>
      <c r="G47" s="977">
        <f t="shared" si="9"/>
        <v>46.672592277977699</v>
      </c>
      <c r="H47" s="975">
        <f t="shared" si="9"/>
        <v>44.970714702956016</v>
      </c>
      <c r="I47" s="976">
        <f t="shared" si="9"/>
        <v>43.402317722053695</v>
      </c>
    </row>
    <row r="48" spans="1:11" x14ac:dyDescent="0.3">
      <c r="B48" s="1255"/>
      <c r="C48" s="974">
        <v>0.03</v>
      </c>
      <c r="D48" s="977">
        <f t="shared" si="9"/>
        <v>59.67858053727948</v>
      </c>
      <c r="E48" s="977">
        <f t="shared" si="9"/>
        <v>56.799528492683017</v>
      </c>
      <c r="F48" s="977">
        <f t="shared" si="9"/>
        <v>54.208381652546201</v>
      </c>
      <c r="G48" s="977">
        <f t="shared" si="9"/>
        <v>51.864010701946235</v>
      </c>
      <c r="H48" s="977">
        <f t="shared" si="9"/>
        <v>49.732764383218985</v>
      </c>
      <c r="I48" s="978">
        <f t="shared" si="9"/>
        <v>47.786843831337585</v>
      </c>
    </row>
    <row r="49" spans="1:9" ht="15" thickBot="1" x14ac:dyDescent="0.35">
      <c r="B49" s="1256"/>
      <c r="C49" s="979">
        <v>3.5000000000000003E-2</v>
      </c>
      <c r="D49" s="980">
        <f t="shared" si="9"/>
        <v>68.809855218027479</v>
      </c>
      <c r="E49" s="980">
        <f t="shared" si="9"/>
        <v>64.941172579961986</v>
      </c>
      <c r="F49" s="980">
        <f t="shared" si="9"/>
        <v>61.514625100532534</v>
      </c>
      <c r="G49" s="980">
        <f t="shared" si="9"/>
        <v>58.458515186446832</v>
      </c>
      <c r="H49" s="980">
        <f t="shared" si="9"/>
        <v>55.715852443036567</v>
      </c>
      <c r="I49" s="981">
        <f t="shared" si="9"/>
        <v>53.240766552641936</v>
      </c>
    </row>
    <row r="53" spans="1:9" x14ac:dyDescent="0.3">
      <c r="B53">
        <v>2018</v>
      </c>
      <c r="C53">
        <v>2019</v>
      </c>
      <c r="D53" s="812">
        <v>0</v>
      </c>
      <c r="E53" s="813">
        <v>1</v>
      </c>
      <c r="F53" s="813">
        <v>2</v>
      </c>
      <c r="G53" s="813">
        <v>3</v>
      </c>
      <c r="H53" s="813">
        <v>4</v>
      </c>
      <c r="I53" s="813">
        <v>5</v>
      </c>
    </row>
    <row r="54" spans="1:9" x14ac:dyDescent="0.3">
      <c r="A54" s="813" t="s">
        <v>230</v>
      </c>
      <c r="B54" s="584">
        <f>B55/Forcasts!L145</f>
        <v>0.10517495642847567</v>
      </c>
      <c r="C54" s="584">
        <f>C55/Forcasts!M145</f>
        <v>0.19128787878787878</v>
      </c>
      <c r="D54" s="584">
        <f>D55/Forcasts!N145</f>
        <v>0.22312994638754149</v>
      </c>
      <c r="E54" s="584">
        <f>E55/Forcasts!O145</f>
        <v>0.1861702206696878</v>
      </c>
      <c r="F54" s="584">
        <f>F55/Forcasts!P145</f>
        <v>0.13948901504363337</v>
      </c>
      <c r="G54" s="584">
        <f>G55/Forcasts!Q145</f>
        <v>0.11011788986189673</v>
      </c>
      <c r="H54" s="584">
        <f>H55/Forcasts!R145</f>
        <v>7.2953847202466504E-2</v>
      </c>
      <c r="I54" s="584">
        <f>I55/Forcasts!S145</f>
        <v>4.87399657204972E-2</v>
      </c>
    </row>
    <row r="55" spans="1:9" x14ac:dyDescent="0.3">
      <c r="A55" s="813" t="s">
        <v>231</v>
      </c>
      <c r="B55" s="399">
        <f>Forcasts!L54-Forcasts!L121</f>
        <v>1569</v>
      </c>
      <c r="C55" s="399">
        <f>Forcasts!M54-Forcasts!M121</f>
        <v>3030</v>
      </c>
      <c r="D55" s="399">
        <f>Forcasts!N54-Forcasts!N121</f>
        <v>2622</v>
      </c>
      <c r="E55" s="399">
        <f>Forcasts!O54-Forcasts!O121</f>
        <v>2213.9384982465754</v>
      </c>
      <c r="F55" s="399">
        <f>Forcasts!P54-Forcasts!P121</f>
        <v>1754.858376131644</v>
      </c>
      <c r="G55" s="399">
        <f>Forcasts!Q54-Forcasts!Q121</f>
        <v>1523.8865329876203</v>
      </c>
      <c r="H55" s="399">
        <f>Forcasts!R54-Forcasts!R121</f>
        <v>1130.7353570923906</v>
      </c>
      <c r="I55" s="399">
        <f>Forcasts!S54-Forcasts!S121</f>
        <v>868.752030983228</v>
      </c>
    </row>
    <row r="56" spans="1:9" x14ac:dyDescent="0.3">
      <c r="A56" s="813" t="s">
        <v>232</v>
      </c>
      <c r="B56" s="399"/>
      <c r="C56" s="399">
        <f>C55-B55</f>
        <v>1461</v>
      </c>
      <c r="D56" s="399">
        <f>D55-C55</f>
        <v>-408</v>
      </c>
      <c r="E56" s="820">
        <f>E55-D55</f>
        <v>-408.06150175342464</v>
      </c>
      <c r="F56" s="820">
        <f>F55-E55</f>
        <v>-459.08012211493133</v>
      </c>
      <c r="G56" s="820">
        <f t="shared" ref="G56:H56" si="10">G55-F55</f>
        <v>-230.97184314402375</v>
      </c>
      <c r="H56" s="820">
        <f t="shared" si="10"/>
        <v>-393.1511758952297</v>
      </c>
      <c r="I56" s="820">
        <f>I55-H55</f>
        <v>-261.98332610916259</v>
      </c>
    </row>
    <row r="57" spans="1:9" hidden="1" x14ac:dyDescent="0.3">
      <c r="A57" s="812" t="s">
        <v>233</v>
      </c>
    </row>
    <row r="58" spans="1:9" hidden="1" x14ac:dyDescent="0.3">
      <c r="A58" s="813" t="s">
        <v>230</v>
      </c>
      <c r="E58" s="757">
        <v>0.13</v>
      </c>
      <c r="F58" s="757">
        <v>0.13</v>
      </c>
      <c r="G58" s="757">
        <v>0.15</v>
      </c>
      <c r="H58" s="757">
        <v>0.15</v>
      </c>
      <c r="I58" s="757">
        <v>0.15</v>
      </c>
    </row>
    <row r="59" spans="1:9" hidden="1" x14ac:dyDescent="0.3">
      <c r="A59" s="813" t="s">
        <v>234</v>
      </c>
      <c r="B59" s="399">
        <f>B55</f>
        <v>1569</v>
      </c>
      <c r="C59" s="399">
        <f t="shared" ref="C59:D59" si="11">C55</f>
        <v>3030</v>
      </c>
      <c r="D59" s="399">
        <f t="shared" si="11"/>
        <v>2622</v>
      </c>
      <c r="E59">
        <f>E58*Forcasts!O145</f>
        <v>1545.9615600000002</v>
      </c>
      <c r="F59">
        <f>F58*Forcasts!P145</f>
        <v>1635.4806780000001</v>
      </c>
      <c r="G59">
        <f>G58*Forcasts!Q145</f>
        <v>2075.8023990000002</v>
      </c>
      <c r="H59">
        <f>H58*Forcasts!R145</f>
        <v>2324.8986868800002</v>
      </c>
      <c r="I59">
        <f>I58*Forcasts!S145</f>
        <v>2673.6334899120006</v>
      </c>
    </row>
    <row r="60" spans="1:9" hidden="1" x14ac:dyDescent="0.3"/>
    <row r="68" spans="1:9" ht="15" thickBot="1" x14ac:dyDescent="0.35">
      <c r="A68" s="956"/>
      <c r="B68" s="957"/>
      <c r="D68" s="851"/>
      <c r="E68" s="851"/>
    </row>
    <row r="69" spans="1:9" ht="15.6" x14ac:dyDescent="0.3">
      <c r="D69" s="851" t="s">
        <v>150</v>
      </c>
      <c r="E69" s="1001">
        <v>1.72E-2</v>
      </c>
      <c r="H69" s="958" t="s">
        <v>198</v>
      </c>
      <c r="I69" s="959">
        <v>1.72E-2</v>
      </c>
    </row>
    <row r="70" spans="1:9" ht="15.6" x14ac:dyDescent="0.3">
      <c r="D70" s="851" t="s">
        <v>152</v>
      </c>
      <c r="E70" s="851">
        <v>0.73</v>
      </c>
      <c r="H70" s="960" t="s">
        <v>153</v>
      </c>
      <c r="I70" s="961">
        <v>0.1</v>
      </c>
    </row>
    <row r="71" spans="1:9" ht="15.6" x14ac:dyDescent="0.3">
      <c r="D71" s="851" t="s">
        <v>153</v>
      </c>
      <c r="E71" s="1001">
        <v>0.1</v>
      </c>
      <c r="H71" s="960" t="s">
        <v>203</v>
      </c>
      <c r="I71" s="962">
        <v>0.73</v>
      </c>
    </row>
    <row r="72" spans="1:9" ht="15.6" x14ac:dyDescent="0.3">
      <c r="D72" s="851" t="s">
        <v>155</v>
      </c>
      <c r="E72" s="1001">
        <v>7.7644000000000005E-2</v>
      </c>
      <c r="H72" s="963"/>
      <c r="I72" s="964"/>
    </row>
    <row r="73" spans="1:9" ht="15.6" x14ac:dyDescent="0.3">
      <c r="D73" s="851"/>
      <c r="E73" s="851"/>
      <c r="H73" s="960" t="s">
        <v>177</v>
      </c>
      <c r="I73" s="961">
        <f>E72</f>
        <v>7.7644000000000005E-2</v>
      </c>
    </row>
    <row r="74" spans="1:9" ht="15.6" x14ac:dyDescent="0.3">
      <c r="D74" s="851"/>
      <c r="E74" s="851"/>
      <c r="H74" s="960" t="s">
        <v>235</v>
      </c>
      <c r="I74" s="961">
        <v>3.4000000000000002E-2</v>
      </c>
    </row>
    <row r="75" spans="1:9" ht="15.6" x14ac:dyDescent="0.3">
      <c r="D75" s="851"/>
      <c r="E75" s="851"/>
      <c r="H75" s="963"/>
      <c r="I75" s="965"/>
    </row>
    <row r="76" spans="1:9" ht="15.6" x14ac:dyDescent="0.3">
      <c r="D76" s="851"/>
      <c r="E76" s="851"/>
      <c r="H76" s="960" t="s">
        <v>236</v>
      </c>
      <c r="I76" s="966">
        <v>0.88</v>
      </c>
    </row>
    <row r="77" spans="1:9" ht="15.6" x14ac:dyDescent="0.3">
      <c r="D77" s="851"/>
      <c r="E77" s="851"/>
      <c r="H77" s="960" t="s">
        <v>237</v>
      </c>
      <c r="I77" s="966">
        <v>0.12</v>
      </c>
    </row>
    <row r="78" spans="1:9" ht="15.6" x14ac:dyDescent="0.3">
      <c r="H78" s="967"/>
      <c r="I78" s="964"/>
    </row>
    <row r="79" spans="1:9" ht="16.2" thickBot="1" x14ac:dyDescent="0.35">
      <c r="H79" s="968" t="s">
        <v>217</v>
      </c>
      <c r="I79" s="969">
        <f>I76*I73+I74*I77</f>
        <v>7.2406720000000008E-2</v>
      </c>
    </row>
    <row r="81" spans="8:9" ht="15" thickBot="1" x14ac:dyDescent="0.35"/>
    <row r="82" spans="8:9" ht="15.6" x14ac:dyDescent="0.3">
      <c r="H82" s="958" t="s">
        <v>198</v>
      </c>
      <c r="I82" s="959">
        <v>1.72E-2</v>
      </c>
    </row>
    <row r="83" spans="8:9" ht="15.6" x14ac:dyDescent="0.3">
      <c r="H83" s="960" t="s">
        <v>153</v>
      </c>
      <c r="I83" s="961">
        <v>0.1</v>
      </c>
    </row>
    <row r="84" spans="8:9" ht="15.6" x14ac:dyDescent="0.3">
      <c r="H84" s="960" t="s">
        <v>203</v>
      </c>
      <c r="I84" s="962">
        <v>0.73</v>
      </c>
    </row>
    <row r="85" spans="8:9" ht="15.6" x14ac:dyDescent="0.3">
      <c r="H85" s="963"/>
      <c r="I85" s="964"/>
    </row>
    <row r="86" spans="8:9" ht="16.2" thickBot="1" x14ac:dyDescent="0.35">
      <c r="H86" s="968" t="s">
        <v>238</v>
      </c>
      <c r="I86" s="985">
        <v>7.7644000000000005E-2</v>
      </c>
    </row>
  </sheetData>
  <mergeCells count="3">
    <mergeCell ref="C26:E26"/>
    <mergeCell ref="B41:B49"/>
    <mergeCell ref="B40:I40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D6FA-00D8-4097-B801-EA478F180721}">
  <dimension ref="A1:AL163"/>
  <sheetViews>
    <sheetView tabSelected="1" zoomScale="107" zoomScaleNormal="77" workbookViewId="0">
      <selection activeCell="L4" sqref="L4"/>
    </sheetView>
  </sheetViews>
  <sheetFormatPr defaultRowHeight="14.4" x14ac:dyDescent="0.3"/>
  <cols>
    <col min="1" max="1" width="24.33203125" customWidth="1"/>
    <col min="2" max="2" width="13.6640625" customWidth="1"/>
    <col min="4" max="4" width="12.109375" bestFit="1" customWidth="1"/>
    <col min="5" max="5" width="10.88671875" bestFit="1" customWidth="1"/>
    <col min="6" max="6" width="12.44140625" bestFit="1" customWidth="1"/>
    <col min="7" max="7" width="14.44140625" style="30" customWidth="1"/>
    <col min="8" max="8" width="13.33203125" style="30" customWidth="1"/>
    <col min="9" max="9" width="12.33203125" style="30" bestFit="1" customWidth="1"/>
    <col min="10" max="10" width="10" style="30" bestFit="1" customWidth="1"/>
    <col min="11" max="11" width="11.6640625" bestFit="1" customWidth="1"/>
    <col min="12" max="13" width="11.109375" bestFit="1" customWidth="1"/>
    <col min="14" max="14" width="11.5546875" bestFit="1" customWidth="1"/>
    <col min="15" max="15" width="11.44140625" bestFit="1" customWidth="1"/>
    <col min="17" max="17" width="16.33203125" bestFit="1" customWidth="1"/>
    <col min="19" max="19" width="10.33203125" bestFit="1" customWidth="1"/>
    <col min="29" max="29" width="13.44140625" bestFit="1" customWidth="1"/>
  </cols>
  <sheetData>
    <row r="1" spans="1:38" ht="47.4" customHeight="1" x14ac:dyDescent="0.3">
      <c r="A1" s="599" t="s">
        <v>239</v>
      </c>
      <c r="B1" s="994">
        <v>2018</v>
      </c>
      <c r="C1" s="995">
        <v>2019</v>
      </c>
      <c r="D1" s="995">
        <v>2020</v>
      </c>
      <c r="E1" s="996" t="s">
        <v>192</v>
      </c>
      <c r="F1" s="996" t="s">
        <v>193</v>
      </c>
      <c r="G1" s="996" t="s">
        <v>194</v>
      </c>
      <c r="H1" s="996" t="s">
        <v>195</v>
      </c>
      <c r="I1" s="996" t="s">
        <v>196</v>
      </c>
    </row>
    <row r="2" spans="1:38" x14ac:dyDescent="0.3">
      <c r="A2" s="587" t="s">
        <v>26</v>
      </c>
      <c r="B2" s="605">
        <v>3241</v>
      </c>
      <c r="C2" s="606">
        <v>4033</v>
      </c>
      <c r="D2" s="542">
        <v>4270</v>
      </c>
      <c r="E2" s="566">
        <v>4518.9645600000003</v>
      </c>
      <c r="F2" s="566">
        <v>4780.6358280000004</v>
      </c>
      <c r="G2" s="566">
        <v>5535.4730640000016</v>
      </c>
      <c r="H2" s="566">
        <v>6199.7298316800016</v>
      </c>
      <c r="I2" s="566">
        <v>7129.689306432002</v>
      </c>
    </row>
    <row r="3" spans="1:38" ht="15.6" x14ac:dyDescent="0.3">
      <c r="A3" s="607" t="s">
        <v>27</v>
      </c>
      <c r="B3" s="605">
        <v>10105</v>
      </c>
      <c r="C3" s="606">
        <v>10416</v>
      </c>
      <c r="D3" s="542">
        <v>6063</v>
      </c>
      <c r="E3" s="519">
        <v>6064.9261200000001</v>
      </c>
      <c r="F3" s="519">
        <v>6038.6978879999997</v>
      </c>
      <c r="G3" s="519">
        <v>6227.4071970000014</v>
      </c>
      <c r="H3" s="519">
        <v>6974.6960606400016</v>
      </c>
      <c r="I3" s="519">
        <v>8020.9004697360015</v>
      </c>
    </row>
    <row r="4" spans="1:38" ht="15.6" x14ac:dyDescent="0.3">
      <c r="A4" s="587" t="s">
        <v>28</v>
      </c>
      <c r="B4" s="605">
        <v>4315</v>
      </c>
      <c r="C4" s="606">
        <v>4193</v>
      </c>
      <c r="D4" s="542">
        <v>3055</v>
      </c>
      <c r="E4" s="519">
        <v>3091.9231200000004</v>
      </c>
      <c r="F4" s="519">
        <v>3396.7675620000005</v>
      </c>
      <c r="G4" s="519">
        <v>3874.8311448000009</v>
      </c>
      <c r="H4" s="519">
        <v>4339.8108821760015</v>
      </c>
      <c r="I4" s="519">
        <v>4990.7825145024017</v>
      </c>
      <c r="Q4" s="913"/>
      <c r="R4" s="913"/>
      <c r="S4" s="913"/>
      <c r="Y4" s="912"/>
      <c r="Z4" s="926" t="s">
        <v>240</v>
      </c>
      <c r="AA4" s="563"/>
      <c r="AB4" s="563">
        <v>2020</v>
      </c>
      <c r="AC4" s="563">
        <v>2019</v>
      </c>
      <c r="AD4" s="563">
        <v>2018</v>
      </c>
      <c r="AE4" s="563">
        <v>2017</v>
      </c>
      <c r="AF4" s="563">
        <v>2016</v>
      </c>
      <c r="AG4" s="563" t="s">
        <v>241</v>
      </c>
      <c r="AH4" s="563" t="s">
        <v>242</v>
      </c>
      <c r="AI4" s="563" t="s">
        <v>243</v>
      </c>
      <c r="AJ4" s="563">
        <v>4</v>
      </c>
      <c r="AK4" s="563" t="s">
        <v>244</v>
      </c>
      <c r="AL4" s="563"/>
    </row>
    <row r="5" spans="1:38" s="563" customFormat="1" ht="15.6" x14ac:dyDescent="0.3">
      <c r="A5" s="607" t="s">
        <v>29</v>
      </c>
      <c r="B5" s="541">
        <v>264</v>
      </c>
      <c r="C5" s="606">
        <v>246</v>
      </c>
      <c r="D5" s="542">
        <v>177</v>
      </c>
      <c r="E5" s="808">
        <v>216.19819999999982</v>
      </c>
      <c r="F5" s="808">
        <v>164.51932199999965</v>
      </c>
      <c r="G5" s="808">
        <v>200.97125419999838</v>
      </c>
      <c r="H5" s="808">
        <v>-214.91219529600221</v>
      </c>
      <c r="I5" s="808">
        <v>-317.14902459040241</v>
      </c>
      <c r="Q5" s="521"/>
      <c r="R5" s="912"/>
      <c r="S5" s="521"/>
      <c r="Y5" s="401"/>
      <c r="Z5" s="849" t="s">
        <v>245</v>
      </c>
      <c r="AA5" s="822"/>
      <c r="AB5" s="821">
        <f>'Raw data'!AC10</f>
        <v>1334</v>
      </c>
      <c r="AC5" s="821">
        <f>'Raw data'!AD10</f>
        <v>1599</v>
      </c>
      <c r="AD5" s="924">
        <f>'Raw data'!AE10</f>
        <v>983</v>
      </c>
      <c r="AE5" s="924">
        <f>'Raw data'!AF10</f>
        <v>561</v>
      </c>
      <c r="AF5" s="924">
        <f>'Raw data'!AG10</f>
        <v>469</v>
      </c>
      <c r="AG5" s="928">
        <f>AG7+AG14+AG16+AG18+AG20+AG12</f>
        <v>1242.9976862606954</v>
      </c>
      <c r="AH5" s="928">
        <f t="shared" ref="AH5:AJ5" si="0">AH7+AH14+AH16+AH18+AH20+AH12</f>
        <v>1369.6060503070164</v>
      </c>
      <c r="AI5" s="928">
        <f t="shared" si="0"/>
        <v>1720.5964793028613</v>
      </c>
      <c r="AJ5" s="928">
        <f t="shared" si="0"/>
        <v>1915.0680568192047</v>
      </c>
      <c r="AK5" s="928">
        <f>AK7+AK14+AK16+AK18+AK20+AK12</f>
        <v>2187.3282653420852</v>
      </c>
      <c r="AL5"/>
    </row>
    <row r="6" spans="1:38" ht="15.6" x14ac:dyDescent="0.3">
      <c r="A6" s="608" t="s">
        <v>30</v>
      </c>
      <c r="B6" s="605">
        <v>-3007</v>
      </c>
      <c r="C6" s="606">
        <v>-3049</v>
      </c>
      <c r="D6" s="542">
        <v>-1813</v>
      </c>
      <c r="E6" s="808">
        <v>-2000</v>
      </c>
      <c r="F6" s="808">
        <v>-1800</v>
      </c>
      <c r="G6" s="808">
        <v>-2000</v>
      </c>
      <c r="H6" s="808">
        <v>-1800</v>
      </c>
      <c r="I6" s="808">
        <v>-2000</v>
      </c>
      <c r="Q6" s="488"/>
      <c r="R6" s="913"/>
      <c r="S6" s="7"/>
      <c r="Y6" s="20"/>
      <c r="Z6" s="909" t="s">
        <v>246</v>
      </c>
      <c r="AA6" s="929"/>
      <c r="AB6" s="929">
        <f>AB5/AC5-1</f>
        <v>-0.16572858036272675</v>
      </c>
      <c r="AC6" s="929">
        <f>AC5/AD5-1</f>
        <v>0.62665310274669372</v>
      </c>
      <c r="AD6" s="929">
        <f t="shared" ref="AD6" si="1">AD5/AE5-1</f>
        <v>0.75222816399286985</v>
      </c>
      <c r="AE6" s="929">
        <f t="shared" ref="AE6" si="2">AE5/AF5-1</f>
        <v>0.19616204690831562</v>
      </c>
      <c r="AF6" s="929">
        <f t="shared" ref="AF6" si="3">AF5/AG5-1</f>
        <v>-0.62268634512837218</v>
      </c>
      <c r="AG6" s="927">
        <f>AG5/AB5-1</f>
        <v>-6.8217626491232752E-2</v>
      </c>
      <c r="AH6" s="927">
        <f>AH5/AG5-1</f>
        <v>0.10185728054506393</v>
      </c>
      <c r="AI6" s="927">
        <f t="shared" ref="AI6:AK6" si="4">AI5/AH5-1</f>
        <v>0.25627108533666698</v>
      </c>
      <c r="AJ6" s="927">
        <f t="shared" si="4"/>
        <v>0.11302567444235256</v>
      </c>
      <c r="AK6" s="927">
        <f t="shared" si="4"/>
        <v>0.14216738018965547</v>
      </c>
      <c r="AL6" s="424"/>
    </row>
    <row r="7" spans="1:38" s="424" customFormat="1" ht="15.6" x14ac:dyDescent="0.3">
      <c r="A7" s="609" t="s">
        <v>247</v>
      </c>
      <c r="B7" s="561">
        <f t="shared" ref="B7:I7" si="5">SUM(B2:B6)</f>
        <v>14918</v>
      </c>
      <c r="C7" s="561">
        <f t="shared" si="5"/>
        <v>15839</v>
      </c>
      <c r="D7" s="561">
        <f t="shared" si="5"/>
        <v>11752</v>
      </c>
      <c r="E7" s="561">
        <f t="shared" si="5"/>
        <v>11892.011999999999</v>
      </c>
      <c r="F7" s="561">
        <f t="shared" si="5"/>
        <v>12580.620600000002</v>
      </c>
      <c r="G7" s="561">
        <f t="shared" si="5"/>
        <v>13838.68266</v>
      </c>
      <c r="H7" s="561">
        <f t="shared" si="5"/>
        <v>15499.324579200005</v>
      </c>
      <c r="I7" s="561">
        <f t="shared" si="5"/>
        <v>17824.223266080004</v>
      </c>
      <c r="Q7" s="488"/>
      <c r="R7" s="914"/>
      <c r="S7" s="7"/>
      <c r="Y7" s="20"/>
      <c r="Z7" s="849" t="s">
        <v>248</v>
      </c>
      <c r="AA7" s="822"/>
      <c r="AB7" s="822">
        <f>'Raw data'!AC11</f>
        <v>10</v>
      </c>
      <c r="AC7" s="822">
        <f>'Raw data'!AD11</f>
        <v>137</v>
      </c>
      <c r="AD7" s="822">
        <f>'Raw data'!AE11</f>
        <v>-162</v>
      </c>
      <c r="AE7" s="822">
        <f>'Raw data'!AF11</f>
        <v>-80</v>
      </c>
      <c r="AF7" s="822">
        <f>'Raw data'!AG11</f>
        <v>123</v>
      </c>
      <c r="AG7" s="571">
        <v>20</v>
      </c>
      <c r="AH7" s="571">
        <v>20</v>
      </c>
      <c r="AI7" s="571">
        <v>20</v>
      </c>
      <c r="AJ7" s="571">
        <v>20</v>
      </c>
      <c r="AK7" s="571">
        <v>20</v>
      </c>
    </row>
    <row r="8" spans="1:38" s="1225" customFormat="1" ht="15.6" x14ac:dyDescent="0.3">
      <c r="A8" s="193"/>
      <c r="B8" s="787"/>
      <c r="C8" s="787"/>
      <c r="D8" s="787"/>
      <c r="E8" s="787"/>
      <c r="F8" s="787"/>
      <c r="G8" s="787"/>
      <c r="H8" s="787"/>
      <c r="I8" s="787"/>
      <c r="Q8" s="488"/>
      <c r="R8" s="1226"/>
      <c r="S8" s="7"/>
      <c r="Y8" s="20"/>
      <c r="Z8" s="910"/>
      <c r="AA8" s="931"/>
      <c r="AB8" s="931"/>
      <c r="AC8" s="931"/>
      <c r="AD8" s="931"/>
      <c r="AE8" s="931"/>
      <c r="AF8" s="931"/>
      <c r="AG8" s="1227"/>
      <c r="AH8" s="1227"/>
      <c r="AI8" s="1227"/>
      <c r="AJ8" s="1227"/>
      <c r="AK8" s="1227"/>
    </row>
    <row r="9" spans="1:38" s="1225" customFormat="1" ht="15.6" x14ac:dyDescent="0.3">
      <c r="A9" s="193"/>
      <c r="B9" s="729"/>
      <c r="C9" s="729"/>
      <c r="D9" s="729"/>
      <c r="E9" s="729"/>
      <c r="F9" s="787"/>
      <c r="G9" s="924"/>
      <c r="H9" s="924"/>
      <c r="I9" s="1228"/>
      <c r="J9" s="1229"/>
      <c r="K9" s="1230"/>
      <c r="L9" s="1231"/>
      <c r="M9" s="1231"/>
      <c r="N9" s="1231"/>
      <c r="O9" s="1231"/>
      <c r="Q9" s="488"/>
      <c r="R9" s="1226"/>
      <c r="S9" s="7"/>
      <c r="Y9" s="20"/>
      <c r="Z9" s="910"/>
      <c r="AA9" s="931"/>
      <c r="AB9" s="931"/>
      <c r="AC9" s="931"/>
      <c r="AD9" s="931"/>
      <c r="AE9" s="931"/>
      <c r="AF9" s="931"/>
      <c r="AG9" s="1227"/>
      <c r="AH9" s="1227"/>
      <c r="AI9" s="1227"/>
      <c r="AJ9" s="1227"/>
      <c r="AK9" s="1227"/>
    </row>
    <row r="10" spans="1:38" s="424" customFormat="1" ht="15.6" x14ac:dyDescent="0.3">
      <c r="A10" s="599" t="s">
        <v>239</v>
      </c>
      <c r="F10" s="602" t="s">
        <v>620</v>
      </c>
      <c r="G10" s="603" t="s">
        <v>265</v>
      </c>
      <c r="H10" s="601">
        <v>43112</v>
      </c>
      <c r="I10" s="602" t="s">
        <v>249</v>
      </c>
      <c r="J10" s="603" t="s">
        <v>250</v>
      </c>
      <c r="K10" s="562" t="s">
        <v>192</v>
      </c>
      <c r="L10" s="562" t="s">
        <v>193</v>
      </c>
      <c r="M10" s="562" t="s">
        <v>194</v>
      </c>
      <c r="N10" s="562" t="s">
        <v>195</v>
      </c>
      <c r="O10" s="562" t="s">
        <v>196</v>
      </c>
      <c r="Q10" s="488"/>
      <c r="R10" s="914"/>
      <c r="S10" s="7"/>
      <c r="Y10" s="20"/>
      <c r="Z10" s="849"/>
      <c r="AA10" s="822"/>
      <c r="AB10" s="822"/>
      <c r="AC10" s="822"/>
      <c r="AD10" s="822"/>
      <c r="AE10" s="822"/>
      <c r="AF10" s="822"/>
      <c r="AG10" s="571"/>
      <c r="AH10" s="571"/>
      <c r="AI10" s="571"/>
      <c r="AJ10" s="571"/>
      <c r="AK10" s="571"/>
    </row>
    <row r="11" spans="1:38" s="424" customFormat="1" ht="15.6" x14ac:dyDescent="0.3">
      <c r="A11" s="587" t="s">
        <v>26</v>
      </c>
      <c r="B11" s="587"/>
      <c r="C11" s="587"/>
      <c r="D11" s="587"/>
      <c r="E11" s="587"/>
      <c r="F11" s="519">
        <v>2690</v>
      </c>
      <c r="G11" s="604">
        <v>3243</v>
      </c>
      <c r="H11" s="605">
        <v>3241</v>
      </c>
      <c r="I11" s="606">
        <v>4033</v>
      </c>
      <c r="J11" s="542">
        <v>4270</v>
      </c>
      <c r="K11" s="566">
        <f>K22*K12</f>
        <v>4518.9645600000003</v>
      </c>
      <c r="L11" s="566">
        <f t="shared" ref="L11:O11" si="6">L22*L12</f>
        <v>4780.6358280000004</v>
      </c>
      <c r="M11" s="566">
        <f t="shared" si="6"/>
        <v>5535.4730640000016</v>
      </c>
      <c r="N11" s="566">
        <f t="shared" si="6"/>
        <v>6199.7298316800016</v>
      </c>
      <c r="O11" s="566">
        <f t="shared" si="6"/>
        <v>7129.689306432002</v>
      </c>
      <c r="Q11" s="488"/>
      <c r="R11" s="914"/>
      <c r="S11" s="7"/>
      <c r="Y11" s="20"/>
      <c r="Z11" s="909" t="s">
        <v>251</v>
      </c>
      <c r="AA11" s="929"/>
      <c r="AB11" s="929">
        <f>AB7/AC7-1</f>
        <v>-0.92700729927007297</v>
      </c>
      <c r="AC11" s="929">
        <f t="shared" ref="AC11:AE11" si="7">AC7/AD7-1</f>
        <v>-1.845679012345679</v>
      </c>
      <c r="AD11" s="929">
        <f t="shared" si="7"/>
        <v>1.0249999999999999</v>
      </c>
      <c r="AE11" s="929">
        <f t="shared" si="7"/>
        <v>-1.6504065040650406</v>
      </c>
      <c r="AF11" s="929"/>
      <c r="AG11"/>
      <c r="AH11"/>
      <c r="AI11"/>
      <c r="AJ11"/>
      <c r="AK11"/>
      <c r="AL11"/>
    </row>
    <row r="12" spans="1:38" ht="15.6" x14ac:dyDescent="0.3">
      <c r="A12" s="551" t="s">
        <v>252</v>
      </c>
      <c r="B12" s="551"/>
      <c r="C12" s="551"/>
      <c r="D12" s="551"/>
      <c r="E12" s="551"/>
      <c r="F12" s="549">
        <f t="shared" ref="F12:J12" si="8">F11/F22</f>
        <v>0.23013089229189837</v>
      </c>
      <c r="G12" s="534">
        <f>G11/G22</f>
        <v>0.24536581675115382</v>
      </c>
      <c r="H12" s="534">
        <f t="shared" si="8"/>
        <v>0.21725432363587613</v>
      </c>
      <c r="I12" s="534">
        <f t="shared" si="8"/>
        <v>0.25460858585858587</v>
      </c>
      <c r="J12" s="534">
        <f t="shared" si="8"/>
        <v>0.36337332992936772</v>
      </c>
      <c r="K12" s="534">
        <v>0.38</v>
      </c>
      <c r="L12" s="534">
        <v>0.38</v>
      </c>
      <c r="M12" s="534">
        <v>0.4</v>
      </c>
      <c r="N12" s="534">
        <v>0.4</v>
      </c>
      <c r="O12" s="534">
        <v>0.4</v>
      </c>
      <c r="Q12" s="7"/>
      <c r="R12" s="913"/>
      <c r="S12" s="7"/>
      <c r="Y12" s="20"/>
      <c r="Z12" s="907" t="s">
        <v>253</v>
      </c>
      <c r="AA12" s="822"/>
      <c r="AB12" s="822">
        <f>'Raw data'!AC12</f>
        <v>-105</v>
      </c>
      <c r="AC12" s="822">
        <f>'Raw data'!AD12</f>
        <v>101</v>
      </c>
      <c r="AD12" s="822">
        <f>'Raw data'!AE12</f>
        <v>82</v>
      </c>
      <c r="AE12" s="822">
        <f>'Raw data'!AF12</f>
        <v>-5</v>
      </c>
      <c r="AF12" s="822">
        <f>'Raw data'!AG12</f>
        <v>-60</v>
      </c>
      <c r="AG12" s="571">
        <v>-100</v>
      </c>
      <c r="AH12">
        <v>-50</v>
      </c>
      <c r="AI12" s="571">
        <v>80</v>
      </c>
      <c r="AJ12" s="571">
        <v>80</v>
      </c>
      <c r="AK12" s="571">
        <v>80</v>
      </c>
      <c r="AL12" s="424"/>
    </row>
    <row r="13" spans="1:38" s="424" customFormat="1" ht="15.6" x14ac:dyDescent="0.3">
      <c r="A13" s="551" t="s">
        <v>251</v>
      </c>
      <c r="B13" s="551"/>
      <c r="C13" s="551"/>
      <c r="D13" s="551"/>
      <c r="E13" s="551"/>
      <c r="F13" s="549"/>
      <c r="G13" s="534">
        <f>G11/F11</f>
        <v>1.2055762081784387</v>
      </c>
      <c r="H13" s="534">
        <f>H11/G11-1</f>
        <v>-6.167129201356536E-4</v>
      </c>
      <c r="I13" s="534">
        <f>I11/H11-1</f>
        <v>0.24436902190681886</v>
      </c>
      <c r="J13" s="534">
        <f>J11/I11-1</f>
        <v>5.8765187205554126E-2</v>
      </c>
      <c r="K13" s="534">
        <f>K11/J11-1</f>
        <v>5.8305517564402942E-2</v>
      </c>
      <c r="L13" s="534">
        <f>L11/K11-1</f>
        <v>5.7905138339920947E-2</v>
      </c>
      <c r="M13" s="534">
        <f t="shared" ref="M13:O13" si="9">M11/L11-1</f>
        <v>0.15789473684210553</v>
      </c>
      <c r="N13" s="534">
        <f t="shared" si="9"/>
        <v>0.11999999999999988</v>
      </c>
      <c r="O13" s="534">
        <f t="shared" si="9"/>
        <v>0.15000000000000013</v>
      </c>
      <c r="Q13" s="488"/>
      <c r="R13" s="914"/>
      <c r="S13" s="7"/>
      <c r="Y13" s="20"/>
      <c r="Z13" s="909" t="s">
        <v>251</v>
      </c>
      <c r="AA13" s="929"/>
      <c r="AB13" s="929">
        <f>AB12/AC12-1</f>
        <v>-2.0396039603960396</v>
      </c>
      <c r="AC13" s="929">
        <f t="shared" ref="AC13" si="10">AC12/AD12-1</f>
        <v>0.23170731707317072</v>
      </c>
      <c r="AD13" s="929">
        <f>AD12-AE12/AE12</f>
        <v>81</v>
      </c>
      <c r="AE13" s="929"/>
      <c r="AF13" s="929"/>
    </row>
    <row r="14" spans="1:38" s="424" customFormat="1" ht="15.6" x14ac:dyDescent="0.3">
      <c r="A14" s="607" t="s">
        <v>27</v>
      </c>
      <c r="B14" s="587"/>
      <c r="C14" s="587"/>
      <c r="D14" s="587"/>
      <c r="E14" s="587"/>
      <c r="F14" s="519">
        <v>7395</v>
      </c>
      <c r="G14" s="604">
        <v>8490</v>
      </c>
      <c r="H14" s="605">
        <v>10105</v>
      </c>
      <c r="I14" s="606">
        <v>10416</v>
      </c>
      <c r="J14" s="542">
        <v>6063</v>
      </c>
      <c r="K14" s="519">
        <f>K22*K15</f>
        <v>6064.9261200000001</v>
      </c>
      <c r="L14" s="519">
        <f>L22*L15</f>
        <v>6038.6978879999997</v>
      </c>
      <c r="M14" s="519">
        <f t="shared" ref="M14:O14" si="11">M22*M15</f>
        <v>6227.4071970000014</v>
      </c>
      <c r="N14" s="519">
        <f t="shared" si="11"/>
        <v>6974.6960606400016</v>
      </c>
      <c r="O14" s="519">
        <f t="shared" si="11"/>
        <v>8020.9004697360015</v>
      </c>
      <c r="Q14" s="488"/>
      <c r="R14" s="914"/>
      <c r="S14" s="488"/>
      <c r="Y14" s="401"/>
      <c r="Z14" s="907" t="s">
        <v>254</v>
      </c>
      <c r="AA14" s="822"/>
      <c r="AB14" s="822">
        <f>'Raw data'!AC13</f>
        <v>0</v>
      </c>
      <c r="AC14" s="822">
        <f>'Raw data'!AD13</f>
        <v>0</v>
      </c>
      <c r="AD14" s="822">
        <f>'Raw data'!AE13</f>
        <v>0</v>
      </c>
      <c r="AE14" s="822">
        <f>'Raw data'!AF13</f>
        <v>0</v>
      </c>
      <c r="AF14" s="822">
        <f>'Raw data'!AG13</f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/>
    </row>
    <row r="15" spans="1:38" x14ac:dyDescent="0.3">
      <c r="A15" s="551" t="s">
        <v>252</v>
      </c>
      <c r="B15" s="551"/>
      <c r="C15" s="551"/>
      <c r="D15" s="551"/>
      <c r="E15" s="551"/>
      <c r="F15" s="549">
        <f>F14/F22</f>
        <v>0.63264607750876889</v>
      </c>
      <c r="G15" s="534">
        <f t="shared" ref="G15" si="12">G14/G22</f>
        <v>0.64235454339108722</v>
      </c>
      <c r="H15" s="534">
        <f>H14/H22</f>
        <v>0.67736962059257277</v>
      </c>
      <c r="I15" s="534">
        <f>I14/I22</f>
        <v>0.65757575757575759</v>
      </c>
      <c r="J15" s="534">
        <f>J14/J22</f>
        <v>0.51595608884350264</v>
      </c>
      <c r="K15" s="534">
        <v>0.51</v>
      </c>
      <c r="L15" s="534">
        <v>0.48</v>
      </c>
      <c r="M15" s="534">
        <v>0.45</v>
      </c>
      <c r="N15" s="534">
        <v>0.45</v>
      </c>
      <c r="O15" s="534">
        <v>0.45</v>
      </c>
      <c r="Q15" s="913"/>
      <c r="R15" s="913"/>
      <c r="S15" s="913"/>
      <c r="Y15" s="424"/>
      <c r="Z15" s="849" t="s">
        <v>251</v>
      </c>
      <c r="AA15" s="822"/>
      <c r="AB15" s="822"/>
      <c r="AC15" s="822"/>
      <c r="AD15" s="822"/>
      <c r="AE15" s="822"/>
      <c r="AF15" s="822"/>
      <c r="AG15" s="424"/>
      <c r="AH15" s="424"/>
      <c r="AI15" s="424"/>
      <c r="AJ15" s="424"/>
      <c r="AK15" s="424"/>
      <c r="AL15" s="424"/>
    </row>
    <row r="16" spans="1:38" s="424" customFormat="1" x14ac:dyDescent="0.3">
      <c r="A16" s="551" t="s">
        <v>251</v>
      </c>
      <c r="B16" s="551"/>
      <c r="C16" s="551"/>
      <c r="D16" s="551"/>
      <c r="E16" s="551"/>
      <c r="F16" s="549"/>
      <c r="G16" s="534">
        <f>G14/F14-1</f>
        <v>0.14807302231237318</v>
      </c>
      <c r="H16" s="534">
        <f>H14/G14-1</f>
        <v>0.19022379269729095</v>
      </c>
      <c r="I16" s="534">
        <f>I14/H14-1</f>
        <v>3.0776843146957056E-2</v>
      </c>
      <c r="J16" s="534">
        <f>J14/I14-1</f>
        <v>-0.4179147465437788</v>
      </c>
      <c r="K16" s="534">
        <f>K14/J14-1</f>
        <v>3.1768431469569869E-4</v>
      </c>
      <c r="L16" s="534">
        <f t="shared" ref="L16:O16" si="13">L14/K14-1</f>
        <v>-4.3245756800744939E-3</v>
      </c>
      <c r="M16" s="534">
        <f t="shared" si="13"/>
        <v>3.1250000000000222E-2</v>
      </c>
      <c r="N16" s="534">
        <f t="shared" si="13"/>
        <v>0.12000000000000011</v>
      </c>
      <c r="O16" s="534">
        <f t="shared" si="13"/>
        <v>0.14999999999999991</v>
      </c>
      <c r="Q16" s="914"/>
      <c r="R16" s="914"/>
      <c r="S16" s="914"/>
      <c r="Z16" s="907" t="s">
        <v>255</v>
      </c>
      <c r="AA16" s="929"/>
      <c r="AB16" s="930">
        <f>'Raw data'!AC14</f>
        <v>0</v>
      </c>
      <c r="AC16" s="930">
        <f>'Raw data'!AD14</f>
        <v>0</v>
      </c>
      <c r="AD16" s="930">
        <f>'Raw data'!AE14</f>
        <v>0</v>
      </c>
      <c r="AE16" s="930">
        <f>'Raw data'!AF14</f>
        <v>0</v>
      </c>
      <c r="AF16" s="930">
        <f>'Raw data'!AG14</f>
        <v>0</v>
      </c>
      <c r="AG16" s="932">
        <v>0</v>
      </c>
      <c r="AH16" s="932">
        <v>0</v>
      </c>
      <c r="AI16" s="932">
        <v>0</v>
      </c>
      <c r="AJ16" s="932">
        <v>0</v>
      </c>
      <c r="AK16" s="932">
        <v>0</v>
      </c>
    </row>
    <row r="17" spans="1:38" s="424" customFormat="1" x14ac:dyDescent="0.3">
      <c r="A17" s="587" t="s">
        <v>28</v>
      </c>
      <c r="B17" s="587"/>
      <c r="C17" s="587"/>
      <c r="D17" s="587"/>
      <c r="E17" s="587"/>
      <c r="F17" s="519">
        <v>3552</v>
      </c>
      <c r="G17" s="604">
        <v>3912</v>
      </c>
      <c r="H17" s="605">
        <v>4315</v>
      </c>
      <c r="I17" s="606">
        <v>4193</v>
      </c>
      <c r="J17" s="542">
        <v>3055</v>
      </c>
      <c r="K17" s="519">
        <f>K22*K18</f>
        <v>3091.9231200000004</v>
      </c>
      <c r="L17" s="519">
        <f t="shared" ref="L17:O17" si="14">L22*L18</f>
        <v>3396.7675620000005</v>
      </c>
      <c r="M17" s="519">
        <f t="shared" si="14"/>
        <v>3874.8311448000009</v>
      </c>
      <c r="N17" s="519">
        <f t="shared" si="14"/>
        <v>4339.8108821760015</v>
      </c>
      <c r="O17" s="519">
        <f t="shared" si="14"/>
        <v>4990.7825145024017</v>
      </c>
      <c r="Y17"/>
      <c r="Z17" s="910" t="s">
        <v>251</v>
      </c>
      <c r="AA17" s="931"/>
      <c r="AB17" s="931"/>
      <c r="AC17" s="931"/>
      <c r="AD17" s="931"/>
      <c r="AE17" s="931"/>
      <c r="AF17" s="931"/>
      <c r="AG17"/>
      <c r="AH17"/>
      <c r="AI17"/>
      <c r="AJ17"/>
      <c r="AK17"/>
      <c r="AL17"/>
    </row>
    <row r="18" spans="1:38" x14ac:dyDescent="0.3">
      <c r="A18" s="551" t="s">
        <v>252</v>
      </c>
      <c r="B18" s="551"/>
      <c r="C18" s="551"/>
      <c r="D18" s="551"/>
      <c r="E18" s="551"/>
      <c r="F18" s="549">
        <f>F17/F22</f>
        <v>0.30387543844640258</v>
      </c>
      <c r="G18" s="534">
        <f>G17/G22</f>
        <v>0.29598244684875541</v>
      </c>
      <c r="H18" s="534">
        <f>H17/H22</f>
        <v>0.28924788845689769</v>
      </c>
      <c r="I18" s="534">
        <f>I17/I22</f>
        <v>0.26470959595959598</v>
      </c>
      <c r="J18" s="534">
        <f>J17/J22</f>
        <v>0.25997787422347035</v>
      </c>
      <c r="K18" s="534">
        <v>0.26</v>
      </c>
      <c r="L18" s="534">
        <v>0.27</v>
      </c>
      <c r="M18" s="534">
        <v>0.28000000000000003</v>
      </c>
      <c r="N18" s="534">
        <v>0.28000000000000003</v>
      </c>
      <c r="O18" s="534">
        <v>0.28000000000000003</v>
      </c>
      <c r="Z18" s="911" t="s">
        <v>256</v>
      </c>
      <c r="AA18" s="822"/>
      <c r="AB18" s="822">
        <f>'Raw data'!AC15</f>
        <v>0</v>
      </c>
      <c r="AC18" s="822">
        <f>'Raw data'!AD15</f>
        <v>0</v>
      </c>
      <c r="AD18" s="822">
        <f>'Raw data'!AE15</f>
        <v>0</v>
      </c>
      <c r="AE18" s="822">
        <f>'Raw data'!AF15</f>
        <v>0</v>
      </c>
      <c r="AF18" s="822">
        <f>'Raw data'!AG15</f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8" x14ac:dyDescent="0.3">
      <c r="A19" s="551" t="s">
        <v>251</v>
      </c>
      <c r="B19" s="551"/>
      <c r="C19" s="551"/>
      <c r="D19" s="551"/>
      <c r="E19" s="551"/>
      <c r="F19" s="549"/>
      <c r="G19" s="534">
        <f>G17/F17-1</f>
        <v>0.10135135135135132</v>
      </c>
      <c r="H19" s="534">
        <f>H17/G17-1</f>
        <v>0.10301635991820035</v>
      </c>
      <c r="I19" s="534">
        <f>I17/H17-1</f>
        <v>-2.8273464658169156E-2</v>
      </c>
      <c r="J19" s="534">
        <f>J17/I17-1</f>
        <v>-0.27140472215597422</v>
      </c>
      <c r="K19" s="534">
        <f>K17/J17-1</f>
        <v>1.2086127659574508E-2</v>
      </c>
      <c r="L19" s="534">
        <f t="shared" ref="L19:O19" si="15">L17/K17-1</f>
        <v>9.8593797506840941E-2</v>
      </c>
      <c r="M19" s="534">
        <f t="shared" si="15"/>
        <v>0.14074074074074083</v>
      </c>
      <c r="N19" s="534">
        <f t="shared" si="15"/>
        <v>0.12000000000000011</v>
      </c>
      <c r="O19" s="534">
        <f t="shared" si="15"/>
        <v>0.14999999999999991</v>
      </c>
      <c r="Z19" s="849" t="s">
        <v>257</v>
      </c>
      <c r="AA19" s="822"/>
      <c r="AB19" s="822">
        <f>'Raw data'!AC16</f>
        <v>0</v>
      </c>
      <c r="AC19" s="822">
        <f>'Raw data'!AD16</f>
        <v>10</v>
      </c>
      <c r="AD19" s="822">
        <f>'Raw data'!AE16</f>
        <v>-4</v>
      </c>
      <c r="AE19" s="822">
        <f>'Raw data'!AF16</f>
        <v>0</v>
      </c>
      <c r="AF19" s="822">
        <f>'Raw data'!AG16</f>
        <v>-13</v>
      </c>
      <c r="AG19" s="425">
        <v>0</v>
      </c>
      <c r="AH19" s="425">
        <v>0</v>
      </c>
      <c r="AI19" s="425">
        <v>0</v>
      </c>
      <c r="AJ19" s="425">
        <v>0</v>
      </c>
      <c r="AK19" s="425">
        <v>0</v>
      </c>
    </row>
    <row r="20" spans="1:38" ht="15.6" x14ac:dyDescent="0.3">
      <c r="A20" s="607" t="s">
        <v>29</v>
      </c>
      <c r="B20" s="587"/>
      <c r="C20" s="587"/>
      <c r="D20" s="587"/>
      <c r="E20" s="587"/>
      <c r="F20" s="519">
        <v>294</v>
      </c>
      <c r="G20" s="540">
        <v>237</v>
      </c>
      <c r="H20" s="541">
        <v>264</v>
      </c>
      <c r="I20" s="606">
        <v>246</v>
      </c>
      <c r="J20" s="542">
        <v>177</v>
      </c>
      <c r="K20" s="808">
        <f>K22-K11-K14-K17-K21</f>
        <v>216.19819999999982</v>
      </c>
      <c r="L20" s="808">
        <f t="shared" ref="L20:O20" si="16">L22-L11-L14-L17-L21</f>
        <v>164.51932199999965</v>
      </c>
      <c r="M20" s="808">
        <f t="shared" si="16"/>
        <v>200.97125419999838</v>
      </c>
      <c r="N20" s="808">
        <f t="shared" si="16"/>
        <v>-214.91219529600221</v>
      </c>
      <c r="O20" s="808">
        <f t="shared" si="16"/>
        <v>-317.14902459040241</v>
      </c>
      <c r="U20" s="424"/>
      <c r="Y20" s="424"/>
      <c r="Z20" s="849" t="s">
        <v>258</v>
      </c>
      <c r="AA20" s="822"/>
      <c r="AB20" s="821">
        <f>'Raw data'!AC17</f>
        <v>1239</v>
      </c>
      <c r="AC20" s="821">
        <f>'Raw data'!AD17</f>
        <v>1847</v>
      </c>
      <c r="AD20" s="821">
        <f>'Raw data'!AE17</f>
        <v>899</v>
      </c>
      <c r="AE20" s="821">
        <f>'Raw data'!AF17</f>
        <v>476</v>
      </c>
      <c r="AF20" s="821">
        <f>'Raw data'!AG17</f>
        <v>518</v>
      </c>
      <c r="AG20" s="571">
        <f>K29</f>
        <v>1322.9976862606954</v>
      </c>
      <c r="AH20" s="571">
        <f>L29</f>
        <v>1399.6060503070164</v>
      </c>
      <c r="AI20" s="571">
        <f>M29</f>
        <v>1620.5964793028613</v>
      </c>
      <c r="AJ20" s="571">
        <f>N29</f>
        <v>1815.0680568192047</v>
      </c>
      <c r="AK20" s="571">
        <f>O29</f>
        <v>2087.3282653420852</v>
      </c>
      <c r="AL20" s="424"/>
    </row>
    <row r="21" spans="1:38" s="424" customFormat="1" ht="15.6" x14ac:dyDescent="0.3">
      <c r="A21" s="608" t="s">
        <v>30</v>
      </c>
      <c r="B21" s="587"/>
      <c r="C21" s="587"/>
      <c r="D21" s="587"/>
      <c r="E21" s="587"/>
      <c r="F21" s="519">
        <v>-2241</v>
      </c>
      <c r="G21" s="604">
        <v>-2666</v>
      </c>
      <c r="H21" s="605">
        <v>-3007</v>
      </c>
      <c r="I21" s="606">
        <v>-3049</v>
      </c>
      <c r="J21" s="542">
        <v>-1813</v>
      </c>
      <c r="K21" s="808">
        <v>-2000</v>
      </c>
      <c r="L21" s="808">
        <v>-1800</v>
      </c>
      <c r="M21" s="808">
        <v>-2000</v>
      </c>
      <c r="N21" s="808">
        <v>-1800</v>
      </c>
      <c r="O21" s="808">
        <v>-2000</v>
      </c>
      <c r="P21" s="1001"/>
      <c r="Q21" s="1001"/>
      <c r="R21" s="1001"/>
      <c r="S21" s="1001"/>
      <c r="T21" s="1001"/>
      <c r="U21" s="1001"/>
      <c r="V21" s="1001"/>
      <c r="W21" s="1001"/>
      <c r="Z21" s="849"/>
      <c r="AA21"/>
      <c r="AB21"/>
      <c r="AC21"/>
      <c r="AD21"/>
      <c r="AE21"/>
      <c r="AF21"/>
    </row>
    <row r="22" spans="1:38" s="805" customFormat="1" ht="16.2" thickBot="1" x14ac:dyDescent="0.35">
      <c r="A22" s="609" t="s">
        <v>247</v>
      </c>
      <c r="B22" s="610"/>
      <c r="C22" s="610"/>
      <c r="D22" s="610"/>
      <c r="E22" s="610"/>
      <c r="F22" s="561">
        <v>11689</v>
      </c>
      <c r="G22" s="611">
        <v>13217</v>
      </c>
      <c r="H22" s="611">
        <v>14918</v>
      </c>
      <c r="I22" s="612">
        <v>15840</v>
      </c>
      <c r="J22" s="613">
        <v>11751</v>
      </c>
      <c r="K22" s="793">
        <v>11892.012000000001</v>
      </c>
      <c r="L22" s="934">
        <f>L24</f>
        <v>12580.6206</v>
      </c>
      <c r="M22" s="934">
        <f t="shared" ref="M22:O22" si="17">M24</f>
        <v>13838.682660000002</v>
      </c>
      <c r="N22" s="934">
        <f t="shared" si="17"/>
        <v>15499.324579200003</v>
      </c>
      <c r="O22" s="934">
        <f t="shared" si="17"/>
        <v>17824.223266080004</v>
      </c>
      <c r="P22" s="1001" t="s">
        <v>259</v>
      </c>
      <c r="Q22" s="1001"/>
      <c r="R22" s="1001"/>
      <c r="S22" s="1001"/>
      <c r="T22" s="1001"/>
      <c r="U22" s="1001"/>
      <c r="V22" s="1001"/>
      <c r="W22" s="1001"/>
      <c r="Y22" s="50"/>
      <c r="Z22" s="926" t="s">
        <v>260</v>
      </c>
      <c r="AA22"/>
      <c r="AB22">
        <v>2020</v>
      </c>
      <c r="AC22">
        <v>2019</v>
      </c>
      <c r="AD22">
        <v>2018</v>
      </c>
      <c r="AE22">
        <v>2017</v>
      </c>
      <c r="AF22">
        <v>2016</v>
      </c>
      <c r="AG22" s="563" t="s">
        <v>241</v>
      </c>
      <c r="AH22" s="563" t="s">
        <v>242</v>
      </c>
      <c r="AI22" s="563" t="s">
        <v>243</v>
      </c>
      <c r="AJ22" s="563">
        <v>4</v>
      </c>
      <c r="AK22" s="563" t="s">
        <v>244</v>
      </c>
      <c r="AL22" s="50"/>
    </row>
    <row r="23" spans="1:38" s="806" customFormat="1" ht="16.2" thickTop="1" x14ac:dyDescent="0.3">
      <c r="A23" s="614" t="s">
        <v>251</v>
      </c>
      <c r="B23" s="615"/>
      <c r="C23" s="615"/>
      <c r="D23" s="615"/>
      <c r="E23" s="615"/>
      <c r="F23" s="585"/>
      <c r="G23" s="616">
        <f>G22/F22-1</f>
        <v>0.13072119086320466</v>
      </c>
      <c r="H23" s="616">
        <f t="shared" ref="H23:J23" si="18">H22/G22-1</f>
        <v>0.12869788908224256</v>
      </c>
      <c r="I23" s="616">
        <f t="shared" si="18"/>
        <v>6.1804531438530708E-2</v>
      </c>
      <c r="J23" s="616">
        <f t="shared" si="18"/>
        <v>-0.25814393939393943</v>
      </c>
      <c r="K23" s="616">
        <v>0.01</v>
      </c>
      <c r="L23" s="616">
        <v>0.06</v>
      </c>
      <c r="M23" s="616">
        <v>0.1</v>
      </c>
      <c r="N23" s="616">
        <v>0.12</v>
      </c>
      <c r="O23" s="616">
        <v>0.15</v>
      </c>
      <c r="P23" s="1018"/>
      <c r="Q23" s="1018"/>
      <c r="R23" s="1018"/>
      <c r="S23" s="1018"/>
      <c r="T23" s="1018" t="s">
        <v>261</v>
      </c>
      <c r="U23" s="1001"/>
      <c r="V23" s="1018"/>
      <c r="W23" s="1018"/>
      <c r="Y23" s="584"/>
      <c r="Z23" s="849" t="s">
        <v>245</v>
      </c>
      <c r="AA23"/>
      <c r="AB23">
        <f>'Raw data'!AC20</f>
        <v>50</v>
      </c>
      <c r="AC23">
        <f>'Raw data'!AD20</f>
        <v>386</v>
      </c>
      <c r="AD23">
        <f>'Raw data'!AE20</f>
        <v>397</v>
      </c>
      <c r="AE23">
        <f>'Raw data'!AF20</f>
        <v>495</v>
      </c>
      <c r="AF23">
        <f>'Raw data'!AG20</f>
        <v>453</v>
      </c>
      <c r="AG23" s="425">
        <f>AG25+AG27+AG29+AG31+AG33+AG34+AG35</f>
        <v>-38.339241214404751</v>
      </c>
      <c r="AH23" s="425">
        <f t="shared" ref="AH23:AK23" si="19">AH25+AH27+AH29+AH31+AH33+AH34+AH35</f>
        <v>41.221119140533148</v>
      </c>
      <c r="AI23" s="425">
        <f t="shared" si="19"/>
        <v>174.38427911367484</v>
      </c>
      <c r="AJ23" s="425">
        <f t="shared" si="19"/>
        <v>186.91039260731583</v>
      </c>
      <c r="AK23" s="425">
        <f t="shared" si="19"/>
        <v>204.4469514984132</v>
      </c>
      <c r="AL23"/>
    </row>
    <row r="24" spans="1:38" s="806" customFormat="1" ht="15.6" x14ac:dyDescent="0.3">
      <c r="A24" s="801"/>
      <c r="B24" s="802"/>
      <c r="C24" s="802"/>
      <c r="D24" s="802"/>
      <c r="E24" s="802"/>
      <c r="F24" s="803"/>
      <c r="G24" s="804"/>
      <c r="H24" s="804"/>
      <c r="I24" s="804"/>
      <c r="J24" s="804"/>
      <c r="K24" s="1235">
        <f>J22*(1+K25)</f>
        <v>11868.51</v>
      </c>
      <c r="L24" s="1236">
        <f>K24*(1+L25)</f>
        <v>12580.6206</v>
      </c>
      <c r="M24" s="1236">
        <f t="shared" ref="M24:O24" si="20">L24*(1+M25)</f>
        <v>13838.682660000002</v>
      </c>
      <c r="N24" s="1236">
        <f t="shared" si="20"/>
        <v>15499.324579200003</v>
      </c>
      <c r="O24" s="1236">
        <f t="shared" si="20"/>
        <v>17824.223266080004</v>
      </c>
      <c r="U24" s="805"/>
      <c r="Y24"/>
      <c r="Z24" s="909" t="s">
        <v>246</v>
      </c>
      <c r="AA24"/>
      <c r="AB24" s="809">
        <f>AB23/AC23-1</f>
        <v>-0.8704663212435233</v>
      </c>
      <c r="AC24" s="809">
        <f t="shared" ref="AC24:AE24" si="21">AC23/AD23-1</f>
        <v>-2.7707808564231717E-2</v>
      </c>
      <c r="AD24" s="809">
        <f t="shared" si="21"/>
        <v>-0.19797979797979803</v>
      </c>
      <c r="AE24" s="809">
        <f t="shared" si="21"/>
        <v>9.27152317880795E-2</v>
      </c>
      <c r="AF24"/>
      <c r="AG24" s="927">
        <f>AG23/AB23-1</f>
        <v>-1.766784824288095</v>
      </c>
      <c r="AH24" s="927">
        <f>AH23/AG23-1</f>
        <v>-2.0751678393949442</v>
      </c>
      <c r="AI24" s="927">
        <f t="shared" ref="AI24:AK24" si="22">AI23/AH23-1</f>
        <v>3.230459598128693</v>
      </c>
      <c r="AJ24" s="927">
        <f t="shared" si="22"/>
        <v>7.1830520258512998E-2</v>
      </c>
      <c r="AK24" s="927">
        <f t="shared" si="22"/>
        <v>9.3823348431675058E-2</v>
      </c>
      <c r="AL24"/>
    </row>
    <row r="25" spans="1:38" s="806" customFormat="1" x14ac:dyDescent="0.3">
      <c r="A25" s="1018"/>
      <c r="B25" s="1018"/>
      <c r="C25" s="1018"/>
      <c r="D25" s="1018"/>
      <c r="E25" s="1018"/>
      <c r="F25" s="1018"/>
      <c r="G25" s="1018"/>
      <c r="H25" s="1018"/>
      <c r="I25" s="1018"/>
      <c r="J25" s="1018"/>
      <c r="K25" s="1232">
        <f>K23</f>
        <v>0.01</v>
      </c>
      <c r="L25" s="1232">
        <f t="shared" ref="L25:O25" si="23">L23</f>
        <v>0.06</v>
      </c>
      <c r="M25" s="1232">
        <f>M23</f>
        <v>0.1</v>
      </c>
      <c r="N25" s="1232">
        <f t="shared" si="23"/>
        <v>0.12</v>
      </c>
      <c r="O25" s="1232">
        <f t="shared" si="23"/>
        <v>0.15</v>
      </c>
      <c r="U25" s="805"/>
      <c r="Y25"/>
      <c r="Z25" s="849" t="s">
        <v>248</v>
      </c>
      <c r="AA25"/>
      <c r="AB25">
        <f>'Raw data'!AC21</f>
        <v>-130</v>
      </c>
      <c r="AC25">
        <f>'Raw data'!AD21</f>
        <v>43</v>
      </c>
      <c r="AD25">
        <f>'Raw data'!AE21</f>
        <v>-108</v>
      </c>
      <c r="AE25">
        <f>'Raw data'!AF21</f>
        <v>111</v>
      </c>
      <c r="AF25">
        <f>'Raw data'!AG21</f>
        <v>157</v>
      </c>
      <c r="AG25">
        <v>-130</v>
      </c>
      <c r="AH25">
        <v>-50</v>
      </c>
      <c r="AI25">
        <v>50</v>
      </c>
      <c r="AJ25">
        <v>50</v>
      </c>
      <c r="AK25">
        <v>50</v>
      </c>
      <c r="AL25"/>
    </row>
    <row r="26" spans="1:38" x14ac:dyDescent="0.3">
      <c r="A26" s="1018"/>
      <c r="B26" s="1018"/>
      <c r="C26" s="1018"/>
      <c r="D26" s="1018"/>
      <c r="E26" s="1018"/>
      <c r="F26" s="1018"/>
      <c r="G26" s="1233">
        <f t="shared" ref="G26:O26" si="24">G12+G15+G18</f>
        <v>1.1837028069909965</v>
      </c>
      <c r="H26" s="1233">
        <f t="shared" si="24"/>
        <v>1.1838718326853466</v>
      </c>
      <c r="I26" s="1233">
        <f t="shared" si="24"/>
        <v>1.1768939393939395</v>
      </c>
      <c r="J26" s="1233">
        <f t="shared" si="24"/>
        <v>1.1393072929963408</v>
      </c>
      <c r="K26" s="1233">
        <f t="shared" si="24"/>
        <v>1.1499999999999999</v>
      </c>
      <c r="L26" s="1233">
        <f t="shared" si="24"/>
        <v>1.1299999999999999</v>
      </c>
      <c r="M26" s="1233">
        <f t="shared" si="24"/>
        <v>1.1300000000000001</v>
      </c>
      <c r="N26" s="1233">
        <f t="shared" si="24"/>
        <v>1.1300000000000001</v>
      </c>
      <c r="O26" s="1233">
        <f t="shared" si="24"/>
        <v>1.1300000000000001</v>
      </c>
      <c r="P26" s="584">
        <f>G29/G11</f>
        <v>0.14677767499229108</v>
      </c>
      <c r="Q26" s="584">
        <f>H29/H11</f>
        <v>0.27614933662449859</v>
      </c>
      <c r="R26" s="584">
        <f>I29/I11</f>
        <v>0.45797173320109102</v>
      </c>
      <c r="S26" s="584">
        <f>J29/J11</f>
        <v>0.29016393442622951</v>
      </c>
      <c r="T26" s="584">
        <f>AVERAGE(P26:S26)</f>
        <v>0.29276566981102753</v>
      </c>
      <c r="U26" s="424"/>
      <c r="V26" s="584"/>
      <c r="W26" s="584"/>
      <c r="Z26" s="909" t="s">
        <v>251</v>
      </c>
      <c r="AB26" s="424">
        <f>AB25/AC25-1</f>
        <v>-4.0232558139534884</v>
      </c>
      <c r="AC26" s="424">
        <f t="shared" ref="AC26:AE26" si="25">AC25/AD25-1</f>
        <v>-1.3981481481481481</v>
      </c>
      <c r="AD26" s="424">
        <f t="shared" si="25"/>
        <v>-1.972972972972973</v>
      </c>
      <c r="AE26" s="424">
        <f t="shared" si="25"/>
        <v>-0.29299363057324845</v>
      </c>
    </row>
    <row r="27" spans="1:38" x14ac:dyDescent="0.3">
      <c r="A27" s="806"/>
      <c r="B27" s="806"/>
      <c r="C27" s="806"/>
      <c r="D27" s="806"/>
      <c r="E27" s="806"/>
      <c r="F27" s="806"/>
      <c r="G27" s="807"/>
      <c r="H27" s="807"/>
      <c r="I27" s="807"/>
      <c r="J27" s="807"/>
      <c r="K27" s="1234">
        <f>K11+K14+K17+K20+K21</f>
        <v>11892.011999999999</v>
      </c>
      <c r="L27" s="807"/>
      <c r="M27" s="807"/>
      <c r="N27" s="807"/>
      <c r="O27" s="807"/>
      <c r="U27" s="424"/>
      <c r="Z27" s="907" t="s">
        <v>253</v>
      </c>
      <c r="AB27">
        <f>'Raw data'!AC22</f>
        <v>-7</v>
      </c>
      <c r="AC27">
        <f>'Raw data'!AD22</f>
        <v>-32</v>
      </c>
      <c r="AD27">
        <f>'Raw data'!AE22</f>
        <v>35</v>
      </c>
      <c r="AE27">
        <f>'Raw data'!AF22</f>
        <v>29</v>
      </c>
      <c r="AF27">
        <f>'Raw data'!AG22</f>
        <v>-57</v>
      </c>
      <c r="AG27">
        <v>-10</v>
      </c>
      <c r="AH27">
        <v>-10</v>
      </c>
      <c r="AI27">
        <v>20</v>
      </c>
      <c r="AJ27">
        <v>20</v>
      </c>
      <c r="AK27">
        <v>20</v>
      </c>
    </row>
    <row r="28" spans="1:38" ht="15.6" x14ac:dyDescent="0.3">
      <c r="A28" s="552" t="s">
        <v>258</v>
      </c>
      <c r="B28" s="519"/>
      <c r="C28" s="519"/>
      <c r="D28" s="519"/>
      <c r="E28" s="519"/>
      <c r="F28" s="519"/>
      <c r="K28" s="519"/>
      <c r="L28" s="519"/>
      <c r="M28" s="519"/>
      <c r="N28" s="519"/>
      <c r="O28" s="519"/>
      <c r="U28" s="424"/>
      <c r="Z28" s="909" t="s">
        <v>251</v>
      </c>
      <c r="AB28" s="424">
        <f>AB27/AC27-1</f>
        <v>-0.78125</v>
      </c>
      <c r="AC28" s="424">
        <f t="shared" ref="AC28:AE28" si="26">AC27/AD27-1</f>
        <v>-1.9142857142857141</v>
      </c>
      <c r="AD28" s="424">
        <f t="shared" si="26"/>
        <v>0.2068965517241379</v>
      </c>
      <c r="AE28" s="424">
        <f t="shared" si="26"/>
        <v>-1.5087719298245614</v>
      </c>
    </row>
    <row r="29" spans="1:38" x14ac:dyDescent="0.3">
      <c r="A29" s="555" t="s">
        <v>26</v>
      </c>
      <c r="B29" s="617"/>
      <c r="C29" s="617"/>
      <c r="D29" s="617"/>
      <c r="E29" s="617"/>
      <c r="F29" s="519">
        <v>518</v>
      </c>
      <c r="G29" s="540">
        <v>476</v>
      </c>
      <c r="H29" s="541">
        <v>895</v>
      </c>
      <c r="I29" s="618">
        <v>1847</v>
      </c>
      <c r="J29" s="618">
        <v>1239</v>
      </c>
      <c r="K29" s="808">
        <f>K11*$T$26</f>
        <v>1322.9976862606954</v>
      </c>
      <c r="L29" s="808">
        <f t="shared" ref="L29:O29" si="27">L11*$T$26</f>
        <v>1399.6060503070164</v>
      </c>
      <c r="M29" s="808">
        <f t="shared" si="27"/>
        <v>1620.5964793028613</v>
      </c>
      <c r="N29" s="808">
        <f t="shared" si="27"/>
        <v>1815.0680568192047</v>
      </c>
      <c r="O29" s="808">
        <f t="shared" si="27"/>
        <v>2087.3282653420852</v>
      </c>
      <c r="P29" s="424"/>
      <c r="Q29" s="424"/>
      <c r="R29" s="424"/>
      <c r="S29" s="424"/>
      <c r="U29" s="424"/>
      <c r="Z29" s="907" t="s">
        <v>254</v>
      </c>
      <c r="AB29">
        <f>'Raw data'!AC23</f>
        <v>0</v>
      </c>
      <c r="AC29">
        <f>'Raw data'!AG22</f>
        <v>-57</v>
      </c>
      <c r="AD29">
        <f>'Raw data'!AH22</f>
        <v>0</v>
      </c>
      <c r="AE29">
        <f>'Raw data'!AI22</f>
        <v>0</v>
      </c>
      <c r="AF29">
        <f>'Raw data'!AJ22</f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8" x14ac:dyDescent="0.3">
      <c r="A30" s="551" t="s">
        <v>252</v>
      </c>
      <c r="B30" s="551"/>
      <c r="C30" s="551"/>
      <c r="D30" s="551"/>
      <c r="E30" s="551"/>
      <c r="F30" s="519"/>
      <c r="G30" s="580">
        <f>G29/G40</f>
        <v>0.40649017933390263</v>
      </c>
      <c r="H30" s="580">
        <f t="shared" ref="H30:J30" si="28">H29/H40</f>
        <v>0.87573385518590996</v>
      </c>
      <c r="I30" s="580">
        <f t="shared" si="28"/>
        <v>0.82862270076267386</v>
      </c>
      <c r="J30" s="580">
        <f t="shared" si="28"/>
        <v>1.4963768115942029</v>
      </c>
      <c r="K30" s="580">
        <f t="shared" ref="K30:O30" si="29">K29/K40</f>
        <v>1.6945828449472489</v>
      </c>
      <c r="L30" s="580">
        <f t="shared" si="29"/>
        <v>1.6800914946482051</v>
      </c>
      <c r="M30" s="580">
        <f t="shared" si="29"/>
        <v>1.6450473318637726</v>
      </c>
      <c r="N30" s="580">
        <f t="shared" si="29"/>
        <v>1.44248860087019</v>
      </c>
      <c r="O30" s="580">
        <f t="shared" si="29"/>
        <v>1.2512800045400934</v>
      </c>
      <c r="P30" s="424">
        <f>G32/G14</f>
        <v>7.656065959952886E-2</v>
      </c>
      <c r="Q30" s="424">
        <f>H32/H14</f>
        <v>1.6823354774863929E-2</v>
      </c>
      <c r="R30" s="424">
        <f>I32/I14</f>
        <v>3.8978494623655914E-2</v>
      </c>
      <c r="S30" s="424">
        <f>J32/J14</f>
        <v>-6.5314200890648197E-2</v>
      </c>
      <c r="T30" s="424">
        <f>AVERAGE(P30:S30)</f>
        <v>1.6762077026850123E-2</v>
      </c>
      <c r="U30" s="424"/>
      <c r="Z30" s="849" t="s">
        <v>251</v>
      </c>
      <c r="AA30" s="792"/>
      <c r="AB30" s="792"/>
      <c r="AC30" s="792"/>
      <c r="AD30" s="792"/>
      <c r="AE30" s="792"/>
      <c r="AF30" s="792"/>
    </row>
    <row r="31" spans="1:38" x14ac:dyDescent="0.3">
      <c r="A31" s="551" t="s">
        <v>251</v>
      </c>
      <c r="B31" s="551"/>
      <c r="C31" s="551"/>
      <c r="D31" s="551"/>
      <c r="E31" s="551"/>
      <c r="F31" s="519"/>
      <c r="G31" s="580">
        <f>G29/F29-1</f>
        <v>-8.108108108108103E-2</v>
      </c>
      <c r="H31" s="580">
        <f>H29/G29-1</f>
        <v>0.88025210084033612</v>
      </c>
      <c r="I31" s="580">
        <f>I29/H29-1</f>
        <v>1.063687150837989</v>
      </c>
      <c r="J31" s="580">
        <f>J29/I29-1</f>
        <v>-0.32918245804006496</v>
      </c>
      <c r="K31" s="580">
        <f>K29/J29-1</f>
        <v>6.7794742744709868E-2</v>
      </c>
      <c r="L31" s="580">
        <f t="shared" ref="L31:O31" si="30">L29/K29-1</f>
        <v>5.7905138339920947E-2</v>
      </c>
      <c r="M31" s="580">
        <f t="shared" si="30"/>
        <v>0.15789473684210553</v>
      </c>
      <c r="N31" s="580">
        <f t="shared" si="30"/>
        <v>0.12000000000000011</v>
      </c>
      <c r="O31" s="580">
        <f t="shared" si="30"/>
        <v>0.14999999999999991</v>
      </c>
      <c r="P31" s="424"/>
      <c r="Q31" s="424"/>
      <c r="R31" s="424"/>
      <c r="S31" s="424"/>
      <c r="U31" s="424"/>
      <c r="Z31" s="907" t="s">
        <v>255</v>
      </c>
      <c r="AA31" s="792"/>
      <c r="AB31">
        <f>'Raw data'!AC24</f>
        <v>0</v>
      </c>
      <c r="AC31">
        <f>'Raw data'!AD24</f>
        <v>0</v>
      </c>
      <c r="AD31">
        <f>'Raw data'!AE24</f>
        <v>0</v>
      </c>
      <c r="AE31">
        <f>'Raw data'!AF24</f>
        <v>0</v>
      </c>
      <c r="AF31">
        <f>'Raw data'!AG24</f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8" x14ac:dyDescent="0.3">
      <c r="A32" s="555" t="s">
        <v>27</v>
      </c>
      <c r="B32" s="617"/>
      <c r="C32" s="617"/>
      <c r="D32" s="617"/>
      <c r="E32" s="617"/>
      <c r="F32" s="519">
        <v>563</v>
      </c>
      <c r="G32" s="540">
        <v>650</v>
      </c>
      <c r="H32" s="541">
        <v>170</v>
      </c>
      <c r="I32" s="606">
        <v>406</v>
      </c>
      <c r="J32" s="619">
        <v>-396</v>
      </c>
      <c r="K32" s="808">
        <f>K14*$T$30</f>
        <v>101.66075878559525</v>
      </c>
      <c r="L32" s="808">
        <f t="shared" ref="L32:O32" si="31">L14*$T$30</f>
        <v>101.22111914053315</v>
      </c>
      <c r="M32" s="808">
        <f t="shared" si="31"/>
        <v>104.38427911367484</v>
      </c>
      <c r="N32" s="808">
        <f t="shared" si="31"/>
        <v>116.91039260731583</v>
      </c>
      <c r="O32" s="808">
        <f t="shared" si="31"/>
        <v>134.4469514984132</v>
      </c>
      <c r="P32" s="424"/>
      <c r="Q32" s="424"/>
      <c r="R32" s="424"/>
      <c r="S32" s="424"/>
      <c r="U32" s="424"/>
      <c r="Z32" s="910" t="s">
        <v>251</v>
      </c>
      <c r="AA32" s="50"/>
      <c r="AB32" s="50"/>
      <c r="AC32" s="50"/>
      <c r="AD32" s="50"/>
      <c r="AE32" s="50"/>
      <c r="AF32" s="50"/>
    </row>
    <row r="33" spans="1:38" x14ac:dyDescent="0.3">
      <c r="A33" s="551" t="s">
        <v>252</v>
      </c>
      <c r="B33" s="551"/>
      <c r="C33" s="551"/>
      <c r="D33" s="551"/>
      <c r="E33" s="551"/>
      <c r="F33" s="519"/>
      <c r="G33" s="580">
        <f t="shared" ref="G33:J33" si="32">G32/G40</f>
        <v>0.5550811272416738</v>
      </c>
      <c r="H33" s="580">
        <f t="shared" si="32"/>
        <v>0.16634050880626222</v>
      </c>
      <c r="I33" s="580">
        <f t="shared" si="32"/>
        <v>0.18214445939883356</v>
      </c>
      <c r="J33" s="580">
        <f t="shared" si="32"/>
        <v>-0.47826086956521741</v>
      </c>
      <c r="K33" s="580">
        <f t="shared" ref="K33:O33" si="33">K32/K40</f>
        <v>0.13021381641966367</v>
      </c>
      <c r="L33" s="580">
        <f t="shared" si="33"/>
        <v>0.12150614904063753</v>
      </c>
      <c r="M33" s="580">
        <f t="shared" si="33"/>
        <v>0.10595918357069514</v>
      </c>
      <c r="N33" s="580">
        <f t="shared" si="33"/>
        <v>9.2912168238388923E-2</v>
      </c>
      <c r="O33" s="580">
        <f t="shared" si="33"/>
        <v>8.0596226705034052E-2</v>
      </c>
      <c r="P33" s="424">
        <f>G35/G17</f>
        <v>1.763803680981595E-2</v>
      </c>
      <c r="Q33" s="424">
        <f>H35/H17</f>
        <v>1.7844727694090384E-2</v>
      </c>
      <c r="R33" s="424">
        <f>I35/I17</f>
        <v>2.4326258049129502E-2</v>
      </c>
      <c r="S33" s="424">
        <f>J35/J17</f>
        <v>2.2258592471358429E-2</v>
      </c>
      <c r="T33" s="424">
        <f>AVERAGE(P33:S33)</f>
        <v>2.0516903756098565E-2</v>
      </c>
      <c r="U33" s="424"/>
      <c r="Z33" s="911" t="s">
        <v>256</v>
      </c>
      <c r="AB33">
        <f>'Raw data'!AC25</f>
        <v>0</v>
      </c>
      <c r="AC33">
        <f>'Raw data'!AD25</f>
        <v>23</v>
      </c>
      <c r="AD33">
        <f>'Raw data'!AE25</f>
        <v>-112</v>
      </c>
      <c r="AE33">
        <f>'Raw data'!AF25</f>
        <v>0</v>
      </c>
      <c r="AF33">
        <f>'Raw data'!AG25</f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8" x14ac:dyDescent="0.3">
      <c r="A34" s="551" t="s">
        <v>251</v>
      </c>
      <c r="B34" s="551"/>
      <c r="C34" s="551"/>
      <c r="D34" s="551"/>
      <c r="E34" s="551"/>
      <c r="F34" s="519"/>
      <c r="G34" s="580">
        <f>G32/F32-1</f>
        <v>0.15452930728241565</v>
      </c>
      <c r="H34" s="580">
        <f>H32/G32-1</f>
        <v>-0.7384615384615385</v>
      </c>
      <c r="I34" s="580">
        <f>I32/H32-1</f>
        <v>1.388235294117647</v>
      </c>
      <c r="J34" s="580">
        <f>J32/I32-1</f>
        <v>-1.9753694581280787</v>
      </c>
      <c r="K34" s="580">
        <f t="shared" ref="K34:O34" si="34">K32/J32-1</f>
        <v>-1.2567190878424124</v>
      </c>
      <c r="L34" s="580">
        <f t="shared" si="34"/>
        <v>-4.3245756800744939E-3</v>
      </c>
      <c r="M34" s="580">
        <f t="shared" si="34"/>
        <v>3.1250000000000222E-2</v>
      </c>
      <c r="N34" s="580">
        <f t="shared" si="34"/>
        <v>0.12000000000000011</v>
      </c>
      <c r="O34" s="580">
        <f t="shared" si="34"/>
        <v>0.14999999999999991</v>
      </c>
      <c r="P34" s="424"/>
      <c r="Q34" s="424"/>
      <c r="R34" s="424"/>
      <c r="S34" s="424"/>
      <c r="U34" s="424"/>
      <c r="Z34" s="849" t="s">
        <v>257</v>
      </c>
      <c r="AB34">
        <f>'Raw data'!AC26</f>
        <v>-310</v>
      </c>
      <c r="AC34">
        <f>'Raw data'!AD26</f>
        <v>-15</v>
      </c>
      <c r="AD34">
        <f>'Raw data'!AE26</f>
        <v>-44</v>
      </c>
      <c r="AE34">
        <f>'Raw data'!AF26</f>
        <v>12</v>
      </c>
      <c r="AF34">
        <f>'Raw data'!AG26</f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8" x14ac:dyDescent="0.3">
      <c r="A35" s="617" t="s">
        <v>28</v>
      </c>
      <c r="B35" s="617"/>
      <c r="C35" s="617"/>
      <c r="D35" s="617"/>
      <c r="E35" s="617"/>
      <c r="F35" s="519">
        <v>-11</v>
      </c>
      <c r="G35" s="540">
        <v>69</v>
      </c>
      <c r="H35" s="541">
        <v>77</v>
      </c>
      <c r="I35" s="606">
        <v>102</v>
      </c>
      <c r="J35" s="619">
        <v>68</v>
      </c>
      <c r="K35" s="808">
        <f>K17*$T$33</f>
        <v>63.436689074296005</v>
      </c>
      <c r="L35" s="808">
        <f t="shared" ref="L35:O35" si="35">L17*$T$33</f>
        <v>69.691153151391575</v>
      </c>
      <c r="M35" s="808">
        <f t="shared" si="35"/>
        <v>79.499537668994847</v>
      </c>
      <c r="N35" s="808">
        <f t="shared" si="35"/>
        <v>89.039482189274239</v>
      </c>
      <c r="O35" s="808">
        <f t="shared" si="35"/>
        <v>102.39540451766537</v>
      </c>
      <c r="U35" s="424"/>
      <c r="Y35" s="792"/>
      <c r="Z35" s="849" t="s">
        <v>258</v>
      </c>
      <c r="AB35">
        <f>'Raw data'!AC27</f>
        <v>-396</v>
      </c>
      <c r="AC35">
        <f>'Raw data'!AD27</f>
        <v>406</v>
      </c>
      <c r="AD35">
        <f>'Raw data'!AE27</f>
        <v>170</v>
      </c>
      <c r="AE35">
        <f>'Raw data'!AF27</f>
        <v>650</v>
      </c>
      <c r="AF35">
        <f>'Raw data'!AG27</f>
        <v>563</v>
      </c>
      <c r="AG35" s="933">
        <f>K32</f>
        <v>101.66075878559525</v>
      </c>
      <c r="AH35" s="933">
        <f>L32</f>
        <v>101.22111914053315</v>
      </c>
      <c r="AI35" s="933">
        <f>M32</f>
        <v>104.38427911367484</v>
      </c>
      <c r="AJ35" s="933">
        <f>N32</f>
        <v>116.91039260731583</v>
      </c>
      <c r="AK35" s="933">
        <f>O32</f>
        <v>134.4469514984132</v>
      </c>
      <c r="AL35" s="792"/>
    </row>
    <row r="36" spans="1:38" x14ac:dyDescent="0.3">
      <c r="A36" s="551" t="s">
        <v>252</v>
      </c>
      <c r="B36" s="551"/>
      <c r="C36" s="551"/>
      <c r="D36" s="551"/>
      <c r="E36" s="551"/>
      <c r="F36" s="519"/>
      <c r="G36" s="580">
        <f t="shared" ref="G36:J36" si="36">G35/G40</f>
        <v>5.8923996584116137E-2</v>
      </c>
      <c r="H36" s="580">
        <f t="shared" si="36"/>
        <v>7.5342465753424653E-2</v>
      </c>
      <c r="I36" s="580">
        <f t="shared" si="36"/>
        <v>4.5760430686406457E-2</v>
      </c>
      <c r="J36" s="580">
        <f t="shared" si="36"/>
        <v>8.2125603864734303E-2</v>
      </c>
      <c r="K36" s="580">
        <f t="shared" ref="K36:O36" si="37">K35/K40</f>
        <v>8.1253902529026839E-2</v>
      </c>
      <c r="L36" s="580">
        <f t="shared" si="37"/>
        <v>8.3657478928584383E-2</v>
      </c>
      <c r="M36" s="580">
        <f t="shared" si="37"/>
        <v>8.0698992005117681E-2</v>
      </c>
      <c r="N36" s="580">
        <f t="shared" si="37"/>
        <v>7.0762326295628203E-2</v>
      </c>
      <c r="O36" s="580">
        <f t="shared" si="37"/>
        <v>6.1382449688023068E-2</v>
      </c>
      <c r="P36" s="424">
        <f t="shared" ref="P36:S37" si="38">G38/G20</f>
        <v>-0.10126582278481013</v>
      </c>
      <c r="Q36" s="424">
        <f t="shared" si="38"/>
        <v>-0.4621212121212121</v>
      </c>
      <c r="R36" s="424">
        <f t="shared" si="38"/>
        <v>-0.5</v>
      </c>
      <c r="S36" s="424">
        <f t="shared" si="38"/>
        <v>-0.47457627118644069</v>
      </c>
      <c r="T36" s="424">
        <f>AVERAGE(P36:S36)</f>
        <v>-0.38449082652311573</v>
      </c>
      <c r="U36" s="424"/>
      <c r="Y36" s="792"/>
      <c r="Z36" s="849"/>
      <c r="AG36" s="792"/>
      <c r="AH36" s="792"/>
      <c r="AI36" s="792"/>
      <c r="AJ36" s="792"/>
      <c r="AK36" s="792"/>
      <c r="AL36" s="792"/>
    </row>
    <row r="37" spans="1:38" x14ac:dyDescent="0.3">
      <c r="A37" s="551" t="s">
        <v>251</v>
      </c>
      <c r="B37" s="551"/>
      <c r="C37" s="551"/>
      <c r="D37" s="551"/>
      <c r="E37" s="551"/>
      <c r="F37" s="519"/>
      <c r="G37" s="580">
        <f>G35/F35-1</f>
        <v>-7.2727272727272725</v>
      </c>
      <c r="H37" s="580">
        <f>H35/G35-1</f>
        <v>0.11594202898550732</v>
      </c>
      <c r="I37" s="580">
        <f>I35/H35-1</f>
        <v>0.32467532467532467</v>
      </c>
      <c r="J37" s="580">
        <f>J35/I35-1</f>
        <v>-0.33333333333333337</v>
      </c>
      <c r="K37" s="580">
        <f t="shared" ref="K37:O37" si="39">K35/J35-1</f>
        <v>-6.7107513613294034E-2</v>
      </c>
      <c r="L37" s="580">
        <f t="shared" si="39"/>
        <v>9.8593797506840941E-2</v>
      </c>
      <c r="M37" s="580">
        <f t="shared" si="39"/>
        <v>0.14074074074074083</v>
      </c>
      <c r="N37" s="580">
        <f t="shared" si="39"/>
        <v>0.12000000000000011</v>
      </c>
      <c r="O37" s="580">
        <f t="shared" si="39"/>
        <v>0.14999999999999991</v>
      </c>
      <c r="P37" s="424">
        <f t="shared" si="38"/>
        <v>0</v>
      </c>
      <c r="Q37" s="424">
        <f t="shared" si="38"/>
        <v>-6.6511473229132021E-4</v>
      </c>
      <c r="R37" s="424">
        <f t="shared" si="38"/>
        <v>6.5595277140045915E-4</v>
      </c>
      <c r="S37" s="424">
        <f t="shared" si="38"/>
        <v>-5.5157198014340876E-4</v>
      </c>
      <c r="T37" s="424">
        <f>AVERAGE(P37:S37)</f>
        <v>-1.4018348525856746E-4</v>
      </c>
      <c r="U37" s="424"/>
    </row>
    <row r="38" spans="1:38" s="792" customFormat="1" x14ac:dyDescent="0.3">
      <c r="A38" s="555" t="s">
        <v>29</v>
      </c>
      <c r="B38" s="617"/>
      <c r="C38" s="617"/>
      <c r="D38" s="617"/>
      <c r="E38" s="617"/>
      <c r="F38" s="519">
        <v>-5</v>
      </c>
      <c r="G38" s="540">
        <v>-24</v>
      </c>
      <c r="H38" s="541">
        <v>-122</v>
      </c>
      <c r="I38" s="606">
        <v>-123</v>
      </c>
      <c r="J38" s="619">
        <v>-84</v>
      </c>
      <c r="K38" s="808">
        <f>K20*$T$36</f>
        <v>-83.126224610809814</v>
      </c>
      <c r="L38" s="808">
        <f t="shared" ref="L38:O38" si="40">L20*$T$36</f>
        <v>-63.256170094802478</v>
      </c>
      <c r="M38" s="808">
        <f t="shared" si="40"/>
        <v>-77.271603634744565</v>
      </c>
      <c r="N38" s="808">
        <f t="shared" si="40"/>
        <v>82.631767599257159</v>
      </c>
      <c r="O38" s="808">
        <f t="shared" si="40"/>
        <v>121.94089059576378</v>
      </c>
    </row>
    <row r="39" spans="1:38" s="792" customFormat="1" ht="15.6" x14ac:dyDescent="0.3">
      <c r="A39" s="553" t="s">
        <v>30</v>
      </c>
      <c r="B39" s="617"/>
      <c r="C39" s="617"/>
      <c r="D39" s="617"/>
      <c r="E39" s="617"/>
      <c r="F39" s="519"/>
      <c r="G39" s="540">
        <v>0</v>
      </c>
      <c r="H39" s="541">
        <v>2</v>
      </c>
      <c r="I39" s="606">
        <v>-2</v>
      </c>
      <c r="J39" s="619">
        <v>1</v>
      </c>
      <c r="K39" s="519">
        <v>1</v>
      </c>
      <c r="L39" s="519">
        <v>1</v>
      </c>
      <c r="M39" s="519">
        <v>1</v>
      </c>
      <c r="N39" s="519">
        <v>1</v>
      </c>
      <c r="O39" s="519">
        <v>1</v>
      </c>
      <c r="Z39" s="926" t="s">
        <v>263</v>
      </c>
      <c r="AB39">
        <v>2020</v>
      </c>
      <c r="AC39">
        <v>2019</v>
      </c>
      <c r="AD39">
        <v>2018</v>
      </c>
      <c r="AE39">
        <v>2017</v>
      </c>
      <c r="AF39" s="792">
        <v>2016</v>
      </c>
      <c r="AG39" s="563" t="s">
        <v>241</v>
      </c>
      <c r="AH39" s="563" t="s">
        <v>242</v>
      </c>
      <c r="AI39" s="563" t="s">
        <v>243</v>
      </c>
      <c r="AJ39" s="563">
        <v>4</v>
      </c>
      <c r="AK39" s="563" t="s">
        <v>244</v>
      </c>
    </row>
    <row r="40" spans="1:38" s="1074" customFormat="1" ht="15" thickBot="1" x14ac:dyDescent="0.35">
      <c r="A40" s="620" t="s">
        <v>247</v>
      </c>
      <c r="B40" s="1068"/>
      <c r="C40" s="1068"/>
      <c r="D40" s="1068"/>
      <c r="E40" s="1068"/>
      <c r="F40" s="1069"/>
      <c r="G40" s="611">
        <v>1171</v>
      </c>
      <c r="H40" s="611">
        <v>1022</v>
      </c>
      <c r="I40" s="613">
        <v>2229</v>
      </c>
      <c r="J40" s="1070">
        <v>828</v>
      </c>
      <c r="K40" s="1073">
        <f>Forcasts!O166</f>
        <v>780.72175120000077</v>
      </c>
      <c r="L40" s="1073">
        <f>Forcasts!P166</f>
        <v>833.05347046000043</v>
      </c>
      <c r="M40" s="1073">
        <f>Forcasts!Q166</f>
        <v>985.1366875060005</v>
      </c>
      <c r="N40" s="1073">
        <f>Forcasts!R166</f>
        <v>1258.2893589067212</v>
      </c>
      <c r="O40" s="1073">
        <f>Forcasts!S166</f>
        <v>1668.1544160927278</v>
      </c>
      <c r="Z40" s="1072" t="s">
        <v>245</v>
      </c>
      <c r="AB40" s="1074">
        <f>'Raw data'!AC30</f>
        <v>68</v>
      </c>
      <c r="AC40" s="1074">
        <f>'Raw data'!AD30</f>
        <v>77</v>
      </c>
      <c r="AD40" s="1074">
        <f>'Raw data'!AE30</f>
        <v>77</v>
      </c>
      <c r="AE40" s="1074">
        <f>'Raw data'!AF30</f>
        <v>68</v>
      </c>
      <c r="AF40" s="1074">
        <f>'Raw data'!AG30</f>
        <v>90</v>
      </c>
      <c r="AG40" s="1075">
        <f>AG42+AG44+AG46+AG48++AG50+AG51+AG52</f>
        <v>63.436689074296005</v>
      </c>
      <c r="AH40" s="1075">
        <f t="shared" ref="AH40:AK40" si="41">AH42+AH44+AH46+AH48++AH50+AH51+AH52</f>
        <v>69.691153151391575</v>
      </c>
      <c r="AI40" s="1075">
        <f>AI42+AI44+AI46+AI48++AI50+AI51+AI52</f>
        <v>79.499537668994847</v>
      </c>
      <c r="AJ40" s="1075">
        <f t="shared" si="41"/>
        <v>89.039482189274239</v>
      </c>
      <c r="AK40" s="1075">
        <f t="shared" si="41"/>
        <v>102.39540451766537</v>
      </c>
    </row>
    <row r="41" spans="1:38" ht="15" thickTop="1" x14ac:dyDescent="0.3">
      <c r="A41" s="796"/>
      <c r="B41" s="796"/>
      <c r="C41" s="796"/>
      <c r="D41" s="796"/>
      <c r="E41" s="796"/>
      <c r="F41" s="797"/>
      <c r="G41" s="798"/>
      <c r="H41" s="798"/>
      <c r="I41" s="799"/>
      <c r="J41" s="800"/>
      <c r="K41" s="797"/>
      <c r="L41" s="797"/>
      <c r="M41" s="797"/>
      <c r="N41" s="797"/>
      <c r="O41" s="797"/>
      <c r="Z41" s="909" t="s">
        <v>246</v>
      </c>
      <c r="AB41" s="424">
        <f>AB40/AC40-1</f>
        <v>-0.11688311688311692</v>
      </c>
      <c r="AC41" s="424">
        <f t="shared" ref="AC41:AE41" si="42">AC40/AD40-1</f>
        <v>0</v>
      </c>
      <c r="AD41" s="424">
        <f t="shared" si="42"/>
        <v>0.13235294117647056</v>
      </c>
      <c r="AE41" s="424">
        <f t="shared" si="42"/>
        <v>-0.24444444444444446</v>
      </c>
      <c r="AG41" s="424">
        <f>AG40/AB40-1</f>
        <v>-6.7107513613294034E-2</v>
      </c>
      <c r="AH41" s="424">
        <f>AH40/AG40-1</f>
        <v>9.8593797506840941E-2</v>
      </c>
      <c r="AI41" s="424">
        <f t="shared" ref="AI41:AK41" si="43">AI40/AH40-1</f>
        <v>0.14074074074074083</v>
      </c>
      <c r="AJ41" s="424">
        <f t="shared" si="43"/>
        <v>0.12000000000000011</v>
      </c>
      <c r="AK41" s="424">
        <f t="shared" si="43"/>
        <v>0.14999999999999991</v>
      </c>
    </row>
    <row r="42" spans="1:38" x14ac:dyDescent="0.3">
      <c r="A42" s="622"/>
      <c r="B42" s="622"/>
      <c r="C42" s="622"/>
      <c r="D42" s="622"/>
      <c r="E42" s="622"/>
      <c r="F42" s="50"/>
      <c r="G42" s="622"/>
      <c r="H42" s="622"/>
      <c r="I42" s="622"/>
      <c r="J42" s="622"/>
      <c r="K42" s="1219"/>
      <c r="L42" s="1219"/>
      <c r="M42" s="1219"/>
      <c r="N42" s="1219"/>
      <c r="O42" s="1219"/>
      <c r="Z42" s="849" t="s">
        <v>248</v>
      </c>
      <c r="AB42" s="50">
        <f>'Raw data'!AC31</f>
        <v>0</v>
      </c>
      <c r="AC42" s="50">
        <f>'Raw data'!AD31</f>
        <v>0</v>
      </c>
      <c r="AD42" s="50">
        <f>'Raw data'!AE31</f>
        <v>0</v>
      </c>
      <c r="AE42" s="50">
        <f>'Raw data'!AF31</f>
        <v>0</v>
      </c>
      <c r="AF42" s="50">
        <f>'Raw data'!AG31</f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8" x14ac:dyDescent="0.3">
      <c r="A43" s="553" t="s">
        <v>264</v>
      </c>
      <c r="B43" s="623"/>
      <c r="C43" s="623"/>
      <c r="D43" s="623"/>
      <c r="E43" s="623"/>
      <c r="F43" s="520"/>
      <c r="G43" s="557" t="s">
        <v>265</v>
      </c>
      <c r="H43" s="558">
        <v>43112</v>
      </c>
      <c r="I43" s="559" t="s">
        <v>249</v>
      </c>
      <c r="J43" s="560" t="s">
        <v>250</v>
      </c>
      <c r="K43" s="520"/>
      <c r="L43" s="520"/>
      <c r="M43" s="520"/>
      <c r="N43" s="520"/>
      <c r="O43" s="520"/>
      <c r="Z43" s="909" t="s">
        <v>251</v>
      </c>
    </row>
    <row r="44" spans="1:38" x14ac:dyDescent="0.3">
      <c r="A44" s="617" t="s">
        <v>26</v>
      </c>
      <c r="B44" s="617"/>
      <c r="C44" s="617"/>
      <c r="D44" s="617"/>
      <c r="E44" s="617"/>
      <c r="F44" s="519"/>
      <c r="G44" s="540">
        <v>110</v>
      </c>
      <c r="H44" s="541">
        <v>128</v>
      </c>
      <c r="I44" s="606">
        <v>166</v>
      </c>
      <c r="J44" s="542">
        <v>184</v>
      </c>
      <c r="K44" s="519">
        <f>J44*(1+K46)</f>
        <v>202.4</v>
      </c>
      <c r="L44" s="519">
        <f>K44*(1+L46)</f>
        <v>222.64000000000001</v>
      </c>
      <c r="M44" s="519">
        <f>L44*(1+M46)</f>
        <v>244.90400000000002</v>
      </c>
      <c r="N44" s="519">
        <f>M44*(1+N46)</f>
        <v>269.39440000000008</v>
      </c>
      <c r="O44" s="519">
        <f>N44*(1+O46)</f>
        <v>296.33384000000012</v>
      </c>
      <c r="Z44" s="907" t="s">
        <v>253</v>
      </c>
      <c r="AB44" s="50">
        <f>'Raw data'!AC32</f>
        <v>0</v>
      </c>
      <c r="AC44" s="50">
        <f>'Raw data'!AD32</f>
        <v>0</v>
      </c>
      <c r="AD44" s="50">
        <f>'Raw data'!AE32</f>
        <v>0</v>
      </c>
      <c r="AE44" s="50">
        <f>'Raw data'!AF32</f>
        <v>0</v>
      </c>
      <c r="AF44" s="50">
        <f>'Raw data'!AG32</f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8" x14ac:dyDescent="0.3">
      <c r="A45" s="551" t="s">
        <v>252</v>
      </c>
      <c r="B45" s="551"/>
      <c r="C45" s="551"/>
      <c r="D45" s="551"/>
      <c r="E45" s="551"/>
      <c r="F45" s="519"/>
      <c r="G45" s="534">
        <f t="shared" ref="G45:O45" si="44">G44/G55</f>
        <v>0.29649595687331537</v>
      </c>
      <c r="H45" s="534">
        <f t="shared" si="44"/>
        <v>0.20846905537459284</v>
      </c>
      <c r="I45" s="534">
        <f t="shared" si="44"/>
        <v>0.33067729083665337</v>
      </c>
      <c r="J45" s="534">
        <f t="shared" si="44"/>
        <v>0.27058823529411763</v>
      </c>
      <c r="K45" s="534">
        <f t="shared" si="44"/>
        <v>0.27189682966147233</v>
      </c>
      <c r="L45" s="534">
        <f t="shared" si="44"/>
        <v>0.28195126893267819</v>
      </c>
      <c r="M45" s="534">
        <f>M44/M55</f>
        <v>0.28747840132221475</v>
      </c>
      <c r="N45" s="534">
        <f t="shared" si="44"/>
        <v>0.30738945844473681</v>
      </c>
      <c r="O45" s="534">
        <f t="shared" si="44"/>
        <v>0.32804465733288601</v>
      </c>
      <c r="Z45" s="909" t="s">
        <v>251</v>
      </c>
    </row>
    <row r="46" spans="1:38" x14ac:dyDescent="0.3">
      <c r="A46" s="551" t="s">
        <v>251</v>
      </c>
      <c r="B46" s="551"/>
      <c r="C46" s="551"/>
      <c r="D46" s="551"/>
      <c r="E46" s="551"/>
      <c r="F46" s="519"/>
      <c r="G46" s="534"/>
      <c r="H46" s="534">
        <f>H44/G44-1</f>
        <v>0.16363636363636358</v>
      </c>
      <c r="I46" s="534">
        <f>I44/H44-1</f>
        <v>0.296875</v>
      </c>
      <c r="J46" s="534">
        <f>J44/I44-1</f>
        <v>0.10843373493975905</v>
      </c>
      <c r="K46" s="550">
        <v>0.1</v>
      </c>
      <c r="L46" s="550">
        <v>0.1</v>
      </c>
      <c r="M46" s="550">
        <v>0.1</v>
      </c>
      <c r="N46" s="550">
        <v>0.1</v>
      </c>
      <c r="O46" s="550">
        <v>0.1</v>
      </c>
      <c r="P46" t="s">
        <v>266</v>
      </c>
      <c r="Z46" s="907" t="s">
        <v>254</v>
      </c>
      <c r="AB46" s="50">
        <f>'Raw data'!AC33</f>
        <v>0</v>
      </c>
      <c r="AC46" s="50">
        <f>'Raw data'!AD33</f>
        <v>27</v>
      </c>
      <c r="AD46" s="50">
        <f>'Raw data'!AE33</f>
        <v>0</v>
      </c>
      <c r="AE46" s="50">
        <f>'Raw data'!AF33</f>
        <v>0</v>
      </c>
      <c r="AF46" s="50">
        <f>'Raw data'!AG33</f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8" x14ac:dyDescent="0.3">
      <c r="A47" s="617" t="s">
        <v>27</v>
      </c>
      <c r="B47" s="617"/>
      <c r="C47" s="617"/>
      <c r="D47" s="617"/>
      <c r="E47" s="617"/>
      <c r="F47" s="519"/>
      <c r="G47" s="540">
        <v>213</v>
      </c>
      <c r="H47" s="541">
        <v>345</v>
      </c>
      <c r="I47" s="606">
        <v>232</v>
      </c>
      <c r="J47" s="542">
        <v>425</v>
      </c>
      <c r="K47" s="519">
        <v>450</v>
      </c>
      <c r="L47" s="519">
        <v>475</v>
      </c>
      <c r="M47" s="519">
        <v>515</v>
      </c>
      <c r="N47" s="519">
        <v>515</v>
      </c>
      <c r="O47" s="519">
        <v>515</v>
      </c>
      <c r="Z47" s="849" t="s">
        <v>251</v>
      </c>
    </row>
    <row r="48" spans="1:38" x14ac:dyDescent="0.3">
      <c r="A48" s="551" t="s">
        <v>252</v>
      </c>
      <c r="B48" s="551"/>
      <c r="C48" s="551"/>
      <c r="D48" s="551"/>
      <c r="E48" s="551"/>
      <c r="F48" s="519"/>
      <c r="G48" s="534">
        <f t="shared" ref="G48:O48" si="45">G47/G55</f>
        <v>0.57412398921832886</v>
      </c>
      <c r="H48" s="534">
        <f t="shared" si="45"/>
        <v>0.56188925081433228</v>
      </c>
      <c r="I48" s="534">
        <f t="shared" si="45"/>
        <v>0.46215139442231074</v>
      </c>
      <c r="J48" s="534">
        <f t="shared" si="45"/>
        <v>0.625</v>
      </c>
      <c r="K48" s="534">
        <f>K47/K55</f>
        <v>0.60451370231058577</v>
      </c>
      <c r="L48" s="534">
        <f t="shared" si="45"/>
        <v>0.60153994225216556</v>
      </c>
      <c r="M48" s="534">
        <f t="shared" si="45"/>
        <v>0.60452820975133348</v>
      </c>
      <c r="N48" s="534">
        <f t="shared" si="45"/>
        <v>0.58763497347769444</v>
      </c>
      <c r="O48" s="534">
        <f t="shared" si="45"/>
        <v>0.57011038134030267</v>
      </c>
      <c r="Z48" s="907" t="s">
        <v>255</v>
      </c>
      <c r="AB48" s="50">
        <f>'Raw data'!AC34</f>
        <v>0</v>
      </c>
      <c r="AC48" s="50">
        <f>'Raw data'!AD34</f>
        <v>0</v>
      </c>
      <c r="AD48" s="50">
        <f>'Raw data'!AE34</f>
        <v>0</v>
      </c>
      <c r="AE48" s="50">
        <f>'Raw data'!AF34</f>
        <v>0</v>
      </c>
      <c r="AF48" s="50">
        <f>'Raw data'!AG34</f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s="551" t="s">
        <v>251</v>
      </c>
      <c r="B49" s="551"/>
      <c r="C49" s="551"/>
      <c r="D49" s="551"/>
      <c r="E49" s="551"/>
      <c r="F49" s="519"/>
      <c r="G49" s="534"/>
      <c r="H49" s="534">
        <f t="shared" ref="H49:O49" si="46">H47/G47-1</f>
        <v>0.61971830985915499</v>
      </c>
      <c r="I49" s="534">
        <f t="shared" si="46"/>
        <v>-0.327536231884058</v>
      </c>
      <c r="J49" s="534">
        <f t="shared" si="46"/>
        <v>0.8318965517241379</v>
      </c>
      <c r="K49" s="534">
        <f t="shared" si="46"/>
        <v>5.8823529411764719E-2</v>
      </c>
      <c r="L49" s="534">
        <f t="shared" si="46"/>
        <v>5.555555555555558E-2</v>
      </c>
      <c r="M49" s="534">
        <f t="shared" si="46"/>
        <v>8.4210526315789513E-2</v>
      </c>
      <c r="N49" s="534">
        <f t="shared" si="46"/>
        <v>0</v>
      </c>
      <c r="O49" s="534">
        <f t="shared" si="46"/>
        <v>0</v>
      </c>
      <c r="Z49" s="910" t="s">
        <v>251</v>
      </c>
    </row>
    <row r="50" spans="1:37" x14ac:dyDescent="0.3">
      <c r="A50" s="617" t="s">
        <v>28</v>
      </c>
      <c r="B50" s="617"/>
      <c r="C50" s="617"/>
      <c r="D50" s="617"/>
      <c r="E50" s="617"/>
      <c r="F50" s="519"/>
      <c r="G50" s="540">
        <v>25</v>
      </c>
      <c r="H50" s="541">
        <v>25</v>
      </c>
      <c r="I50" s="606">
        <v>33</v>
      </c>
      <c r="J50" s="542">
        <v>28</v>
      </c>
      <c r="K50" s="578">
        <f>J50</f>
        <v>28</v>
      </c>
      <c r="L50" s="578">
        <f>K50</f>
        <v>28</v>
      </c>
      <c r="M50" s="578">
        <f>L50</f>
        <v>28</v>
      </c>
      <c r="N50" s="578">
        <f>M50</f>
        <v>28</v>
      </c>
      <c r="O50" s="578">
        <f>N50</f>
        <v>28</v>
      </c>
      <c r="Z50" s="911" t="s">
        <v>256</v>
      </c>
      <c r="AB50" s="50">
        <f>'Raw data'!AC35</f>
        <v>0</v>
      </c>
      <c r="AC50" s="50">
        <f>'Raw data'!AD35</f>
        <v>0</v>
      </c>
      <c r="AD50" s="50">
        <f>'Raw data'!AE35</f>
        <v>0</v>
      </c>
      <c r="AE50" s="50">
        <f>'Raw data'!AF35</f>
        <v>0</v>
      </c>
      <c r="AF50" s="50">
        <f>'Raw data'!AG35</f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s="551" t="s">
        <v>252</v>
      </c>
      <c r="B51" s="551"/>
      <c r="C51" s="551"/>
      <c r="D51" s="551"/>
      <c r="E51" s="551"/>
      <c r="F51" s="519"/>
      <c r="G51" s="534">
        <f t="shared" ref="G51:O51" si="47">G50/G55</f>
        <v>6.7385444743935305E-2</v>
      </c>
      <c r="H51" s="534">
        <f t="shared" si="47"/>
        <v>4.071661237785016E-2</v>
      </c>
      <c r="I51" s="534">
        <f t="shared" si="47"/>
        <v>6.5737051792828682E-2</v>
      </c>
      <c r="J51" s="534">
        <f t="shared" si="47"/>
        <v>4.1176470588235294E-2</v>
      </c>
      <c r="K51" s="534">
        <f t="shared" si="47"/>
        <v>3.7614185921547555E-2</v>
      </c>
      <c r="L51" s="534">
        <f t="shared" si="47"/>
        <v>3.5459196595917127E-2</v>
      </c>
      <c r="M51" s="534">
        <f t="shared" si="47"/>
        <v>3.2867553151528811E-2</v>
      </c>
      <c r="N51" s="534">
        <f t="shared" si="47"/>
        <v>3.1949085936651349E-2</v>
      </c>
      <c r="O51" s="534">
        <f t="shared" si="47"/>
        <v>3.0996292577725192E-2</v>
      </c>
      <c r="Q51" t="s">
        <v>268</v>
      </c>
      <c r="Z51" s="849" t="s">
        <v>257</v>
      </c>
      <c r="AB51" s="50">
        <f>'Raw data'!AC36</f>
        <v>0</v>
      </c>
      <c r="AC51" s="50">
        <f>'Raw data'!AD36</f>
        <v>-3</v>
      </c>
      <c r="AD51" s="50">
        <f>'Raw data'!AE36</f>
        <v>0</v>
      </c>
      <c r="AE51" s="50">
        <f>'Raw data'!AF36</f>
        <v>0</v>
      </c>
      <c r="AF51" s="50">
        <f>'Raw data'!AG36</f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s="551" t="s">
        <v>251</v>
      </c>
      <c r="B52" s="551"/>
      <c r="C52" s="551"/>
      <c r="D52" s="551"/>
      <c r="E52" s="551"/>
      <c r="F52" s="519"/>
      <c r="G52" s="534"/>
      <c r="H52" s="534">
        <f t="shared" ref="H52:O52" si="48">H50/G50-1</f>
        <v>0</v>
      </c>
      <c r="I52" s="534">
        <f t="shared" si="48"/>
        <v>0.32000000000000006</v>
      </c>
      <c r="J52" s="534">
        <f t="shared" si="48"/>
        <v>-0.15151515151515149</v>
      </c>
      <c r="K52" s="534">
        <f t="shared" si="48"/>
        <v>0</v>
      </c>
      <c r="L52" s="534">
        <f t="shared" si="48"/>
        <v>0</v>
      </c>
      <c r="M52" s="534">
        <f t="shared" si="48"/>
        <v>0</v>
      </c>
      <c r="N52" s="534">
        <f t="shared" si="48"/>
        <v>0</v>
      </c>
      <c r="O52" s="534">
        <f t="shared" si="48"/>
        <v>0</v>
      </c>
      <c r="P52" t="s">
        <v>269</v>
      </c>
      <c r="Z52" s="849" t="s">
        <v>258</v>
      </c>
      <c r="AB52" s="50">
        <f>'Raw data'!AC37</f>
        <v>68</v>
      </c>
      <c r="AC52" s="50">
        <f>'Raw data'!AD37</f>
        <v>102</v>
      </c>
      <c r="AD52" s="50">
        <f>'Raw data'!AE37</f>
        <v>77</v>
      </c>
      <c r="AE52" s="50">
        <f>'Raw data'!AF37</f>
        <v>69</v>
      </c>
      <c r="AF52" s="50">
        <f>'Raw data'!AG37</f>
        <v>89</v>
      </c>
      <c r="AG52" s="399">
        <f>K35</f>
        <v>63.436689074296005</v>
      </c>
      <c r="AH52" s="399">
        <f>L35</f>
        <v>69.691153151391575</v>
      </c>
      <c r="AI52" s="399">
        <f>M35</f>
        <v>79.499537668994847</v>
      </c>
      <c r="AJ52" s="399">
        <f>N35</f>
        <v>89.039482189274239</v>
      </c>
      <c r="AK52" s="399">
        <f>O35</f>
        <v>102.39540451766537</v>
      </c>
    </row>
    <row r="53" spans="1:37" x14ac:dyDescent="0.3">
      <c r="A53" s="617" t="s">
        <v>29</v>
      </c>
      <c r="B53" s="617"/>
      <c r="C53" s="617"/>
      <c r="D53" s="617"/>
      <c r="E53" s="617"/>
      <c r="F53" s="519"/>
      <c r="G53" s="540">
        <v>24</v>
      </c>
      <c r="H53" s="541">
        <v>116</v>
      </c>
      <c r="I53" s="606">
        <v>71</v>
      </c>
      <c r="J53" s="542">
        <v>43</v>
      </c>
      <c r="K53" s="578">
        <v>64</v>
      </c>
      <c r="L53" s="578">
        <v>64</v>
      </c>
      <c r="M53" s="578">
        <v>64</v>
      </c>
      <c r="N53" s="578">
        <v>64</v>
      </c>
      <c r="O53" s="578">
        <v>64</v>
      </c>
      <c r="Q53" s="583">
        <f>AVERAGE(G53:J53)</f>
        <v>63.5</v>
      </c>
    </row>
    <row r="54" spans="1:37" s="50" customFormat="1" x14ac:dyDescent="0.3">
      <c r="A54" s="553" t="s">
        <v>30</v>
      </c>
      <c r="B54" s="617"/>
      <c r="C54" s="617"/>
      <c r="D54" s="617"/>
      <c r="E54" s="617"/>
      <c r="F54" s="519"/>
      <c r="G54" s="540">
        <v>0</v>
      </c>
      <c r="H54" s="541">
        <v>0</v>
      </c>
      <c r="I54" s="606">
        <v>0</v>
      </c>
      <c r="J54" s="542">
        <v>0</v>
      </c>
      <c r="K54" s="578">
        <f>J54</f>
        <v>0</v>
      </c>
      <c r="L54" s="578">
        <f>K54</f>
        <v>0</v>
      </c>
      <c r="M54" s="578">
        <f>L54</f>
        <v>0</v>
      </c>
      <c r="N54" s="578">
        <f>M54</f>
        <v>0</v>
      </c>
      <c r="O54" s="578">
        <f>N54</f>
        <v>0</v>
      </c>
    </row>
    <row r="55" spans="1:37" ht="15" thickBot="1" x14ac:dyDescent="0.35">
      <c r="A55" s="620" t="s">
        <v>247</v>
      </c>
      <c r="B55" s="621"/>
      <c r="C55" s="621"/>
      <c r="D55" s="621"/>
      <c r="E55" s="621"/>
      <c r="F55" s="561"/>
      <c r="G55" s="624">
        <v>371</v>
      </c>
      <c r="H55" s="624">
        <v>614</v>
      </c>
      <c r="I55" s="612">
        <v>502</v>
      </c>
      <c r="J55" s="613">
        <v>680</v>
      </c>
      <c r="K55" s="582">
        <f>K44+K47+K50+K53</f>
        <v>744.4</v>
      </c>
      <c r="L55" s="582">
        <f>L44+L47+L50+L53</f>
        <v>789.64</v>
      </c>
      <c r="M55" s="582">
        <f>M44+M47+M50+M53</f>
        <v>851.904</v>
      </c>
      <c r="N55" s="582">
        <f>N44+N47+N50+N53</f>
        <v>876.39440000000013</v>
      </c>
      <c r="O55" s="582">
        <f>O44+O47+O50+O53</f>
        <v>903.33384000000012</v>
      </c>
    </row>
    <row r="56" spans="1:37" s="571" customFormat="1" ht="16.2" thickTop="1" x14ac:dyDescent="0.3">
      <c r="A56" s="50"/>
      <c r="B56" s="50"/>
      <c r="C56" s="50"/>
      <c r="D56" s="50"/>
      <c r="E56" s="50"/>
      <c r="F56" s="50"/>
      <c r="G56" s="50"/>
      <c r="H56" s="50">
        <f t="shared" ref="H56:N56" si="49">H44+H47+H50+H53</f>
        <v>614</v>
      </c>
      <c r="I56" s="50">
        <f t="shared" si="49"/>
        <v>502</v>
      </c>
      <c r="J56" s="50">
        <f t="shared" si="49"/>
        <v>680</v>
      </c>
      <c r="K56" s="91">
        <f t="shared" si="49"/>
        <v>744.4</v>
      </c>
      <c r="L56" s="91">
        <f t="shared" si="49"/>
        <v>789.64</v>
      </c>
      <c r="M56" s="50">
        <f t="shared" si="49"/>
        <v>851.904</v>
      </c>
      <c r="N56" s="50">
        <f t="shared" si="49"/>
        <v>876.39440000000013</v>
      </c>
      <c r="O56" s="50"/>
      <c r="Z56" s="926" t="s">
        <v>29</v>
      </c>
      <c r="AB56">
        <v>2020</v>
      </c>
      <c r="AC56">
        <v>2019</v>
      </c>
      <c r="AD56">
        <v>2018</v>
      </c>
      <c r="AE56">
        <v>2017</v>
      </c>
      <c r="AF56" s="792">
        <v>2016</v>
      </c>
      <c r="AG56" s="563" t="s">
        <v>241</v>
      </c>
      <c r="AH56" s="563" t="s">
        <v>242</v>
      </c>
      <c r="AI56" s="563" t="s">
        <v>243</v>
      </c>
      <c r="AJ56" s="563">
        <v>4</v>
      </c>
      <c r="AK56" s="563" t="s">
        <v>244</v>
      </c>
    </row>
    <row r="57" spans="1:37" x14ac:dyDescent="0.3">
      <c r="A57" s="553" t="s">
        <v>270</v>
      </c>
      <c r="B57" s="556"/>
      <c r="C57" s="556"/>
      <c r="D57" s="556"/>
      <c r="E57" s="556"/>
      <c r="F57" s="520"/>
      <c r="G57" s="557" t="s">
        <v>265</v>
      </c>
      <c r="H57" s="558">
        <v>43112</v>
      </c>
      <c r="I57" s="559" t="s">
        <v>249</v>
      </c>
      <c r="J57" s="560" t="s">
        <v>250</v>
      </c>
      <c r="K57" s="520"/>
      <c r="L57" s="520"/>
      <c r="M57" s="520"/>
      <c r="N57" s="520"/>
      <c r="O57" s="520"/>
      <c r="Z57" s="849" t="s">
        <v>245</v>
      </c>
      <c r="AB57">
        <f>'Raw data'!AC39</f>
        <v>-37</v>
      </c>
      <c r="AC57">
        <f>'Raw data'!AD39</f>
        <v>-98</v>
      </c>
      <c r="AD57">
        <f>'Raw data'!AE39</f>
        <v>-36</v>
      </c>
      <c r="AE57">
        <f>'Raw data'!AF39</f>
        <v>-24</v>
      </c>
      <c r="AF57">
        <f>'Raw data'!AG39</f>
        <v>-23</v>
      </c>
      <c r="AG57" s="571">
        <f>AG59+AG61+AG65+AG67+AG69</f>
        <v>-104.45955794414314</v>
      </c>
      <c r="AH57" s="571">
        <f t="shared" ref="AH57:AK57" si="50">AH59+AH61+AH65+AH67+AH69</f>
        <v>-84.589503428135814</v>
      </c>
      <c r="AI57" s="571">
        <f t="shared" si="50"/>
        <v>-98.604936968077894</v>
      </c>
      <c r="AJ57" s="571">
        <f t="shared" si="50"/>
        <v>61.298434265923831</v>
      </c>
      <c r="AK57" s="571">
        <f t="shared" si="50"/>
        <v>100.60755726243045</v>
      </c>
    </row>
    <row r="58" spans="1:37" x14ac:dyDescent="0.3">
      <c r="A58" s="565" t="s">
        <v>26</v>
      </c>
      <c r="B58" s="565"/>
      <c r="C58" s="565"/>
      <c r="D58" s="565"/>
      <c r="E58" s="565"/>
      <c r="F58" s="566"/>
      <c r="G58" s="567">
        <v>122</v>
      </c>
      <c r="H58" s="568">
        <v>159</v>
      </c>
      <c r="I58" s="569">
        <v>424</v>
      </c>
      <c r="J58" s="570">
        <v>804</v>
      </c>
      <c r="K58" s="566">
        <f>J58*(1+K60)</f>
        <v>1085.4000000000001</v>
      </c>
      <c r="L58" s="566">
        <f>K58*(1+L60)</f>
        <v>1465.2900000000002</v>
      </c>
      <c r="M58" s="566">
        <f t="shared" ref="M58:O58" si="51">K58*(1+M60)</f>
        <v>1411.0200000000002</v>
      </c>
      <c r="N58" s="566">
        <f t="shared" si="51"/>
        <v>1904.8770000000004</v>
      </c>
      <c r="O58" s="566">
        <f t="shared" si="51"/>
        <v>1834.3260000000002</v>
      </c>
      <c r="Z58" s="909" t="s">
        <v>246</v>
      </c>
      <c r="AB58">
        <f>AB57/AC57-1</f>
        <v>-0.62244897959183676</v>
      </c>
      <c r="AC58">
        <f t="shared" ref="AC58:AE58" si="52">AC57/AD57-1</f>
        <v>1.7222222222222223</v>
      </c>
      <c r="AD58">
        <f t="shared" si="52"/>
        <v>0.5</v>
      </c>
      <c r="AE58">
        <f t="shared" si="52"/>
        <v>4.3478260869565188E-2</v>
      </c>
    </row>
    <row r="59" spans="1:37" s="571" customFormat="1" x14ac:dyDescent="0.3">
      <c r="A59" s="551" t="s">
        <v>252</v>
      </c>
      <c r="B59" s="551"/>
      <c r="C59" s="551"/>
      <c r="D59" s="551"/>
      <c r="E59" s="551"/>
      <c r="F59" s="519"/>
      <c r="G59" s="580">
        <f>G58/G69</f>
        <v>0.22761194029850745</v>
      </c>
      <c r="H59" s="580">
        <f>H58/H69</f>
        <v>0.36301369863013699</v>
      </c>
      <c r="I59" s="580">
        <f>I58/I69</f>
        <v>0.47640449438202248</v>
      </c>
      <c r="J59" s="580">
        <f>J58/J69</f>
        <v>0.67167919799498743</v>
      </c>
      <c r="K59" s="581">
        <f>K58/K69</f>
        <v>0.76053673405038014</v>
      </c>
      <c r="L59" s="581">
        <f t="shared" ref="L59:O59" si="53">L58/L69</f>
        <v>0.8307868943082517</v>
      </c>
      <c r="M59" s="581">
        <f t="shared" si="53"/>
        <v>0.83461947791476443</v>
      </c>
      <c r="N59" s="581">
        <f t="shared" si="53"/>
        <v>0.85905456057291407</v>
      </c>
      <c r="O59" s="581">
        <f t="shared" si="53"/>
        <v>0.85169028940404812</v>
      </c>
      <c r="Z59" s="849" t="s">
        <v>248</v>
      </c>
      <c r="AB59">
        <f>'Raw data'!AC40</f>
        <v>0</v>
      </c>
      <c r="AC59">
        <f>'Raw data'!AD40</f>
        <v>0</v>
      </c>
      <c r="AD59">
        <f>'Raw data'!AE40</f>
        <v>0</v>
      </c>
      <c r="AE59">
        <f>'Raw data'!AF40</f>
        <v>0</v>
      </c>
      <c r="AF59">
        <f>'Raw data'!AG40</f>
        <v>0</v>
      </c>
      <c r="AG59" s="571">
        <v>0</v>
      </c>
      <c r="AH59" s="571">
        <v>0</v>
      </c>
      <c r="AI59" s="571">
        <v>0</v>
      </c>
      <c r="AJ59" s="571">
        <v>0</v>
      </c>
      <c r="AK59" s="571">
        <v>0</v>
      </c>
    </row>
    <row r="60" spans="1:37" x14ac:dyDescent="0.3">
      <c r="A60" s="551" t="s">
        <v>251</v>
      </c>
      <c r="B60" s="551"/>
      <c r="C60" s="551"/>
      <c r="D60" s="551"/>
      <c r="E60" s="551"/>
      <c r="F60" s="519"/>
      <c r="G60" s="580"/>
      <c r="H60" s="580">
        <f>H58/G58-1</f>
        <v>0.30327868852459017</v>
      </c>
      <c r="I60" s="580">
        <f>I58/H58-1</f>
        <v>1.6666666666666665</v>
      </c>
      <c r="J60" s="580">
        <f>J58/I58-1</f>
        <v>0.89622641509433953</v>
      </c>
      <c r="K60" s="579">
        <v>0.35</v>
      </c>
      <c r="L60" s="579">
        <v>0.35</v>
      </c>
      <c r="M60" s="579">
        <v>0.3</v>
      </c>
      <c r="N60" s="579">
        <v>0.3</v>
      </c>
      <c r="O60" s="579">
        <v>0.3</v>
      </c>
      <c r="Z60" s="909" t="s">
        <v>251</v>
      </c>
    </row>
    <row r="61" spans="1:37" x14ac:dyDescent="0.3">
      <c r="A61" s="564" t="s">
        <v>27</v>
      </c>
      <c r="B61" s="565"/>
      <c r="C61" s="565"/>
      <c r="D61" s="565"/>
      <c r="E61" s="565"/>
      <c r="F61" s="566"/>
      <c r="G61" s="567">
        <v>307</v>
      </c>
      <c r="H61" s="568">
        <v>196</v>
      </c>
      <c r="I61" s="569">
        <v>373</v>
      </c>
      <c r="J61" s="570">
        <v>307</v>
      </c>
      <c r="K61" s="566">
        <f>J61*(1+K63)</f>
        <v>260.95</v>
      </c>
      <c r="L61" s="566">
        <f>K61*(1+L63)</f>
        <v>221.80749999999998</v>
      </c>
      <c r="M61" s="566">
        <f t="shared" ref="M61:O61" si="54">L61*(1+M63)</f>
        <v>199.62674999999999</v>
      </c>
      <c r="N61" s="566">
        <f t="shared" si="54"/>
        <v>229.57076249999997</v>
      </c>
      <c r="O61" s="566">
        <f t="shared" si="54"/>
        <v>234.16217774999998</v>
      </c>
      <c r="Z61" s="907" t="s">
        <v>253</v>
      </c>
      <c r="AB61">
        <f>'Raw data'!AC41</f>
        <v>0</v>
      </c>
      <c r="AC61">
        <f>'Raw data'!AD41</f>
        <v>0</v>
      </c>
      <c r="AD61">
        <f>'Raw data'!AE41</f>
        <v>0</v>
      </c>
      <c r="AE61">
        <f>'Raw data'!AF41</f>
        <v>0</v>
      </c>
      <c r="AF61">
        <f>'Raw data'!AG41</f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s="571" customFormat="1" x14ac:dyDescent="0.3">
      <c r="A62" s="551" t="s">
        <v>252</v>
      </c>
      <c r="B62" s="551"/>
      <c r="C62" s="551"/>
      <c r="D62" s="551"/>
      <c r="E62" s="551"/>
      <c r="F62" s="519"/>
      <c r="G62" s="580">
        <f>G61/G69</f>
        <v>0.57276119402985071</v>
      </c>
      <c r="H62" s="580">
        <f>H61/H69</f>
        <v>0.44748858447488582</v>
      </c>
      <c r="I62" s="580">
        <f>I61/I69</f>
        <v>0.41910112359550561</v>
      </c>
      <c r="J62" s="580">
        <f>J61/J69</f>
        <v>0.25647451963241436</v>
      </c>
      <c r="K62" s="581">
        <f>K61/K69</f>
        <v>0.18284693269803454</v>
      </c>
      <c r="L62" s="581">
        <f t="shared" ref="L62:O62" si="55">L61/L69</f>
        <v>0.12575992742684211</v>
      </c>
      <c r="M62" s="581">
        <f t="shared" si="55"/>
        <v>0.11807938502843417</v>
      </c>
      <c r="N62" s="581">
        <f t="shared" si="55"/>
        <v>0.10353099465205694</v>
      </c>
      <c r="O62" s="581">
        <f t="shared" si="55"/>
        <v>0.1087231238805859</v>
      </c>
      <c r="Z62" s="909" t="s">
        <v>251</v>
      </c>
    </row>
    <row r="63" spans="1:37" x14ac:dyDescent="0.3">
      <c r="A63" s="551" t="s">
        <v>251</v>
      </c>
      <c r="B63" s="551"/>
      <c r="C63" s="551"/>
      <c r="D63" s="551"/>
      <c r="E63" s="551"/>
      <c r="F63" s="519"/>
      <c r="G63" s="580"/>
      <c r="H63" s="580">
        <f>H61/G61-1</f>
        <v>-0.3615635179153095</v>
      </c>
      <c r="I63" s="580">
        <f>I61/H61-1</f>
        <v>0.90306122448979598</v>
      </c>
      <c r="J63" s="580">
        <f>J61/I61-1</f>
        <v>-0.17694369973190349</v>
      </c>
      <c r="K63" s="579">
        <v>-0.15</v>
      </c>
      <c r="L63" s="579">
        <v>-0.15</v>
      </c>
      <c r="M63" s="579">
        <v>-0.1</v>
      </c>
      <c r="N63" s="579">
        <v>0.15</v>
      </c>
      <c r="O63" s="579">
        <v>0.02</v>
      </c>
      <c r="Z63" s="907" t="s">
        <v>254</v>
      </c>
      <c r="AB63">
        <f>'Raw data'!AC42</f>
        <v>-42</v>
      </c>
      <c r="AC63">
        <f>'Raw data'!AD42</f>
        <v>9</v>
      </c>
      <c r="AD63">
        <f>'Raw data'!AE42</f>
        <v>0</v>
      </c>
      <c r="AE63">
        <f>'Raw data'!AF42</f>
        <v>0</v>
      </c>
      <c r="AF63">
        <f>'Raw data'!AG42</f>
        <v>12</v>
      </c>
    </row>
    <row r="64" spans="1:37" x14ac:dyDescent="0.3">
      <c r="A64" s="565" t="s">
        <v>28</v>
      </c>
      <c r="B64" s="565"/>
      <c r="C64" s="565"/>
      <c r="D64" s="565"/>
      <c r="E64" s="565"/>
      <c r="F64" s="566"/>
      <c r="G64" s="567">
        <v>37</v>
      </c>
      <c r="H64" s="568">
        <v>28</v>
      </c>
      <c r="I64" s="569">
        <v>37</v>
      </c>
      <c r="J64" s="570">
        <v>26</v>
      </c>
      <c r="K64" s="566">
        <f>J64*(1+K66)</f>
        <v>20.8</v>
      </c>
      <c r="L64" s="566">
        <f t="shared" ref="L64:O64" si="56">K64*(1+L66)</f>
        <v>16.64</v>
      </c>
      <c r="M64" s="566">
        <f t="shared" si="56"/>
        <v>19.968</v>
      </c>
      <c r="N64" s="566">
        <f t="shared" si="56"/>
        <v>22.963199999999997</v>
      </c>
      <c r="O64" s="566">
        <f t="shared" si="56"/>
        <v>25.259519999999998</v>
      </c>
      <c r="Z64" s="849" t="s">
        <v>251</v>
      </c>
    </row>
    <row r="65" spans="1:37" x14ac:dyDescent="0.3">
      <c r="A65" s="551" t="s">
        <v>252</v>
      </c>
      <c r="B65" s="551"/>
      <c r="C65" s="551"/>
      <c r="D65" s="551"/>
      <c r="E65" s="551"/>
      <c r="F65" s="519"/>
      <c r="G65" s="580">
        <f>G64/G69</f>
        <v>6.9029850746268662E-2</v>
      </c>
      <c r="H65" s="580">
        <f t="shared" ref="H65:J65" si="57">H64/H69</f>
        <v>6.3926940639269403E-2</v>
      </c>
      <c r="I65" s="580">
        <f t="shared" si="57"/>
        <v>4.1573033707865172E-2</v>
      </c>
      <c r="J65" s="580">
        <f t="shared" si="57"/>
        <v>2.1720969089390141E-2</v>
      </c>
      <c r="K65" s="581">
        <f>K64/K69</f>
        <v>1.4574501629120974E-2</v>
      </c>
      <c r="L65" s="581">
        <f t="shared" ref="L65:O65" si="58">L64/L69</f>
        <v>9.4345105209817214E-3</v>
      </c>
      <c r="M65" s="581">
        <f t="shared" si="58"/>
        <v>1.1811088244675493E-2</v>
      </c>
      <c r="N65" s="581">
        <f t="shared" si="58"/>
        <v>1.0355861131898771E-2</v>
      </c>
      <c r="O65" s="581">
        <f t="shared" si="58"/>
        <v>1.1728170401012327E-2</v>
      </c>
      <c r="Z65" s="907" t="s">
        <v>255</v>
      </c>
      <c r="AB65">
        <f>'Raw data'!AC43</f>
        <v>0</v>
      </c>
      <c r="AC65">
        <f>'Raw data'!AD43</f>
        <v>0</v>
      </c>
      <c r="AD65">
        <f>'Raw data'!AE43</f>
        <v>0</v>
      </c>
      <c r="AE65">
        <f>'Raw data'!AF43</f>
        <v>0</v>
      </c>
      <c r="AF65">
        <f>'Raw data'!AG43</f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s="551" t="s">
        <v>251</v>
      </c>
      <c r="B66" s="551"/>
      <c r="C66" s="551"/>
      <c r="D66" s="551"/>
      <c r="E66" s="551"/>
      <c r="F66" s="519"/>
      <c r="G66" s="580"/>
      <c r="H66" s="580">
        <f>H64/G64-1</f>
        <v>-0.2432432432432432</v>
      </c>
      <c r="I66" s="580">
        <f>I64/H64-1</f>
        <v>0.3214285714285714</v>
      </c>
      <c r="J66" s="580">
        <f>J64/I64-1</f>
        <v>-0.29729729729729726</v>
      </c>
      <c r="K66" s="579">
        <v>-0.2</v>
      </c>
      <c r="L66" s="579">
        <v>-0.2</v>
      </c>
      <c r="M66" s="579">
        <v>0.2</v>
      </c>
      <c r="N66" s="579">
        <v>0.15</v>
      </c>
      <c r="O66" s="579">
        <v>0.1</v>
      </c>
      <c r="Z66" s="910" t="s">
        <v>251</v>
      </c>
    </row>
    <row r="67" spans="1:37" s="571" customFormat="1" x14ac:dyDescent="0.3">
      <c r="A67" s="555" t="s">
        <v>29</v>
      </c>
      <c r="B67" s="554"/>
      <c r="C67" s="554"/>
      <c r="D67" s="554"/>
      <c r="E67" s="554"/>
      <c r="F67" s="519"/>
      <c r="G67" s="540">
        <v>70</v>
      </c>
      <c r="H67" s="541">
        <v>55</v>
      </c>
      <c r="I67" s="535">
        <v>56</v>
      </c>
      <c r="J67" s="542">
        <v>60</v>
      </c>
      <c r="K67" s="519">
        <v>60</v>
      </c>
      <c r="L67" s="519">
        <v>60</v>
      </c>
      <c r="M67" s="519">
        <v>60</v>
      </c>
      <c r="N67" s="519">
        <v>60</v>
      </c>
      <c r="O67" s="519">
        <v>60</v>
      </c>
      <c r="Z67" s="911" t="s">
        <v>256</v>
      </c>
      <c r="AB67">
        <f>'Raw data'!AC44</f>
        <v>0</v>
      </c>
      <c r="AC67">
        <f>'Raw data'!AD44</f>
        <v>-34</v>
      </c>
      <c r="AD67">
        <f>'Raw data'!AE44</f>
        <v>-86</v>
      </c>
      <c r="AE67">
        <f>'Raw data'!AF44</f>
        <v>0</v>
      </c>
      <c r="AF67">
        <f>'Raw data'!AG44</f>
        <v>0</v>
      </c>
      <c r="AG67" s="571">
        <f>-K53/3</f>
        <v>-21.333333333333332</v>
      </c>
      <c r="AH67" s="571">
        <f>-L53/3</f>
        <v>-21.333333333333332</v>
      </c>
      <c r="AI67" s="571">
        <f>-M53/3</f>
        <v>-21.333333333333332</v>
      </c>
      <c r="AJ67" s="571">
        <f>-N53/3</f>
        <v>-21.333333333333332</v>
      </c>
      <c r="AK67" s="571">
        <f>-O53/3</f>
        <v>-21.333333333333332</v>
      </c>
    </row>
    <row r="68" spans="1:37" x14ac:dyDescent="0.3">
      <c r="A68" s="553" t="s">
        <v>30</v>
      </c>
      <c r="B68" s="554"/>
      <c r="C68" s="554"/>
      <c r="D68" s="554"/>
      <c r="E68" s="554"/>
      <c r="F68" s="519"/>
      <c r="G68" s="540">
        <v>0</v>
      </c>
      <c r="H68" s="541">
        <v>0</v>
      </c>
      <c r="I68" s="535">
        <v>0</v>
      </c>
      <c r="J68" s="542">
        <v>0</v>
      </c>
      <c r="K68" s="519">
        <v>0</v>
      </c>
      <c r="L68" s="519">
        <v>0</v>
      </c>
      <c r="M68" s="519">
        <v>0</v>
      </c>
      <c r="N68" s="519">
        <v>0</v>
      </c>
      <c r="O68" s="519">
        <v>0</v>
      </c>
      <c r="Z68" s="849" t="s">
        <v>257</v>
      </c>
      <c r="AB68">
        <f>'Raw data'!AC45</f>
        <v>-5</v>
      </c>
      <c r="AC68">
        <f>'Raw data'!AD45</f>
        <v>0</v>
      </c>
      <c r="AD68">
        <f>'Raw data'!AE45</f>
        <v>0</v>
      </c>
      <c r="AE68">
        <f>'Raw data'!AF45</f>
        <v>0</v>
      </c>
      <c r="AF68">
        <f>'Raw data'!AG45</f>
        <v>0</v>
      </c>
    </row>
    <row r="69" spans="1:37" ht="15" thickBot="1" x14ac:dyDescent="0.35">
      <c r="A69" s="573" t="s">
        <v>247</v>
      </c>
      <c r="B69" s="574"/>
      <c r="C69" s="574"/>
      <c r="D69" s="574"/>
      <c r="E69" s="574"/>
      <c r="F69" s="572"/>
      <c r="G69" s="575">
        <v>536</v>
      </c>
      <c r="H69" s="575">
        <v>438</v>
      </c>
      <c r="I69" s="576">
        <v>890</v>
      </c>
      <c r="J69" s="577">
        <v>1197</v>
      </c>
      <c r="K69" s="572">
        <f>K58+K61+K64+K67+K68</f>
        <v>1427.15</v>
      </c>
      <c r="L69" s="572">
        <f t="shared" ref="L69:O69" si="59">L58+L61+L64+L67+L68</f>
        <v>1763.7375000000002</v>
      </c>
      <c r="M69" s="572">
        <f t="shared" si="59"/>
        <v>1690.6147500000002</v>
      </c>
      <c r="N69" s="572">
        <f t="shared" si="59"/>
        <v>2217.4109625000006</v>
      </c>
      <c r="O69" s="572">
        <f t="shared" si="59"/>
        <v>2153.7476977500005</v>
      </c>
      <c r="Z69" s="849" t="s">
        <v>258</v>
      </c>
      <c r="AB69">
        <f>'Raw data'!AC46</f>
        <v>-84</v>
      </c>
      <c r="AC69">
        <f>'Raw data'!AD46</f>
        <v>-123</v>
      </c>
      <c r="AD69">
        <f>'Raw data'!AE46</f>
        <v>-122</v>
      </c>
      <c r="AE69">
        <f>'Raw data'!AF46</f>
        <v>-24</v>
      </c>
      <c r="AF69">
        <f>'Raw data'!AG46</f>
        <v>-11</v>
      </c>
      <c r="AG69" s="752">
        <f>K38</f>
        <v>-83.126224610809814</v>
      </c>
      <c r="AH69" s="752">
        <f>L38</f>
        <v>-63.256170094802478</v>
      </c>
      <c r="AI69" s="752">
        <f>M38</f>
        <v>-77.271603634744565</v>
      </c>
      <c r="AJ69" s="752">
        <f>N38</f>
        <v>82.631767599257159</v>
      </c>
      <c r="AK69" s="752">
        <f>O38</f>
        <v>121.94089059576378</v>
      </c>
    </row>
    <row r="70" spans="1:37" ht="15" thickTop="1" x14ac:dyDescent="0.3">
      <c r="G70" s="50"/>
      <c r="H70" s="50"/>
      <c r="I70" s="50"/>
      <c r="J70" s="50"/>
      <c r="AB70">
        <v>2020</v>
      </c>
      <c r="AE70">
        <v>2016</v>
      </c>
    </row>
    <row r="71" spans="1:37" x14ac:dyDescent="0.3">
      <c r="G71" s="50"/>
      <c r="H71" s="50"/>
      <c r="I71" s="50"/>
      <c r="J71" s="50"/>
      <c r="Z71" t="s">
        <v>245</v>
      </c>
      <c r="AB71" s="399">
        <f t="shared" ref="AB71:AK71" si="60">AB57+AB40+AB23+AB5</f>
        <v>1415</v>
      </c>
      <c r="AC71" s="399">
        <f t="shared" si="60"/>
        <v>1964</v>
      </c>
      <c r="AD71" s="399">
        <f t="shared" si="60"/>
        <v>1421</v>
      </c>
      <c r="AE71" s="399">
        <f t="shared" si="60"/>
        <v>1100</v>
      </c>
      <c r="AF71" s="399">
        <f t="shared" si="60"/>
        <v>989</v>
      </c>
      <c r="AG71" s="399">
        <f t="shared" si="60"/>
        <v>1163.6355761764435</v>
      </c>
      <c r="AH71" s="399">
        <f t="shared" si="60"/>
        <v>1395.9288191708054</v>
      </c>
      <c r="AI71" s="399">
        <f t="shared" si="60"/>
        <v>1875.8753591174532</v>
      </c>
      <c r="AJ71" s="399">
        <f t="shared" si="60"/>
        <v>2252.3163658817184</v>
      </c>
      <c r="AK71" s="399">
        <f t="shared" si="60"/>
        <v>2594.7781786205942</v>
      </c>
    </row>
    <row r="72" spans="1:37" x14ac:dyDescent="0.3">
      <c r="A72" s="519"/>
      <c r="B72" s="519"/>
      <c r="C72" s="519"/>
      <c r="D72" s="519"/>
      <c r="E72" s="1220"/>
      <c r="F72" s="1224">
        <v>42747</v>
      </c>
      <c r="G72" s="1224">
        <v>43112</v>
      </c>
      <c r="H72" s="1224">
        <v>43477</v>
      </c>
      <c r="I72" s="1224">
        <v>43842</v>
      </c>
      <c r="J72" s="520"/>
      <c r="K72" s="520"/>
      <c r="L72" s="520"/>
      <c r="M72" s="520"/>
      <c r="N72" s="520"/>
      <c r="AB72" s="424">
        <f>AB71/AC71-1</f>
        <v>-0.27953156822810588</v>
      </c>
      <c r="AC72" s="424">
        <f t="shared" ref="AC72:AE72" si="61">AC71/AD71-1</f>
        <v>0.38212526389866297</v>
      </c>
      <c r="AD72" s="424">
        <f t="shared" si="61"/>
        <v>0.29181818181818175</v>
      </c>
      <c r="AE72" s="424">
        <f t="shared" si="61"/>
        <v>0.1122345803842264</v>
      </c>
      <c r="AF72" s="424">
        <f>AF71/AB71-1</f>
        <v>-0.30106007067137808</v>
      </c>
      <c r="AG72" s="424">
        <f t="shared" ref="AG72:AK72" si="62">AG71/AC71-1</f>
        <v>-0.40751752740506952</v>
      </c>
      <c r="AH72" s="424">
        <f t="shared" si="62"/>
        <v>-1.7643336262628151E-2</v>
      </c>
      <c r="AI72" s="424">
        <f t="shared" si="62"/>
        <v>0.70534123556132111</v>
      </c>
      <c r="AJ72" s="424">
        <f t="shared" si="62"/>
        <v>1.2773674073627084</v>
      </c>
      <c r="AK72" s="424">
        <f t="shared" si="62"/>
        <v>1.2298890062700738</v>
      </c>
    </row>
    <row r="73" spans="1:37" x14ac:dyDescent="0.3">
      <c r="A73" s="519" t="s">
        <v>78</v>
      </c>
      <c r="B73" s="519"/>
      <c r="C73" s="519"/>
      <c r="D73" s="519"/>
      <c r="E73" s="519"/>
      <c r="F73" s="519">
        <v>-104</v>
      </c>
      <c r="G73" s="519">
        <v>90</v>
      </c>
      <c r="H73" s="519">
        <f t="shared" ref="H73:N73" si="63">SUM(H74:H76)</f>
        <v>-780</v>
      </c>
      <c r="I73" s="519">
        <f t="shared" si="63"/>
        <v>658</v>
      </c>
      <c r="J73" s="519">
        <f t="shared" si="63"/>
        <v>24</v>
      </c>
      <c r="K73" s="519">
        <f t="shared" si="63"/>
        <v>24</v>
      </c>
      <c r="L73" s="519">
        <f t="shared" si="63"/>
        <v>260</v>
      </c>
      <c r="M73" s="519">
        <f t="shared" si="63"/>
        <v>260</v>
      </c>
      <c r="N73" s="519">
        <f t="shared" si="63"/>
        <v>260</v>
      </c>
    </row>
    <row r="74" spans="1:37" x14ac:dyDescent="0.3">
      <c r="A74" s="519" t="s">
        <v>271</v>
      </c>
      <c r="B74" s="519"/>
      <c r="C74" s="519"/>
      <c r="D74" s="519"/>
      <c r="E74" s="519"/>
      <c r="F74" s="519">
        <v>-111</v>
      </c>
      <c r="G74" s="519">
        <v>-44</v>
      </c>
      <c r="H74" s="519">
        <v>-787</v>
      </c>
      <c r="I74" s="519">
        <v>735</v>
      </c>
      <c r="J74" s="519">
        <v>100</v>
      </c>
      <c r="K74" s="519">
        <v>100</v>
      </c>
      <c r="L74" s="519">
        <v>100</v>
      </c>
      <c r="M74" s="519">
        <v>100</v>
      </c>
      <c r="N74" s="519">
        <v>100</v>
      </c>
    </row>
    <row r="75" spans="1:37" x14ac:dyDescent="0.3">
      <c r="A75" s="519" t="s">
        <v>272</v>
      </c>
      <c r="B75" s="519"/>
      <c r="C75" s="519"/>
      <c r="D75" s="519"/>
      <c r="E75" s="519"/>
      <c r="F75" s="519">
        <v>-155</v>
      </c>
      <c r="G75" s="519">
        <v>83</v>
      </c>
      <c r="H75" s="519">
        <v>-197</v>
      </c>
      <c r="I75" s="519">
        <v>-176</v>
      </c>
      <c r="J75" s="519">
        <v>-176</v>
      </c>
      <c r="K75" s="519">
        <v>-176</v>
      </c>
      <c r="L75" s="519">
        <v>100</v>
      </c>
      <c r="M75" s="519">
        <v>100</v>
      </c>
      <c r="N75" s="519">
        <v>100</v>
      </c>
    </row>
    <row r="76" spans="1:37" x14ac:dyDescent="0.3">
      <c r="A76" s="519" t="s">
        <v>273</v>
      </c>
      <c r="B76" s="519"/>
      <c r="C76" s="519"/>
      <c r="D76" s="519"/>
      <c r="E76" s="519"/>
      <c r="F76" s="519">
        <v>162</v>
      </c>
      <c r="G76" s="519">
        <v>60</v>
      </c>
      <c r="H76" s="519">
        <v>204</v>
      </c>
      <c r="I76" s="519">
        <v>99</v>
      </c>
      <c r="J76" s="519">
        <v>100</v>
      </c>
      <c r="K76" s="519">
        <v>100</v>
      </c>
      <c r="L76" s="519">
        <v>60</v>
      </c>
      <c r="M76" s="519">
        <v>60</v>
      </c>
      <c r="N76" s="519">
        <v>60</v>
      </c>
    </row>
    <row r="77" spans="1:37" ht="15.6" x14ac:dyDescent="0.3">
      <c r="A77" s="519" t="s">
        <v>274</v>
      </c>
      <c r="B77" s="519"/>
      <c r="C77" s="519"/>
      <c r="D77" s="519"/>
      <c r="E77" s="519"/>
      <c r="F77" s="519"/>
      <c r="G77" s="595">
        <v>858</v>
      </c>
      <c r="H77" s="1221">
        <v>1595</v>
      </c>
      <c r="I77" s="1221">
        <v>1125</v>
      </c>
      <c r="J77" s="808">
        <f>J78*K22/365</f>
        <v>1140.3299178082193</v>
      </c>
      <c r="K77" s="808">
        <f>K78*L22/365</f>
        <v>1206.3608794520549</v>
      </c>
      <c r="L77" s="808">
        <f>L78*M22/365</f>
        <v>1326.9969673972605</v>
      </c>
      <c r="M77" s="808">
        <f>M78*N22/365</f>
        <v>1486.2366034849317</v>
      </c>
      <c r="N77" s="808">
        <f>N78*O22/365</f>
        <v>1709.1720940076718</v>
      </c>
    </row>
    <row r="78" spans="1:37" ht="15.6" x14ac:dyDescent="0.3">
      <c r="A78" s="561" t="s">
        <v>275</v>
      </c>
      <c r="B78" s="561"/>
      <c r="C78" s="561"/>
      <c r="D78" s="561"/>
      <c r="E78" s="561"/>
      <c r="F78" s="1222">
        <v>26.9</v>
      </c>
      <c r="G78" s="1222">
        <v>21</v>
      </c>
      <c r="H78" s="1223">
        <v>36.700000000000003</v>
      </c>
      <c r="I78" s="1223">
        <v>35</v>
      </c>
      <c r="J78" s="561">
        <v>35</v>
      </c>
      <c r="K78" s="561">
        <v>35</v>
      </c>
      <c r="L78" s="561">
        <v>35</v>
      </c>
      <c r="M78" s="561">
        <v>35</v>
      </c>
      <c r="N78" s="561">
        <v>35</v>
      </c>
    </row>
    <row r="79" spans="1:37" x14ac:dyDescent="0.3">
      <c r="G79" s="50"/>
      <c r="H79" s="50"/>
      <c r="I79" s="50"/>
      <c r="J79" s="50"/>
    </row>
    <row r="80" spans="1:37" x14ac:dyDescent="0.3">
      <c r="G80" s="50"/>
      <c r="H80" s="50"/>
      <c r="I80" s="50"/>
      <c r="J80" s="50"/>
    </row>
    <row r="81" spans="7:10" x14ac:dyDescent="0.3">
      <c r="G81" s="50"/>
      <c r="H81" s="50"/>
      <c r="I81" s="50"/>
      <c r="J81" s="50"/>
    </row>
    <row r="82" spans="7:10" x14ac:dyDescent="0.3">
      <c r="G82" s="50"/>
      <c r="H82" s="50"/>
      <c r="I82" s="50"/>
      <c r="J82" s="50"/>
    </row>
    <row r="83" spans="7:10" x14ac:dyDescent="0.3">
      <c r="G83" s="50"/>
      <c r="H83" s="50"/>
      <c r="I83" s="50"/>
      <c r="J83" s="50"/>
    </row>
    <row r="84" spans="7:10" x14ac:dyDescent="0.3">
      <c r="G84" s="50"/>
      <c r="H84" s="50"/>
      <c r="I84" s="50"/>
      <c r="J84" s="50"/>
    </row>
    <row r="85" spans="7:10" x14ac:dyDescent="0.3">
      <c r="G85" s="50"/>
      <c r="H85" s="50"/>
      <c r="I85" s="50"/>
      <c r="J85" s="50"/>
    </row>
    <row r="86" spans="7:10" x14ac:dyDescent="0.3">
      <c r="G86" s="50"/>
      <c r="H86" s="50"/>
      <c r="I86" s="50"/>
      <c r="J86" s="50"/>
    </row>
    <row r="87" spans="7:10" x14ac:dyDescent="0.3">
      <c r="G87" s="50"/>
      <c r="H87" s="50"/>
      <c r="I87" s="50"/>
      <c r="J87" s="50"/>
    </row>
    <row r="88" spans="7:10" x14ac:dyDescent="0.3">
      <c r="G88" s="50"/>
      <c r="H88" s="50"/>
      <c r="I88" s="50"/>
      <c r="J88" s="50"/>
    </row>
    <row r="89" spans="7:10" x14ac:dyDescent="0.3">
      <c r="G89" s="50"/>
      <c r="H89" s="50"/>
      <c r="I89" s="50"/>
      <c r="J89" s="50"/>
    </row>
    <row r="90" spans="7:10" x14ac:dyDescent="0.3">
      <c r="G90" s="50"/>
      <c r="H90" s="50"/>
      <c r="I90" s="50"/>
      <c r="J90" s="50"/>
    </row>
    <row r="91" spans="7:10" x14ac:dyDescent="0.3">
      <c r="G91" s="50"/>
      <c r="H91" s="50"/>
      <c r="I91" s="50"/>
      <c r="J91" s="50"/>
    </row>
    <row r="92" spans="7:10" x14ac:dyDescent="0.3">
      <c r="G92" s="50"/>
      <c r="H92" s="50"/>
      <c r="I92" s="50"/>
      <c r="J92" s="50"/>
    </row>
    <row r="93" spans="7:10" x14ac:dyDescent="0.3">
      <c r="G93" s="50"/>
      <c r="H93" s="50"/>
      <c r="I93" s="50"/>
      <c r="J93" s="50"/>
    </row>
    <row r="94" spans="7:10" x14ac:dyDescent="0.3">
      <c r="G94" s="50"/>
      <c r="H94" s="50"/>
      <c r="I94" s="50"/>
      <c r="J94" s="50"/>
    </row>
    <row r="95" spans="7:10" x14ac:dyDescent="0.3">
      <c r="G95" s="50"/>
      <c r="H95" s="50"/>
      <c r="I95" s="50"/>
      <c r="J95" s="50"/>
    </row>
    <row r="96" spans="7:10" x14ac:dyDescent="0.3">
      <c r="G96" s="50"/>
      <c r="H96" s="50"/>
      <c r="I96" s="50"/>
      <c r="J96" s="50"/>
    </row>
    <row r="97" spans="7:10" x14ac:dyDescent="0.3">
      <c r="G97" s="50"/>
      <c r="H97" s="50"/>
      <c r="I97" s="50"/>
      <c r="J97" s="50"/>
    </row>
    <row r="98" spans="7:10" x14ac:dyDescent="0.3">
      <c r="G98" s="50"/>
      <c r="H98" s="50"/>
      <c r="I98" s="50"/>
      <c r="J98" s="50"/>
    </row>
    <row r="99" spans="7:10" x14ac:dyDescent="0.3">
      <c r="G99" s="50"/>
      <c r="H99" s="50"/>
      <c r="I99" s="50"/>
      <c r="J99" s="50"/>
    </row>
    <row r="100" spans="7:10" x14ac:dyDescent="0.3">
      <c r="G100" s="50"/>
      <c r="H100" s="50"/>
      <c r="I100" s="50"/>
      <c r="J100" s="50"/>
    </row>
    <row r="101" spans="7:10" x14ac:dyDescent="0.3">
      <c r="G101" s="50"/>
      <c r="H101" s="50"/>
      <c r="I101" s="50"/>
      <c r="J101" s="50"/>
    </row>
    <row r="102" spans="7:10" x14ac:dyDescent="0.3">
      <c r="G102" s="50"/>
      <c r="H102" s="50"/>
      <c r="I102" s="50"/>
      <c r="J102" s="50"/>
    </row>
    <row r="103" spans="7:10" x14ac:dyDescent="0.3">
      <c r="G103" s="50"/>
      <c r="H103" s="50"/>
      <c r="I103" s="50"/>
      <c r="J103" s="50"/>
    </row>
    <row r="104" spans="7:10" x14ac:dyDescent="0.3">
      <c r="G104" s="50"/>
      <c r="H104" s="50"/>
      <c r="I104" s="50"/>
      <c r="J104" s="50"/>
    </row>
    <row r="105" spans="7:10" x14ac:dyDescent="0.3">
      <c r="G105" s="50"/>
      <c r="H105" s="50"/>
      <c r="I105" s="50"/>
      <c r="J105" s="50"/>
    </row>
    <row r="106" spans="7:10" x14ac:dyDescent="0.3">
      <c r="G106" s="50"/>
      <c r="H106" s="50"/>
      <c r="I106" s="50"/>
      <c r="J106" s="50"/>
    </row>
    <row r="107" spans="7:10" x14ac:dyDescent="0.3">
      <c r="G107" s="50"/>
      <c r="H107" s="50"/>
      <c r="I107" s="50"/>
      <c r="J107" s="50"/>
    </row>
    <row r="108" spans="7:10" x14ac:dyDescent="0.3">
      <c r="G108" s="50"/>
      <c r="H108" s="50"/>
      <c r="I108" s="50"/>
      <c r="J108" s="50"/>
    </row>
    <row r="109" spans="7:10" x14ac:dyDescent="0.3">
      <c r="G109" s="50"/>
      <c r="H109" s="50"/>
      <c r="I109" s="50"/>
      <c r="J109" s="50"/>
    </row>
    <row r="110" spans="7:10" x14ac:dyDescent="0.3">
      <c r="G110" s="50"/>
      <c r="H110" s="50"/>
      <c r="I110" s="50"/>
      <c r="J110" s="50"/>
    </row>
    <row r="111" spans="7:10" x14ac:dyDescent="0.3">
      <c r="G111" s="50"/>
      <c r="H111" s="50"/>
      <c r="I111" s="50"/>
      <c r="J111" s="50"/>
    </row>
    <row r="112" spans="7:10" x14ac:dyDescent="0.3">
      <c r="G112" s="50"/>
      <c r="H112" s="50"/>
      <c r="I112" s="50"/>
      <c r="J112" s="50"/>
    </row>
    <row r="113" spans="7:10" x14ac:dyDescent="0.3">
      <c r="G113" s="50"/>
      <c r="H113" s="50"/>
      <c r="I113" s="50"/>
      <c r="J113" s="50"/>
    </row>
    <row r="114" spans="7:10" x14ac:dyDescent="0.3">
      <c r="G114" s="50"/>
      <c r="H114" s="50"/>
      <c r="I114" s="50"/>
      <c r="J114" s="50"/>
    </row>
    <row r="115" spans="7:10" x14ac:dyDescent="0.3">
      <c r="G115" s="50"/>
      <c r="H115" s="50"/>
      <c r="I115" s="50"/>
      <c r="J115" s="50"/>
    </row>
    <row r="116" spans="7:10" x14ac:dyDescent="0.3">
      <c r="G116" s="50"/>
      <c r="H116" s="50"/>
      <c r="I116" s="50"/>
      <c r="J116" s="50"/>
    </row>
    <row r="117" spans="7:10" x14ac:dyDescent="0.3">
      <c r="G117" s="50"/>
      <c r="H117" s="50"/>
      <c r="I117" s="50"/>
      <c r="J117" s="50"/>
    </row>
    <row r="118" spans="7:10" x14ac:dyDescent="0.3">
      <c r="G118" s="50"/>
      <c r="H118" s="50"/>
      <c r="I118" s="50"/>
      <c r="J118" s="50"/>
    </row>
    <row r="119" spans="7:10" x14ac:dyDescent="0.3">
      <c r="G119" s="50"/>
      <c r="H119" s="50"/>
      <c r="I119" s="50"/>
      <c r="J119" s="50"/>
    </row>
    <row r="120" spans="7:10" x14ac:dyDescent="0.3">
      <c r="G120" s="50"/>
      <c r="H120" s="50"/>
      <c r="I120" s="50"/>
      <c r="J120" s="50"/>
    </row>
    <row r="121" spans="7:10" x14ac:dyDescent="0.3">
      <c r="G121" s="50"/>
      <c r="H121" s="50"/>
      <c r="I121" s="50"/>
      <c r="J121" s="50"/>
    </row>
    <row r="122" spans="7:10" x14ac:dyDescent="0.3">
      <c r="G122" s="50"/>
      <c r="H122" s="50"/>
      <c r="I122" s="50"/>
      <c r="J122" s="50"/>
    </row>
    <row r="123" spans="7:10" x14ac:dyDescent="0.3">
      <c r="G123" s="50"/>
      <c r="H123" s="50"/>
      <c r="I123" s="50"/>
      <c r="J123" s="50"/>
    </row>
    <row r="124" spans="7:10" x14ac:dyDescent="0.3">
      <c r="G124" s="50"/>
      <c r="H124" s="50"/>
      <c r="I124" s="50"/>
      <c r="J124" s="50"/>
    </row>
    <row r="125" spans="7:10" x14ac:dyDescent="0.3">
      <c r="G125" s="50"/>
      <c r="H125" s="50"/>
      <c r="I125" s="50"/>
      <c r="J125" s="50"/>
    </row>
    <row r="126" spans="7:10" x14ac:dyDescent="0.3">
      <c r="G126" s="50"/>
      <c r="H126" s="50"/>
      <c r="I126" s="50"/>
      <c r="J126" s="50"/>
    </row>
    <row r="127" spans="7:10" x14ac:dyDescent="0.3">
      <c r="G127" s="50"/>
      <c r="H127" s="50"/>
      <c r="I127" s="50"/>
      <c r="J127" s="50"/>
    </row>
    <row r="128" spans="7:10" x14ac:dyDescent="0.3">
      <c r="G128" s="50"/>
      <c r="H128" s="50"/>
      <c r="I128" s="50"/>
      <c r="J128" s="50"/>
    </row>
    <row r="129" spans="7:10" x14ac:dyDescent="0.3">
      <c r="G129" s="50"/>
      <c r="H129" s="50"/>
      <c r="I129" s="50"/>
      <c r="J129" s="50"/>
    </row>
    <row r="130" spans="7:10" x14ac:dyDescent="0.3">
      <c r="G130" s="50"/>
      <c r="H130" s="50"/>
      <c r="I130" s="50"/>
      <c r="J130" s="50"/>
    </row>
    <row r="131" spans="7:10" x14ac:dyDescent="0.3">
      <c r="G131" s="50"/>
      <c r="H131" s="50"/>
      <c r="I131" s="50"/>
      <c r="J131" s="50"/>
    </row>
    <row r="132" spans="7:10" x14ac:dyDescent="0.3">
      <c r="G132" s="50"/>
      <c r="H132" s="50"/>
      <c r="I132" s="50"/>
      <c r="J132" s="50"/>
    </row>
    <row r="133" spans="7:10" x14ac:dyDescent="0.3">
      <c r="G133" s="50"/>
      <c r="H133" s="50"/>
      <c r="I133" s="50"/>
      <c r="J133" s="50"/>
    </row>
    <row r="134" spans="7:10" x14ac:dyDescent="0.3">
      <c r="G134" s="50"/>
      <c r="H134" s="50"/>
      <c r="I134" s="50"/>
      <c r="J134" s="50"/>
    </row>
    <row r="135" spans="7:10" x14ac:dyDescent="0.3">
      <c r="G135" s="50"/>
      <c r="H135" s="50"/>
      <c r="I135" s="50"/>
      <c r="J135" s="50"/>
    </row>
    <row r="136" spans="7:10" x14ac:dyDescent="0.3">
      <c r="G136" s="50"/>
      <c r="H136" s="50"/>
      <c r="I136" s="50"/>
      <c r="J136" s="50"/>
    </row>
    <row r="137" spans="7:10" x14ac:dyDescent="0.3">
      <c r="G137" s="50"/>
      <c r="H137" s="50"/>
      <c r="I137" s="50"/>
      <c r="J137" s="50"/>
    </row>
    <row r="138" spans="7:10" x14ac:dyDescent="0.3">
      <c r="G138" s="50"/>
      <c r="H138" s="50"/>
      <c r="I138" s="50"/>
      <c r="J138" s="50"/>
    </row>
    <row r="139" spans="7:10" x14ac:dyDescent="0.3">
      <c r="G139" s="50"/>
      <c r="H139" s="50"/>
      <c r="I139" s="50"/>
      <c r="J139" s="50"/>
    </row>
    <row r="140" spans="7:10" x14ac:dyDescent="0.3">
      <c r="G140" s="50"/>
      <c r="H140" s="50"/>
      <c r="I140" s="50"/>
      <c r="J140" s="50"/>
    </row>
    <row r="141" spans="7:10" x14ac:dyDescent="0.3">
      <c r="G141" s="50"/>
      <c r="H141" s="50"/>
      <c r="I141" s="50"/>
      <c r="J141" s="50"/>
    </row>
    <row r="142" spans="7:10" x14ac:dyDescent="0.3">
      <c r="G142" s="50"/>
      <c r="H142" s="50"/>
      <c r="I142" s="50"/>
      <c r="J142" s="50"/>
    </row>
    <row r="143" spans="7:10" x14ac:dyDescent="0.3">
      <c r="G143" s="50"/>
      <c r="H143" s="50"/>
      <c r="I143" s="50"/>
      <c r="J143" s="50"/>
    </row>
    <row r="144" spans="7:10" x14ac:dyDescent="0.3">
      <c r="G144" s="50"/>
      <c r="H144" s="50"/>
      <c r="I144" s="50"/>
      <c r="J144" s="50"/>
    </row>
    <row r="145" spans="7:10" x14ac:dyDescent="0.3">
      <c r="G145" s="50"/>
      <c r="H145" s="50"/>
      <c r="I145" s="50"/>
      <c r="J145" s="50"/>
    </row>
    <row r="146" spans="7:10" x14ac:dyDescent="0.3">
      <c r="G146" s="50"/>
      <c r="H146" s="50"/>
      <c r="I146" s="50"/>
      <c r="J146" s="50"/>
    </row>
    <row r="147" spans="7:10" x14ac:dyDescent="0.3">
      <c r="G147" s="50"/>
      <c r="H147" s="50"/>
      <c r="I147" s="50"/>
      <c r="J147" s="50"/>
    </row>
    <row r="148" spans="7:10" x14ac:dyDescent="0.3">
      <c r="G148" s="50"/>
      <c r="H148" s="50"/>
      <c r="I148" s="50"/>
      <c r="J148" s="50"/>
    </row>
    <row r="149" spans="7:10" x14ac:dyDescent="0.3">
      <c r="G149" s="50"/>
      <c r="H149" s="50"/>
      <c r="I149" s="50"/>
      <c r="J149" s="50"/>
    </row>
    <row r="150" spans="7:10" x14ac:dyDescent="0.3">
      <c r="G150" s="50"/>
      <c r="H150" s="50"/>
      <c r="I150" s="50"/>
      <c r="J150" s="50"/>
    </row>
    <row r="151" spans="7:10" x14ac:dyDescent="0.3">
      <c r="G151" s="50"/>
      <c r="H151" s="50"/>
      <c r="I151" s="50"/>
      <c r="J151" s="50"/>
    </row>
    <row r="152" spans="7:10" x14ac:dyDescent="0.3">
      <c r="G152" s="50"/>
      <c r="H152" s="50"/>
      <c r="I152" s="50"/>
      <c r="J152" s="50"/>
    </row>
    <row r="153" spans="7:10" x14ac:dyDescent="0.3">
      <c r="G153" s="50"/>
      <c r="H153" s="50"/>
      <c r="I153" s="50"/>
      <c r="J153" s="50"/>
    </row>
    <row r="154" spans="7:10" x14ac:dyDescent="0.3">
      <c r="G154" s="50"/>
      <c r="H154" s="50"/>
      <c r="I154" s="50"/>
      <c r="J154" s="50"/>
    </row>
    <row r="155" spans="7:10" x14ac:dyDescent="0.3">
      <c r="G155" s="50"/>
      <c r="H155" s="50"/>
      <c r="I155" s="50"/>
      <c r="J155" s="50"/>
    </row>
    <row r="156" spans="7:10" x14ac:dyDescent="0.3">
      <c r="G156" s="50"/>
      <c r="H156" s="50"/>
      <c r="I156" s="50"/>
      <c r="J156" s="50"/>
    </row>
    <row r="157" spans="7:10" x14ac:dyDescent="0.3">
      <c r="G157" s="50"/>
      <c r="H157" s="50"/>
      <c r="I157" s="50"/>
      <c r="J157" s="50"/>
    </row>
    <row r="158" spans="7:10" x14ac:dyDescent="0.3">
      <c r="G158" s="50"/>
      <c r="H158" s="50"/>
      <c r="I158" s="50"/>
      <c r="J158" s="50"/>
    </row>
    <row r="159" spans="7:10" x14ac:dyDescent="0.3">
      <c r="G159" s="50"/>
      <c r="H159" s="50"/>
      <c r="I159" s="50"/>
      <c r="J159" s="50"/>
    </row>
    <row r="160" spans="7:10" x14ac:dyDescent="0.3">
      <c r="G160" s="50"/>
      <c r="H160" s="50"/>
      <c r="I160" s="50"/>
      <c r="J160" s="50"/>
    </row>
    <row r="161" spans="7:10" x14ac:dyDescent="0.3">
      <c r="G161" s="50"/>
      <c r="H161" s="50"/>
      <c r="I161" s="50"/>
      <c r="J161" s="50"/>
    </row>
    <row r="162" spans="7:10" x14ac:dyDescent="0.3">
      <c r="G162" s="50"/>
      <c r="H162" s="50"/>
      <c r="I162" s="50"/>
      <c r="J162" s="50"/>
    </row>
    <row r="163" spans="7:10" x14ac:dyDescent="0.3">
      <c r="G163" s="50"/>
      <c r="H163" s="50"/>
      <c r="I163" s="50"/>
      <c r="J163" s="50"/>
    </row>
  </sheetData>
  <phoneticPr fontId="96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7F94-FCC6-4B10-868E-C10C4881CDF0}">
  <dimension ref="A1:AO411"/>
  <sheetViews>
    <sheetView zoomScale="29" zoomScaleNormal="42" workbookViewId="0">
      <selection activeCell="P4" sqref="P4"/>
    </sheetView>
  </sheetViews>
  <sheetFormatPr defaultColWidth="9.109375" defaultRowHeight="13.8" x14ac:dyDescent="0.25"/>
  <cols>
    <col min="1" max="8" width="9.109375" style="533"/>
    <col min="9" max="9" width="10.44140625" style="533" customWidth="1"/>
    <col min="10" max="10" width="12.44140625" style="533" bestFit="1" customWidth="1"/>
    <col min="11" max="11" width="10.6640625" style="533" bestFit="1" customWidth="1"/>
    <col min="12" max="15" width="10.44140625" style="533" bestFit="1" customWidth="1"/>
    <col min="16" max="16" width="13.88671875" style="533" bestFit="1" customWidth="1"/>
    <col min="17" max="19" width="13.6640625" style="533" bestFit="1" customWidth="1"/>
    <col min="20" max="22" width="9.109375" style="533"/>
    <col min="23" max="23" width="14.44140625" style="533" bestFit="1" customWidth="1"/>
    <col min="24" max="26" width="9.109375" style="533"/>
    <col min="27" max="27" width="22" style="533" bestFit="1" customWidth="1"/>
    <col min="28" max="31" width="9.109375" style="533"/>
    <col min="32" max="34" width="10.44140625" style="533" bestFit="1" customWidth="1"/>
    <col min="35" max="39" width="9.109375" style="545"/>
    <col min="40" max="16384" width="9.109375" style="533"/>
  </cols>
  <sheetData>
    <row r="1" spans="1:27" x14ac:dyDescent="0.25">
      <c r="A1" s="586"/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586"/>
      <c r="AA1" s="586"/>
    </row>
    <row r="2" spans="1:27" x14ac:dyDescent="0.25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1260" t="s">
        <v>276</v>
      </c>
      <c r="O2" s="1260"/>
      <c r="P2" s="758"/>
      <c r="Q2" s="758"/>
      <c r="R2" s="758"/>
      <c r="S2" s="758"/>
      <c r="T2" s="586"/>
      <c r="U2" s="586"/>
      <c r="V2" s="586"/>
      <c r="W2" s="586"/>
      <c r="X2" s="586"/>
      <c r="Y2" s="586"/>
      <c r="Z2" s="586"/>
      <c r="AA2" s="586"/>
    </row>
    <row r="3" spans="1:27" x14ac:dyDescent="0.25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759">
        <f>O133-O62</f>
        <v>-3.4982465749635594E-3</v>
      </c>
      <c r="P3" s="816">
        <f>P133-P62</f>
        <v>0.4222088683545735</v>
      </c>
      <c r="Q3" s="816">
        <f>Q133-Q62</f>
        <v>-8.8665102623053826E-2</v>
      </c>
      <c r="R3" s="758">
        <f>R133-R62</f>
        <v>3.8257634914771188E-3</v>
      </c>
      <c r="S3" s="759">
        <f>S133-S62</f>
        <v>-0.13675976230115339</v>
      </c>
      <c r="T3" s="586"/>
      <c r="U3" s="586"/>
      <c r="V3" s="586"/>
      <c r="W3" s="586"/>
      <c r="X3" s="586"/>
      <c r="Y3" s="586"/>
      <c r="Z3" s="586"/>
      <c r="AA3" s="586"/>
    </row>
    <row r="4" spans="1:27" x14ac:dyDescent="0.25">
      <c r="A4" s="586"/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  <c r="N4" s="586"/>
      <c r="O4" s="586"/>
      <c r="P4" s="586" t="s">
        <v>277</v>
      </c>
      <c r="Q4" s="586" t="s">
        <v>278</v>
      </c>
      <c r="R4" s="586"/>
      <c r="S4" s="586"/>
      <c r="T4" s="586"/>
      <c r="U4" s="586"/>
      <c r="V4" s="586"/>
      <c r="W4" s="586"/>
      <c r="X4" s="586"/>
      <c r="Y4" s="586"/>
      <c r="Z4" s="586"/>
      <c r="AA4" s="586"/>
    </row>
    <row r="6" spans="1:27" ht="22.8" x14ac:dyDescent="0.4">
      <c r="A6" s="544" t="s">
        <v>279</v>
      </c>
      <c r="B6" s="625"/>
      <c r="C6" s="625"/>
      <c r="D6" s="586"/>
      <c r="E6" s="586"/>
      <c r="F6" s="586"/>
      <c r="G6" s="586"/>
      <c r="H6" s="586"/>
      <c r="I6" s="586"/>
      <c r="J6" s="586"/>
      <c r="K6" s="586"/>
      <c r="L6" s="586"/>
      <c r="M6" s="62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</row>
    <row r="7" spans="1:27" ht="15.6" x14ac:dyDescent="0.3">
      <c r="A7" s="627"/>
      <c r="B7" s="587"/>
      <c r="C7" s="587"/>
      <c r="D7" s="587"/>
      <c r="E7" s="587"/>
      <c r="F7" s="587"/>
      <c r="G7" s="587"/>
      <c r="H7" s="587"/>
      <c r="I7" s="587"/>
      <c r="J7" s="587"/>
      <c r="K7" s="587"/>
      <c r="L7" s="1261" t="s">
        <v>280</v>
      </c>
      <c r="M7" s="1261"/>
      <c r="N7" s="1261"/>
      <c r="O7" s="1262" t="s">
        <v>281</v>
      </c>
      <c r="P7" s="1262"/>
      <c r="Q7" s="1262"/>
      <c r="R7" s="1262"/>
      <c r="S7" s="1262"/>
      <c r="T7" s="586"/>
      <c r="U7" s="586"/>
      <c r="V7" s="586"/>
      <c r="W7" s="586"/>
      <c r="X7" s="1263" t="s">
        <v>282</v>
      </c>
      <c r="Y7" s="1263"/>
      <c r="Z7" s="1263"/>
      <c r="AA7" s="1263"/>
    </row>
    <row r="8" spans="1:27" ht="15.6" x14ac:dyDescent="0.3">
      <c r="A8" s="29"/>
      <c r="B8" s="628"/>
      <c r="C8" s="628"/>
      <c r="D8" s="628"/>
      <c r="E8" s="628"/>
      <c r="F8" s="628"/>
      <c r="G8" s="628"/>
      <c r="H8" s="31"/>
      <c r="I8" s="587"/>
      <c r="J8" s="587"/>
      <c r="K8" s="587"/>
      <c r="L8" s="507"/>
      <c r="M8" s="33"/>
      <c r="N8" s="32"/>
      <c r="O8" s="629"/>
      <c r="P8" s="629"/>
      <c r="Q8" s="629"/>
      <c r="R8" s="629"/>
      <c r="S8" s="629"/>
      <c r="T8" s="586"/>
      <c r="U8" s="586"/>
      <c r="V8" s="586"/>
      <c r="W8" s="586"/>
      <c r="X8" s="1263"/>
      <c r="Y8" s="1263"/>
      <c r="Z8" s="1263"/>
      <c r="AA8" s="1263"/>
    </row>
    <row r="9" spans="1:27" ht="15.6" x14ac:dyDescent="0.25">
      <c r="A9" s="34" t="s">
        <v>24</v>
      </c>
      <c r="B9" s="630"/>
      <c r="C9" s="630"/>
      <c r="D9" s="630"/>
      <c r="E9" s="630"/>
      <c r="F9" s="630"/>
      <c r="G9" s="630"/>
      <c r="H9" s="35"/>
      <c r="I9" s="589"/>
      <c r="J9" s="589"/>
      <c r="K9" s="589"/>
      <c r="L9" s="428">
        <v>2018</v>
      </c>
      <c r="M9" s="37">
        <v>2019</v>
      </c>
      <c r="N9" s="36">
        <v>2020</v>
      </c>
      <c r="O9" s="594" t="s">
        <v>192</v>
      </c>
      <c r="P9" s="594" t="s">
        <v>193</v>
      </c>
      <c r="Q9" s="594" t="s">
        <v>194</v>
      </c>
      <c r="R9" s="594" t="s">
        <v>195</v>
      </c>
      <c r="S9" s="594" t="s">
        <v>196</v>
      </c>
      <c r="T9" s="586"/>
      <c r="U9" s="586"/>
      <c r="V9" s="586"/>
      <c r="W9" s="586"/>
      <c r="X9" s="1263"/>
      <c r="Y9" s="1263"/>
      <c r="Z9" s="1263"/>
      <c r="AA9" s="1263"/>
    </row>
    <row r="10" spans="1:27" ht="15.6" x14ac:dyDescent="0.3">
      <c r="A10" s="628"/>
      <c r="B10" s="628"/>
      <c r="C10" s="628"/>
      <c r="D10" s="628"/>
      <c r="E10" s="628"/>
      <c r="F10" s="628"/>
      <c r="G10" s="628"/>
      <c r="H10" s="31"/>
      <c r="I10" s="587"/>
      <c r="J10" s="587"/>
      <c r="K10" s="587"/>
      <c r="L10" s="426"/>
      <c r="M10" s="631"/>
      <c r="N10" s="38"/>
      <c r="O10" s="629"/>
      <c r="P10" s="629"/>
      <c r="Q10" s="629"/>
      <c r="R10" s="629"/>
      <c r="S10" s="629"/>
      <c r="T10" s="586"/>
      <c r="U10" s="586"/>
      <c r="V10" s="586"/>
      <c r="W10" s="586"/>
      <c r="X10" s="1263"/>
      <c r="Y10" s="1263"/>
      <c r="Z10" s="1263"/>
      <c r="AA10" s="1263"/>
    </row>
    <row r="11" spans="1:27" ht="15.6" x14ac:dyDescent="0.3">
      <c r="A11" s="29" t="s">
        <v>283</v>
      </c>
      <c r="B11" s="628"/>
      <c r="C11" s="628"/>
      <c r="D11" s="628"/>
      <c r="E11" s="628"/>
      <c r="F11" s="628"/>
      <c r="G11" s="628"/>
      <c r="H11" s="31"/>
      <c r="I11" s="587"/>
      <c r="J11" s="587"/>
      <c r="K11" s="587"/>
      <c r="L11" s="426"/>
      <c r="M11" s="631"/>
      <c r="N11" s="38"/>
      <c r="O11" s="629"/>
      <c r="P11" s="629"/>
      <c r="Q11" s="629"/>
      <c r="R11" s="629"/>
      <c r="S11" s="629"/>
      <c r="T11" s="586"/>
      <c r="U11" s="586"/>
      <c r="V11" s="586"/>
      <c r="W11" s="586"/>
      <c r="X11" s="1263"/>
      <c r="Y11" s="1263"/>
      <c r="Z11" s="1263"/>
      <c r="AA11" s="1263"/>
    </row>
    <row r="12" spans="1:27" ht="15.6" x14ac:dyDescent="0.3">
      <c r="A12" s="39" t="s">
        <v>38</v>
      </c>
      <c r="B12" s="628"/>
      <c r="C12" s="628"/>
      <c r="D12" s="628"/>
      <c r="E12" s="628"/>
      <c r="F12" s="628"/>
      <c r="G12" s="628"/>
      <c r="H12" s="31"/>
      <c r="I12" s="587"/>
      <c r="J12" s="587"/>
      <c r="K12" s="587"/>
      <c r="L12" s="426"/>
      <c r="M12" s="631"/>
      <c r="N12" s="38"/>
      <c r="O12" s="629"/>
      <c r="P12" s="629"/>
      <c r="Q12" s="629"/>
      <c r="R12" s="629"/>
      <c r="S12" s="629"/>
      <c r="T12" s="586"/>
      <c r="U12" s="586"/>
      <c r="V12" s="586"/>
      <c r="W12" s="586"/>
      <c r="X12" s="1263"/>
      <c r="Y12" s="1263"/>
      <c r="Z12" s="1263"/>
      <c r="AA12" s="1263"/>
    </row>
    <row r="13" spans="1:27" ht="15" x14ac:dyDescent="0.25">
      <c r="A13" s="40" t="s">
        <v>39</v>
      </c>
      <c r="B13" s="628"/>
      <c r="C13" s="628"/>
      <c r="D13" s="628"/>
      <c r="E13" s="628"/>
      <c r="F13" s="628"/>
      <c r="G13" s="628"/>
      <c r="H13" s="31"/>
      <c r="I13" s="587"/>
      <c r="J13" s="587"/>
      <c r="K13" s="587"/>
      <c r="L13" s="426">
        <v>100</v>
      </c>
      <c r="M13" s="632">
        <v>135</v>
      </c>
      <c r="N13" s="633">
        <v>264</v>
      </c>
      <c r="O13" s="780">
        <f>N13*(1+O15)</f>
        <v>475.2</v>
      </c>
      <c r="P13" s="780">
        <f>O13*(1+P15)</f>
        <v>760.32</v>
      </c>
      <c r="Q13" s="780">
        <f>P13*(1+Q15)</f>
        <v>988.41600000000005</v>
      </c>
      <c r="R13" s="780">
        <f>Q13*(1+R15)</f>
        <v>1383.7824000000001</v>
      </c>
      <c r="S13" s="780">
        <f>R13*(1+S15)</f>
        <v>1798.9171200000001</v>
      </c>
      <c r="T13" s="586"/>
      <c r="U13" s="586"/>
      <c r="V13" s="586"/>
      <c r="W13" s="586"/>
      <c r="X13" s="586"/>
      <c r="Y13" s="586"/>
      <c r="Z13" s="586"/>
      <c r="AA13" s="586"/>
    </row>
    <row r="14" spans="1:27" x14ac:dyDescent="0.25">
      <c r="A14" s="526" t="s">
        <v>284</v>
      </c>
      <c r="B14" s="628"/>
      <c r="C14" s="628"/>
      <c r="D14" s="628"/>
      <c r="E14" s="628"/>
      <c r="F14" s="628"/>
      <c r="G14" s="628"/>
      <c r="H14" s="529"/>
      <c r="I14" s="587"/>
      <c r="J14" s="587"/>
      <c r="K14" s="587"/>
      <c r="L14" s="508">
        <f>L13/L54</f>
        <v>2.8433323855558714E-2</v>
      </c>
      <c r="M14" s="508">
        <f>M13/M54</f>
        <v>2.5276165512076391E-2</v>
      </c>
      <c r="N14" s="508">
        <f>N13/N54</f>
        <v>5.4220579174368455E-2</v>
      </c>
      <c r="O14" s="508">
        <f>O13/O54</f>
        <v>0.10419246175930411</v>
      </c>
      <c r="P14" s="508">
        <f t="shared" ref="P14:R14" si="0">P13/P54</f>
        <v>0.17662815527038067</v>
      </c>
      <c r="Q14" s="508">
        <f t="shared" si="0"/>
        <v>0.21903573661522904</v>
      </c>
      <c r="R14" s="508">
        <f t="shared" si="0"/>
        <v>0.29791138997854549</v>
      </c>
      <c r="S14" s="508">
        <f>S13/S54</f>
        <v>0.35889437807701297</v>
      </c>
      <c r="T14" s="586"/>
      <c r="U14" s="586"/>
      <c r="V14" s="586"/>
      <c r="W14" s="586"/>
      <c r="X14" s="586"/>
      <c r="Y14" s="586"/>
      <c r="Z14" s="586"/>
      <c r="AA14" s="586"/>
    </row>
    <row r="15" spans="1:27" ht="15" x14ac:dyDescent="0.25">
      <c r="A15" s="526" t="s">
        <v>285</v>
      </c>
      <c r="B15" s="628"/>
      <c r="C15" s="628"/>
      <c r="D15" s="628"/>
      <c r="E15" s="628"/>
      <c r="F15" s="628"/>
      <c r="G15" s="628"/>
      <c r="H15" s="607"/>
      <c r="I15" s="587"/>
      <c r="J15" s="587"/>
      <c r="K15" s="587"/>
      <c r="L15" s="510"/>
      <c r="M15" s="510">
        <f>(M13-L13)/L13</f>
        <v>0.35</v>
      </c>
      <c r="N15" s="510">
        <f>(N13-M13)/M13</f>
        <v>0.9555555555555556</v>
      </c>
      <c r="O15" s="736">
        <v>0.8</v>
      </c>
      <c r="P15" s="736">
        <v>0.6</v>
      </c>
      <c r="Q15" s="736">
        <v>0.3</v>
      </c>
      <c r="R15" s="736">
        <v>0.4</v>
      </c>
      <c r="S15" s="736">
        <v>0.3</v>
      </c>
      <c r="T15" s="586"/>
      <c r="U15" s="586"/>
      <c r="V15" s="586"/>
      <c r="W15" s="586"/>
      <c r="X15" s="586"/>
      <c r="Y15" s="586"/>
      <c r="Z15" s="586"/>
      <c r="AA15" s="586"/>
    </row>
    <row r="16" spans="1:27" ht="15" x14ac:dyDescent="0.25">
      <c r="A16" s="40" t="s">
        <v>286</v>
      </c>
      <c r="B16" s="628"/>
      <c r="C16" s="628"/>
      <c r="D16" s="628"/>
      <c r="E16" s="628"/>
      <c r="F16" s="628"/>
      <c r="G16" s="628"/>
      <c r="H16" s="634"/>
      <c r="I16" s="587"/>
      <c r="J16" s="587"/>
      <c r="K16" s="587"/>
      <c r="L16" s="427">
        <v>3856</v>
      </c>
      <c r="M16" s="632">
        <v>4187</v>
      </c>
      <c r="N16" s="633">
        <v>4477</v>
      </c>
      <c r="O16" s="780">
        <f>N16*(1+O18)</f>
        <v>4924.7000000000007</v>
      </c>
      <c r="P16" s="780">
        <f t="shared" ref="P16:S16" si="1">O16*(1+P18)</f>
        <v>5417.170000000001</v>
      </c>
      <c r="Q16" s="780">
        <f>P16*(1+Q18)</f>
        <v>5742.2002000000011</v>
      </c>
      <c r="R16" s="780">
        <f t="shared" si="1"/>
        <v>6086.7322120000017</v>
      </c>
      <c r="S16" s="780">
        <f t="shared" si="1"/>
        <v>6451.9361447200017</v>
      </c>
      <c r="T16" s="586"/>
      <c r="U16" s="586"/>
      <c r="V16" s="586"/>
      <c r="W16" s="586"/>
      <c r="X16" s="586"/>
      <c r="Y16" s="586"/>
      <c r="Z16" s="586"/>
      <c r="AA16" s="586"/>
    </row>
    <row r="17" spans="1:27" x14ac:dyDescent="0.25">
      <c r="A17" s="526" t="s">
        <v>284</v>
      </c>
      <c r="B17" s="628"/>
      <c r="C17" s="628"/>
      <c r="D17" s="628"/>
      <c r="E17" s="628"/>
      <c r="F17" s="628"/>
      <c r="G17" s="628"/>
      <c r="H17" s="529"/>
      <c r="I17" s="587"/>
      <c r="J17" s="587"/>
      <c r="K17" s="587"/>
      <c r="L17" s="508">
        <f>L16/L62</f>
        <v>0.4955661226063488</v>
      </c>
      <c r="M17" s="508">
        <f t="shared" ref="M17:S17" si="2">M16/M62</f>
        <v>0.42755029102420095</v>
      </c>
      <c r="N17" s="508">
        <f t="shared" si="2"/>
        <v>0.45613856342333164</v>
      </c>
      <c r="O17" s="508">
        <f>O16/O62</f>
        <v>0.48518348539047013</v>
      </c>
      <c r="P17" s="508">
        <f t="shared" si="2"/>
        <v>0.50853028431549463</v>
      </c>
      <c r="Q17" s="508">
        <f t="shared" si="2"/>
        <v>0.50413551992119066</v>
      </c>
      <c r="R17" s="508">
        <f t="shared" si="2"/>
        <v>0.49608368679664439</v>
      </c>
      <c r="S17" s="508">
        <f t="shared" si="2"/>
        <v>0.48130476034016256</v>
      </c>
      <c r="T17" s="586"/>
      <c r="U17" s="586"/>
      <c r="V17" s="586"/>
      <c r="W17" s="586"/>
      <c r="X17" s="586"/>
      <c r="Y17" s="586"/>
      <c r="Z17" s="586"/>
      <c r="AA17" s="586"/>
    </row>
    <row r="18" spans="1:27" ht="15" x14ac:dyDescent="0.25">
      <c r="A18" s="526" t="s">
        <v>285</v>
      </c>
      <c r="B18" s="628"/>
      <c r="C18" s="628"/>
      <c r="D18" s="628"/>
      <c r="E18" s="628"/>
      <c r="F18" s="628"/>
      <c r="G18" s="628"/>
      <c r="H18" s="607"/>
      <c r="I18" s="587"/>
      <c r="J18" s="587"/>
      <c r="K18" s="587"/>
      <c r="L18" s="511"/>
      <c r="M18" s="510">
        <f>(M16-L16)/L16</f>
        <v>8.5840248962655602E-2</v>
      </c>
      <c r="N18" s="510">
        <f>(N16-M16)/M16</f>
        <v>6.9262001433006926E-2</v>
      </c>
      <c r="O18" s="736">
        <v>0.1</v>
      </c>
      <c r="P18" s="736">
        <v>0.1</v>
      </c>
      <c r="Q18" s="736">
        <v>0.06</v>
      </c>
      <c r="R18" s="736">
        <v>0.06</v>
      </c>
      <c r="S18" s="736">
        <v>0.06</v>
      </c>
      <c r="T18" s="586"/>
      <c r="U18" s="586"/>
      <c r="V18" s="586"/>
      <c r="W18" s="586"/>
      <c r="X18" s="586"/>
      <c r="Y18" s="586"/>
      <c r="Z18" s="586"/>
      <c r="AA18" s="586"/>
    </row>
    <row r="19" spans="1:27" ht="15" x14ac:dyDescent="0.25">
      <c r="A19" s="40" t="s">
        <v>41</v>
      </c>
      <c r="B19" s="628"/>
      <c r="C19" s="628"/>
      <c r="D19" s="628"/>
      <c r="E19" s="628"/>
      <c r="F19" s="628"/>
      <c r="G19" s="628"/>
      <c r="H19" s="607"/>
      <c r="I19" s="587"/>
      <c r="J19" s="587"/>
      <c r="K19" s="587"/>
      <c r="L19" s="426">
        <v>213</v>
      </c>
      <c r="M19" s="632">
        <v>22</v>
      </c>
      <c r="N19" s="633">
        <v>56</v>
      </c>
      <c r="O19" s="629">
        <v>50</v>
      </c>
      <c r="P19" s="629">
        <v>50</v>
      </c>
      <c r="Q19" s="629">
        <v>20</v>
      </c>
      <c r="R19" s="629">
        <v>20</v>
      </c>
      <c r="S19" s="629">
        <v>20</v>
      </c>
      <c r="T19" s="719"/>
      <c r="U19" s="719"/>
      <c r="V19" s="719"/>
      <c r="W19" s="719"/>
      <c r="X19" s="719"/>
      <c r="Y19" s="719"/>
      <c r="Z19" s="586"/>
      <c r="AA19" s="586"/>
    </row>
    <row r="20" spans="1:27" x14ac:dyDescent="0.25">
      <c r="A20" s="526" t="s">
        <v>284</v>
      </c>
      <c r="B20" s="628"/>
      <c r="C20" s="628"/>
      <c r="D20" s="628"/>
      <c r="E20" s="628"/>
      <c r="F20" s="628"/>
      <c r="G20" s="628"/>
      <c r="H20" s="529"/>
      <c r="I20" s="587"/>
      <c r="J20" s="587"/>
      <c r="K20" s="587"/>
      <c r="L20" s="508">
        <f>L19/L62</f>
        <v>2.7374373473846549E-2</v>
      </c>
      <c r="M20" s="508">
        <f t="shared" ref="M20:N20" si="3">M19/M62</f>
        <v>2.2465026039007454E-3</v>
      </c>
      <c r="N20" s="508">
        <f t="shared" si="3"/>
        <v>5.7055527254202751E-3</v>
      </c>
      <c r="O20" s="508">
        <f>O19/O62</f>
        <v>4.9260207260388451E-3</v>
      </c>
      <c r="P20" s="508">
        <f>P19/P62</f>
        <v>4.6936895492987532E-3</v>
      </c>
      <c r="Q20" s="508">
        <f>Q19/Q62</f>
        <v>1.7558967028742417E-3</v>
      </c>
      <c r="R20" s="508">
        <f>R19/R62</f>
        <v>1.6300493253789436E-3</v>
      </c>
      <c r="S20" s="508">
        <f>S19/S62</f>
        <v>1.4919700057293424E-3</v>
      </c>
      <c r="T20" s="586"/>
      <c r="U20" s="586"/>
      <c r="V20" s="586"/>
      <c r="W20" s="586"/>
      <c r="X20" s="586"/>
      <c r="Y20" s="586"/>
      <c r="Z20" s="586"/>
      <c r="AA20" s="586"/>
    </row>
    <row r="21" spans="1:27" ht="15" x14ac:dyDescent="0.25">
      <c r="A21" s="526" t="s">
        <v>285</v>
      </c>
      <c r="B21" s="628"/>
      <c r="C21" s="628"/>
      <c r="D21" s="628"/>
      <c r="E21" s="628"/>
      <c r="F21" s="628"/>
      <c r="G21" s="628"/>
      <c r="H21" s="31"/>
      <c r="I21" s="587"/>
      <c r="J21" s="587"/>
      <c r="K21" s="587"/>
      <c r="L21" s="509"/>
      <c r="M21" s="510">
        <f t="shared" ref="M21:S21" si="4">(M19-L19)/L19</f>
        <v>-0.89671361502347413</v>
      </c>
      <c r="N21" s="510">
        <f t="shared" si="4"/>
        <v>1.5454545454545454</v>
      </c>
      <c r="O21" s="737">
        <f t="shared" si="4"/>
        <v>-0.10714285714285714</v>
      </c>
      <c r="P21" s="737">
        <f t="shared" si="4"/>
        <v>0</v>
      </c>
      <c r="Q21" s="737">
        <f t="shared" si="4"/>
        <v>-0.6</v>
      </c>
      <c r="R21" s="737">
        <f t="shared" si="4"/>
        <v>0</v>
      </c>
      <c r="S21" s="737">
        <f t="shared" si="4"/>
        <v>0</v>
      </c>
      <c r="T21" s="586"/>
      <c r="U21" s="586"/>
      <c r="V21" s="586"/>
      <c r="W21" s="586"/>
      <c r="X21" s="586"/>
      <c r="Y21" s="586"/>
      <c r="Z21" s="586"/>
      <c r="AA21" s="586"/>
    </row>
    <row r="22" spans="1:27" ht="15" x14ac:dyDescent="0.25">
      <c r="A22" s="40" t="s">
        <v>287</v>
      </c>
      <c r="B22" s="628"/>
      <c r="C22" s="628"/>
      <c r="D22" s="628"/>
      <c r="E22" s="628"/>
      <c r="F22" s="628"/>
      <c r="G22" s="628"/>
      <c r="H22" s="31"/>
      <c r="I22" s="587"/>
      <c r="J22" s="587"/>
      <c r="K22" s="587"/>
      <c r="L22" s="426">
        <v>51</v>
      </c>
      <c r="M22" s="632">
        <v>56</v>
      </c>
      <c r="N22" s="633">
        <v>61</v>
      </c>
      <c r="O22" s="780">
        <f>N22*(1+O24)</f>
        <v>66.490000000000009</v>
      </c>
      <c r="P22" s="780">
        <f t="shared" ref="P22:S22" si="5">O22*(1+P24)</f>
        <v>72.474100000000021</v>
      </c>
      <c r="Q22" s="780">
        <f t="shared" si="5"/>
        <v>78.996769000000029</v>
      </c>
      <c r="R22" s="780">
        <f t="shared" si="5"/>
        <v>86.106478210000034</v>
      </c>
      <c r="S22" s="780">
        <f t="shared" si="5"/>
        <v>93.856061248900048</v>
      </c>
      <c r="T22" s="586"/>
      <c r="U22" s="586"/>
      <c r="V22" s="586"/>
      <c r="W22" s="586"/>
      <c r="X22" s="586"/>
      <c r="Y22" s="586"/>
      <c r="Z22" s="586"/>
      <c r="AA22" s="586"/>
    </row>
    <row r="23" spans="1:27" ht="15" x14ac:dyDescent="0.25">
      <c r="A23" s="526" t="s">
        <v>284</v>
      </c>
      <c r="B23" s="628"/>
      <c r="C23" s="628"/>
      <c r="D23" s="628"/>
      <c r="E23" s="628"/>
      <c r="F23" s="628"/>
      <c r="G23" s="628"/>
      <c r="H23" s="31"/>
      <c r="I23" s="587"/>
      <c r="J23" s="587"/>
      <c r="K23" s="587"/>
      <c r="L23" s="508">
        <f>L22/L62</f>
        <v>6.5544274514843853E-3</v>
      </c>
      <c r="M23" s="508">
        <f t="shared" ref="M23:S23" si="6">M22/M62</f>
        <v>5.7183702644746249E-3</v>
      </c>
      <c r="N23" s="508">
        <f t="shared" si="6"/>
        <v>6.2149770759042282E-3</v>
      </c>
      <c r="O23" s="508">
        <f t="shared" si="6"/>
        <v>6.5506223614864578E-3</v>
      </c>
      <c r="P23" s="508">
        <f t="shared" si="6"/>
        <v>6.8034185152966572E-3</v>
      </c>
      <c r="Q23" s="508">
        <f t="shared" si="6"/>
        <v>6.935508311240908E-3</v>
      </c>
      <c r="R23" s="508">
        <f t="shared" si="6"/>
        <v>7.0178903358483627E-3</v>
      </c>
      <c r="S23" s="508">
        <f t="shared" si="6"/>
        <v>7.0015214119627453E-3</v>
      </c>
      <c r="T23" s="586"/>
      <c r="U23" s="586"/>
      <c r="V23" s="586"/>
      <c r="W23" s="586"/>
      <c r="X23" s="586"/>
      <c r="Y23" s="586"/>
      <c r="Z23" s="586"/>
      <c r="AA23" s="586"/>
    </row>
    <row r="24" spans="1:27" ht="15" x14ac:dyDescent="0.25">
      <c r="A24" s="526" t="s">
        <v>285</v>
      </c>
      <c r="B24" s="628"/>
      <c r="C24" s="628"/>
      <c r="D24" s="628"/>
      <c r="E24" s="628"/>
      <c r="F24" s="628"/>
      <c r="G24" s="628"/>
      <c r="H24" s="31"/>
      <c r="I24" s="587"/>
      <c r="J24" s="587"/>
      <c r="K24" s="587"/>
      <c r="L24" s="509"/>
      <c r="M24" s="510">
        <f>(M22-L22)/L22</f>
        <v>9.8039215686274508E-2</v>
      </c>
      <c r="N24" s="510">
        <f>(N22-M22)/M22</f>
        <v>8.9285714285714288E-2</v>
      </c>
      <c r="O24" s="736">
        <v>0.09</v>
      </c>
      <c r="P24" s="736">
        <v>0.09</v>
      </c>
      <c r="Q24" s="736">
        <v>0.09</v>
      </c>
      <c r="R24" s="736">
        <v>0.09</v>
      </c>
      <c r="S24" s="736">
        <v>0.09</v>
      </c>
      <c r="T24" s="586"/>
      <c r="U24" s="586"/>
      <c r="V24" s="586"/>
      <c r="W24" s="586"/>
      <c r="X24" s="586"/>
      <c r="Y24" s="586"/>
      <c r="Z24" s="586"/>
      <c r="AA24" s="586"/>
    </row>
    <row r="25" spans="1:27" ht="15" x14ac:dyDescent="0.25">
      <c r="A25" s="40" t="s">
        <v>43</v>
      </c>
      <c r="B25" s="628"/>
      <c r="C25" s="628"/>
      <c r="D25" s="628"/>
      <c r="E25" s="628"/>
      <c r="F25" s="628"/>
      <c r="G25" s="628"/>
      <c r="H25" s="635"/>
      <c r="I25" s="587"/>
      <c r="J25" s="587"/>
      <c r="K25" s="587"/>
      <c r="L25" s="426">
        <v>36</v>
      </c>
      <c r="M25" s="632">
        <v>40</v>
      </c>
      <c r="N25" s="633">
        <v>35</v>
      </c>
      <c r="O25" s="636">
        <v>40</v>
      </c>
      <c r="P25" s="636">
        <v>40</v>
      </c>
      <c r="Q25" s="636">
        <v>40</v>
      </c>
      <c r="R25" s="636">
        <v>40</v>
      </c>
      <c r="S25" s="636">
        <v>20</v>
      </c>
      <c r="T25" s="586"/>
      <c r="U25" s="586"/>
      <c r="V25" s="586"/>
      <c r="W25" s="586"/>
      <c r="X25" s="586"/>
      <c r="Y25" s="586"/>
      <c r="Z25" s="586"/>
      <c r="AA25" s="586"/>
    </row>
    <row r="26" spans="1:27" ht="15" x14ac:dyDescent="0.25">
      <c r="A26" s="526" t="s">
        <v>284</v>
      </c>
      <c r="B26" s="628"/>
      <c r="C26" s="628"/>
      <c r="D26" s="628"/>
      <c r="E26" s="628"/>
      <c r="F26" s="628"/>
      <c r="G26" s="628"/>
      <c r="H26" s="31"/>
      <c r="I26" s="587"/>
      <c r="J26" s="587"/>
      <c r="K26" s="587"/>
      <c r="L26" s="508">
        <f>L25/L62</f>
        <v>4.6266546716360367E-3</v>
      </c>
      <c r="M26" s="508">
        <f t="shared" ref="M26" si="7">M25/M62</f>
        <v>4.0845501889104465E-3</v>
      </c>
      <c r="N26" s="508">
        <f>N25/N62</f>
        <v>3.5659704533876719E-3</v>
      </c>
      <c r="O26" s="538">
        <v>4.4999999999999997E-3</v>
      </c>
      <c r="P26" s="538">
        <v>4.4999999999999997E-3</v>
      </c>
      <c r="Q26" s="538">
        <v>4.4999999999999997E-3</v>
      </c>
      <c r="R26" s="538">
        <v>4.4999999999999997E-3</v>
      </c>
      <c r="S26" s="538">
        <v>4.4999999999999997E-3</v>
      </c>
      <c r="T26" s="586"/>
      <c r="U26" s="586"/>
      <c r="V26" s="586"/>
      <c r="W26" s="586"/>
      <c r="X26" s="586"/>
      <c r="Y26" s="586"/>
      <c r="Z26" s="586"/>
      <c r="AA26" s="586"/>
    </row>
    <row r="27" spans="1:27" ht="15" x14ac:dyDescent="0.25">
      <c r="A27" s="526" t="s">
        <v>285</v>
      </c>
      <c r="B27" s="628"/>
      <c r="C27" s="628"/>
      <c r="D27" s="628"/>
      <c r="E27" s="628"/>
      <c r="F27" s="628"/>
      <c r="G27" s="628"/>
      <c r="H27" s="31"/>
      <c r="I27" s="587"/>
      <c r="J27" s="587"/>
      <c r="K27" s="587"/>
      <c r="L27" s="509"/>
      <c r="M27" s="510">
        <f t="shared" ref="M27:S27" si="8">(M25-L25)/L25</f>
        <v>0.1111111111111111</v>
      </c>
      <c r="N27" s="510">
        <f t="shared" si="8"/>
        <v>-0.125</v>
      </c>
      <c r="O27" s="510">
        <f t="shared" si="8"/>
        <v>0.14285714285714285</v>
      </c>
      <c r="P27" s="510">
        <f t="shared" si="8"/>
        <v>0</v>
      </c>
      <c r="Q27" s="510">
        <f t="shared" si="8"/>
        <v>0</v>
      </c>
      <c r="R27" s="510">
        <f t="shared" si="8"/>
        <v>0</v>
      </c>
      <c r="S27" s="510">
        <f t="shared" si="8"/>
        <v>-0.5</v>
      </c>
      <c r="T27" s="586"/>
      <c r="U27" s="586"/>
      <c r="V27" s="586"/>
      <c r="W27" s="586"/>
      <c r="X27" s="586"/>
      <c r="Y27" s="586"/>
      <c r="Z27" s="586"/>
      <c r="AA27" s="586"/>
    </row>
    <row r="28" spans="1:27" ht="15" x14ac:dyDescent="0.25">
      <c r="A28" s="40" t="s">
        <v>44</v>
      </c>
      <c r="B28" s="628"/>
      <c r="C28" s="628"/>
      <c r="D28" s="628"/>
      <c r="E28" s="628"/>
      <c r="F28" s="628"/>
      <c r="G28" s="628"/>
      <c r="H28" s="31"/>
      <c r="I28" s="587"/>
      <c r="J28" s="587"/>
      <c r="K28" s="587"/>
      <c r="L28" s="426">
        <v>4</v>
      </c>
      <c r="M28" s="632">
        <v>7</v>
      </c>
      <c r="N28" s="633">
        <v>3</v>
      </c>
      <c r="O28" s="780">
        <v>3</v>
      </c>
      <c r="P28" s="780">
        <v>3</v>
      </c>
      <c r="Q28" s="780">
        <v>3</v>
      </c>
      <c r="R28" s="780">
        <v>3</v>
      </c>
      <c r="S28" s="780">
        <v>3</v>
      </c>
      <c r="T28" s="586"/>
      <c r="U28" s="586"/>
      <c r="V28" s="586"/>
      <c r="W28" s="586"/>
      <c r="X28" s="586"/>
      <c r="Y28" s="586"/>
      <c r="Z28" s="586"/>
      <c r="AA28" s="586"/>
    </row>
    <row r="29" spans="1:27" ht="15" x14ac:dyDescent="0.25">
      <c r="A29" s="526" t="s">
        <v>284</v>
      </c>
      <c r="B29" s="628"/>
      <c r="C29" s="628"/>
      <c r="D29" s="628"/>
      <c r="E29" s="628"/>
      <c r="F29" s="628"/>
      <c r="G29" s="628"/>
      <c r="H29" s="31"/>
      <c r="I29" s="587"/>
      <c r="J29" s="587"/>
      <c r="K29" s="587"/>
      <c r="L29" s="508">
        <f>L28/L62</f>
        <v>5.1407274129289292E-4</v>
      </c>
      <c r="M29" s="508">
        <f t="shared" ref="M29" si="9">M28/M62</f>
        <v>7.1479628305932811E-4</v>
      </c>
      <c r="N29" s="508">
        <f t="shared" ref="N29:S29" si="10">N28/N62</f>
        <v>3.0565461029037188E-4</v>
      </c>
      <c r="O29" s="508">
        <f t="shared" si="10"/>
        <v>2.9556124356233074E-4</v>
      </c>
      <c r="P29" s="508">
        <f t="shared" si="10"/>
        <v>2.816213729579252E-4</v>
      </c>
      <c r="Q29" s="508">
        <f t="shared" si="10"/>
        <v>2.6338450543113626E-4</v>
      </c>
      <c r="R29" s="508">
        <f t="shared" si="10"/>
        <v>2.4450739880684154E-4</v>
      </c>
      <c r="S29" s="508">
        <f t="shared" si="10"/>
        <v>2.2379550085940134E-4</v>
      </c>
      <c r="T29" s="586"/>
      <c r="U29" s="586"/>
      <c r="V29" s="586"/>
      <c r="W29" s="586"/>
      <c r="X29" s="586"/>
      <c r="Y29" s="586"/>
      <c r="Z29" s="586"/>
      <c r="AA29" s="586"/>
    </row>
    <row r="30" spans="1:27" ht="15" x14ac:dyDescent="0.25">
      <c r="A30" s="526" t="s">
        <v>285</v>
      </c>
      <c r="B30" s="628"/>
      <c r="C30" s="628"/>
      <c r="D30" s="628"/>
      <c r="E30" s="628"/>
      <c r="F30" s="628"/>
      <c r="G30" s="628"/>
      <c r="H30" s="31"/>
      <c r="I30" s="587"/>
      <c r="J30" s="587"/>
      <c r="K30" s="587"/>
      <c r="L30" s="509"/>
      <c r="M30" s="510">
        <f t="shared" ref="M30:S30" si="11">(M28-L28)/L28</f>
        <v>0.75</v>
      </c>
      <c r="N30" s="510">
        <f t="shared" si="11"/>
        <v>-0.5714285714285714</v>
      </c>
      <c r="O30" s="510">
        <f t="shared" si="11"/>
        <v>0</v>
      </c>
      <c r="P30" s="510">
        <f t="shared" si="11"/>
        <v>0</v>
      </c>
      <c r="Q30" s="510">
        <f t="shared" si="11"/>
        <v>0</v>
      </c>
      <c r="R30" s="510">
        <f t="shared" si="11"/>
        <v>0</v>
      </c>
      <c r="S30" s="510">
        <f t="shared" si="11"/>
        <v>0</v>
      </c>
      <c r="T30" s="586"/>
      <c r="U30" s="586"/>
      <c r="V30" s="586"/>
      <c r="W30" s="586"/>
      <c r="X30" s="586"/>
      <c r="Y30" s="586"/>
      <c r="Z30" s="586"/>
      <c r="AA30" s="586"/>
    </row>
    <row r="31" spans="1:27" ht="15" x14ac:dyDescent="0.25">
      <c r="A31" s="638" t="s">
        <v>45</v>
      </c>
      <c r="B31" s="639"/>
      <c r="C31" s="639"/>
      <c r="D31" s="639"/>
      <c r="E31" s="639"/>
      <c r="F31" s="639"/>
      <c r="G31" s="639"/>
      <c r="H31" s="640"/>
      <c r="I31" s="587"/>
      <c r="J31" s="587"/>
      <c r="K31" s="587"/>
      <c r="L31" s="641">
        <v>5</v>
      </c>
      <c r="M31" s="642">
        <v>5</v>
      </c>
      <c r="N31" s="643">
        <v>32</v>
      </c>
      <c r="O31" s="629">
        <v>30</v>
      </c>
      <c r="P31" s="629">
        <v>5</v>
      </c>
      <c r="Q31" s="629">
        <v>5</v>
      </c>
      <c r="R31" s="629">
        <v>5</v>
      </c>
      <c r="S31" s="629">
        <v>5</v>
      </c>
      <c r="T31" s="586"/>
      <c r="U31" s="586"/>
      <c r="V31" s="586"/>
      <c r="W31" s="586"/>
      <c r="X31" s="586"/>
      <c r="Y31" s="586"/>
      <c r="Z31" s="586"/>
      <c r="AA31" s="586"/>
    </row>
    <row r="32" spans="1:27" ht="15" x14ac:dyDescent="0.25">
      <c r="A32" s="526" t="s">
        <v>284</v>
      </c>
      <c r="B32" s="639"/>
      <c r="C32" s="639"/>
      <c r="D32" s="639"/>
      <c r="E32" s="639"/>
      <c r="F32" s="639"/>
      <c r="G32" s="639"/>
      <c r="H32" s="640"/>
      <c r="I32" s="587"/>
      <c r="J32" s="587"/>
      <c r="K32" s="587"/>
      <c r="L32" s="512">
        <f>L31/L62</f>
        <v>6.4259092661611615E-4</v>
      </c>
      <c r="M32" s="512">
        <f t="shared" ref="M32" si="12">M31/M62</f>
        <v>5.1056877361380581E-4</v>
      </c>
      <c r="N32" s="512">
        <f t="shared" ref="N32:S32" si="13">N31/N62</f>
        <v>3.2603158430973E-3</v>
      </c>
      <c r="O32" s="508">
        <f t="shared" si="13"/>
        <v>2.9556124356233072E-3</v>
      </c>
      <c r="P32" s="508">
        <f t="shared" si="13"/>
        <v>4.6936895492987531E-4</v>
      </c>
      <c r="Q32" s="508">
        <f t="shared" si="13"/>
        <v>4.3897417571856043E-4</v>
      </c>
      <c r="R32" s="508">
        <f t="shared" si="13"/>
        <v>4.0751233134473589E-4</v>
      </c>
      <c r="S32" s="508">
        <f t="shared" si="13"/>
        <v>3.7299250143233559E-4</v>
      </c>
      <c r="T32" s="586"/>
      <c r="U32" s="586"/>
      <c r="V32" s="586"/>
      <c r="W32" s="626"/>
      <c r="X32" s="626"/>
      <c r="Y32" s="626"/>
      <c r="Z32" s="586"/>
      <c r="AA32" s="586"/>
    </row>
    <row r="33" spans="1:30" ht="15" x14ac:dyDescent="0.25">
      <c r="A33" s="526" t="s">
        <v>285</v>
      </c>
      <c r="B33" s="639"/>
      <c r="C33" s="639"/>
      <c r="D33" s="639"/>
      <c r="E33" s="639"/>
      <c r="F33" s="639"/>
      <c r="G33" s="639"/>
      <c r="H33" s="644"/>
      <c r="I33" s="589"/>
      <c r="J33" s="589"/>
      <c r="K33" s="589"/>
      <c r="L33" s="513"/>
      <c r="M33" s="514">
        <f>(M31-L31)/L31</f>
        <v>0</v>
      </c>
      <c r="N33" s="514">
        <f>(N31-M31)/M31</f>
        <v>5.4</v>
      </c>
      <c r="O33" s="510">
        <f>(O31-N31)/N31</f>
        <v>-6.25E-2</v>
      </c>
      <c r="P33" s="510">
        <f>(P31-O31)/O31</f>
        <v>-0.83333333333333337</v>
      </c>
      <c r="Q33" s="510">
        <f t="shared" ref="Q33:S33" si="14">(Q31-P31)/P31</f>
        <v>0</v>
      </c>
      <c r="R33" s="510">
        <f t="shared" si="14"/>
        <v>0</v>
      </c>
      <c r="S33" s="510">
        <f t="shared" si="14"/>
        <v>0</v>
      </c>
      <c r="T33" s="586"/>
      <c r="U33" s="586"/>
      <c r="V33" s="586"/>
      <c r="W33" s="626"/>
      <c r="X33" s="626"/>
      <c r="Y33" s="626"/>
      <c r="Z33" s="586"/>
      <c r="AA33" s="586"/>
      <c r="AB33" s="586"/>
      <c r="AC33" s="586"/>
      <c r="AD33" s="586"/>
    </row>
    <row r="34" spans="1:30" ht="15.6" x14ac:dyDescent="0.3">
      <c r="A34" s="646" t="s">
        <v>46</v>
      </c>
      <c r="B34" s="647"/>
      <c r="C34" s="647"/>
      <c r="D34" s="647"/>
      <c r="E34" s="647"/>
      <c r="F34" s="647"/>
      <c r="G34" s="647"/>
      <c r="H34" s="648"/>
      <c r="I34" s="587"/>
      <c r="J34" s="587"/>
      <c r="K34" s="587"/>
      <c r="L34" s="649">
        <v>4264</v>
      </c>
      <c r="M34" s="650">
        <v>4452</v>
      </c>
      <c r="N34" s="650">
        <v>4928</v>
      </c>
      <c r="O34" s="817">
        <f>O13+O16+O19+O22+O25+O28+O31</f>
        <v>5589.39</v>
      </c>
      <c r="P34" s="817">
        <f>P13+P16+P19+P22+P25+P28+P31</f>
        <v>6347.9641000000011</v>
      </c>
      <c r="Q34" s="817">
        <f>Q13+Q16+Q19+Q22+Q25+Q28+Q31</f>
        <v>6877.6129690000016</v>
      </c>
      <c r="R34" s="817">
        <f>R13+R16+R19+R22+R25+R28+R31</f>
        <v>7624.621090210002</v>
      </c>
      <c r="S34" s="817">
        <f>S13+S16+S19+S22+S25+S28+S31</f>
        <v>8392.7093259689009</v>
      </c>
      <c r="T34" s="586"/>
      <c r="U34" s="586"/>
      <c r="V34" s="586"/>
      <c r="W34" s="626"/>
      <c r="X34" s="626"/>
      <c r="Y34" s="626"/>
      <c r="Z34" s="586"/>
      <c r="AA34" s="586"/>
      <c r="AB34" s="586"/>
      <c r="AC34" s="586"/>
      <c r="AD34" s="586"/>
    </row>
    <row r="35" spans="1:30" ht="15" x14ac:dyDescent="0.25">
      <c r="A35" s="526" t="s">
        <v>284</v>
      </c>
      <c r="B35" s="639"/>
      <c r="C35" s="639"/>
      <c r="D35" s="639"/>
      <c r="E35" s="639"/>
      <c r="F35" s="639"/>
      <c r="G35" s="639"/>
      <c r="H35" s="640"/>
      <c r="I35" s="587"/>
      <c r="J35" s="587"/>
      <c r="K35" s="587"/>
      <c r="L35" s="512">
        <f>L34/L62</f>
        <v>0.54800154221822384</v>
      </c>
      <c r="M35" s="512">
        <f t="shared" ref="M35:N35" si="15">M34/M62</f>
        <v>0.45461043602573264</v>
      </c>
      <c r="N35" s="512">
        <f t="shared" si="15"/>
        <v>0.50208863983698426</v>
      </c>
      <c r="O35" s="508">
        <f>O34/O62</f>
        <v>0.5506690197182853</v>
      </c>
      <c r="P35" s="508">
        <f>P34/P62</f>
        <v>0.59590745510987342</v>
      </c>
      <c r="Q35" s="508">
        <f>Q34/Q62</f>
        <v>0.6038188967956114</v>
      </c>
      <c r="R35" s="508">
        <f>R34/R62</f>
        <v>0.62142542321834393</v>
      </c>
      <c r="S35" s="508">
        <f>S34/S62</f>
        <v>0.62608352905752629</v>
      </c>
      <c r="T35" s="586"/>
      <c r="U35" s="586"/>
      <c r="V35" s="586"/>
      <c r="W35" s="626"/>
      <c r="X35" s="626"/>
      <c r="Y35" s="626"/>
      <c r="Z35" s="586"/>
      <c r="AA35" s="586"/>
      <c r="AB35" s="586"/>
      <c r="AC35" s="586"/>
      <c r="AD35" s="586"/>
    </row>
    <row r="36" spans="1:30" ht="15" x14ac:dyDescent="0.25">
      <c r="A36" s="526" t="s">
        <v>285</v>
      </c>
      <c r="B36" s="639"/>
      <c r="C36" s="639"/>
      <c r="D36" s="639"/>
      <c r="E36" s="639"/>
      <c r="F36" s="639"/>
      <c r="G36" s="639"/>
      <c r="H36" s="640"/>
      <c r="I36" s="587"/>
      <c r="J36" s="587"/>
      <c r="K36" s="587"/>
      <c r="L36" s="513"/>
      <c r="M36" s="514">
        <f t="shared" ref="M36:O36" si="16">(M34-L34)/L34</f>
        <v>4.4090056285178238E-2</v>
      </c>
      <c r="N36" s="514">
        <f t="shared" si="16"/>
        <v>0.1069182389937107</v>
      </c>
      <c r="O36" s="510">
        <f t="shared" si="16"/>
        <v>0.13421063311688319</v>
      </c>
      <c r="P36" s="510">
        <f>(P34-O34)/O34</f>
        <v>0.1357167955716099</v>
      </c>
      <c r="Q36" s="510">
        <f>(Q34-P34)/P34</f>
        <v>8.3436021479705663E-2</v>
      </c>
      <c r="R36" s="510">
        <f>(R34-Q34)/Q34</f>
        <v>0.10861444582256198</v>
      </c>
      <c r="S36" s="510">
        <f>(S34-R34)/R34</f>
        <v>0.1007378893549376</v>
      </c>
      <c r="T36" s="586"/>
      <c r="U36" s="586"/>
      <c r="V36" s="586"/>
      <c r="W36" s="626"/>
      <c r="X36" s="626"/>
      <c r="Y36" s="626"/>
      <c r="Z36" s="586"/>
      <c r="AA36" s="586"/>
      <c r="AB36" s="586"/>
      <c r="AC36" s="586"/>
      <c r="AD36" s="586"/>
    </row>
    <row r="37" spans="1:30" ht="15.6" x14ac:dyDescent="0.3">
      <c r="A37" s="39"/>
      <c r="B37" s="628"/>
      <c r="C37" s="628"/>
      <c r="D37" s="628"/>
      <c r="E37" s="628"/>
      <c r="F37" s="628"/>
      <c r="G37" s="628"/>
      <c r="H37" s="31"/>
      <c r="I37" s="587"/>
      <c r="J37" s="587"/>
      <c r="K37" s="587"/>
      <c r="L37" s="628"/>
      <c r="M37" s="631"/>
      <c r="N37" s="42"/>
      <c r="O37" s="629"/>
      <c r="P37" s="629"/>
      <c r="Q37" s="629"/>
      <c r="R37" s="629"/>
      <c r="S37" s="629"/>
      <c r="T37" s="586"/>
      <c r="U37" s="586"/>
      <c r="V37" s="586"/>
      <c r="W37" s="626"/>
      <c r="X37" s="626"/>
      <c r="Y37" s="626"/>
      <c r="Z37" s="586"/>
      <c r="AA37" s="586"/>
      <c r="AB37" s="586"/>
      <c r="AC37" s="586"/>
      <c r="AD37" s="586"/>
    </row>
    <row r="38" spans="1:30" ht="15.6" x14ac:dyDescent="0.3">
      <c r="A38" s="39" t="s">
        <v>288</v>
      </c>
      <c r="B38" s="628"/>
      <c r="C38" s="628"/>
      <c r="D38" s="628"/>
      <c r="E38" s="628"/>
      <c r="F38" s="628"/>
      <c r="G38" s="628"/>
      <c r="H38" s="31"/>
      <c r="I38" s="587"/>
      <c r="J38" s="587"/>
      <c r="K38" s="587"/>
      <c r="L38" s="628"/>
      <c r="M38" s="631"/>
      <c r="N38" s="42"/>
      <c r="O38" s="629"/>
      <c r="P38" s="629"/>
      <c r="Q38" s="629"/>
      <c r="R38" s="629"/>
      <c r="S38" s="629"/>
      <c r="T38" s="586"/>
      <c r="U38" s="586"/>
      <c r="V38" s="586"/>
      <c r="W38" s="586"/>
      <c r="X38" s="586"/>
      <c r="Y38" s="586"/>
      <c r="Z38" s="586"/>
      <c r="AA38" s="586"/>
      <c r="AB38" s="586"/>
      <c r="AC38" s="586"/>
      <c r="AD38" s="586"/>
    </row>
    <row r="39" spans="1:30" ht="15" x14ac:dyDescent="0.25">
      <c r="A39" s="40" t="s">
        <v>48</v>
      </c>
      <c r="B39" s="628"/>
      <c r="C39" s="628"/>
      <c r="D39" s="628"/>
      <c r="E39" s="628"/>
      <c r="F39" s="628"/>
      <c r="G39" s="628"/>
      <c r="H39" s="31"/>
      <c r="I39" s="587"/>
      <c r="J39" s="587"/>
      <c r="K39" s="587"/>
      <c r="L39" s="427">
        <v>1551</v>
      </c>
      <c r="M39" s="632">
        <v>1678</v>
      </c>
      <c r="N39" s="632">
        <v>1829</v>
      </c>
      <c r="O39" s="780">
        <f>12.2%*O145</f>
        <v>1450.825464</v>
      </c>
      <c r="P39" s="780">
        <f>12.2%*P145</f>
        <v>1534.8357132000001</v>
      </c>
      <c r="Q39" s="780">
        <f>10.6%*Q145</f>
        <v>1466.9003619600003</v>
      </c>
      <c r="R39" s="780">
        <f>10.6%*R145</f>
        <v>1642.9284053952003</v>
      </c>
      <c r="S39" s="780">
        <f>10.6%*S145</f>
        <v>1889.3676662044804</v>
      </c>
      <c r="T39" s="586"/>
      <c r="U39" s="586"/>
      <c r="V39" s="586"/>
      <c r="W39" s="588">
        <f t="shared" ref="W39:AC39" si="17">L39/L145</f>
        <v>0.10396836037002279</v>
      </c>
      <c r="X39" s="588">
        <f t="shared" si="17"/>
        <v>0.10593434343434344</v>
      </c>
      <c r="Y39" s="588">
        <f t="shared" si="17"/>
        <v>0.15564632797208749</v>
      </c>
      <c r="Z39" s="588">
        <f t="shared" si="17"/>
        <v>0.122</v>
      </c>
      <c r="AA39" s="588">
        <f t="shared" si="17"/>
        <v>0.12200000000000001</v>
      </c>
      <c r="AB39" s="588">
        <f t="shared" si="17"/>
        <v>0.106</v>
      </c>
      <c r="AC39" s="588">
        <f t="shared" si="17"/>
        <v>0.106</v>
      </c>
      <c r="AD39" s="586" t="s">
        <v>289</v>
      </c>
    </row>
    <row r="40" spans="1:30" ht="15" x14ac:dyDescent="0.25">
      <c r="A40" s="526" t="s">
        <v>284</v>
      </c>
      <c r="B40" s="628"/>
      <c r="C40" s="628"/>
      <c r="D40" s="628"/>
      <c r="E40" s="628"/>
      <c r="F40" s="628"/>
      <c r="G40" s="628"/>
      <c r="H40" s="31"/>
      <c r="I40" s="587"/>
      <c r="J40" s="587"/>
      <c r="K40" s="587"/>
      <c r="L40" s="508">
        <f>L39/L62</f>
        <v>0.19933170543631923</v>
      </c>
      <c r="M40" s="508">
        <f t="shared" ref="M40:N40" si="18">M39/M62</f>
        <v>0.17134688042479321</v>
      </c>
      <c r="N40" s="508">
        <f t="shared" si="18"/>
        <v>0.18634742740703006</v>
      </c>
      <c r="O40" s="508">
        <f>O39/O62</f>
        <v>0.14293592611057851</v>
      </c>
      <c r="P40" s="508">
        <f>P39/P62</f>
        <v>0.14408084693874679</v>
      </c>
      <c r="Q40" s="508">
        <f>Q39/Q62</f>
        <v>0.12878627545052981</v>
      </c>
      <c r="R40" s="508">
        <f>R39/R62</f>
        <v>0.13390271694301747</v>
      </c>
      <c r="S40" s="508">
        <f>S39/S62</f>
        <v>0.14094399438859664</v>
      </c>
      <c r="T40" s="586"/>
      <c r="U40" s="586"/>
      <c r="V40" s="586"/>
      <c r="W40" s="586"/>
      <c r="X40" s="586"/>
      <c r="Y40" s="586" t="s">
        <v>290</v>
      </c>
      <c r="Z40" s="740">
        <f>AVERAGE(W39:Y39)</f>
        <v>0.1218496772588179</v>
      </c>
      <c r="AA40" s="586"/>
      <c r="AB40" s="586" t="s">
        <v>291</v>
      </c>
      <c r="AC40" s="586"/>
      <c r="AD40" s="586"/>
    </row>
    <row r="41" spans="1:30" ht="15" x14ac:dyDescent="0.25">
      <c r="A41" s="526" t="s">
        <v>285</v>
      </c>
      <c r="B41" s="628"/>
      <c r="C41" s="628"/>
      <c r="D41" s="628"/>
      <c r="E41" s="628"/>
      <c r="F41" s="628"/>
      <c r="G41" s="628"/>
      <c r="H41" s="31"/>
      <c r="I41" s="587"/>
      <c r="J41" s="587"/>
      <c r="K41" s="587"/>
      <c r="L41" s="509"/>
      <c r="M41" s="510">
        <f t="shared" ref="M41:S41" si="19">(M39-L39)/L39</f>
        <v>8.1882656350741462E-2</v>
      </c>
      <c r="N41" s="510">
        <f t="shared" si="19"/>
        <v>8.9988081048867699E-2</v>
      </c>
      <c r="O41" s="510">
        <f t="shared" si="19"/>
        <v>-0.20676573865500272</v>
      </c>
      <c r="P41" s="510">
        <f t="shared" si="19"/>
        <v>5.790513833992101E-2</v>
      </c>
      <c r="Q41" s="510">
        <f t="shared" si="19"/>
        <v>-4.4262295081967093E-2</v>
      </c>
      <c r="R41" s="510">
        <f t="shared" si="19"/>
        <v>0.12000000000000002</v>
      </c>
      <c r="S41" s="510">
        <f t="shared" si="19"/>
        <v>0.15000000000000002</v>
      </c>
      <c r="T41" s="586"/>
      <c r="U41" s="586"/>
      <c r="V41" s="586"/>
      <c r="W41" s="586"/>
      <c r="X41" s="586"/>
      <c r="Y41" s="586"/>
      <c r="Z41" s="586"/>
      <c r="AA41" s="586"/>
      <c r="AB41" s="586"/>
      <c r="AC41" s="586"/>
      <c r="AD41" s="586"/>
    </row>
    <row r="42" spans="1:30" ht="15" x14ac:dyDescent="0.25">
      <c r="A42" s="40" t="s">
        <v>292</v>
      </c>
      <c r="B42" s="628"/>
      <c r="C42" s="628"/>
      <c r="D42" s="628"/>
      <c r="E42" s="628"/>
      <c r="F42" s="628"/>
      <c r="G42" s="628"/>
      <c r="H42" s="31"/>
      <c r="I42" s="587"/>
      <c r="J42" s="587"/>
      <c r="K42" s="587"/>
      <c r="L42" s="427">
        <v>1096</v>
      </c>
      <c r="M42" s="632">
        <v>1915</v>
      </c>
      <c r="N42" s="632">
        <v>1208</v>
      </c>
      <c r="O42" s="780">
        <f>10%*O145</f>
        <v>1189.2012000000002</v>
      </c>
      <c r="P42" s="780">
        <f>10%*P145</f>
        <v>1258.0620600000002</v>
      </c>
      <c r="Q42" s="780">
        <f>10%*Q145</f>
        <v>1383.8682660000004</v>
      </c>
      <c r="R42" s="780">
        <f>10%*R145</f>
        <v>1549.9324579200004</v>
      </c>
      <c r="S42" s="780">
        <f>10%*S145</f>
        <v>1782.4223266080005</v>
      </c>
      <c r="T42" s="586"/>
      <c r="U42" s="586"/>
      <c r="V42" s="586"/>
      <c r="W42" s="588">
        <f t="shared" ref="W42:AC42" si="20">L42/L145</f>
        <v>7.3468293336908436E-2</v>
      </c>
      <c r="X42" s="588">
        <f t="shared" si="20"/>
        <v>0.12089646464646464</v>
      </c>
      <c r="Y42" s="588">
        <f t="shared" si="20"/>
        <v>0.10279976172240661</v>
      </c>
      <c r="Z42" s="588">
        <f t="shared" si="20"/>
        <v>0.1</v>
      </c>
      <c r="AA42" s="588">
        <f t="shared" si="20"/>
        <v>0.10000000000000002</v>
      </c>
      <c r="AB42" s="588">
        <f t="shared" si="20"/>
        <v>0.10000000000000002</v>
      </c>
      <c r="AC42" s="588">
        <f t="shared" si="20"/>
        <v>0.1</v>
      </c>
      <c r="AD42" s="586"/>
    </row>
    <row r="43" spans="1:30" ht="15" x14ac:dyDescent="0.25">
      <c r="A43" s="526" t="s">
        <v>284</v>
      </c>
      <c r="B43" s="628"/>
      <c r="C43" s="628"/>
      <c r="D43" s="628"/>
      <c r="E43" s="628"/>
      <c r="F43" s="628"/>
      <c r="G43" s="628"/>
      <c r="H43" s="31"/>
      <c r="I43" s="587"/>
      <c r="J43" s="587"/>
      <c r="K43" s="587"/>
      <c r="L43" s="508">
        <f>L42/L62</f>
        <v>0.14085593111425268</v>
      </c>
      <c r="M43" s="508">
        <f t="shared" ref="M43:N43" si="21">M42/M62</f>
        <v>0.19554784029408762</v>
      </c>
      <c r="N43" s="508">
        <f t="shared" si="21"/>
        <v>0.12307692307692308</v>
      </c>
      <c r="O43" s="508">
        <f>O42/O62</f>
        <v>0.11716059517260534</v>
      </c>
      <c r="P43" s="508">
        <f>P42/P62</f>
        <v>0.11809905486782524</v>
      </c>
      <c r="Q43" s="508">
        <f>Q42/Q62</f>
        <v>0.12149648627408474</v>
      </c>
      <c r="R43" s="508">
        <f>R42/R62</f>
        <v>0.12632331787077122</v>
      </c>
      <c r="S43" s="508">
        <f>S42/S62</f>
        <v>0.13296603244207231</v>
      </c>
      <c r="T43" s="586"/>
      <c r="U43" s="586"/>
      <c r="V43" s="586"/>
      <c r="W43" s="586"/>
      <c r="X43" s="586"/>
      <c r="Y43" s="586"/>
      <c r="Z43" s="586"/>
      <c r="AA43" s="586"/>
      <c r="AB43" s="586"/>
      <c r="AC43" s="586"/>
      <c r="AD43" s="586"/>
    </row>
    <row r="44" spans="1:30" ht="15" x14ac:dyDescent="0.25">
      <c r="A44" s="526" t="s">
        <v>285</v>
      </c>
      <c r="B44" s="628"/>
      <c r="C44" s="628"/>
      <c r="D44" s="628"/>
      <c r="E44" s="628"/>
      <c r="F44" s="628"/>
      <c r="G44" s="628"/>
      <c r="H44" s="31"/>
      <c r="I44" s="587"/>
      <c r="J44" s="587"/>
      <c r="K44" s="587"/>
      <c r="L44" s="509"/>
      <c r="M44" s="510">
        <f t="shared" ref="M44:S44" si="22">(M42-L42)/L42</f>
        <v>0.74726277372262773</v>
      </c>
      <c r="N44" s="510">
        <f t="shared" si="22"/>
        <v>-0.36919060052219321</v>
      </c>
      <c r="O44" s="510">
        <f t="shared" si="22"/>
        <v>-1.5561920529801159E-2</v>
      </c>
      <c r="P44" s="510">
        <f t="shared" si="22"/>
        <v>5.790513833992094E-2</v>
      </c>
      <c r="Q44" s="510">
        <f t="shared" si="22"/>
        <v>0.10000000000000014</v>
      </c>
      <c r="R44" s="510">
        <f t="shared" si="22"/>
        <v>0.11999999999999995</v>
      </c>
      <c r="S44" s="510">
        <f t="shared" si="22"/>
        <v>0.15000000000000005</v>
      </c>
      <c r="T44" s="586"/>
      <c r="U44" s="586"/>
      <c r="V44" s="586"/>
      <c r="W44" s="586"/>
      <c r="X44" s="586"/>
      <c r="Y44" s="586"/>
      <c r="Z44" s="586"/>
      <c r="AA44" s="586"/>
      <c r="AB44" s="586"/>
      <c r="AC44" s="586"/>
      <c r="AD44" s="586"/>
    </row>
    <row r="45" spans="1:30" ht="15" x14ac:dyDescent="0.25">
      <c r="A45" s="40" t="s">
        <v>44</v>
      </c>
      <c r="B45" s="628"/>
      <c r="C45" s="628"/>
      <c r="D45" s="628"/>
      <c r="E45" s="628"/>
      <c r="F45" s="628"/>
      <c r="G45" s="628"/>
      <c r="H45" s="31"/>
      <c r="I45" s="587"/>
      <c r="J45" s="587"/>
      <c r="K45" s="587"/>
      <c r="L45" s="426">
        <v>86</v>
      </c>
      <c r="M45" s="632">
        <v>236</v>
      </c>
      <c r="N45" s="632">
        <v>260</v>
      </c>
      <c r="O45" s="629">
        <f>N45*(1+O47)</f>
        <v>286</v>
      </c>
      <c r="P45" s="780">
        <f>O45*(1+P47)</f>
        <v>314.60000000000002</v>
      </c>
      <c r="Q45" s="780">
        <f>P45*(1+Q47)</f>
        <v>346.06000000000006</v>
      </c>
      <c r="R45" s="780">
        <f>Q45*(1+R47)</f>
        <v>380.66600000000011</v>
      </c>
      <c r="S45" s="780">
        <f>R45*(1+S47)</f>
        <v>418.73260000000016</v>
      </c>
      <c r="T45" s="586"/>
      <c r="U45" s="586"/>
      <c r="V45" s="586"/>
      <c r="W45" s="586"/>
      <c r="X45" s="586"/>
      <c r="Y45" s="586"/>
      <c r="Z45" s="586"/>
      <c r="AA45" s="586"/>
      <c r="AB45" s="586"/>
      <c r="AC45" s="586"/>
      <c r="AD45" s="586"/>
    </row>
    <row r="46" spans="1:30" ht="15" x14ac:dyDescent="0.25">
      <c r="A46" s="526" t="s">
        <v>284</v>
      </c>
      <c r="B46" s="628"/>
      <c r="C46" s="628"/>
      <c r="D46" s="628"/>
      <c r="E46" s="628"/>
      <c r="F46" s="628"/>
      <c r="G46" s="628"/>
      <c r="H46" s="31"/>
      <c r="I46" s="587"/>
      <c r="J46" s="587"/>
      <c r="K46" s="587"/>
      <c r="L46" s="508">
        <f t="shared" ref="L46:S46" si="23">L45/L62</f>
        <v>1.1052563937797199E-2</v>
      </c>
      <c r="M46" s="508">
        <f t="shared" si="23"/>
        <v>2.4098846114571634E-2</v>
      </c>
      <c r="N46" s="508">
        <f t="shared" si="23"/>
        <v>2.6490066225165563E-2</v>
      </c>
      <c r="O46" s="508">
        <f t="shared" si="23"/>
        <v>2.8176838552942195E-2</v>
      </c>
      <c r="P46" s="508">
        <f t="shared" si="23"/>
        <v>2.9532694644187757E-2</v>
      </c>
      <c r="Q46" s="508">
        <f t="shared" si="23"/>
        <v>3.0382280649833011E-2</v>
      </c>
      <c r="R46" s="508">
        <f t="shared" si="23"/>
        <v>3.1025217824735055E-2</v>
      </c>
      <c r="S46" s="508">
        <f t="shared" si="23"/>
        <v>3.1236823981053131E-2</v>
      </c>
      <c r="T46" s="739"/>
      <c r="U46" s="739"/>
      <c r="V46" s="739"/>
      <c r="W46" s="586"/>
      <c r="X46" s="586"/>
      <c r="Y46" s="586"/>
      <c r="Z46" s="586"/>
      <c r="AA46" s="586"/>
      <c r="AB46" s="586"/>
      <c r="AC46" s="586"/>
      <c r="AD46" s="586"/>
    </row>
    <row r="47" spans="1:30" ht="15" x14ac:dyDescent="0.25">
      <c r="A47" s="526" t="s">
        <v>285</v>
      </c>
      <c r="B47" s="628"/>
      <c r="C47" s="628"/>
      <c r="D47" s="628"/>
      <c r="E47" s="628"/>
      <c r="F47" s="628"/>
      <c r="G47" s="628"/>
      <c r="H47" s="31"/>
      <c r="I47" s="587"/>
      <c r="J47" s="587"/>
      <c r="K47" s="587"/>
      <c r="L47" s="509"/>
      <c r="M47" s="510">
        <f>(M45-L45)/L45</f>
        <v>1.7441860465116279</v>
      </c>
      <c r="N47" s="510">
        <f>(N45-M45)/M45</f>
        <v>0.10169491525423729</v>
      </c>
      <c r="O47" s="736">
        <v>0.1</v>
      </c>
      <c r="P47" s="736">
        <v>0.1</v>
      </c>
      <c r="Q47" s="736">
        <v>0.1</v>
      </c>
      <c r="R47" s="736">
        <v>0.1</v>
      </c>
      <c r="S47" s="736">
        <v>0.1</v>
      </c>
      <c r="T47" s="586"/>
      <c r="U47" s="586"/>
      <c r="V47" s="586"/>
      <c r="W47" s="586"/>
      <c r="X47" s="586"/>
      <c r="Y47" s="586"/>
      <c r="Z47" s="586"/>
      <c r="AA47" s="586"/>
      <c r="AB47" s="586"/>
      <c r="AC47" s="586"/>
      <c r="AD47" s="586"/>
    </row>
    <row r="48" spans="1:30" ht="15" x14ac:dyDescent="0.25">
      <c r="A48" s="40" t="s">
        <v>293</v>
      </c>
      <c r="B48" s="628"/>
      <c r="C48" s="628"/>
      <c r="D48" s="628"/>
      <c r="E48" s="628"/>
      <c r="F48" s="628"/>
      <c r="G48" s="628"/>
      <c r="H48" s="31"/>
      <c r="I48" s="587"/>
      <c r="J48" s="587"/>
      <c r="K48" s="587"/>
      <c r="L48" s="426">
        <v>0</v>
      </c>
      <c r="M48" s="632">
        <v>19</v>
      </c>
      <c r="N48" s="632">
        <v>20</v>
      </c>
      <c r="O48" s="629">
        <f>N48*(1+O50)</f>
        <v>21</v>
      </c>
      <c r="P48" s="780">
        <f>O48*(1+P50)</f>
        <v>22.05</v>
      </c>
      <c r="Q48" s="780">
        <f>P48*(1+Q50)</f>
        <v>23.152500000000003</v>
      </c>
      <c r="R48" s="780">
        <f>Q48*(1+R50)</f>
        <v>24.310125000000003</v>
      </c>
      <c r="S48" s="780">
        <f>R48*(1+S50)</f>
        <v>25.525631250000004</v>
      </c>
      <c r="T48" s="586"/>
      <c r="U48" s="586"/>
      <c r="V48" s="586"/>
      <c r="W48" s="586"/>
      <c r="X48" s="586"/>
      <c r="Y48" s="586"/>
      <c r="Z48" s="586"/>
      <c r="AA48" s="586"/>
      <c r="AB48" s="586"/>
      <c r="AC48" s="586"/>
      <c r="AD48" s="586"/>
    </row>
    <row r="49" spans="1:31" ht="15" x14ac:dyDescent="0.25">
      <c r="A49" s="526" t="s">
        <v>284</v>
      </c>
      <c r="B49" s="628"/>
      <c r="C49" s="628"/>
      <c r="D49" s="628"/>
      <c r="E49" s="628"/>
      <c r="F49" s="628"/>
      <c r="G49" s="628"/>
      <c r="H49" s="31"/>
      <c r="I49" s="587"/>
      <c r="J49" s="587"/>
      <c r="K49" s="587"/>
      <c r="L49" s="508">
        <f>L48/L62</f>
        <v>0</v>
      </c>
      <c r="M49" s="508">
        <f t="shared" ref="M49:N49" si="24">M48/M62</f>
        <v>1.9401613397324619E-3</v>
      </c>
      <c r="N49" s="508">
        <f t="shared" si="24"/>
        <v>2.0376974019358125E-3</v>
      </c>
      <c r="O49" s="508">
        <f>O48/O62</f>
        <v>2.0689287049363153E-3</v>
      </c>
      <c r="P49" s="508">
        <f>P48/P62</f>
        <v>2.0699170912407503E-3</v>
      </c>
      <c r="Q49" s="508">
        <f>Q48/Q62</f>
        <v>2.0326699206647944E-3</v>
      </c>
      <c r="R49" s="508">
        <f>R48/R62</f>
        <v>1.9813351428063898E-3</v>
      </c>
      <c r="S49" s="508">
        <f>S48/S62</f>
        <v>1.9041738101153792E-3</v>
      </c>
      <c r="T49" s="586"/>
      <c r="U49" s="586"/>
      <c r="V49" s="586"/>
      <c r="W49" s="586"/>
      <c r="X49" s="586"/>
      <c r="Y49" s="586"/>
      <c r="Z49" s="586"/>
      <c r="AA49" s="586"/>
      <c r="AB49" s="586"/>
      <c r="AC49" s="586"/>
      <c r="AD49" s="586"/>
      <c r="AE49" s="586"/>
    </row>
    <row r="50" spans="1:31" ht="15" x14ac:dyDescent="0.25">
      <c r="A50" s="526" t="s">
        <v>285</v>
      </c>
      <c r="B50" s="628"/>
      <c r="C50" s="628"/>
      <c r="D50" s="628"/>
      <c r="E50" s="628"/>
      <c r="F50" s="628"/>
      <c r="G50" s="628"/>
      <c r="H50" s="31"/>
      <c r="I50" s="587"/>
      <c r="J50" s="587"/>
      <c r="K50" s="587"/>
      <c r="L50" s="509"/>
      <c r="M50" s="510"/>
      <c r="N50" s="510">
        <f>(N48-M48)/M48</f>
        <v>5.2631578947368418E-2</v>
      </c>
      <c r="O50" s="736">
        <v>0.05</v>
      </c>
      <c r="P50" s="736">
        <v>0.05</v>
      </c>
      <c r="Q50" s="736">
        <v>0.05</v>
      </c>
      <c r="R50" s="736">
        <v>0.05</v>
      </c>
      <c r="S50" s="736">
        <v>0.05</v>
      </c>
      <c r="T50" s="586"/>
      <c r="U50" s="586"/>
      <c r="V50" s="586"/>
      <c r="W50" s="586"/>
      <c r="X50" s="586"/>
      <c r="Y50" s="586"/>
      <c r="Z50" s="586"/>
      <c r="AA50" s="586"/>
      <c r="AB50" s="586"/>
      <c r="AC50" s="586"/>
      <c r="AD50" s="586"/>
      <c r="AE50" s="586"/>
    </row>
    <row r="51" spans="1:31" ht="15" x14ac:dyDescent="0.25">
      <c r="A51" s="638" t="s">
        <v>51</v>
      </c>
      <c r="B51" s="639"/>
      <c r="C51" s="639"/>
      <c r="D51" s="639"/>
      <c r="E51" s="639"/>
      <c r="F51" s="639"/>
      <c r="G51" s="639"/>
      <c r="H51" s="640"/>
      <c r="I51" s="587"/>
      <c r="J51" s="587"/>
      <c r="K51" s="587"/>
      <c r="L51" s="641">
        <v>783</v>
      </c>
      <c r="M51" s="642">
        <v>1493</v>
      </c>
      <c r="N51" s="642">
        <v>1552</v>
      </c>
      <c r="O51" s="780">
        <f>(O145/365)*O52+90+611.5</f>
        <v>1613.7639342465754</v>
      </c>
      <c r="P51" s="780">
        <f>(P145/365)*P52-226+40+20+376</f>
        <v>1175.0887035616438</v>
      </c>
      <c r="Q51" s="780">
        <f>(Q145/365)*Q52+231</f>
        <v>1292.5975739178084</v>
      </c>
      <c r="R51" s="780">
        <f>(R145/365)*R52-142+0.12</f>
        <v>1047.1092827879454</v>
      </c>
      <c r="S51" s="780">
        <f>(S145/365)*S52-471</f>
        <v>896.33767520613719</v>
      </c>
      <c r="T51" s="586"/>
      <c r="U51" s="586"/>
      <c r="V51" s="586"/>
      <c r="W51" s="586"/>
      <c r="X51" s="586"/>
      <c r="Y51" s="586"/>
      <c r="Z51" s="586"/>
      <c r="AA51" s="586"/>
      <c r="AB51" s="586"/>
      <c r="AC51" s="586"/>
      <c r="AD51" s="586"/>
      <c r="AE51" s="586"/>
    </row>
    <row r="52" spans="1:31" ht="15" x14ac:dyDescent="0.25">
      <c r="A52" s="526" t="s">
        <v>284</v>
      </c>
      <c r="B52" s="639"/>
      <c r="C52" s="639"/>
      <c r="D52" s="639"/>
      <c r="E52" s="639"/>
      <c r="F52" s="639"/>
      <c r="G52" s="639"/>
      <c r="H52" s="640"/>
      <c r="I52" s="587"/>
      <c r="J52" s="587"/>
      <c r="K52" s="587"/>
      <c r="L52" s="512">
        <f>L51/L62</f>
        <v>0.10062973910808379</v>
      </c>
      <c r="M52" s="512">
        <f t="shared" ref="M52:N52" si="25">M51/M62</f>
        <v>0.15245583580108241</v>
      </c>
      <c r="N52" s="512">
        <f t="shared" si="25"/>
        <v>0.15812531839021907</v>
      </c>
      <c r="O52" s="735">
        <v>28</v>
      </c>
      <c r="P52" s="735">
        <v>28</v>
      </c>
      <c r="Q52" s="735">
        <v>28</v>
      </c>
      <c r="R52" s="735">
        <v>28</v>
      </c>
      <c r="S52" s="735">
        <v>28</v>
      </c>
      <c r="T52" s="586"/>
      <c r="U52" s="586"/>
      <c r="V52" s="586"/>
      <c r="W52" s="586"/>
      <c r="X52" s="586"/>
      <c r="Y52" s="586"/>
      <c r="Z52" s="586"/>
      <c r="AA52" s="586"/>
      <c r="AB52" s="586"/>
      <c r="AC52" s="586"/>
      <c r="AD52" s="586"/>
      <c r="AE52" s="586"/>
    </row>
    <row r="53" spans="1:31" ht="15" customHeight="1" x14ac:dyDescent="0.25">
      <c r="A53" s="526" t="s">
        <v>285</v>
      </c>
      <c r="B53" s="639"/>
      <c r="C53" s="639"/>
      <c r="D53" s="639"/>
      <c r="E53" s="639"/>
      <c r="F53" s="639"/>
      <c r="G53" s="639"/>
      <c r="H53" s="644"/>
      <c r="I53" s="589"/>
      <c r="J53" s="589"/>
      <c r="K53" s="589"/>
      <c r="L53" s="513"/>
      <c r="M53" s="514">
        <f>(M51-L51)/L51</f>
        <v>0.90676883780332052</v>
      </c>
      <c r="N53" s="514">
        <f>(N51-M51)/M51</f>
        <v>3.9517749497655727E-2</v>
      </c>
      <c r="O53" s="1264" t="s">
        <v>294</v>
      </c>
      <c r="P53" s="1264"/>
      <c r="Q53" s="1264"/>
      <c r="R53" s="1264"/>
      <c r="S53" s="1264"/>
      <c r="T53" s="586"/>
      <c r="U53" s="586"/>
      <c r="V53" s="586"/>
      <c r="W53" s="586"/>
      <c r="X53" s="586"/>
      <c r="Y53" s="586"/>
      <c r="Z53" s="586"/>
      <c r="AA53" s="586"/>
      <c r="AB53" s="586"/>
      <c r="AC53" s="586"/>
      <c r="AD53" s="586"/>
      <c r="AE53" s="586"/>
    </row>
    <row r="54" spans="1:31" ht="15.6" x14ac:dyDescent="0.3">
      <c r="A54" s="646" t="s">
        <v>295</v>
      </c>
      <c r="B54" s="647"/>
      <c r="C54" s="647"/>
      <c r="D54" s="647"/>
      <c r="E54" s="647"/>
      <c r="F54" s="647"/>
      <c r="G54" s="647"/>
      <c r="H54" s="640"/>
      <c r="I54" s="587"/>
      <c r="J54" s="587"/>
      <c r="K54" s="587"/>
      <c r="L54" s="649">
        <v>3517</v>
      </c>
      <c r="M54" s="650">
        <v>5341</v>
      </c>
      <c r="N54" s="650">
        <v>4869</v>
      </c>
      <c r="O54" s="780">
        <f>O39+O42+O45+O48+O51</f>
        <v>4560.7905982465754</v>
      </c>
      <c r="P54" s="780">
        <f t="shared" ref="P54:S54" si="26">P39+P42+P45+P48+P51</f>
        <v>4304.6364767616442</v>
      </c>
      <c r="Q54" s="780">
        <f t="shared" si="26"/>
        <v>4512.5787018778092</v>
      </c>
      <c r="R54" s="780">
        <f t="shared" si="26"/>
        <v>4644.9462711031465</v>
      </c>
      <c r="S54" s="780">
        <f t="shared" si="26"/>
        <v>5012.3858992686182</v>
      </c>
      <c r="T54" s="586"/>
      <c r="U54" s="586"/>
      <c r="V54" s="586"/>
      <c r="W54" s="586"/>
      <c r="X54" s="586"/>
      <c r="Y54" s="586"/>
      <c r="Z54" s="586"/>
      <c r="AA54" s="586"/>
      <c r="AB54" s="586"/>
      <c r="AC54" s="586"/>
      <c r="AD54" s="586"/>
      <c r="AE54" s="586"/>
    </row>
    <row r="55" spans="1:31" ht="15" x14ac:dyDescent="0.25">
      <c r="A55" s="526" t="s">
        <v>284</v>
      </c>
      <c r="B55" s="628"/>
      <c r="C55" s="628"/>
      <c r="D55" s="628"/>
      <c r="E55" s="628"/>
      <c r="F55" s="628"/>
      <c r="G55" s="628"/>
      <c r="H55" s="31"/>
      <c r="I55" s="587"/>
      <c r="J55" s="587"/>
      <c r="K55" s="587"/>
      <c r="L55" s="508">
        <f>L54/L62</f>
        <v>0.45199845778177611</v>
      </c>
      <c r="M55" s="508">
        <f t="shared" ref="M55:N55" si="27">M54/M62</f>
        <v>0.5453895639742673</v>
      </c>
      <c r="N55" s="508">
        <f t="shared" si="27"/>
        <v>0.49607743250127356</v>
      </c>
      <c r="O55" s="508">
        <f>O54/O62</f>
        <v>0.4493309802817147</v>
      </c>
      <c r="P55" s="508">
        <f>P54/P62</f>
        <v>0.40409254489012669</v>
      </c>
      <c r="Q55" s="508">
        <f>Q54/Q62</f>
        <v>0.39618110320438854</v>
      </c>
      <c r="R55" s="508">
        <f>R54/R62</f>
        <v>0.37857457678165618</v>
      </c>
      <c r="S55" s="508">
        <f>S54/S62</f>
        <v>0.37391647094247371</v>
      </c>
      <c r="T55" s="586"/>
      <c r="U55" s="586"/>
      <c r="V55" s="586"/>
      <c r="W55" s="586"/>
      <c r="X55" s="586"/>
      <c r="Y55" s="586"/>
      <c r="Z55" s="586"/>
      <c r="AA55" s="586"/>
      <c r="AB55" s="586"/>
      <c r="AC55" s="586"/>
      <c r="AD55" s="586"/>
      <c r="AE55" s="586"/>
    </row>
    <row r="56" spans="1:31" ht="15" x14ac:dyDescent="0.25">
      <c r="A56" s="526" t="s">
        <v>285</v>
      </c>
      <c r="B56" s="628"/>
      <c r="C56" s="628"/>
      <c r="D56" s="628"/>
      <c r="E56" s="628"/>
      <c r="F56" s="628"/>
      <c r="G56" s="628"/>
      <c r="H56" s="31"/>
      <c r="I56" s="587"/>
      <c r="J56" s="587"/>
      <c r="K56" s="587"/>
      <c r="L56" s="509"/>
      <c r="M56" s="510">
        <f t="shared" ref="M56:S56" si="28">(M54-L54)/L54</f>
        <v>0.51862382712539101</v>
      </c>
      <c r="N56" s="510">
        <f t="shared" si="28"/>
        <v>-8.8372963864444862E-2</v>
      </c>
      <c r="O56" s="510">
        <f t="shared" si="28"/>
        <v>-6.3300349507788983E-2</v>
      </c>
      <c r="P56" s="510">
        <f t="shared" si="28"/>
        <v>-5.6164411841975667E-2</v>
      </c>
      <c r="Q56" s="510">
        <f t="shared" si="28"/>
        <v>4.8306570424408717E-2</v>
      </c>
      <c r="R56" s="510">
        <f t="shared" si="28"/>
        <v>2.933302175322848E-2</v>
      </c>
      <c r="S56" s="510">
        <f t="shared" si="28"/>
        <v>7.9105248310699414E-2</v>
      </c>
      <c r="T56" s="586"/>
      <c r="U56" s="586"/>
      <c r="V56" s="586"/>
      <c r="W56" s="586"/>
      <c r="X56" s="586"/>
      <c r="Y56" s="586"/>
      <c r="Z56" s="586"/>
      <c r="AA56" s="586"/>
      <c r="AB56" s="586"/>
      <c r="AC56" s="586"/>
      <c r="AD56" s="586"/>
      <c r="AE56" s="586"/>
    </row>
    <row r="57" spans="1:31" ht="15.6" x14ac:dyDescent="0.3">
      <c r="A57" s="39"/>
      <c r="B57" s="628"/>
      <c r="C57" s="628"/>
      <c r="D57" s="628"/>
      <c r="E57" s="628"/>
      <c r="F57" s="628"/>
      <c r="G57" s="628"/>
      <c r="H57" s="31"/>
      <c r="I57" s="587"/>
      <c r="J57" s="587"/>
      <c r="K57" s="587"/>
      <c r="L57" s="426"/>
      <c r="M57" s="631"/>
      <c r="N57" s="38"/>
      <c r="O57" s="629"/>
      <c r="P57" s="629"/>
      <c r="Q57" s="629"/>
      <c r="R57" s="629"/>
      <c r="S57" s="629"/>
      <c r="T57" s="586"/>
      <c r="U57" s="586"/>
      <c r="V57" s="586"/>
      <c r="W57" s="586"/>
      <c r="X57" s="586"/>
      <c r="Y57" s="586"/>
      <c r="Z57" s="586"/>
      <c r="AA57" s="586"/>
      <c r="AB57" s="586"/>
      <c r="AC57" s="586"/>
      <c r="AD57" s="586"/>
      <c r="AE57" s="586"/>
    </row>
    <row r="58" spans="1:31" ht="15.6" x14ac:dyDescent="0.3">
      <c r="A58" s="39" t="s">
        <v>296</v>
      </c>
      <c r="B58" s="628"/>
      <c r="C58" s="628"/>
      <c r="D58" s="628"/>
      <c r="E58" s="628"/>
      <c r="F58" s="628"/>
      <c r="G58" s="628"/>
      <c r="H58" s="31"/>
      <c r="I58" s="587"/>
      <c r="J58" s="587"/>
      <c r="K58" s="587"/>
      <c r="L58" s="40">
        <v>0</v>
      </c>
      <c r="M58" s="632">
        <v>0</v>
      </c>
      <c r="N58" s="633">
        <v>17</v>
      </c>
      <c r="O58" s="629">
        <v>0</v>
      </c>
      <c r="P58" s="629">
        <v>0</v>
      </c>
      <c r="Q58" s="629">
        <v>0</v>
      </c>
      <c r="R58" s="629">
        <v>0</v>
      </c>
      <c r="S58" s="629">
        <v>0</v>
      </c>
      <c r="T58" s="586"/>
      <c r="U58" s="586"/>
      <c r="V58" s="586"/>
      <c r="W58" s="586"/>
      <c r="X58" s="586"/>
      <c r="Y58" s="586"/>
      <c r="Z58" s="586"/>
      <c r="AA58" s="586"/>
      <c r="AB58" s="586"/>
      <c r="AC58" s="586"/>
      <c r="AD58" s="586"/>
      <c r="AE58" s="586"/>
    </row>
    <row r="59" spans="1:31" ht="15" x14ac:dyDescent="0.25">
      <c r="A59" s="526" t="s">
        <v>284</v>
      </c>
      <c r="B59" s="628"/>
      <c r="C59" s="628"/>
      <c r="D59" s="628"/>
      <c r="E59" s="628"/>
      <c r="F59" s="628"/>
      <c r="G59" s="628"/>
      <c r="H59" s="31"/>
      <c r="I59" s="587"/>
      <c r="J59" s="587"/>
      <c r="K59" s="587"/>
      <c r="L59" s="515">
        <f>L58/L62</f>
        <v>0</v>
      </c>
      <c r="M59" s="515">
        <f t="shared" ref="M59" si="29">M58/M62</f>
        <v>0</v>
      </c>
      <c r="N59" s="515">
        <f>N58/N62</f>
        <v>1.7320427916454407E-3</v>
      </c>
      <c r="O59" s="637">
        <v>1E-4</v>
      </c>
      <c r="P59" s="637">
        <v>1E-4</v>
      </c>
      <c r="Q59" s="637">
        <v>1E-4</v>
      </c>
      <c r="R59" s="637">
        <v>1E-4</v>
      </c>
      <c r="S59" s="637">
        <v>1E-4</v>
      </c>
      <c r="T59" s="586"/>
      <c r="U59" s="586"/>
      <c r="V59" s="586"/>
      <c r="W59" s="586"/>
      <c r="X59" s="586"/>
      <c r="Y59" s="586"/>
      <c r="Z59" s="586"/>
      <c r="AA59" s="586"/>
      <c r="AB59" s="586"/>
      <c r="AC59" s="586"/>
      <c r="AD59" s="586"/>
      <c r="AE59" s="586"/>
    </row>
    <row r="60" spans="1:31" ht="15" x14ac:dyDescent="0.25">
      <c r="A60" s="526" t="s">
        <v>285</v>
      </c>
      <c r="B60" s="628"/>
      <c r="C60" s="628"/>
      <c r="D60" s="628"/>
      <c r="E60" s="628"/>
      <c r="F60" s="628"/>
      <c r="G60" s="628"/>
      <c r="H60" s="31"/>
      <c r="I60" s="587"/>
      <c r="J60" s="587"/>
      <c r="K60" s="587"/>
      <c r="L60" s="516"/>
      <c r="M60" s="510"/>
      <c r="N60" s="517"/>
      <c r="O60" s="629"/>
      <c r="P60" s="629"/>
      <c r="Q60" s="629"/>
      <c r="R60" s="629"/>
      <c r="S60" s="629"/>
      <c r="T60" s="586"/>
      <c r="U60" s="586"/>
      <c r="V60" s="586"/>
      <c r="W60" s="586"/>
      <c r="X60" s="586"/>
      <c r="Y60" s="586"/>
      <c r="Z60" s="586"/>
      <c r="AA60" s="586"/>
      <c r="AB60" s="586"/>
      <c r="AC60" s="586"/>
      <c r="AD60" s="586"/>
      <c r="AE60" s="586"/>
    </row>
    <row r="61" spans="1:31" ht="15.6" x14ac:dyDescent="0.3">
      <c r="A61" s="39"/>
      <c r="B61" s="628"/>
      <c r="C61" s="628"/>
      <c r="D61" s="628"/>
      <c r="E61" s="628"/>
      <c r="F61" s="628"/>
      <c r="G61" s="628"/>
      <c r="H61" s="31"/>
      <c r="I61" s="587"/>
      <c r="J61" s="587"/>
      <c r="K61" s="587"/>
      <c r="L61" s="628"/>
      <c r="M61" s="631"/>
      <c r="N61" s="38"/>
      <c r="O61" s="629"/>
      <c r="P61" s="629"/>
      <c r="Q61" s="629"/>
      <c r="R61" s="629"/>
      <c r="S61" s="629"/>
      <c r="T61" s="586"/>
      <c r="U61" s="586"/>
      <c r="V61" s="586"/>
      <c r="W61" s="586"/>
      <c r="X61" s="586"/>
      <c r="Y61" s="586"/>
      <c r="Z61" s="586"/>
      <c r="AA61" s="586"/>
      <c r="AB61" s="586"/>
      <c r="AC61" s="586"/>
      <c r="AD61" s="586"/>
      <c r="AE61" s="586"/>
    </row>
    <row r="62" spans="1:31" ht="15.6" x14ac:dyDescent="0.3">
      <c r="A62" s="43" t="s">
        <v>297</v>
      </c>
      <c r="B62" s="651"/>
      <c r="C62" s="651"/>
      <c r="D62" s="651"/>
      <c r="E62" s="651"/>
      <c r="F62" s="651"/>
      <c r="G62" s="651"/>
      <c r="H62" s="44"/>
      <c r="I62" s="652"/>
      <c r="J62" s="652"/>
      <c r="K62" s="652"/>
      <c r="L62" s="429">
        <v>7781</v>
      </c>
      <c r="M62" s="653">
        <v>9793</v>
      </c>
      <c r="N62" s="654">
        <v>9815</v>
      </c>
      <c r="O62" s="781">
        <f>O54+O34+O58</f>
        <v>10150.180598246576</v>
      </c>
      <c r="P62" s="781">
        <f t="shared" ref="P62:S62" si="30">P54+P34+P58</f>
        <v>10652.600576761644</v>
      </c>
      <c r="Q62" s="781">
        <f t="shared" si="30"/>
        <v>11390.191670877812</v>
      </c>
      <c r="R62" s="781">
        <f t="shared" si="30"/>
        <v>12269.567361313148</v>
      </c>
      <c r="S62" s="781">
        <f t="shared" si="30"/>
        <v>13405.095225237519</v>
      </c>
      <c r="T62" s="586"/>
      <c r="U62" s="586"/>
      <c r="V62" s="586"/>
      <c r="W62" s="586"/>
      <c r="X62" s="586"/>
      <c r="Y62" s="586"/>
      <c r="Z62" s="586"/>
      <c r="AA62" s="586"/>
      <c r="AB62" s="586"/>
      <c r="AC62" s="586"/>
      <c r="AD62" s="586"/>
      <c r="AE62" s="586"/>
    </row>
    <row r="63" spans="1:31" ht="15.6" thickTop="1" x14ac:dyDescent="0.25">
      <c r="A63" s="526" t="s">
        <v>284</v>
      </c>
      <c r="B63" s="639"/>
      <c r="C63" s="639"/>
      <c r="D63" s="639"/>
      <c r="E63" s="639"/>
      <c r="F63" s="639"/>
      <c r="G63" s="639"/>
      <c r="H63" s="640"/>
      <c r="I63" s="587"/>
      <c r="J63" s="587"/>
      <c r="K63" s="587"/>
      <c r="L63" s="512">
        <f>L62/L62</f>
        <v>1</v>
      </c>
      <c r="M63" s="512">
        <f>M62/M62</f>
        <v>1</v>
      </c>
      <c r="N63" s="512">
        <f>N62/N62</f>
        <v>1</v>
      </c>
      <c r="O63" s="546">
        <v>1</v>
      </c>
      <c r="P63" s="543">
        <v>1</v>
      </c>
      <c r="Q63" s="543">
        <v>1</v>
      </c>
      <c r="R63" s="543">
        <v>1</v>
      </c>
      <c r="S63" s="543">
        <v>1</v>
      </c>
      <c r="T63" s="586"/>
      <c r="U63" s="586"/>
      <c r="V63" s="586"/>
      <c r="W63" s="586"/>
      <c r="X63" s="586"/>
      <c r="Y63" s="586"/>
      <c r="Z63" s="586"/>
      <c r="AA63" s="586"/>
      <c r="AB63" s="586"/>
      <c r="AC63" s="586"/>
      <c r="AD63" s="586"/>
      <c r="AE63" s="586"/>
    </row>
    <row r="64" spans="1:31" ht="15" x14ac:dyDescent="0.25">
      <c r="A64" s="526" t="s">
        <v>285</v>
      </c>
      <c r="B64" s="639"/>
      <c r="C64" s="639"/>
      <c r="D64" s="639"/>
      <c r="E64" s="639"/>
      <c r="F64" s="639"/>
      <c r="G64" s="639"/>
      <c r="H64" s="640"/>
      <c r="I64" s="587"/>
      <c r="J64" s="587"/>
      <c r="K64" s="587"/>
      <c r="L64" s="513"/>
      <c r="M64" s="514">
        <f>(M62-L62)/L62</f>
        <v>0.25857858887032514</v>
      </c>
      <c r="N64" s="514">
        <f>(N62-M62)/M62</f>
        <v>2.2465026039007454E-3</v>
      </c>
      <c r="O64" s="514">
        <f t="shared" ref="O64:S64" si="31">(O62-N62)/N62</f>
        <v>3.4149831711316941E-2</v>
      </c>
      <c r="P64" s="514">
        <f t="shared" si="31"/>
        <v>4.9498624546824382E-2</v>
      </c>
      <c r="Q64" s="514">
        <f t="shared" si="31"/>
        <v>6.9240472202177758E-2</v>
      </c>
      <c r="R64" s="514">
        <f t="shared" si="31"/>
        <v>7.7204643771158307E-2</v>
      </c>
      <c r="S64" s="514">
        <f t="shared" si="31"/>
        <v>9.2548321426945732E-2</v>
      </c>
      <c r="T64" s="586"/>
      <c r="U64" s="586"/>
      <c r="V64" s="586"/>
      <c r="W64" s="586"/>
      <c r="X64" s="586"/>
      <c r="Y64" s="586"/>
      <c r="Z64" s="586"/>
      <c r="AA64" s="586"/>
      <c r="AB64" s="586"/>
      <c r="AC64" s="586"/>
      <c r="AD64" s="586"/>
      <c r="AE64" s="586"/>
    </row>
    <row r="65" spans="1:31" ht="15.6" x14ac:dyDescent="0.3">
      <c r="A65" s="40"/>
      <c r="B65" s="628"/>
      <c r="C65" s="628"/>
      <c r="D65" s="628"/>
      <c r="E65" s="628"/>
      <c r="F65" s="628"/>
      <c r="G65" s="628"/>
      <c r="H65" s="31"/>
      <c r="I65" s="587"/>
      <c r="J65" s="587"/>
      <c r="K65" s="587"/>
      <c r="L65" s="628"/>
      <c r="M65" s="631"/>
      <c r="N65" s="38"/>
      <c r="O65" s="629"/>
      <c r="P65" s="629"/>
      <c r="Q65" s="629"/>
      <c r="R65" s="629"/>
      <c r="S65" s="629"/>
      <c r="T65" s="586"/>
      <c r="U65" s="586"/>
      <c r="V65" s="586"/>
      <c r="W65" s="586"/>
      <c r="X65" s="586"/>
      <c r="Y65" s="586"/>
      <c r="Z65" s="586"/>
      <c r="AA65" s="586"/>
      <c r="AB65" s="586"/>
      <c r="AC65" s="586"/>
      <c r="AD65" s="586"/>
      <c r="AE65" s="586"/>
    </row>
    <row r="66" spans="1:31" ht="15.6" x14ac:dyDescent="0.3">
      <c r="A66" s="39" t="s">
        <v>298</v>
      </c>
      <c r="B66" s="628"/>
      <c r="C66" s="628"/>
      <c r="D66" s="628"/>
      <c r="E66" s="628"/>
      <c r="F66" s="628"/>
      <c r="G66" s="628"/>
      <c r="H66" s="31"/>
      <c r="I66" s="587"/>
      <c r="J66" s="587"/>
      <c r="K66" s="587"/>
      <c r="L66" s="628"/>
      <c r="M66" s="656"/>
      <c r="N66" s="41"/>
      <c r="O66" s="629"/>
      <c r="P66" s="629"/>
      <c r="Q66" s="629"/>
      <c r="R66" s="629"/>
      <c r="S66" s="629"/>
      <c r="T66" s="586"/>
      <c r="U66" s="586"/>
      <c r="V66" s="586"/>
      <c r="W66" s="586"/>
      <c r="X66" s="586"/>
      <c r="Y66" s="586"/>
      <c r="Z66" s="586"/>
      <c r="AA66" s="586"/>
      <c r="AB66" s="586"/>
      <c r="AC66" s="586"/>
      <c r="AD66" s="586"/>
      <c r="AE66" s="586"/>
    </row>
    <row r="67" spans="1:31" ht="15.6" x14ac:dyDescent="0.3">
      <c r="A67" s="39" t="s">
        <v>299</v>
      </c>
      <c r="B67" s="628"/>
      <c r="C67" s="628"/>
      <c r="D67" s="628"/>
      <c r="E67" s="628"/>
      <c r="F67" s="628"/>
      <c r="G67" s="628"/>
      <c r="H67" s="31"/>
      <c r="I67" s="587"/>
      <c r="J67" s="587"/>
      <c r="K67" s="587"/>
      <c r="L67" s="426"/>
      <c r="M67" s="656"/>
      <c r="N67" s="41"/>
      <c r="O67" s="629"/>
      <c r="P67" s="629"/>
      <c r="Q67" s="629"/>
      <c r="R67" s="629"/>
      <c r="S67" s="629"/>
      <c r="T67" s="586"/>
      <c r="U67" s="586"/>
      <c r="V67" s="586"/>
      <c r="W67" s="586"/>
      <c r="X67" s="586"/>
      <c r="Y67" s="586"/>
      <c r="Z67" s="586"/>
      <c r="AA67" s="586"/>
      <c r="AB67" s="586"/>
      <c r="AC67" s="586"/>
      <c r="AD67" s="586"/>
      <c r="AE67" s="586"/>
    </row>
    <row r="68" spans="1:31" ht="15" x14ac:dyDescent="0.25">
      <c r="A68" s="40" t="s">
        <v>300</v>
      </c>
      <c r="B68" s="628"/>
      <c r="C68" s="628"/>
      <c r="D68" s="628"/>
      <c r="E68" s="628"/>
      <c r="F68" s="628"/>
      <c r="G68" s="628"/>
      <c r="H68" s="31"/>
      <c r="I68" s="587"/>
      <c r="J68" s="587"/>
      <c r="K68" s="587"/>
      <c r="L68" s="426">
        <v>40</v>
      </c>
      <c r="M68" s="632">
        <v>40</v>
      </c>
      <c r="N68" s="633">
        <v>40</v>
      </c>
      <c r="O68" s="629">
        <v>50</v>
      </c>
      <c r="P68" s="629">
        <v>50</v>
      </c>
      <c r="Q68" s="629">
        <v>50</v>
      </c>
      <c r="R68" s="629">
        <v>50</v>
      </c>
      <c r="S68" s="629">
        <v>50</v>
      </c>
      <c r="T68" s="586"/>
      <c r="U68" s="586"/>
      <c r="V68" s="586"/>
      <c r="W68" s="586"/>
      <c r="X68" s="586"/>
      <c r="Y68" s="586"/>
      <c r="Z68" s="586"/>
      <c r="AA68" s="586"/>
      <c r="AB68" s="586"/>
      <c r="AC68" s="586"/>
      <c r="AD68" s="586"/>
      <c r="AE68" s="586"/>
    </row>
    <row r="69" spans="1:31" ht="15" x14ac:dyDescent="0.25">
      <c r="A69" s="526" t="s">
        <v>284</v>
      </c>
      <c r="B69" s="628"/>
      <c r="C69" s="628"/>
      <c r="D69" s="628"/>
      <c r="E69" s="628"/>
      <c r="F69" s="628"/>
      <c r="G69" s="628"/>
      <c r="H69" s="31"/>
      <c r="I69" s="587"/>
      <c r="J69" s="587"/>
      <c r="K69" s="587"/>
      <c r="L69" s="508">
        <f>L68/L133</f>
        <v>5.1407274129289292E-3</v>
      </c>
      <c r="M69" s="508">
        <f>M68/M133</f>
        <v>4.0845501889104465E-3</v>
      </c>
      <c r="N69" s="508">
        <f t="shared" ref="N69:S69" si="32">N68/N133</f>
        <v>4.0753948038716251E-3</v>
      </c>
      <c r="O69" s="508">
        <f t="shared" si="32"/>
        <v>4.926022423786083E-3</v>
      </c>
      <c r="P69" s="508">
        <f t="shared" si="32"/>
        <v>4.6935035253511002E-3</v>
      </c>
      <c r="Q69" s="508">
        <f t="shared" si="32"/>
        <v>4.3897759286854751E-3</v>
      </c>
      <c r="R69" s="508">
        <f t="shared" si="32"/>
        <v>4.0751220427869784E-3</v>
      </c>
      <c r="S69" s="508">
        <f t="shared" si="32"/>
        <v>3.7299630676794829E-3</v>
      </c>
      <c r="T69" s="586"/>
      <c r="U69" s="586"/>
      <c r="V69" s="586"/>
      <c r="W69" s="586"/>
      <c r="X69" s="586"/>
      <c r="Y69" s="586"/>
      <c r="Z69" s="586"/>
      <c r="AA69" s="586"/>
      <c r="AB69" s="586"/>
      <c r="AC69" s="586"/>
      <c r="AD69" s="586"/>
      <c r="AE69" s="586"/>
    </row>
    <row r="70" spans="1:31" ht="15" x14ac:dyDescent="0.25">
      <c r="A70" s="526" t="s">
        <v>285</v>
      </c>
      <c r="B70" s="628"/>
      <c r="C70" s="628"/>
      <c r="D70" s="628"/>
      <c r="E70" s="628"/>
      <c r="F70" s="628"/>
      <c r="G70" s="628"/>
      <c r="H70" s="31"/>
      <c r="I70" s="587"/>
      <c r="J70" s="587"/>
      <c r="K70" s="587"/>
      <c r="L70" s="509"/>
      <c r="M70" s="510">
        <f>(M68-L68)/L68</f>
        <v>0</v>
      </c>
      <c r="N70" s="510">
        <f>(N68-M68)/M68</f>
        <v>0</v>
      </c>
      <c r="O70" s="510">
        <f t="shared" ref="O70:S70" si="33">(O68-N68)/N68</f>
        <v>0.25</v>
      </c>
      <c r="P70" s="510">
        <f t="shared" si="33"/>
        <v>0</v>
      </c>
      <c r="Q70" s="510">
        <f t="shared" si="33"/>
        <v>0</v>
      </c>
      <c r="R70" s="510">
        <f t="shared" si="33"/>
        <v>0</v>
      </c>
      <c r="S70" s="510">
        <f t="shared" si="33"/>
        <v>0</v>
      </c>
      <c r="T70" s="586"/>
      <c r="U70" s="586"/>
      <c r="V70" s="586"/>
      <c r="W70" s="586"/>
      <c r="X70" s="586"/>
      <c r="Y70" s="586"/>
      <c r="Z70" s="586"/>
      <c r="AA70" s="586"/>
      <c r="AB70" s="586"/>
      <c r="AC70" s="586"/>
      <c r="AD70" s="586"/>
      <c r="AE70" s="586"/>
    </row>
    <row r="71" spans="1:31" ht="15" x14ac:dyDescent="0.25">
      <c r="A71" s="638" t="s">
        <v>301</v>
      </c>
      <c r="B71" s="639"/>
      <c r="C71" s="639"/>
      <c r="D71" s="639"/>
      <c r="E71" s="639"/>
      <c r="F71" s="639"/>
      <c r="G71" s="639"/>
      <c r="H71" s="640"/>
      <c r="I71" s="587"/>
      <c r="J71" s="587"/>
      <c r="K71" s="587"/>
      <c r="L71" s="657">
        <v>4292</v>
      </c>
      <c r="M71" s="642">
        <v>5879</v>
      </c>
      <c r="N71" s="643">
        <v>5885</v>
      </c>
      <c r="O71" s="780">
        <f>N71*(1+O73)</f>
        <v>5890.8849999999993</v>
      </c>
      <c r="P71" s="780">
        <f t="shared" ref="P71:S71" si="34">O71*(1+P73)</f>
        <v>5896.7758849999991</v>
      </c>
      <c r="Q71" s="780">
        <f t="shared" si="34"/>
        <v>5902.6726608849985</v>
      </c>
      <c r="R71" s="780">
        <f t="shared" si="34"/>
        <v>5908.575333545883</v>
      </c>
      <c r="S71" s="780">
        <f t="shared" si="34"/>
        <v>5914.4839088794279</v>
      </c>
      <c r="T71" s="586"/>
      <c r="U71" s="586"/>
      <c r="V71" s="586"/>
      <c r="W71" s="586"/>
      <c r="X71" s="586"/>
      <c r="Y71" s="586"/>
      <c r="Z71" s="586"/>
      <c r="AA71" s="586"/>
      <c r="AB71" s="586"/>
      <c r="AC71" s="586"/>
      <c r="AD71" s="586"/>
      <c r="AE71" s="586"/>
    </row>
    <row r="72" spans="1:31" ht="15" x14ac:dyDescent="0.25">
      <c r="A72" s="526" t="s">
        <v>284</v>
      </c>
      <c r="B72" s="639"/>
      <c r="C72" s="639"/>
      <c r="D72" s="639"/>
      <c r="E72" s="639"/>
      <c r="F72" s="639"/>
      <c r="G72" s="639"/>
      <c r="H72" s="640"/>
      <c r="I72" s="587"/>
      <c r="J72" s="587"/>
      <c r="K72" s="587"/>
      <c r="L72" s="512">
        <f>L71/L133</f>
        <v>0.55160005140727408</v>
      </c>
      <c r="M72" s="512">
        <f>M71/M133</f>
        <v>0.60032676401511287</v>
      </c>
      <c r="N72" s="512">
        <f>N71/N133</f>
        <v>0.59959246051961279</v>
      </c>
      <c r="O72" s="543">
        <v>0.6</v>
      </c>
      <c r="P72" s="543">
        <v>0.6</v>
      </c>
      <c r="Q72" s="543">
        <v>0.6</v>
      </c>
      <c r="R72" s="543">
        <v>0.6</v>
      </c>
      <c r="S72" s="543">
        <v>0.6</v>
      </c>
      <c r="T72" s="586"/>
      <c r="U72" s="586"/>
      <c r="V72" s="586"/>
      <c r="W72" s="586"/>
      <c r="X72" s="586"/>
      <c r="Y72" s="586"/>
      <c r="Z72" s="586"/>
      <c r="AA72" s="586"/>
      <c r="AB72" s="586"/>
      <c r="AC72" s="586"/>
      <c r="AD72" s="586"/>
      <c r="AE72" s="586"/>
    </row>
    <row r="73" spans="1:31" ht="15" x14ac:dyDescent="0.25">
      <c r="A73" s="526" t="s">
        <v>285</v>
      </c>
      <c r="B73" s="639"/>
      <c r="C73" s="639"/>
      <c r="D73" s="639"/>
      <c r="E73" s="639"/>
      <c r="F73" s="639"/>
      <c r="G73" s="639"/>
      <c r="H73" s="640"/>
      <c r="I73" s="589"/>
      <c r="J73" s="589"/>
      <c r="K73" s="589"/>
      <c r="L73" s="513"/>
      <c r="M73" s="514">
        <f>(M71-L71)/L71</f>
        <v>0.36975768872320597</v>
      </c>
      <c r="N73" s="514">
        <f>(N71-M71)/M71</f>
        <v>1.0205817315870045E-3</v>
      </c>
      <c r="O73" s="514">
        <v>1E-3</v>
      </c>
      <c r="P73" s="514">
        <v>1E-3</v>
      </c>
      <c r="Q73" s="514">
        <v>1E-3</v>
      </c>
      <c r="R73" s="514">
        <v>1E-3</v>
      </c>
      <c r="S73" s="514">
        <v>1E-3</v>
      </c>
      <c r="T73" s="586"/>
      <c r="U73" s="586"/>
      <c r="V73" s="586"/>
      <c r="W73" s="586"/>
      <c r="X73" s="586"/>
      <c r="Y73" s="586"/>
      <c r="Z73" s="586"/>
      <c r="AA73" s="586"/>
      <c r="AB73" s="586"/>
      <c r="AC73" s="586"/>
      <c r="AD73" s="586"/>
      <c r="AE73" s="586"/>
    </row>
    <row r="74" spans="1:31" ht="15.6" x14ac:dyDescent="0.3">
      <c r="A74" s="646" t="s">
        <v>247</v>
      </c>
      <c r="B74" s="647"/>
      <c r="C74" s="647"/>
      <c r="D74" s="647"/>
      <c r="E74" s="647"/>
      <c r="F74" s="647"/>
      <c r="G74" s="647"/>
      <c r="H74" s="658"/>
      <c r="I74" s="587"/>
      <c r="J74" s="587"/>
      <c r="K74" s="587"/>
      <c r="L74" s="649">
        <v>4332</v>
      </c>
      <c r="M74" s="650">
        <v>5919</v>
      </c>
      <c r="N74" s="659">
        <v>5925</v>
      </c>
      <c r="O74" s="817">
        <f>O68+O71</f>
        <v>5940.8849999999993</v>
      </c>
      <c r="P74" s="817">
        <f t="shared" ref="P74:S74" si="35">P68+P71</f>
        <v>5946.7758849999991</v>
      </c>
      <c r="Q74" s="817">
        <f t="shared" si="35"/>
        <v>5952.6726608849985</v>
      </c>
      <c r="R74" s="817">
        <f t="shared" si="35"/>
        <v>5958.575333545883</v>
      </c>
      <c r="S74" s="817">
        <f t="shared" si="35"/>
        <v>5964.4839088794279</v>
      </c>
      <c r="T74" s="586"/>
      <c r="U74" s="586"/>
      <c r="V74" s="586"/>
      <c r="W74" s="586"/>
      <c r="X74" s="586"/>
      <c r="Y74" s="586"/>
      <c r="Z74" s="586"/>
      <c r="AA74" s="586"/>
      <c r="AB74" s="586"/>
      <c r="AC74" s="586"/>
      <c r="AD74" s="586"/>
      <c r="AE74" s="586"/>
    </row>
    <row r="75" spans="1:31" ht="15" x14ac:dyDescent="0.25">
      <c r="A75" s="526" t="s">
        <v>284</v>
      </c>
      <c r="B75" s="639"/>
      <c r="C75" s="639"/>
      <c r="D75" s="639"/>
      <c r="E75" s="639"/>
      <c r="F75" s="639"/>
      <c r="G75" s="639"/>
      <c r="H75" s="640"/>
      <c r="I75" s="587"/>
      <c r="J75" s="587"/>
      <c r="K75" s="587"/>
      <c r="L75" s="512">
        <f>L74/L133</f>
        <v>0.55674077882020301</v>
      </c>
      <c r="M75" s="512">
        <f t="shared" ref="M75:N75" si="36">M74/M133</f>
        <v>0.60441131420402328</v>
      </c>
      <c r="N75" s="512">
        <f t="shared" si="36"/>
        <v>0.60366785532348444</v>
      </c>
      <c r="O75" s="538">
        <f>O72+O69</f>
        <v>0.60492602242378601</v>
      </c>
      <c r="P75" s="538">
        <f>P72+P69</f>
        <v>0.60469350352535112</v>
      </c>
      <c r="Q75" s="538">
        <f t="shared" ref="Q75:S75" si="37">Q72+Q69</f>
        <v>0.60438977592868548</v>
      </c>
      <c r="R75" s="538">
        <f t="shared" si="37"/>
        <v>0.60407512204278691</v>
      </c>
      <c r="S75" s="538">
        <f t="shared" si="37"/>
        <v>0.60372996306767945</v>
      </c>
      <c r="T75" s="586"/>
      <c r="U75" s="586"/>
      <c r="V75" s="586"/>
      <c r="W75" s="586"/>
      <c r="X75" s="586"/>
      <c r="Y75" s="586"/>
      <c r="Z75" s="586"/>
      <c r="AA75" s="586"/>
      <c r="AB75" s="586"/>
      <c r="AC75" s="586"/>
      <c r="AD75" s="586"/>
      <c r="AE75" s="586"/>
    </row>
    <row r="76" spans="1:31" ht="15" x14ac:dyDescent="0.25">
      <c r="A76" s="526" t="s">
        <v>285</v>
      </c>
      <c r="B76" s="639"/>
      <c r="C76" s="639"/>
      <c r="D76" s="639"/>
      <c r="E76" s="639"/>
      <c r="F76" s="639"/>
      <c r="G76" s="639"/>
      <c r="H76" s="640"/>
      <c r="I76" s="587"/>
      <c r="J76" s="587"/>
      <c r="K76" s="587"/>
      <c r="L76" s="513"/>
      <c r="M76" s="514">
        <f>(M74-L74)/L74</f>
        <v>0.36634349030470914</v>
      </c>
      <c r="N76" s="514">
        <f>(N74-M74)/M74</f>
        <v>1.0136847440446021E-3</v>
      </c>
      <c r="O76" s="629"/>
      <c r="P76" s="629"/>
      <c r="Q76" s="629"/>
      <c r="R76" s="629"/>
      <c r="S76" s="629"/>
      <c r="T76" s="586"/>
      <c r="U76" s="586"/>
      <c r="V76" s="586"/>
      <c r="W76" s="586"/>
      <c r="X76" s="586"/>
      <c r="Y76" s="586"/>
      <c r="Z76" s="586"/>
      <c r="AA76" s="586"/>
      <c r="AB76" s="586"/>
      <c r="AC76" s="586"/>
      <c r="AD76" s="586"/>
      <c r="AE76" s="586"/>
    </row>
    <row r="77" spans="1:31" ht="15.6" x14ac:dyDescent="0.3">
      <c r="A77" s="660" t="s">
        <v>302</v>
      </c>
      <c r="B77" s="639"/>
      <c r="C77" s="639"/>
      <c r="D77" s="639"/>
      <c r="E77" s="639"/>
      <c r="F77" s="639"/>
      <c r="G77" s="639"/>
      <c r="H77" s="640"/>
      <c r="I77" s="587"/>
      <c r="J77" s="587"/>
      <c r="K77" s="587"/>
      <c r="L77" s="641">
        <v>0</v>
      </c>
      <c r="M77" s="642">
        <v>2</v>
      </c>
      <c r="N77" s="643">
        <v>4</v>
      </c>
      <c r="O77" s="629">
        <v>0</v>
      </c>
      <c r="P77" s="629">
        <v>0</v>
      </c>
      <c r="Q77" s="629">
        <v>4</v>
      </c>
      <c r="R77" s="629">
        <v>4</v>
      </c>
      <c r="S77" s="629">
        <v>4</v>
      </c>
      <c r="T77" s="586"/>
      <c r="U77" s="586"/>
      <c r="V77" s="586"/>
      <c r="W77" s="586"/>
      <c r="X77" s="586"/>
      <c r="Y77" s="586"/>
      <c r="Z77" s="586"/>
      <c r="AA77" s="586"/>
      <c r="AB77" s="586"/>
      <c r="AC77" s="586"/>
      <c r="AD77" s="586"/>
      <c r="AE77" s="586"/>
    </row>
    <row r="78" spans="1:31" ht="15" x14ac:dyDescent="0.25">
      <c r="A78" s="526" t="s">
        <v>284</v>
      </c>
      <c r="B78" s="639"/>
      <c r="C78" s="639"/>
      <c r="D78" s="639"/>
      <c r="E78" s="639"/>
      <c r="F78" s="639"/>
      <c r="G78" s="639"/>
      <c r="H78" s="640"/>
      <c r="I78" s="587"/>
      <c r="J78" s="587"/>
      <c r="K78" s="587"/>
      <c r="L78" s="512">
        <f>L77/L133</f>
        <v>0</v>
      </c>
      <c r="M78" s="512">
        <f t="shared" ref="M78:N78" si="38">M77/M133</f>
        <v>2.042275094455223E-4</v>
      </c>
      <c r="N78" s="512">
        <f t="shared" si="38"/>
        <v>4.0753948038716251E-4</v>
      </c>
      <c r="O78" s="538">
        <v>4.0000000000000002E-4</v>
      </c>
      <c r="P78" s="538">
        <v>4.0000000000000002E-4</v>
      </c>
      <c r="Q78" s="538">
        <v>4.0000000000000002E-4</v>
      </c>
      <c r="R78" s="538">
        <v>4.0000000000000002E-4</v>
      </c>
      <c r="S78" s="538">
        <v>4.0000000000000002E-4</v>
      </c>
      <c r="T78" s="586"/>
      <c r="U78" s="586"/>
      <c r="V78" s="586"/>
      <c r="W78" s="586"/>
      <c r="X78" s="586"/>
      <c r="Y78" s="586"/>
      <c r="Z78" s="586"/>
      <c r="AA78" s="586"/>
      <c r="AB78" s="586"/>
      <c r="AC78" s="586"/>
      <c r="AD78" s="586"/>
      <c r="AE78" s="586"/>
    </row>
    <row r="79" spans="1:31" ht="15" x14ac:dyDescent="0.25">
      <c r="A79" s="526" t="s">
        <v>285</v>
      </c>
      <c r="B79" s="639"/>
      <c r="C79" s="639"/>
      <c r="D79" s="639"/>
      <c r="E79" s="639"/>
      <c r="F79" s="639"/>
      <c r="G79" s="639"/>
      <c r="H79" s="644"/>
      <c r="I79" s="589"/>
      <c r="J79" s="589"/>
      <c r="K79" s="589"/>
      <c r="L79" s="513"/>
      <c r="M79" s="514"/>
      <c r="N79" s="518">
        <f>(N77-M77)/M77</f>
        <v>1</v>
      </c>
      <c r="O79" s="645"/>
      <c r="P79" s="645"/>
      <c r="Q79" s="645"/>
      <c r="R79" s="645"/>
      <c r="S79" s="645"/>
      <c r="T79" s="586"/>
      <c r="U79" s="586"/>
      <c r="V79" s="586"/>
      <c r="W79" s="586"/>
      <c r="X79" s="586"/>
      <c r="Y79" s="586"/>
      <c r="Z79" s="586"/>
      <c r="AA79" s="586"/>
      <c r="AB79" s="586"/>
      <c r="AC79" s="586"/>
      <c r="AD79" s="586"/>
      <c r="AE79" s="586"/>
    </row>
    <row r="80" spans="1:31" ht="15.6" x14ac:dyDescent="0.3">
      <c r="A80" s="646" t="s">
        <v>303</v>
      </c>
      <c r="B80" s="647"/>
      <c r="C80" s="647"/>
      <c r="D80" s="647"/>
      <c r="E80" s="647"/>
      <c r="F80" s="647"/>
      <c r="G80" s="647"/>
      <c r="H80" s="640"/>
      <c r="I80" s="587"/>
      <c r="J80" s="587"/>
      <c r="K80" s="587"/>
      <c r="L80" s="649">
        <v>4332</v>
      </c>
      <c r="M80" s="650">
        <v>5922</v>
      </c>
      <c r="N80" s="659">
        <v>5929</v>
      </c>
      <c r="O80" s="780">
        <f>O74+O77</f>
        <v>5940.8849999999993</v>
      </c>
      <c r="P80" s="780">
        <f t="shared" ref="P80:S80" si="39">P74+P77</f>
        <v>5946.7758849999991</v>
      </c>
      <c r="Q80" s="780">
        <f>Q74+Q77</f>
        <v>5956.6726608849985</v>
      </c>
      <c r="R80" s="780">
        <f t="shared" si="39"/>
        <v>5962.575333545883</v>
      </c>
      <c r="S80" s="780">
        <f t="shared" si="39"/>
        <v>5968.4839088794279</v>
      </c>
      <c r="T80" s="586"/>
      <c r="U80" s="586"/>
      <c r="V80" s="586"/>
      <c r="W80" s="586"/>
      <c r="X80" s="586"/>
      <c r="Y80" s="586"/>
      <c r="Z80" s="586"/>
      <c r="AA80" s="586"/>
      <c r="AB80" s="586"/>
      <c r="AC80" s="586"/>
      <c r="AD80" s="586"/>
      <c r="AE80" s="586"/>
    </row>
    <row r="81" spans="1:28" ht="15" x14ac:dyDescent="0.25">
      <c r="A81" s="526" t="s">
        <v>284</v>
      </c>
      <c r="B81" s="628"/>
      <c r="C81" s="628"/>
      <c r="D81" s="628"/>
      <c r="E81" s="628"/>
      <c r="F81" s="628"/>
      <c r="G81" s="628"/>
      <c r="H81" s="31"/>
      <c r="I81" s="587"/>
      <c r="J81" s="587"/>
      <c r="K81" s="587"/>
      <c r="L81" s="508">
        <f>L80/L133</f>
        <v>0.55674077882020301</v>
      </c>
      <c r="M81" s="508">
        <f t="shared" ref="M81:N81" si="40">M80/M133</f>
        <v>0.60471765546819156</v>
      </c>
      <c r="N81" s="508">
        <f t="shared" si="40"/>
        <v>0.60407539480387162</v>
      </c>
      <c r="O81" s="538">
        <f>O75+O78</f>
        <v>0.60532602242378597</v>
      </c>
      <c r="P81" s="538">
        <f>P75+P78</f>
        <v>0.60509350352535107</v>
      </c>
      <c r="Q81" s="538">
        <f>Q75+Q78</f>
        <v>0.60478977592868544</v>
      </c>
      <c r="R81" s="538">
        <f>R75+R78</f>
        <v>0.60447512204278686</v>
      </c>
      <c r="S81" s="538">
        <f>S75+S78</f>
        <v>0.60412996306767941</v>
      </c>
      <c r="T81" s="586"/>
      <c r="U81" s="586"/>
      <c r="V81" s="586"/>
      <c r="W81" s="586"/>
      <c r="X81" s="586"/>
      <c r="Y81" s="586"/>
      <c r="Z81" s="586"/>
      <c r="AA81" s="586"/>
      <c r="AB81" s="586"/>
    </row>
    <row r="82" spans="1:28" ht="15" x14ac:dyDescent="0.25">
      <c r="A82" s="526" t="s">
        <v>285</v>
      </c>
      <c r="B82" s="628"/>
      <c r="C82" s="628"/>
      <c r="D82" s="628"/>
      <c r="E82" s="628"/>
      <c r="F82" s="628"/>
      <c r="G82" s="628"/>
      <c r="H82" s="31"/>
      <c r="I82" s="587"/>
      <c r="J82" s="587"/>
      <c r="K82" s="587"/>
      <c r="L82" s="509"/>
      <c r="M82" s="510">
        <f>(M80-L80)/L80</f>
        <v>0.3670360110803324</v>
      </c>
      <c r="N82" s="510">
        <f>(N80-M80)/M80</f>
        <v>1.1820330969267139E-3</v>
      </c>
      <c r="O82" s="629"/>
      <c r="P82" s="629"/>
      <c r="Q82" s="629"/>
      <c r="R82" s="629"/>
      <c r="S82" s="629"/>
      <c r="T82" s="586"/>
      <c r="U82" s="586"/>
      <c r="V82" s="586"/>
      <c r="W82" s="586"/>
      <c r="X82" s="586"/>
      <c r="Y82" s="586"/>
      <c r="Z82" s="586"/>
      <c r="AA82" s="586"/>
      <c r="AB82" s="586"/>
    </row>
    <row r="83" spans="1:28" ht="15.6" x14ac:dyDescent="0.3">
      <c r="A83" s="39"/>
      <c r="B83" s="628"/>
      <c r="C83" s="628"/>
      <c r="D83" s="628"/>
      <c r="E83" s="628"/>
      <c r="F83" s="628"/>
      <c r="G83" s="628"/>
      <c r="H83" s="31"/>
      <c r="I83" s="587"/>
      <c r="J83" s="587"/>
      <c r="K83" s="587"/>
      <c r="L83" s="628"/>
      <c r="M83" s="631"/>
      <c r="N83" s="38"/>
      <c r="O83" s="629"/>
      <c r="P83" s="629"/>
      <c r="Q83" s="629"/>
      <c r="R83" s="629"/>
      <c r="S83" s="629"/>
      <c r="T83" s="586"/>
      <c r="U83" s="586"/>
      <c r="V83" s="586"/>
      <c r="W83" s="586"/>
      <c r="X83" s="586"/>
      <c r="Y83" s="586"/>
      <c r="Z83" s="586"/>
      <c r="AA83" s="586"/>
      <c r="AB83" s="586"/>
    </row>
    <row r="84" spans="1:28" ht="15.6" x14ac:dyDescent="0.3">
      <c r="A84" s="39" t="s">
        <v>57</v>
      </c>
      <c r="B84" s="628"/>
      <c r="C84" s="628"/>
      <c r="D84" s="628"/>
      <c r="E84" s="628"/>
      <c r="F84" s="628"/>
      <c r="G84" s="628"/>
      <c r="H84" s="31"/>
      <c r="I84" s="587"/>
      <c r="J84" s="587"/>
      <c r="K84" s="587"/>
      <c r="L84" s="628"/>
      <c r="M84" s="631"/>
      <c r="N84" s="38"/>
      <c r="O84" s="629"/>
      <c r="P84" s="629"/>
      <c r="Q84" s="629"/>
      <c r="R84" s="629"/>
      <c r="S84" s="629"/>
      <c r="T84" s="586"/>
      <c r="U84" s="586"/>
      <c r="V84" s="586"/>
      <c r="W84" s="586"/>
      <c r="X84" s="586"/>
      <c r="Y84" s="586"/>
      <c r="Z84" s="586"/>
      <c r="AA84" s="586"/>
      <c r="AB84" s="586"/>
    </row>
    <row r="85" spans="1:28" ht="15.6" x14ac:dyDescent="0.3">
      <c r="A85" s="39" t="s">
        <v>304</v>
      </c>
      <c r="B85" s="628"/>
      <c r="C85" s="628"/>
      <c r="D85" s="628"/>
      <c r="E85" s="628"/>
      <c r="F85" s="628"/>
      <c r="G85" s="628"/>
      <c r="H85" s="31"/>
      <c r="I85" s="587"/>
      <c r="J85" s="587"/>
      <c r="K85" s="587"/>
      <c r="L85" s="426"/>
      <c r="M85" s="631"/>
      <c r="N85" s="38"/>
      <c r="O85" s="629"/>
      <c r="P85" s="629"/>
      <c r="Q85" s="629"/>
      <c r="R85" s="629"/>
      <c r="S85" s="629"/>
      <c r="T85" s="586"/>
      <c r="U85" s="586"/>
      <c r="V85" s="586"/>
      <c r="W85" s="586"/>
      <c r="X85" s="586"/>
      <c r="Y85" s="586"/>
      <c r="Z85" s="586"/>
      <c r="AA85" s="586"/>
      <c r="AB85" s="586"/>
    </row>
    <row r="86" spans="1:28" ht="15" x14ac:dyDescent="0.25">
      <c r="A86" s="40" t="s">
        <v>59</v>
      </c>
      <c r="B86" s="628"/>
      <c r="C86" s="628"/>
      <c r="D86" s="628"/>
      <c r="E86" s="628"/>
      <c r="F86" s="628"/>
      <c r="G86" s="628"/>
      <c r="H86" s="31"/>
      <c r="I86" s="587"/>
      <c r="J86" s="587"/>
      <c r="K86" s="587"/>
      <c r="L86" s="427">
        <v>1032</v>
      </c>
      <c r="M86" s="632">
        <v>1080</v>
      </c>
      <c r="N86" s="633">
        <v>1050</v>
      </c>
      <c r="O86" s="780">
        <f>N86*(1+O87)</f>
        <v>1155</v>
      </c>
      <c r="P86" s="780">
        <f t="shared" ref="P86:S86" si="41">O86*(1+P87)</f>
        <v>1270.5</v>
      </c>
      <c r="Q86" s="780">
        <f t="shared" si="41"/>
        <v>1397.5500000000002</v>
      </c>
      <c r="R86" s="780">
        <f t="shared" si="41"/>
        <v>1537.3050000000003</v>
      </c>
      <c r="S86" s="780">
        <f t="shared" si="41"/>
        <v>1767.9007500000002</v>
      </c>
      <c r="T86" s="586"/>
      <c r="U86" s="586"/>
      <c r="V86" s="586"/>
      <c r="W86" s="586"/>
      <c r="X86" s="586"/>
      <c r="Y86" s="586"/>
      <c r="Z86" s="586"/>
      <c r="AA86" s="586"/>
      <c r="AB86" s="586"/>
    </row>
    <row r="87" spans="1:28" ht="15" x14ac:dyDescent="0.25">
      <c r="A87" s="526" t="s">
        <v>284</v>
      </c>
      <c r="B87" s="628"/>
      <c r="C87" s="628"/>
      <c r="D87" s="628"/>
      <c r="E87" s="628"/>
      <c r="F87" s="628"/>
      <c r="G87" s="628"/>
      <c r="H87" s="31"/>
      <c r="I87" s="587"/>
      <c r="J87" s="587"/>
      <c r="K87" s="587"/>
      <c r="L87" s="508">
        <f>L86/L133</f>
        <v>0.13263076725356637</v>
      </c>
      <c r="M87" s="508">
        <f t="shared" ref="M87:N87" si="42">M86/M133</f>
        <v>0.11028285510058204</v>
      </c>
      <c r="N87" s="508">
        <f t="shared" si="42"/>
        <v>0.10697911360163016</v>
      </c>
      <c r="O87" s="543">
        <v>0.1</v>
      </c>
      <c r="P87" s="543">
        <v>0.1</v>
      </c>
      <c r="Q87" s="543">
        <v>0.1</v>
      </c>
      <c r="R87" s="543">
        <v>0.1</v>
      </c>
      <c r="S87" s="543">
        <v>0.15</v>
      </c>
      <c r="T87" s="586"/>
      <c r="U87" s="586"/>
      <c r="V87" s="586"/>
      <c r="W87" s="586"/>
      <c r="X87" s="586"/>
      <c r="Y87" s="586"/>
      <c r="Z87" s="586"/>
      <c r="AA87" s="586"/>
      <c r="AB87" s="586"/>
    </row>
    <row r="88" spans="1:28" ht="15" x14ac:dyDescent="0.25">
      <c r="A88" s="526" t="s">
        <v>285</v>
      </c>
      <c r="B88" s="628"/>
      <c r="C88" s="628"/>
      <c r="D88" s="628"/>
      <c r="E88" s="628"/>
      <c r="F88" s="628"/>
      <c r="G88" s="628"/>
      <c r="H88" s="31"/>
      <c r="I88" s="587"/>
      <c r="J88" s="587"/>
      <c r="K88" s="587"/>
      <c r="L88" s="509"/>
      <c r="M88" s="510">
        <f>(M86-L86)/L86</f>
        <v>4.6511627906976744E-2</v>
      </c>
      <c r="N88" s="510">
        <f>(N86-M86)/M86</f>
        <v>-2.7777777777777776E-2</v>
      </c>
      <c r="O88" s="629"/>
      <c r="P88" s="629"/>
      <c r="Q88" s="629"/>
      <c r="R88" s="629"/>
      <c r="S88" s="629"/>
      <c r="T88" s="586"/>
      <c r="U88" s="586"/>
      <c r="V88" s="586"/>
      <c r="W88" s="586"/>
      <c r="X88" s="586"/>
      <c r="Y88" s="586"/>
      <c r="Z88" s="586"/>
      <c r="AA88" s="586"/>
      <c r="AB88" s="586"/>
    </row>
    <row r="89" spans="1:28" ht="15" x14ac:dyDescent="0.25">
      <c r="A89" s="40" t="s">
        <v>60</v>
      </c>
      <c r="B89" s="628"/>
      <c r="C89" s="628"/>
      <c r="D89" s="628"/>
      <c r="E89" s="628"/>
      <c r="F89" s="628"/>
      <c r="G89" s="628"/>
      <c r="H89" s="31"/>
      <c r="I89" s="587"/>
      <c r="J89" s="587"/>
      <c r="K89" s="587"/>
      <c r="L89" s="426">
        <v>269</v>
      </c>
      <c r="M89" s="632">
        <v>255</v>
      </c>
      <c r="N89" s="633">
        <v>222</v>
      </c>
      <c r="O89" s="780">
        <f>N89*(1+O90)</f>
        <v>226.44</v>
      </c>
      <c r="P89" s="780">
        <f t="shared" ref="P89:S89" si="43">O89*(1+P90)</f>
        <v>230.96880000000002</v>
      </c>
      <c r="Q89" s="780">
        <f t="shared" si="43"/>
        <v>235.58817600000003</v>
      </c>
      <c r="R89" s="780">
        <f t="shared" si="43"/>
        <v>240.29993952000004</v>
      </c>
      <c r="S89" s="780">
        <f t="shared" si="43"/>
        <v>245.10593831040003</v>
      </c>
      <c r="T89" s="586"/>
      <c r="U89" s="586"/>
      <c r="V89" s="586"/>
      <c r="W89" s="586"/>
      <c r="X89" s="586"/>
      <c r="Y89" s="586"/>
      <c r="Z89" s="586"/>
      <c r="AA89" s="586"/>
      <c r="AB89" s="586"/>
    </row>
    <row r="90" spans="1:28" ht="15" x14ac:dyDescent="0.25">
      <c r="A90" s="526" t="s">
        <v>284</v>
      </c>
      <c r="B90" s="628"/>
      <c r="C90" s="628"/>
      <c r="D90" s="628"/>
      <c r="E90" s="628"/>
      <c r="F90" s="628"/>
      <c r="G90" s="628"/>
      <c r="H90" s="31"/>
      <c r="I90" s="587"/>
      <c r="J90" s="587"/>
      <c r="K90" s="587"/>
      <c r="L90" s="508">
        <f>L89/L133</f>
        <v>3.4571391851947048E-2</v>
      </c>
      <c r="M90" s="508">
        <f t="shared" ref="M90:N90" si="44">M89/M133</f>
        <v>2.6039007454304094E-2</v>
      </c>
      <c r="N90" s="508">
        <f t="shared" si="44"/>
        <v>2.2618441161487521E-2</v>
      </c>
      <c r="O90" s="538">
        <v>0.02</v>
      </c>
      <c r="P90" s="538">
        <v>0.02</v>
      </c>
      <c r="Q90" s="538">
        <v>0.02</v>
      </c>
      <c r="R90" s="538">
        <v>0.02</v>
      </c>
      <c r="S90" s="538">
        <v>0.02</v>
      </c>
      <c r="T90" s="586"/>
      <c r="U90" s="586"/>
      <c r="V90" s="586"/>
      <c r="W90" s="586"/>
      <c r="X90" s="586"/>
      <c r="Y90" s="586"/>
      <c r="Z90" s="586"/>
      <c r="AA90" s="586"/>
      <c r="AB90" s="586"/>
    </row>
    <row r="91" spans="1:28" ht="15" x14ac:dyDescent="0.25">
      <c r="A91" s="526" t="s">
        <v>285</v>
      </c>
      <c r="B91" s="628"/>
      <c r="C91" s="628"/>
      <c r="D91" s="628"/>
      <c r="E91" s="628"/>
      <c r="F91" s="628"/>
      <c r="G91" s="628"/>
      <c r="H91" s="31"/>
      <c r="I91" s="587"/>
      <c r="J91" s="587"/>
      <c r="K91" s="587"/>
      <c r="L91" s="509"/>
      <c r="M91" s="510">
        <f>(M89-L89)/L89</f>
        <v>-5.204460966542751E-2</v>
      </c>
      <c r="N91" s="510">
        <f>(N89-M89)/M89</f>
        <v>-0.12941176470588237</v>
      </c>
      <c r="O91" s="629"/>
      <c r="P91" s="629"/>
      <c r="Q91" s="629"/>
      <c r="R91" s="629"/>
      <c r="S91" s="629"/>
      <c r="T91" s="586"/>
      <c r="U91" s="586"/>
      <c r="V91" s="586"/>
      <c r="W91" s="586"/>
      <c r="X91" s="586"/>
      <c r="Y91" s="586"/>
      <c r="Z91" s="586"/>
      <c r="AA91" s="586"/>
      <c r="AB91" s="586"/>
    </row>
    <row r="92" spans="1:28" ht="15" x14ac:dyDescent="0.25">
      <c r="A92" s="40" t="s">
        <v>61</v>
      </c>
      <c r="B92" s="628"/>
      <c r="C92" s="628"/>
      <c r="D92" s="628"/>
      <c r="E92" s="628"/>
      <c r="F92" s="628"/>
      <c r="G92" s="628"/>
      <c r="H92" s="31"/>
      <c r="I92" s="587"/>
      <c r="J92" s="587"/>
      <c r="K92" s="587"/>
      <c r="L92" s="426">
        <v>55</v>
      </c>
      <c r="M92" s="632">
        <v>93</v>
      </c>
      <c r="N92" s="633">
        <v>232</v>
      </c>
      <c r="O92" s="629">
        <f>N92*(1+O94)</f>
        <v>348</v>
      </c>
      <c r="P92" s="629">
        <f>O92*(1+P94)</f>
        <v>522</v>
      </c>
      <c r="Q92" s="629">
        <f t="shared" ref="Q92:S92" si="45">P92*(1+Q94)</f>
        <v>678.6</v>
      </c>
      <c r="R92" s="629">
        <f t="shared" si="45"/>
        <v>882.18000000000006</v>
      </c>
      <c r="S92" s="629">
        <f t="shared" si="45"/>
        <v>1146.8340000000001</v>
      </c>
      <c r="T92" s="586"/>
      <c r="U92" s="586"/>
      <c r="V92" s="586"/>
      <c r="W92" s="586"/>
      <c r="X92" s="586"/>
      <c r="Y92" s="586"/>
      <c r="Z92" s="586"/>
      <c r="AA92" s="586"/>
      <c r="AB92" s="586"/>
    </row>
    <row r="93" spans="1:28" ht="15" x14ac:dyDescent="0.25">
      <c r="A93" s="526" t="s">
        <v>284</v>
      </c>
      <c r="B93" s="628"/>
      <c r="C93" s="628"/>
      <c r="D93" s="628"/>
      <c r="E93" s="628"/>
      <c r="F93" s="628"/>
      <c r="G93" s="628"/>
      <c r="H93" s="31"/>
      <c r="I93" s="587"/>
      <c r="J93" s="587"/>
      <c r="K93" s="587"/>
      <c r="L93" s="508">
        <f>L92/L133</f>
        <v>7.0685001927772778E-3</v>
      </c>
      <c r="M93" s="508">
        <f t="shared" ref="M93" si="46">M92/M133</f>
        <v>9.4965791892167879E-3</v>
      </c>
      <c r="N93" s="508">
        <f>N92/N133</f>
        <v>2.3637289862455425E-2</v>
      </c>
      <c r="O93" s="508">
        <f t="shared" ref="O93:S93" si="47">O92/O133</f>
        <v>3.428511606955114E-2</v>
      </c>
      <c r="P93" s="508">
        <f t="shared" si="47"/>
        <v>4.9000176804665486E-2</v>
      </c>
      <c r="Q93" s="508">
        <f t="shared" si="47"/>
        <v>5.9578038904119272E-2</v>
      </c>
      <c r="R93" s="508">
        <f t="shared" si="47"/>
        <v>7.1899823274116328E-2</v>
      </c>
      <c r="S93" s="508">
        <f t="shared" si="47"/>
        <v>8.5552969295182649E-2</v>
      </c>
      <c r="T93" s="586"/>
      <c r="U93" s="586"/>
      <c r="V93" s="586"/>
      <c r="W93" s="586"/>
      <c r="X93" s="586"/>
      <c r="Y93" s="586"/>
      <c r="Z93" s="586"/>
      <c r="AA93" s="586"/>
      <c r="AB93" s="586"/>
    </row>
    <row r="94" spans="1:28" ht="15" x14ac:dyDescent="0.25">
      <c r="A94" s="526" t="s">
        <v>285</v>
      </c>
      <c r="B94" s="628"/>
      <c r="C94" s="628"/>
      <c r="D94" s="628"/>
      <c r="E94" s="628"/>
      <c r="F94" s="628"/>
      <c r="G94" s="628"/>
      <c r="H94" s="31"/>
      <c r="I94" s="587"/>
      <c r="J94" s="587"/>
      <c r="K94" s="587"/>
      <c r="L94" s="509"/>
      <c r="M94" s="510">
        <f>(M92-L92)/L92</f>
        <v>0.69090909090909092</v>
      </c>
      <c r="N94" s="510">
        <f>(N92-M92)/M92</f>
        <v>1.4946236559139785</v>
      </c>
      <c r="O94" s="736">
        <v>0.5</v>
      </c>
      <c r="P94" s="736">
        <v>0.5</v>
      </c>
      <c r="Q94" s="736">
        <v>0.3</v>
      </c>
      <c r="R94" s="736">
        <v>0.3</v>
      </c>
      <c r="S94" s="736">
        <v>0.3</v>
      </c>
      <c r="T94" s="586"/>
      <c r="U94" s="586"/>
      <c r="V94" s="586"/>
      <c r="W94" s="586"/>
      <c r="X94" s="586"/>
      <c r="Y94" s="586"/>
      <c r="Z94" s="586"/>
      <c r="AA94" s="586"/>
      <c r="AB94" s="586"/>
    </row>
    <row r="95" spans="1:28" ht="15" x14ac:dyDescent="0.25">
      <c r="A95" s="40" t="s">
        <v>62</v>
      </c>
      <c r="B95" s="628"/>
      <c r="C95" s="628"/>
      <c r="D95" s="628"/>
      <c r="E95" s="628"/>
      <c r="F95" s="628"/>
      <c r="G95" s="628"/>
      <c r="H95" s="31"/>
      <c r="I95" s="587"/>
      <c r="J95" s="587"/>
      <c r="K95" s="587"/>
      <c r="L95" s="426">
        <v>131</v>
      </c>
      <c r="M95" s="632">
        <v>111</v>
      </c>
      <c r="N95" s="633">
        <v>111</v>
      </c>
      <c r="O95" s="629">
        <v>111</v>
      </c>
      <c r="P95" s="629">
        <v>111</v>
      </c>
      <c r="Q95" s="629">
        <v>111</v>
      </c>
      <c r="R95" s="629">
        <v>111</v>
      </c>
      <c r="S95" s="629">
        <v>111</v>
      </c>
      <c r="T95" s="586"/>
      <c r="U95" s="586"/>
      <c r="V95" s="586"/>
      <c r="W95" s="586"/>
      <c r="X95" s="586"/>
      <c r="Y95" s="586"/>
      <c r="Z95" s="586"/>
      <c r="AA95" s="586"/>
      <c r="AB95" s="586"/>
    </row>
    <row r="96" spans="1:28" ht="15" x14ac:dyDescent="0.25">
      <c r="A96" s="526" t="s">
        <v>284</v>
      </c>
      <c r="B96" s="628"/>
      <c r="C96" s="628"/>
      <c r="D96" s="628"/>
      <c r="E96" s="628"/>
      <c r="F96" s="628"/>
      <c r="G96" s="628"/>
      <c r="H96" s="31"/>
      <c r="I96" s="587"/>
      <c r="J96" s="587"/>
      <c r="K96" s="587"/>
      <c r="L96" s="508">
        <f>L95/L133</f>
        <v>1.6835882277342243E-2</v>
      </c>
      <c r="M96" s="508">
        <f t="shared" ref="M96:N96" si="48">M95/M133</f>
        <v>1.1334626774226489E-2</v>
      </c>
      <c r="N96" s="508">
        <f t="shared" si="48"/>
        <v>1.130922058074376E-2</v>
      </c>
      <c r="O96" s="538">
        <v>1.1299999999999999E-2</v>
      </c>
      <c r="P96" s="538">
        <v>1.1299999999999999E-2</v>
      </c>
      <c r="Q96" s="538">
        <v>1.1299999999999999E-2</v>
      </c>
      <c r="R96" s="538">
        <v>1.1299999999999999E-2</v>
      </c>
      <c r="S96" s="538">
        <v>1.1299999999999999E-2</v>
      </c>
      <c r="T96" s="586"/>
      <c r="U96" s="586"/>
      <c r="V96" s="586"/>
      <c r="W96" s="586"/>
      <c r="X96" s="586"/>
      <c r="Y96" s="586"/>
      <c r="Z96" s="586"/>
      <c r="AA96" s="586"/>
      <c r="AB96" s="586"/>
    </row>
    <row r="97" spans="1:24" ht="15" x14ac:dyDescent="0.25">
      <c r="A97" s="526" t="s">
        <v>285</v>
      </c>
      <c r="B97" s="628"/>
      <c r="C97" s="628"/>
      <c r="D97" s="628"/>
      <c r="E97" s="628"/>
      <c r="F97" s="628"/>
      <c r="G97" s="628"/>
      <c r="H97" s="31"/>
      <c r="I97" s="587"/>
      <c r="J97" s="587"/>
      <c r="K97" s="587"/>
      <c r="L97" s="509"/>
      <c r="M97" s="510">
        <f t="shared" ref="M97:S97" si="49">(M95-L95)/L95</f>
        <v>-0.15267175572519084</v>
      </c>
      <c r="N97" s="510">
        <f t="shared" si="49"/>
        <v>0</v>
      </c>
      <c r="O97" s="536">
        <f t="shared" si="49"/>
        <v>0</v>
      </c>
      <c r="P97" s="536">
        <f t="shared" si="49"/>
        <v>0</v>
      </c>
      <c r="Q97" s="536">
        <f t="shared" si="49"/>
        <v>0</v>
      </c>
      <c r="R97" s="536">
        <f t="shared" si="49"/>
        <v>0</v>
      </c>
      <c r="S97" s="536">
        <f t="shared" si="49"/>
        <v>0</v>
      </c>
      <c r="T97" s="586"/>
      <c r="U97" s="586"/>
      <c r="V97" s="586"/>
      <c r="W97" s="586"/>
      <c r="X97" s="586"/>
    </row>
    <row r="98" spans="1:24" ht="15" x14ac:dyDescent="0.25">
      <c r="A98" s="40" t="s">
        <v>44</v>
      </c>
      <c r="B98" s="628"/>
      <c r="C98" s="628"/>
      <c r="D98" s="628"/>
      <c r="E98" s="628"/>
      <c r="F98" s="628"/>
      <c r="G98" s="628"/>
      <c r="H98" s="31"/>
      <c r="I98" s="587"/>
      <c r="J98" s="587"/>
      <c r="K98" s="587"/>
      <c r="L98" s="426">
        <v>0</v>
      </c>
      <c r="M98" s="632">
        <v>1</v>
      </c>
      <c r="N98" s="633">
        <v>1</v>
      </c>
      <c r="O98" s="629">
        <v>1</v>
      </c>
      <c r="P98" s="629">
        <v>1</v>
      </c>
      <c r="Q98" s="629">
        <v>1</v>
      </c>
      <c r="R98" s="629">
        <v>1</v>
      </c>
      <c r="S98" s="629">
        <v>1</v>
      </c>
      <c r="T98" s="586"/>
      <c r="U98" s="586"/>
      <c r="V98" s="586"/>
      <c r="W98" s="586"/>
      <c r="X98" s="586"/>
    </row>
    <row r="99" spans="1:24" ht="15" x14ac:dyDescent="0.25">
      <c r="A99" s="526" t="s">
        <v>284</v>
      </c>
      <c r="B99" s="628"/>
      <c r="C99" s="628"/>
      <c r="D99" s="628"/>
      <c r="E99" s="628"/>
      <c r="F99" s="628"/>
      <c r="G99" s="628"/>
      <c r="H99" s="31"/>
      <c r="I99" s="587"/>
      <c r="J99" s="587"/>
      <c r="K99" s="587"/>
      <c r="L99" s="508">
        <f>L98/L133</f>
        <v>0</v>
      </c>
      <c r="M99" s="508">
        <f t="shared" ref="M99:N99" si="50">M98/M133</f>
        <v>1.0211375472276115E-4</v>
      </c>
      <c r="N99" s="508">
        <f t="shared" si="50"/>
        <v>1.0188487009679063E-4</v>
      </c>
      <c r="O99" s="538">
        <v>1E-4</v>
      </c>
      <c r="P99" s="538">
        <v>1E-4</v>
      </c>
      <c r="Q99" s="538">
        <v>1E-4</v>
      </c>
      <c r="R99" s="538">
        <v>1E-4</v>
      </c>
      <c r="S99" s="538">
        <v>1E-4</v>
      </c>
      <c r="T99" s="586"/>
      <c r="U99" s="586"/>
      <c r="V99" s="586"/>
      <c r="W99" s="586"/>
      <c r="X99" s="586"/>
    </row>
    <row r="100" spans="1:24" ht="15" x14ac:dyDescent="0.25">
      <c r="A100" s="526" t="s">
        <v>285</v>
      </c>
      <c r="B100" s="628"/>
      <c r="C100" s="628"/>
      <c r="D100" s="628"/>
      <c r="E100" s="628"/>
      <c r="F100" s="628"/>
      <c r="G100" s="628"/>
      <c r="H100" s="31"/>
      <c r="I100" s="587"/>
      <c r="J100" s="587"/>
      <c r="K100" s="587"/>
      <c r="L100" s="509"/>
      <c r="M100" s="510"/>
      <c r="N100" s="517">
        <f t="shared" ref="N100:S100" si="51">(N98-M98)/M98</f>
        <v>0</v>
      </c>
      <c r="O100" s="537">
        <f t="shared" si="51"/>
        <v>0</v>
      </c>
      <c r="P100" s="537">
        <f t="shared" si="51"/>
        <v>0</v>
      </c>
      <c r="Q100" s="537">
        <f t="shared" si="51"/>
        <v>0</v>
      </c>
      <c r="R100" s="537">
        <f t="shared" si="51"/>
        <v>0</v>
      </c>
      <c r="S100" s="537">
        <f t="shared" si="51"/>
        <v>0</v>
      </c>
      <c r="T100" s="586"/>
      <c r="U100" s="586"/>
      <c r="V100" s="586"/>
      <c r="W100" s="586"/>
      <c r="X100" s="586"/>
    </row>
    <row r="101" spans="1:24" ht="15" x14ac:dyDescent="0.25">
      <c r="A101" s="638" t="s">
        <v>63</v>
      </c>
      <c r="B101" s="639"/>
      <c r="C101" s="639"/>
      <c r="D101" s="639"/>
      <c r="E101" s="639"/>
      <c r="F101" s="639"/>
      <c r="G101" s="639"/>
      <c r="H101" s="640"/>
      <c r="I101" s="587"/>
      <c r="J101" s="587"/>
      <c r="K101" s="587"/>
      <c r="L101" s="641">
        <v>14</v>
      </c>
      <c r="M101" s="642">
        <v>21</v>
      </c>
      <c r="N101" s="643">
        <v>21</v>
      </c>
      <c r="O101" s="629">
        <v>21</v>
      </c>
      <c r="P101" s="629">
        <v>21</v>
      </c>
      <c r="Q101" s="629">
        <v>21</v>
      </c>
      <c r="R101" s="629">
        <v>21</v>
      </c>
      <c r="S101" s="629">
        <v>21</v>
      </c>
      <c r="T101" s="586"/>
      <c r="U101" s="586"/>
      <c r="V101" s="586"/>
      <c r="W101" s="586"/>
      <c r="X101" s="586"/>
    </row>
    <row r="102" spans="1:24" ht="15" x14ac:dyDescent="0.25">
      <c r="A102" s="526" t="s">
        <v>284</v>
      </c>
      <c r="B102" s="639"/>
      <c r="C102" s="639"/>
      <c r="D102" s="639"/>
      <c r="E102" s="639"/>
      <c r="F102" s="639"/>
      <c r="G102" s="639"/>
      <c r="H102" s="640"/>
      <c r="I102" s="587"/>
      <c r="J102" s="587"/>
      <c r="K102" s="587"/>
      <c r="L102" s="512">
        <f>L101/L133</f>
        <v>1.7992545945251252E-3</v>
      </c>
      <c r="M102" s="512">
        <f t="shared" ref="M102:N102" si="52">M101/M133</f>
        <v>2.1443888491779841E-3</v>
      </c>
      <c r="N102" s="512">
        <f t="shared" si="52"/>
        <v>2.1395822720326032E-3</v>
      </c>
      <c r="O102" s="538">
        <v>2.0999999999999999E-3</v>
      </c>
      <c r="P102" s="538">
        <v>2.0999999999999999E-3</v>
      </c>
      <c r="Q102" s="538">
        <v>2.0999999999999999E-3</v>
      </c>
      <c r="R102" s="538">
        <v>2.0999999999999999E-3</v>
      </c>
      <c r="S102" s="538">
        <v>2.0999999999999999E-3</v>
      </c>
      <c r="T102" s="586"/>
      <c r="U102" s="586"/>
      <c r="V102" s="586"/>
      <c r="W102" s="586"/>
      <c r="X102" s="586"/>
    </row>
    <row r="103" spans="1:24" ht="15" x14ac:dyDescent="0.25">
      <c r="A103" s="526" t="s">
        <v>285</v>
      </c>
      <c r="B103" s="639"/>
      <c r="C103" s="639"/>
      <c r="D103" s="639"/>
      <c r="E103" s="639"/>
      <c r="F103" s="639"/>
      <c r="G103" s="639"/>
      <c r="H103" s="644"/>
      <c r="I103" s="589"/>
      <c r="J103" s="589"/>
      <c r="K103" s="589"/>
      <c r="L103" s="513"/>
      <c r="M103" s="514">
        <f t="shared" ref="M103:S103" si="53">(M101-L101)/L101</f>
        <v>0.5</v>
      </c>
      <c r="N103" s="514">
        <f t="shared" si="53"/>
        <v>0</v>
      </c>
      <c r="O103" s="539">
        <f t="shared" si="53"/>
        <v>0</v>
      </c>
      <c r="P103" s="539">
        <f t="shared" si="53"/>
        <v>0</v>
      </c>
      <c r="Q103" s="539">
        <f t="shared" si="53"/>
        <v>0</v>
      </c>
      <c r="R103" s="539">
        <f t="shared" si="53"/>
        <v>0</v>
      </c>
      <c r="S103" s="539">
        <f t="shared" si="53"/>
        <v>0</v>
      </c>
      <c r="T103" s="586"/>
      <c r="U103" s="586"/>
      <c r="V103" s="586"/>
      <c r="W103" s="586"/>
      <c r="X103" s="586"/>
    </row>
    <row r="104" spans="1:24" ht="15.6" x14ac:dyDescent="0.3">
      <c r="A104" s="646" t="s">
        <v>64</v>
      </c>
      <c r="B104" s="647"/>
      <c r="C104" s="647"/>
      <c r="D104" s="647"/>
      <c r="E104" s="647"/>
      <c r="F104" s="647"/>
      <c r="G104" s="647"/>
      <c r="H104" s="640"/>
      <c r="I104" s="587"/>
      <c r="J104" s="587"/>
      <c r="K104" s="587"/>
      <c r="L104" s="649">
        <v>1500</v>
      </c>
      <c r="M104" s="650">
        <v>1561</v>
      </c>
      <c r="N104" s="659">
        <v>1638</v>
      </c>
      <c r="O104" s="780">
        <f>O86+O89+O92+O95+O98+O101</f>
        <v>1862.44</v>
      </c>
      <c r="P104" s="780">
        <f t="shared" ref="P104:S104" si="54">P86+P89+P92+P95+P98+P101</f>
        <v>2156.4688000000001</v>
      </c>
      <c r="Q104" s="780">
        <f t="shared" si="54"/>
        <v>2444.7381760000003</v>
      </c>
      <c r="R104" s="780">
        <f t="shared" si="54"/>
        <v>2792.7849395200001</v>
      </c>
      <c r="S104" s="780">
        <f t="shared" si="54"/>
        <v>3292.8406883104003</v>
      </c>
      <c r="T104" s="586"/>
      <c r="U104" s="586"/>
      <c r="V104" s="586"/>
      <c r="W104" s="586"/>
      <c r="X104" s="586"/>
    </row>
    <row r="105" spans="1:24" ht="15" x14ac:dyDescent="0.25">
      <c r="A105" s="526" t="s">
        <v>284</v>
      </c>
      <c r="B105" s="639"/>
      <c r="C105" s="639"/>
      <c r="D105" s="639"/>
      <c r="E105" s="639"/>
      <c r="F105" s="639"/>
      <c r="G105" s="639"/>
      <c r="H105" s="640"/>
      <c r="I105" s="587"/>
      <c r="J105" s="587"/>
      <c r="K105" s="587"/>
      <c r="L105" s="512">
        <f>L104/L133</f>
        <v>0.19277727798483485</v>
      </c>
      <c r="M105" s="512">
        <f t="shared" ref="M105:N105" si="55">M104/M133</f>
        <v>0.15939957112223016</v>
      </c>
      <c r="N105" s="512">
        <f t="shared" si="55"/>
        <v>0.16688741721854305</v>
      </c>
      <c r="O105" s="512">
        <f>O104/O133</f>
        <v>0.18348842405912305</v>
      </c>
      <c r="P105" s="512">
        <f t="shared" ref="P105:S105" si="56">P104/P133</f>
        <v>0.20242787830219316</v>
      </c>
      <c r="Q105" s="512">
        <f t="shared" si="56"/>
        <v>0.2146370559388647</v>
      </c>
      <c r="R105" s="512">
        <f t="shared" si="56"/>
        <v>0.227618789356029</v>
      </c>
      <c r="S105" s="512">
        <f t="shared" si="56"/>
        <v>0.24564348310300163</v>
      </c>
      <c r="T105" s="586"/>
      <c r="U105" s="586"/>
      <c r="V105" s="586"/>
      <c r="W105" s="586"/>
      <c r="X105" s="586"/>
    </row>
    <row r="106" spans="1:24" ht="15" x14ac:dyDescent="0.25">
      <c r="A106" s="526" t="s">
        <v>285</v>
      </c>
      <c r="B106" s="639"/>
      <c r="C106" s="639"/>
      <c r="D106" s="639"/>
      <c r="E106" s="639"/>
      <c r="F106" s="639"/>
      <c r="G106" s="639"/>
      <c r="H106" s="640"/>
      <c r="I106" s="587"/>
      <c r="J106" s="587"/>
      <c r="K106" s="587"/>
      <c r="L106" s="513"/>
      <c r="M106" s="514">
        <f>(M104-L104)/L104</f>
        <v>4.0666666666666663E-2</v>
      </c>
      <c r="N106" s="514">
        <f>(N104-M104)/M104</f>
        <v>4.9327354260089683E-2</v>
      </c>
      <c r="O106" s="514">
        <f t="shared" ref="O106:S106" si="57">(O104-N104)/N104</f>
        <v>0.13702075702075706</v>
      </c>
      <c r="P106" s="514">
        <f t="shared" si="57"/>
        <v>0.15787289791885914</v>
      </c>
      <c r="Q106" s="514">
        <f t="shared" si="57"/>
        <v>0.13367658089929249</v>
      </c>
      <c r="R106" s="514">
        <f t="shared" si="57"/>
        <v>0.14236565982270641</v>
      </c>
      <c r="S106" s="514">
        <f t="shared" si="57"/>
        <v>0.17905272322055185</v>
      </c>
      <c r="T106" s="586"/>
      <c r="U106" s="586"/>
      <c r="V106" s="586"/>
      <c r="W106" s="586"/>
      <c r="X106" s="586"/>
    </row>
    <row r="107" spans="1:24" ht="15.6" x14ac:dyDescent="0.3">
      <c r="A107" s="39"/>
      <c r="B107" s="628"/>
      <c r="C107" s="628"/>
      <c r="D107" s="628"/>
      <c r="E107" s="628"/>
      <c r="F107" s="628"/>
      <c r="G107" s="628"/>
      <c r="H107" s="31"/>
      <c r="I107" s="587"/>
      <c r="J107" s="587"/>
      <c r="K107" s="587"/>
      <c r="L107" s="628"/>
      <c r="M107" s="631"/>
      <c r="N107" s="38"/>
      <c r="O107" s="629"/>
      <c r="P107" s="629"/>
      <c r="Q107" s="629"/>
      <c r="R107" s="629"/>
      <c r="S107" s="629"/>
      <c r="T107" s="586"/>
      <c r="U107" s="586"/>
      <c r="V107" s="586"/>
      <c r="W107" s="586"/>
      <c r="X107" s="586"/>
    </row>
    <row r="108" spans="1:24" ht="15.6" x14ac:dyDescent="0.3">
      <c r="A108" s="39" t="s">
        <v>65</v>
      </c>
      <c r="B108" s="628"/>
      <c r="C108" s="628"/>
      <c r="D108" s="628"/>
      <c r="E108" s="628"/>
      <c r="F108" s="628"/>
      <c r="G108" s="628"/>
      <c r="H108" s="31"/>
      <c r="I108" s="587"/>
      <c r="J108" s="587"/>
      <c r="K108" s="587"/>
      <c r="L108" s="628"/>
      <c r="M108" s="631"/>
      <c r="N108" s="38"/>
      <c r="O108" s="629"/>
      <c r="P108" s="629"/>
      <c r="Q108" s="629"/>
      <c r="R108" s="629"/>
      <c r="S108" s="629"/>
      <c r="T108" s="586"/>
      <c r="U108" s="586"/>
      <c r="V108" s="586"/>
      <c r="W108" s="586"/>
      <c r="X108" s="586"/>
    </row>
    <row r="109" spans="1:24" ht="15" x14ac:dyDescent="0.25">
      <c r="A109" s="40" t="s">
        <v>59</v>
      </c>
      <c r="B109" s="628"/>
      <c r="C109" s="628"/>
      <c r="D109" s="628"/>
      <c r="E109" s="628"/>
      <c r="F109" s="628"/>
      <c r="G109" s="628"/>
      <c r="H109" s="31"/>
      <c r="I109" s="587"/>
      <c r="J109" s="587"/>
      <c r="K109" s="587"/>
      <c r="L109" s="426">
        <v>163</v>
      </c>
      <c r="M109" s="632">
        <v>242</v>
      </c>
      <c r="N109" s="633">
        <v>257</v>
      </c>
      <c r="O109" s="780">
        <f>N109*(1+O110)</f>
        <v>262.14</v>
      </c>
      <c r="P109" s="780">
        <f t="shared" ref="P109:S109" si="58">O109*(1+P110)</f>
        <v>267.38279999999997</v>
      </c>
      <c r="Q109" s="780">
        <f t="shared" si="58"/>
        <v>272.730456</v>
      </c>
      <c r="R109" s="780">
        <f t="shared" si="58"/>
        <v>278.18506511999999</v>
      </c>
      <c r="S109" s="780">
        <f t="shared" si="58"/>
        <v>283.74876642239997</v>
      </c>
      <c r="T109" s="586"/>
      <c r="U109" s="586"/>
      <c r="V109" s="586"/>
      <c r="W109" s="586"/>
      <c r="X109" s="586"/>
    </row>
    <row r="110" spans="1:24" ht="15" x14ac:dyDescent="0.25">
      <c r="A110" s="526" t="s">
        <v>284</v>
      </c>
      <c r="B110" s="628"/>
      <c r="C110" s="628"/>
      <c r="D110" s="628"/>
      <c r="E110" s="628"/>
      <c r="F110" s="628"/>
      <c r="G110" s="628"/>
      <c r="H110" s="31"/>
      <c r="I110" s="587"/>
      <c r="J110" s="587"/>
      <c r="K110" s="587"/>
      <c r="L110" s="508">
        <f>L109/L133</f>
        <v>2.0948464207685386E-2</v>
      </c>
      <c r="M110" s="508">
        <f t="shared" ref="M110" si="59">M109/M133</f>
        <v>2.4711528642908199E-2</v>
      </c>
      <c r="N110" s="508">
        <f>N109/N133</f>
        <v>2.618441161487519E-2</v>
      </c>
      <c r="O110" s="538">
        <v>0.02</v>
      </c>
      <c r="P110" s="538">
        <v>0.02</v>
      </c>
      <c r="Q110" s="538">
        <v>0.02</v>
      </c>
      <c r="R110" s="538">
        <v>0.02</v>
      </c>
      <c r="S110" s="538">
        <v>0.02</v>
      </c>
      <c r="T110" s="586"/>
      <c r="U110" s="586"/>
      <c r="V110" s="586"/>
      <c r="W110" s="586"/>
      <c r="X110" s="586"/>
    </row>
    <row r="111" spans="1:24" ht="15" x14ac:dyDescent="0.25">
      <c r="A111" s="526" t="s">
        <v>285</v>
      </c>
      <c r="B111" s="628"/>
      <c r="C111" s="628"/>
      <c r="D111" s="628"/>
      <c r="E111" s="628"/>
      <c r="F111" s="628"/>
      <c r="G111" s="628"/>
      <c r="H111" s="31"/>
      <c r="I111" s="587"/>
      <c r="J111" s="587"/>
      <c r="K111" s="587"/>
      <c r="L111" s="509"/>
      <c r="M111" s="510">
        <f>(M109-L109)/L109</f>
        <v>0.48466257668711654</v>
      </c>
      <c r="N111" s="510">
        <f>(N109-M109)/M109</f>
        <v>6.1983471074380167E-2</v>
      </c>
      <c r="O111" s="548"/>
      <c r="P111" s="548"/>
      <c r="Q111" s="548"/>
      <c r="R111" s="548"/>
      <c r="S111" s="548"/>
      <c r="T111" s="586"/>
      <c r="U111" s="586"/>
      <c r="V111" s="586"/>
      <c r="W111" s="586"/>
      <c r="X111" s="586"/>
    </row>
    <row r="112" spans="1:24" ht="15" x14ac:dyDescent="0.25">
      <c r="A112" s="40" t="s">
        <v>66</v>
      </c>
      <c r="B112" s="628"/>
      <c r="C112" s="628"/>
      <c r="D112" s="628"/>
      <c r="E112" s="628"/>
      <c r="F112" s="628"/>
      <c r="G112" s="628"/>
      <c r="H112" s="31"/>
      <c r="I112" s="587"/>
      <c r="J112" s="587"/>
      <c r="K112" s="587"/>
      <c r="L112" s="426">
        <v>36</v>
      </c>
      <c r="M112" s="632">
        <v>16</v>
      </c>
      <c r="N112" s="633">
        <v>7</v>
      </c>
      <c r="O112" s="780">
        <f>N112*(1+O113)</f>
        <v>7.0020999999999995</v>
      </c>
      <c r="P112" s="780">
        <f t="shared" ref="P112:S112" si="60">O112*(1+P113)</f>
        <v>7.0042006299999997</v>
      </c>
      <c r="Q112" s="780">
        <f t="shared" si="60"/>
        <v>7.0063018901889995</v>
      </c>
      <c r="R112" s="780">
        <f t="shared" si="60"/>
        <v>7.0084037807560557</v>
      </c>
      <c r="S112" s="780">
        <f t="shared" si="60"/>
        <v>7.010506301890282</v>
      </c>
      <c r="T112" s="586"/>
      <c r="U112" s="586"/>
      <c r="V112" s="586"/>
      <c r="W112" s="586"/>
      <c r="X112" s="586"/>
    </row>
    <row r="113" spans="1:24" ht="15" x14ac:dyDescent="0.25">
      <c r="A113" s="526" t="s">
        <v>284</v>
      </c>
      <c r="B113" s="628"/>
      <c r="C113" s="628"/>
      <c r="D113" s="628"/>
      <c r="E113" s="628"/>
      <c r="F113" s="628"/>
      <c r="G113" s="628"/>
      <c r="H113" s="31"/>
      <c r="I113" s="587"/>
      <c r="J113" s="587"/>
      <c r="K113" s="587"/>
      <c r="L113" s="508">
        <f>L112/L133</f>
        <v>4.6266546716360367E-3</v>
      </c>
      <c r="M113" s="508">
        <f t="shared" ref="M113:N113" si="61">M112/M133</f>
        <v>1.6338200755641784E-3</v>
      </c>
      <c r="N113" s="508">
        <f t="shared" si="61"/>
        <v>7.1319409067753439E-4</v>
      </c>
      <c r="O113" s="538">
        <v>2.9999999999999997E-4</v>
      </c>
      <c r="P113" s="538">
        <v>2.9999999999999997E-4</v>
      </c>
      <c r="Q113" s="538">
        <v>2.9999999999999997E-4</v>
      </c>
      <c r="R113" s="538">
        <v>2.9999999999999997E-4</v>
      </c>
      <c r="S113" s="538">
        <v>2.9999999999999997E-4</v>
      </c>
      <c r="T113" s="586"/>
      <c r="U113" s="586"/>
      <c r="V113" s="586"/>
      <c r="W113" s="586"/>
      <c r="X113" s="586"/>
    </row>
    <row r="114" spans="1:24" ht="15" x14ac:dyDescent="0.25">
      <c r="A114" s="526" t="s">
        <v>285</v>
      </c>
      <c r="B114" s="628"/>
      <c r="C114" s="628"/>
      <c r="D114" s="628"/>
      <c r="E114" s="628"/>
      <c r="F114" s="628"/>
      <c r="G114" s="628"/>
      <c r="H114" s="31"/>
      <c r="I114" s="587"/>
      <c r="J114" s="587"/>
      <c r="K114" s="587"/>
      <c r="L114" s="509"/>
      <c r="M114" s="510">
        <f>(M112-L112)/L112</f>
        <v>-0.55555555555555558</v>
      </c>
      <c r="N114" s="510">
        <f>(N112-M112)/M112</f>
        <v>-0.5625</v>
      </c>
      <c r="O114" s="548"/>
      <c r="P114" s="548"/>
      <c r="Q114" s="548"/>
      <c r="R114" s="548"/>
      <c r="S114" s="548"/>
      <c r="T114" s="586"/>
      <c r="U114" s="586"/>
      <c r="V114" s="586"/>
      <c r="W114" s="586"/>
      <c r="X114" s="586"/>
    </row>
    <row r="115" spans="1:24" ht="15" x14ac:dyDescent="0.25">
      <c r="A115" s="40" t="s">
        <v>44</v>
      </c>
      <c r="B115" s="628"/>
      <c r="C115" s="628"/>
      <c r="D115" s="628"/>
      <c r="E115" s="628"/>
      <c r="F115" s="628"/>
      <c r="G115" s="628"/>
      <c r="H115" s="31"/>
      <c r="I115" s="587"/>
      <c r="J115" s="587"/>
      <c r="K115" s="587"/>
      <c r="L115" s="426">
        <v>72</v>
      </c>
      <c r="M115" s="632">
        <v>63</v>
      </c>
      <c r="N115" s="633">
        <v>111</v>
      </c>
      <c r="O115" s="780">
        <f>N115*(1+O116)</f>
        <v>112.11</v>
      </c>
      <c r="P115" s="780">
        <f t="shared" ref="P115:S115" si="62">O115*(1+P116)</f>
        <v>113.2311</v>
      </c>
      <c r="Q115" s="780">
        <f t="shared" si="62"/>
        <v>114.363411</v>
      </c>
      <c r="R115" s="780">
        <f t="shared" si="62"/>
        <v>115.50704511000001</v>
      </c>
      <c r="S115" s="780">
        <f t="shared" si="62"/>
        <v>116.66211556110001</v>
      </c>
      <c r="T115" s="586"/>
      <c r="U115" s="586"/>
      <c r="V115" s="586"/>
      <c r="W115" s="586"/>
      <c r="X115" s="586"/>
    </row>
    <row r="116" spans="1:24" ht="15" x14ac:dyDescent="0.25">
      <c r="A116" s="526" t="s">
        <v>284</v>
      </c>
      <c r="B116" s="628"/>
      <c r="C116" s="628"/>
      <c r="D116" s="628"/>
      <c r="E116" s="628"/>
      <c r="F116" s="628"/>
      <c r="G116" s="628"/>
      <c r="H116" s="31"/>
      <c r="I116" s="587"/>
      <c r="J116" s="587"/>
      <c r="K116" s="587"/>
      <c r="L116" s="508">
        <f>L115/L133</f>
        <v>9.2533093432720735E-3</v>
      </c>
      <c r="M116" s="508">
        <f t="shared" ref="M116:N116" si="63">M115/M133</f>
        <v>6.4331665475339528E-3</v>
      </c>
      <c r="N116" s="508">
        <f t="shared" si="63"/>
        <v>1.130922058074376E-2</v>
      </c>
      <c r="O116" s="543">
        <v>0.01</v>
      </c>
      <c r="P116" s="543">
        <v>0.01</v>
      </c>
      <c r="Q116" s="543">
        <v>0.01</v>
      </c>
      <c r="R116" s="543">
        <v>0.01</v>
      </c>
      <c r="S116" s="543">
        <v>0.01</v>
      </c>
      <c r="T116" s="586"/>
      <c r="U116" s="586"/>
      <c r="V116" s="586"/>
      <c r="W116" s="586"/>
      <c r="X116" s="586"/>
    </row>
    <row r="117" spans="1:24" ht="15" x14ac:dyDescent="0.25">
      <c r="A117" s="526" t="s">
        <v>285</v>
      </c>
      <c r="B117" s="628"/>
      <c r="C117" s="628"/>
      <c r="D117" s="628"/>
      <c r="E117" s="628"/>
      <c r="F117" s="628"/>
      <c r="G117" s="628"/>
      <c r="H117" s="31"/>
      <c r="I117" s="587"/>
      <c r="J117" s="587"/>
      <c r="K117" s="587"/>
      <c r="L117" s="509"/>
      <c r="M117" s="510">
        <f>(M115-L115)/L115</f>
        <v>-0.125</v>
      </c>
      <c r="N117" s="510">
        <f>(N115-M115)/M115</f>
        <v>0.76190476190476186</v>
      </c>
      <c r="O117" s="548"/>
      <c r="P117" s="548"/>
      <c r="Q117" s="548"/>
      <c r="R117" s="548"/>
      <c r="S117" s="548"/>
      <c r="T117" s="586"/>
      <c r="U117" s="586"/>
      <c r="V117" s="586"/>
      <c r="W117" s="586"/>
      <c r="X117" s="586"/>
    </row>
    <row r="118" spans="1:24" ht="15" x14ac:dyDescent="0.25">
      <c r="A118" s="638" t="s">
        <v>305</v>
      </c>
      <c r="B118" s="639"/>
      <c r="C118" s="639"/>
      <c r="D118" s="639"/>
      <c r="E118" s="639"/>
      <c r="F118" s="639"/>
      <c r="G118" s="639"/>
      <c r="H118" s="640"/>
      <c r="I118" s="587"/>
      <c r="J118" s="587"/>
      <c r="K118" s="587"/>
      <c r="L118" s="657">
        <v>1677</v>
      </c>
      <c r="M118" s="642">
        <v>1990</v>
      </c>
      <c r="N118" s="643">
        <v>1872</v>
      </c>
      <c r="O118" s="780">
        <f>N118*(1+O119)</f>
        <v>1965.6000000000001</v>
      </c>
      <c r="P118" s="780">
        <f t="shared" ref="P118:S118" si="64">O118*(1+P119)</f>
        <v>2162.1600000000003</v>
      </c>
      <c r="Q118" s="780">
        <f>P118*(1+Q119)</f>
        <v>2594.5920000000001</v>
      </c>
      <c r="R118" s="780">
        <f t="shared" si="64"/>
        <v>3113.5104000000001</v>
      </c>
      <c r="S118" s="780">
        <f t="shared" si="64"/>
        <v>3736.2124800000001</v>
      </c>
      <c r="T118" s="586"/>
      <c r="U118" s="586"/>
      <c r="V118" s="586"/>
      <c r="W118" s="586"/>
      <c r="X118" s="586"/>
    </row>
    <row r="119" spans="1:24" s="545" customFormat="1" ht="15" x14ac:dyDescent="0.25">
      <c r="A119" s="526" t="s">
        <v>284</v>
      </c>
      <c r="B119" s="639"/>
      <c r="C119" s="639"/>
      <c r="D119" s="639"/>
      <c r="E119" s="639"/>
      <c r="F119" s="639"/>
      <c r="G119" s="639"/>
      <c r="H119" s="640"/>
      <c r="I119" s="661"/>
      <c r="J119" s="661"/>
      <c r="K119" s="661"/>
      <c r="L119" s="512">
        <f>L118/L133</f>
        <v>0.21552499678704537</v>
      </c>
      <c r="M119" s="512">
        <f t="shared" ref="M119:N119" si="65">M118/M133</f>
        <v>0.20320637189829471</v>
      </c>
      <c r="N119" s="512">
        <f t="shared" si="65"/>
        <v>0.19072847682119207</v>
      </c>
      <c r="O119" s="546">
        <v>0.05</v>
      </c>
      <c r="P119" s="546">
        <v>0.1</v>
      </c>
      <c r="Q119" s="546">
        <v>0.2</v>
      </c>
      <c r="R119" s="546">
        <v>0.2</v>
      </c>
      <c r="S119" s="546">
        <v>0.2</v>
      </c>
      <c r="T119" s="662"/>
      <c r="U119" s="662"/>
      <c r="V119" s="662"/>
      <c r="W119" s="662"/>
      <c r="X119" s="662"/>
    </row>
    <row r="120" spans="1:24" ht="15" x14ac:dyDescent="0.25">
      <c r="A120" s="526" t="s">
        <v>285</v>
      </c>
      <c r="B120" s="639"/>
      <c r="C120" s="639"/>
      <c r="D120" s="639"/>
      <c r="E120" s="639"/>
      <c r="F120" s="639"/>
      <c r="G120" s="639"/>
      <c r="H120" s="640"/>
      <c r="I120" s="589"/>
      <c r="J120" s="589"/>
      <c r="K120" s="589"/>
      <c r="L120" s="513"/>
      <c r="M120" s="514">
        <f>(M118-L118)/L118</f>
        <v>0.18664281454979129</v>
      </c>
      <c r="N120" s="514">
        <f>(N118-M118)/M118</f>
        <v>-5.92964824120603E-2</v>
      </c>
      <c r="O120" s="547"/>
      <c r="P120" s="547"/>
      <c r="Q120" s="547"/>
      <c r="R120" s="547"/>
      <c r="S120" s="547"/>
      <c r="T120" s="586"/>
      <c r="U120" s="586"/>
      <c r="V120" s="586"/>
      <c r="W120" s="586"/>
      <c r="X120" s="586"/>
    </row>
    <row r="121" spans="1:24" ht="15.6" x14ac:dyDescent="0.3">
      <c r="A121" s="663" t="s">
        <v>68</v>
      </c>
      <c r="B121" s="647"/>
      <c r="C121" s="647"/>
      <c r="D121" s="647"/>
      <c r="E121" s="647"/>
      <c r="F121" s="647"/>
      <c r="G121" s="647"/>
      <c r="H121" s="658"/>
      <c r="I121" s="587"/>
      <c r="J121" s="587"/>
      <c r="K121" s="587"/>
      <c r="L121" s="649">
        <v>1948</v>
      </c>
      <c r="M121" s="650">
        <v>2311</v>
      </c>
      <c r="N121" s="659">
        <v>2247</v>
      </c>
      <c r="O121" s="780">
        <f>O109+O112+O115+O118</f>
        <v>2346.8521000000001</v>
      </c>
      <c r="P121" s="780">
        <f>P109+P112+P115+P118</f>
        <v>2549.7781006300002</v>
      </c>
      <c r="Q121" s="780">
        <f>Q109+Q112+Q115+Q118</f>
        <v>2988.6921688901889</v>
      </c>
      <c r="R121" s="780">
        <f t="shared" ref="R121:S121" si="66">R109+R112+R115+R118</f>
        <v>3514.2109140107559</v>
      </c>
      <c r="S121" s="780">
        <f t="shared" si="66"/>
        <v>4143.6338682853902</v>
      </c>
      <c r="T121" s="586"/>
      <c r="U121" s="586"/>
      <c r="V121" s="586"/>
      <c r="W121" s="586"/>
      <c r="X121" s="586"/>
    </row>
    <row r="122" spans="1:24" ht="15" x14ac:dyDescent="0.25">
      <c r="A122" s="526" t="s">
        <v>284</v>
      </c>
      <c r="B122" s="639"/>
      <c r="C122" s="639"/>
      <c r="D122" s="639"/>
      <c r="E122" s="639"/>
      <c r="F122" s="639"/>
      <c r="G122" s="639"/>
      <c r="H122" s="640"/>
      <c r="I122" s="587"/>
      <c r="J122" s="587"/>
      <c r="K122" s="587"/>
      <c r="L122" s="512">
        <f>L121/L133</f>
        <v>0.25035342500963886</v>
      </c>
      <c r="M122" s="512">
        <f t="shared" ref="M122:N122" si="67">M121/M133</f>
        <v>0.23598488716430102</v>
      </c>
      <c r="N122" s="512">
        <f t="shared" si="67"/>
        <v>0.22893530310748852</v>
      </c>
      <c r="O122" s="512">
        <f>O121/O133</f>
        <v>0.23121292139818919</v>
      </c>
      <c r="P122" s="512">
        <f t="shared" ref="P122:S122" si="68">P121/P133</f>
        <v>0.23934785008339876</v>
      </c>
      <c r="Q122" s="512">
        <f t="shared" si="68"/>
        <v>0.26239377882489873</v>
      </c>
      <c r="R122" s="512">
        <f t="shared" si="68"/>
        <v>0.28641676717375608</v>
      </c>
      <c r="S122" s="512">
        <f t="shared" si="68"/>
        <v>0.30911202589380754</v>
      </c>
      <c r="T122" s="664"/>
      <c r="U122" s="664"/>
      <c r="V122" s="664"/>
      <c r="W122" s="586"/>
      <c r="X122" s="586"/>
    </row>
    <row r="123" spans="1:24" ht="15" x14ac:dyDescent="0.25">
      <c r="A123" s="526" t="s">
        <v>285</v>
      </c>
      <c r="B123" s="639"/>
      <c r="C123" s="639"/>
      <c r="D123" s="639"/>
      <c r="E123" s="639"/>
      <c r="F123" s="639"/>
      <c r="G123" s="639"/>
      <c r="H123" s="640"/>
      <c r="I123" s="587"/>
      <c r="J123" s="587"/>
      <c r="K123" s="587"/>
      <c r="L123" s="513"/>
      <c r="M123" s="514">
        <f>(M121-L121)/L121</f>
        <v>0.18634496919917864</v>
      </c>
      <c r="N123" s="514">
        <f>(N121-M121)/M121</f>
        <v>-2.7693639117265252E-2</v>
      </c>
      <c r="O123" s="514">
        <f t="shared" ref="O123:S123" si="69">(O121-N121)/N121</f>
        <v>4.44379617267468E-2</v>
      </c>
      <c r="P123" s="514">
        <f t="shared" si="69"/>
        <v>8.6467315358304889E-2</v>
      </c>
      <c r="Q123" s="514">
        <f t="shared" si="69"/>
        <v>0.17213814337480648</v>
      </c>
      <c r="R123" s="514">
        <f t="shared" si="69"/>
        <v>0.17583568846292771</v>
      </c>
      <c r="S123" s="514">
        <f t="shared" si="69"/>
        <v>0.17910790492545486</v>
      </c>
      <c r="T123" s="586"/>
      <c r="U123" s="586"/>
      <c r="V123" s="586"/>
      <c r="W123" s="586"/>
      <c r="X123" s="586"/>
    </row>
    <row r="124" spans="1:24" ht="15.6" x14ac:dyDescent="0.3">
      <c r="A124" s="29"/>
      <c r="B124" s="628"/>
      <c r="C124" s="628"/>
      <c r="D124" s="628"/>
      <c r="E124" s="628"/>
      <c r="F124" s="628"/>
      <c r="G124" s="628"/>
      <c r="H124" s="31"/>
      <c r="I124" s="587"/>
      <c r="J124" s="587"/>
      <c r="K124" s="587"/>
      <c r="L124" s="628"/>
      <c r="M124" s="656"/>
      <c r="N124" s="738"/>
      <c r="O124" s="629"/>
      <c r="P124" s="629"/>
      <c r="Q124" s="629"/>
      <c r="R124" s="629"/>
      <c r="S124" s="629"/>
      <c r="T124" s="586"/>
      <c r="U124" s="586"/>
      <c r="V124" s="586"/>
      <c r="W124" s="586"/>
      <c r="X124" s="586"/>
    </row>
    <row r="125" spans="1:24" ht="15.6" x14ac:dyDescent="0.3">
      <c r="A125" s="29" t="s">
        <v>306</v>
      </c>
      <c r="B125" s="628"/>
      <c r="C125" s="628"/>
      <c r="D125" s="628"/>
      <c r="E125" s="628"/>
      <c r="F125" s="628"/>
      <c r="G125" s="628"/>
      <c r="H125" s="31"/>
      <c r="I125" s="587"/>
      <c r="J125" s="587"/>
      <c r="K125" s="587"/>
      <c r="L125" s="40">
        <v>0</v>
      </c>
      <c r="M125" s="632">
        <v>0</v>
      </c>
      <c r="N125" s="633">
        <v>0</v>
      </c>
      <c r="O125" s="629">
        <v>0</v>
      </c>
      <c r="P125" s="629">
        <v>0</v>
      </c>
      <c r="Q125" s="629">
        <v>0</v>
      </c>
      <c r="R125" s="629">
        <v>0</v>
      </c>
      <c r="S125" s="629">
        <v>0</v>
      </c>
      <c r="T125" s="586"/>
      <c r="U125" s="586"/>
      <c r="V125" s="586"/>
      <c r="W125" s="586"/>
      <c r="X125" s="586"/>
    </row>
    <row r="126" spans="1:24" ht="15" x14ac:dyDescent="0.25">
      <c r="A126" s="526" t="s">
        <v>284</v>
      </c>
      <c r="B126" s="628"/>
      <c r="C126" s="628"/>
      <c r="D126" s="628"/>
      <c r="E126" s="628"/>
      <c r="F126" s="628"/>
      <c r="G126" s="628"/>
      <c r="H126" s="31"/>
      <c r="I126" s="587"/>
      <c r="J126" s="587"/>
      <c r="K126" s="587"/>
      <c r="L126" s="515">
        <f>L125/L133</f>
        <v>0</v>
      </c>
      <c r="M126" s="515">
        <f t="shared" ref="M126:N126" si="70">M125/M133</f>
        <v>0</v>
      </c>
      <c r="N126" s="515">
        <f t="shared" si="70"/>
        <v>0</v>
      </c>
      <c r="O126" s="543">
        <v>0</v>
      </c>
      <c r="P126" s="543">
        <v>0</v>
      </c>
      <c r="Q126" s="543">
        <v>0</v>
      </c>
      <c r="R126" s="543">
        <v>0</v>
      </c>
      <c r="S126" s="543">
        <v>0</v>
      </c>
      <c r="T126" s="586"/>
      <c r="U126" s="586"/>
      <c r="V126" s="586"/>
      <c r="W126" s="586"/>
      <c r="X126" s="586"/>
    </row>
    <row r="127" spans="1:24" ht="15" x14ac:dyDescent="0.25">
      <c r="A127" s="526" t="s">
        <v>285</v>
      </c>
      <c r="B127" s="628"/>
      <c r="C127" s="628"/>
      <c r="D127" s="628"/>
      <c r="E127" s="628"/>
      <c r="F127" s="628"/>
      <c r="G127" s="628"/>
      <c r="H127" s="31"/>
      <c r="I127" s="587"/>
      <c r="J127" s="587"/>
      <c r="K127" s="587"/>
      <c r="L127" s="516"/>
      <c r="M127" s="510"/>
      <c r="N127" s="517"/>
      <c r="O127" s="629"/>
      <c r="P127" s="629"/>
      <c r="Q127" s="629"/>
      <c r="R127" s="629"/>
      <c r="S127" s="629"/>
      <c r="T127" s="586"/>
      <c r="U127" s="586"/>
      <c r="V127" s="586"/>
      <c r="W127" s="586"/>
      <c r="X127" s="586"/>
    </row>
    <row r="128" spans="1:24" ht="15.6" x14ac:dyDescent="0.3">
      <c r="A128" s="29"/>
      <c r="B128" s="628"/>
      <c r="C128" s="628"/>
      <c r="D128" s="628"/>
      <c r="E128" s="628"/>
      <c r="F128" s="628"/>
      <c r="G128" s="628"/>
      <c r="H128" s="31"/>
      <c r="I128" s="587"/>
      <c r="J128" s="587"/>
      <c r="K128" s="587"/>
      <c r="L128" s="426"/>
      <c r="M128" s="656"/>
      <c r="N128" s="41"/>
      <c r="O128" s="629"/>
      <c r="P128" s="629"/>
      <c r="Q128" s="629"/>
      <c r="R128" s="629"/>
      <c r="S128" s="629"/>
      <c r="T128" s="586"/>
      <c r="U128" s="586"/>
      <c r="V128" s="586"/>
      <c r="W128" s="586"/>
      <c r="X128" s="586"/>
    </row>
    <row r="129" spans="1:39" ht="15.6" x14ac:dyDescent="0.3">
      <c r="A129" s="45" t="s">
        <v>69</v>
      </c>
      <c r="B129" s="630"/>
      <c r="C129" s="630"/>
      <c r="D129" s="630"/>
      <c r="E129" s="630"/>
      <c r="F129" s="630"/>
      <c r="G129" s="630"/>
      <c r="H129" s="644"/>
      <c r="I129" s="589"/>
      <c r="J129" s="589"/>
      <c r="K129" s="589"/>
      <c r="L129" s="430">
        <v>3448</v>
      </c>
      <c r="M129" s="665">
        <v>3872</v>
      </c>
      <c r="N129" s="666">
        <v>3886</v>
      </c>
      <c r="O129" s="779">
        <f>O121+O104</f>
        <v>4209.2921000000006</v>
      </c>
      <c r="P129" s="779">
        <f t="shared" ref="P129:S129" si="71">P121+P104</f>
        <v>4706.2469006299998</v>
      </c>
      <c r="Q129" s="779">
        <f t="shared" si="71"/>
        <v>5433.4303448901892</v>
      </c>
      <c r="R129" s="779">
        <f t="shared" si="71"/>
        <v>6306.995853530756</v>
      </c>
      <c r="S129" s="779">
        <f t="shared" si="71"/>
        <v>7436.474556595791</v>
      </c>
      <c r="T129" s="586"/>
      <c r="U129" s="586"/>
      <c r="V129" s="586"/>
      <c r="W129" s="586"/>
      <c r="X129" s="586"/>
      <c r="Y129" s="586"/>
      <c r="Z129" s="586"/>
      <c r="AA129" s="586"/>
      <c r="AB129" s="586"/>
      <c r="AC129" s="586"/>
      <c r="AD129" s="586"/>
      <c r="AE129" s="586"/>
      <c r="AF129" s="586"/>
      <c r="AG129" s="586"/>
      <c r="AH129" s="586"/>
      <c r="AI129" s="662"/>
      <c r="AJ129" s="662"/>
      <c r="AK129" s="662"/>
      <c r="AL129" s="662"/>
      <c r="AM129" s="662"/>
    </row>
    <row r="130" spans="1:39" ht="15" x14ac:dyDescent="0.25">
      <c r="A130" s="526" t="s">
        <v>284</v>
      </c>
      <c r="B130" s="639"/>
      <c r="C130" s="639"/>
      <c r="D130" s="639"/>
      <c r="E130" s="639"/>
      <c r="F130" s="639"/>
      <c r="G130" s="639"/>
      <c r="H130" s="640"/>
      <c r="I130" s="587"/>
      <c r="J130" s="587"/>
      <c r="K130" s="587"/>
      <c r="L130" s="512">
        <f>L129/L133</f>
        <v>0.44313070299447371</v>
      </c>
      <c r="M130" s="512">
        <f t="shared" ref="M130:N130" si="72">M129/M133</f>
        <v>0.39538445828653118</v>
      </c>
      <c r="N130" s="512">
        <f t="shared" si="72"/>
        <v>0.39592460519612838</v>
      </c>
      <c r="O130" s="512">
        <f>O129/O133</f>
        <v>0.4147013454573123</v>
      </c>
      <c r="P130" s="512">
        <f t="shared" ref="P130:S130" si="73">P129/P133</f>
        <v>0.44177572838559187</v>
      </c>
      <c r="Q130" s="512">
        <f t="shared" si="73"/>
        <v>0.47703083476376346</v>
      </c>
      <c r="R130" s="512">
        <f t="shared" si="73"/>
        <v>0.51403555652978505</v>
      </c>
      <c r="S130" s="512">
        <f t="shared" si="73"/>
        <v>0.55475550899680925</v>
      </c>
      <c r="T130" s="586"/>
      <c r="U130" s="586"/>
      <c r="V130" s="586"/>
      <c r="W130" s="586"/>
      <c r="X130" s="586"/>
      <c r="Y130" s="586"/>
      <c r="Z130" s="586"/>
      <c r="AA130" s="586"/>
      <c r="AB130" s="586"/>
      <c r="AC130" s="586"/>
      <c r="AD130" s="586"/>
      <c r="AE130" s="586"/>
      <c r="AF130" s="586"/>
      <c r="AG130" s="586"/>
      <c r="AH130" s="586"/>
      <c r="AI130" s="662"/>
      <c r="AJ130" s="662"/>
      <c r="AK130" s="662"/>
      <c r="AL130" s="662"/>
      <c r="AM130" s="662"/>
    </row>
    <row r="131" spans="1:39" ht="15" x14ac:dyDescent="0.25">
      <c r="A131" s="526" t="s">
        <v>285</v>
      </c>
      <c r="B131" s="639"/>
      <c r="C131" s="639"/>
      <c r="D131" s="639"/>
      <c r="E131" s="639"/>
      <c r="F131" s="639"/>
      <c r="G131" s="639"/>
      <c r="H131" s="640"/>
      <c r="I131" s="587"/>
      <c r="J131" s="587"/>
      <c r="K131" s="587"/>
      <c r="L131" s="513"/>
      <c r="M131" s="514">
        <f>(M129-L129)/L129</f>
        <v>0.12296983758700696</v>
      </c>
      <c r="N131" s="514">
        <f>(N129-M129)/M129</f>
        <v>3.6157024793388431E-3</v>
      </c>
      <c r="O131" s="514">
        <f t="shared" ref="O131:S131" si="74">(O129-N129)/N129</f>
        <v>8.3194055584148371E-2</v>
      </c>
      <c r="P131" s="514">
        <f t="shared" si="74"/>
        <v>0.11806137203687983</v>
      </c>
      <c r="Q131" s="514">
        <f t="shared" si="74"/>
        <v>0.154514512224772</v>
      </c>
      <c r="R131" s="514">
        <f t="shared" si="74"/>
        <v>0.16077605733219752</v>
      </c>
      <c r="S131" s="514">
        <f t="shared" si="74"/>
        <v>0.17908347005377132</v>
      </c>
      <c r="T131" s="586"/>
      <c r="U131" s="586"/>
      <c r="V131" s="586"/>
      <c r="W131" s="586"/>
      <c r="X131" s="586"/>
      <c r="Y131" s="586"/>
      <c r="Z131" s="586"/>
      <c r="AA131" s="586"/>
      <c r="AB131" s="586"/>
      <c r="AC131" s="586"/>
      <c r="AD131" s="586"/>
      <c r="AE131" s="586"/>
      <c r="AF131" s="586"/>
      <c r="AG131" s="586"/>
      <c r="AH131" s="586"/>
      <c r="AI131" s="662"/>
      <c r="AJ131" s="662"/>
      <c r="AK131" s="662"/>
      <c r="AL131" s="662"/>
      <c r="AM131" s="662"/>
    </row>
    <row r="132" spans="1:39" ht="15.6" x14ac:dyDescent="0.3">
      <c r="A132" s="628"/>
      <c r="B132" s="628"/>
      <c r="C132" s="628"/>
      <c r="D132" s="628"/>
      <c r="E132" s="628"/>
      <c r="F132" s="628"/>
      <c r="G132" s="628"/>
      <c r="H132" s="31"/>
      <c r="I132" s="587"/>
      <c r="J132" s="587"/>
      <c r="K132" s="587"/>
      <c r="L132" s="426"/>
      <c r="M132" s="631"/>
      <c r="N132" s="38"/>
      <c r="O132" s="629"/>
      <c r="P132" s="629"/>
      <c r="Q132" s="629"/>
      <c r="R132" s="629"/>
      <c r="S132" s="629"/>
      <c r="T132" s="586"/>
      <c r="U132" s="586"/>
      <c r="V132" s="586"/>
      <c r="W132" s="586"/>
      <c r="X132" s="586"/>
      <c r="Y132" s="586"/>
      <c r="Z132" s="586"/>
      <c r="AA132" s="586"/>
      <c r="AB132" s="586"/>
      <c r="AC132" s="586"/>
      <c r="AD132" s="586"/>
      <c r="AE132" s="586"/>
      <c r="AF132" s="586"/>
      <c r="AG132" s="586"/>
      <c r="AH132" s="586"/>
      <c r="AI132" s="662"/>
      <c r="AJ132" s="662"/>
      <c r="AK132" s="662"/>
      <c r="AL132" s="662"/>
      <c r="AM132" s="662"/>
    </row>
    <row r="133" spans="1:39" ht="15.6" x14ac:dyDescent="0.3">
      <c r="A133" s="46" t="s">
        <v>70</v>
      </c>
      <c r="B133" s="651"/>
      <c r="C133" s="651"/>
      <c r="D133" s="651"/>
      <c r="E133" s="651"/>
      <c r="F133" s="651"/>
      <c r="G133" s="651"/>
      <c r="H133" s="667"/>
      <c r="I133" s="652"/>
      <c r="J133" s="652"/>
      <c r="K133" s="652"/>
      <c r="L133" s="429">
        <v>7781</v>
      </c>
      <c r="M133" s="653">
        <v>9793</v>
      </c>
      <c r="N133" s="654">
        <v>9815</v>
      </c>
      <c r="O133" s="781">
        <f>O129+O80</f>
        <v>10150.177100000001</v>
      </c>
      <c r="P133" s="781">
        <f>P129+P80</f>
        <v>10653.022785629999</v>
      </c>
      <c r="Q133" s="781">
        <f>Q129+Q80</f>
        <v>11390.103005775189</v>
      </c>
      <c r="R133" s="781">
        <f>R129+R80</f>
        <v>12269.571187076639</v>
      </c>
      <c r="S133" s="781">
        <f>S129+S80</f>
        <v>13404.958465475218</v>
      </c>
      <c r="T133" s="586"/>
      <c r="U133" s="586"/>
      <c r="V133" s="586"/>
      <c r="W133" s="586"/>
      <c r="X133" s="586"/>
      <c r="Y133" s="586"/>
      <c r="Z133" s="586"/>
      <c r="AA133" s="586"/>
      <c r="AB133" s="586"/>
      <c r="AC133" s="586"/>
      <c r="AD133" s="586"/>
      <c r="AE133" s="586"/>
      <c r="AF133" s="586"/>
      <c r="AG133" s="586"/>
      <c r="AH133" s="586"/>
      <c r="AI133" s="662"/>
      <c r="AJ133" s="662"/>
      <c r="AK133" s="662"/>
      <c r="AL133" s="662"/>
      <c r="AM133" s="662"/>
    </row>
    <row r="134" spans="1:39" x14ac:dyDescent="0.25">
      <c r="A134" s="526" t="s">
        <v>284</v>
      </c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15">
        <f>L133/L133</f>
        <v>1</v>
      </c>
      <c r="M134" s="515">
        <f t="shared" ref="M134:N134" si="75">M133/M133</f>
        <v>1</v>
      </c>
      <c r="N134" s="515">
        <f t="shared" si="75"/>
        <v>1</v>
      </c>
      <c r="O134" s="543">
        <v>1</v>
      </c>
      <c r="P134" s="543">
        <v>1</v>
      </c>
      <c r="Q134" s="543">
        <v>1</v>
      </c>
      <c r="R134" s="543">
        <v>1</v>
      </c>
      <c r="S134" s="543">
        <v>1</v>
      </c>
      <c r="T134" s="586"/>
      <c r="U134" s="586"/>
      <c r="V134" s="586"/>
      <c r="W134" s="586"/>
      <c r="X134" s="586"/>
      <c r="Y134" s="586"/>
      <c r="Z134" s="586"/>
      <c r="AA134" s="586"/>
      <c r="AB134" s="586"/>
      <c r="AC134" s="586"/>
      <c r="AD134" s="586"/>
      <c r="AE134" s="586"/>
      <c r="AF134" s="586"/>
      <c r="AG134" s="586"/>
      <c r="AH134" s="586"/>
      <c r="AI134" s="662"/>
      <c r="AJ134" s="662"/>
      <c r="AK134" s="662"/>
      <c r="AL134" s="662"/>
      <c r="AM134" s="662"/>
    </row>
    <row r="135" spans="1:39" x14ac:dyDescent="0.25">
      <c r="A135" s="526" t="s">
        <v>285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16"/>
      <c r="M135" s="516">
        <f t="shared" ref="M135:S135" si="76">(M133-L133)/L133</f>
        <v>0.25857858887032514</v>
      </c>
      <c r="N135" s="516">
        <f t="shared" si="76"/>
        <v>2.2465026039007454E-3</v>
      </c>
      <c r="O135" s="516">
        <f t="shared" si="76"/>
        <v>3.4149475292919083E-2</v>
      </c>
      <c r="P135" s="516">
        <f t="shared" si="76"/>
        <v>4.9540582462349159E-2</v>
      </c>
      <c r="Q135" s="516">
        <f t="shared" si="76"/>
        <v>6.9189772234360264E-2</v>
      </c>
      <c r="R135" s="516">
        <f t="shared" si="76"/>
        <v>7.7213365046437998E-2</v>
      </c>
      <c r="S135" s="516">
        <f t="shared" si="76"/>
        <v>9.2536834506039292E-2</v>
      </c>
      <c r="T135" s="586"/>
      <c r="U135" s="586"/>
      <c r="V135" s="586"/>
      <c r="W135" s="586"/>
      <c r="X135" s="586"/>
      <c r="Y135" s="586"/>
      <c r="Z135" s="586"/>
      <c r="AA135" s="586"/>
      <c r="AB135" s="586"/>
      <c r="AC135" s="586"/>
      <c r="AD135" s="586"/>
      <c r="AE135" s="586"/>
      <c r="AF135" s="586"/>
      <c r="AG135" s="586"/>
      <c r="AH135" s="586"/>
      <c r="AI135" s="662"/>
      <c r="AJ135" s="662"/>
      <c r="AK135" s="662"/>
      <c r="AL135" s="662"/>
      <c r="AM135" s="662"/>
    </row>
    <row r="136" spans="1:39" x14ac:dyDescent="0.25">
      <c r="A136" s="526"/>
      <c r="B136" s="626"/>
      <c r="C136" s="626"/>
      <c r="D136" s="626"/>
      <c r="E136" s="626"/>
      <c r="F136" s="626"/>
      <c r="G136" s="626"/>
      <c r="H136" s="626"/>
      <c r="I136" s="626"/>
      <c r="J136" s="626"/>
      <c r="K136" s="626"/>
      <c r="L136" s="732"/>
      <c r="M136" s="732"/>
      <c r="N136" s="732"/>
      <c r="O136" s="791">
        <f>O62-O133</f>
        <v>3.4982465749635594E-3</v>
      </c>
      <c r="P136" s="791">
        <f t="shared" ref="P136:S136" si="77">P62-P133</f>
        <v>-0.4222088683545735</v>
      </c>
      <c r="Q136" s="815">
        <f>Q62-Q133</f>
        <v>8.8665102623053826E-2</v>
      </c>
      <c r="R136" s="791">
        <f t="shared" si="77"/>
        <v>-3.8257634914771188E-3</v>
      </c>
      <c r="S136" s="791">
        <f t="shared" si="77"/>
        <v>0.13675976230115339</v>
      </c>
      <c r="T136" s="586"/>
      <c r="U136" s="586"/>
      <c r="V136" s="586"/>
      <c r="W136" s="586"/>
      <c r="X136" s="586"/>
      <c r="Y136" s="586"/>
      <c r="Z136" s="586"/>
      <c r="AA136" s="586"/>
      <c r="AB136" s="586"/>
      <c r="AC136" s="586"/>
      <c r="AD136" s="586"/>
      <c r="AE136" s="586"/>
      <c r="AF136" s="586"/>
      <c r="AG136" s="586"/>
      <c r="AH136" s="586"/>
      <c r="AI136" s="662"/>
      <c r="AJ136" s="662"/>
      <c r="AK136" s="662"/>
      <c r="AL136" s="662"/>
      <c r="AM136" s="662"/>
    </row>
    <row r="137" spans="1:39" x14ac:dyDescent="0.25">
      <c r="A137" s="586"/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 t="s">
        <v>307</v>
      </c>
      <c r="X137" s="586"/>
      <c r="Y137" s="586"/>
      <c r="Z137" s="586"/>
      <c r="AA137" s="586"/>
      <c r="AB137" s="586" t="s">
        <v>308</v>
      </c>
      <c r="AC137" s="586"/>
      <c r="AD137" s="586"/>
      <c r="AE137" s="586"/>
      <c r="AF137" s="586"/>
      <c r="AG137" s="586"/>
      <c r="AH137" s="586"/>
      <c r="AI137" s="662"/>
      <c r="AJ137" s="662"/>
      <c r="AK137" s="662"/>
      <c r="AL137" s="662"/>
      <c r="AM137" s="662"/>
    </row>
    <row r="138" spans="1:39" x14ac:dyDescent="0.25">
      <c r="A138" s="586"/>
      <c r="B138" s="586"/>
      <c r="C138" s="586"/>
      <c r="D138" s="586"/>
      <c r="E138" s="586"/>
      <c r="F138" s="586"/>
      <c r="G138" s="586"/>
      <c r="H138" s="586"/>
      <c r="I138" s="586"/>
      <c r="J138" s="586" t="s">
        <v>309</v>
      </c>
      <c r="K138" s="586">
        <f t="shared" ref="K138:R138" si="78">L129/L133</f>
        <v>0.44313070299447371</v>
      </c>
      <c r="L138" s="586">
        <f t="shared" si="78"/>
        <v>0.39538445828653118</v>
      </c>
      <c r="M138" s="586">
        <f t="shared" si="78"/>
        <v>0.39592460519612838</v>
      </c>
      <c r="N138" s="586">
        <f t="shared" si="78"/>
        <v>0.4147013454573123</v>
      </c>
      <c r="O138" s="586">
        <f t="shared" si="78"/>
        <v>0.44177572838559187</v>
      </c>
      <c r="P138" s="586">
        <f t="shared" si="78"/>
        <v>0.47703083476376346</v>
      </c>
      <c r="Q138" s="586">
        <f t="shared" si="78"/>
        <v>0.51403555652978505</v>
      </c>
      <c r="R138" s="586">
        <f t="shared" si="78"/>
        <v>0.55475550899680925</v>
      </c>
      <c r="S138" s="586"/>
      <c r="T138" s="586"/>
      <c r="U138" s="586"/>
      <c r="V138" s="586"/>
      <c r="W138" s="586"/>
      <c r="X138" s="719">
        <f t="shared" ref="X138:AE138" si="79">(L190-L174-L187)/L145</f>
        <v>6.6697948786700628E-2</v>
      </c>
      <c r="Y138" s="719">
        <f t="shared" si="79"/>
        <v>0.13737373737373737</v>
      </c>
      <c r="Z138" s="719">
        <f t="shared" si="79"/>
        <v>7.071738575440388E-2</v>
      </c>
      <c r="AA138" s="719">
        <f t="shared" si="79"/>
        <v>6.6131252562245862E-2</v>
      </c>
      <c r="AB138" s="719">
        <f t="shared" si="79"/>
        <v>6.6697513836493194E-2</v>
      </c>
      <c r="AC138" s="719">
        <f t="shared" si="79"/>
        <v>7.1667486173441042E-2</v>
      </c>
      <c r="AD138" s="719">
        <f t="shared" si="79"/>
        <v>8.1663810084737429E-2</v>
      </c>
      <c r="AE138" s="719">
        <f t="shared" si="79"/>
        <v>9.4069492511909381E-2</v>
      </c>
      <c r="AF138" s="586"/>
      <c r="AG138" s="586"/>
      <c r="AH138" s="586"/>
      <c r="AI138" s="662"/>
      <c r="AJ138" s="662"/>
      <c r="AK138" s="662"/>
      <c r="AL138" s="662"/>
      <c r="AM138" s="662"/>
    </row>
    <row r="139" spans="1:39" x14ac:dyDescent="0.25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 t="s">
        <v>310</v>
      </c>
      <c r="K139" s="586">
        <f>L80/L133</f>
        <v>0.55674077882020301</v>
      </c>
      <c r="L139" s="586">
        <f t="shared" ref="L139:R139" si="80">M80/M133</f>
        <v>0.60471765546819156</v>
      </c>
      <c r="M139" s="586">
        <f t="shared" si="80"/>
        <v>0.60407539480387162</v>
      </c>
      <c r="N139" s="586">
        <f t="shared" si="80"/>
        <v>0.58529865454268759</v>
      </c>
      <c r="O139" s="586">
        <f t="shared" si="80"/>
        <v>0.55822427161440813</v>
      </c>
      <c r="P139" s="586">
        <f t="shared" si="80"/>
        <v>0.52296916523623649</v>
      </c>
      <c r="Q139" s="586">
        <f t="shared" si="80"/>
        <v>0.48596444347021489</v>
      </c>
      <c r="R139" s="586">
        <f t="shared" si="80"/>
        <v>0.44524449100319086</v>
      </c>
      <c r="S139" s="586"/>
      <c r="T139" s="586"/>
      <c r="U139" s="586"/>
      <c r="V139" s="586"/>
      <c r="W139" s="586"/>
      <c r="X139" s="935">
        <v>2018</v>
      </c>
      <c r="Y139" s="936">
        <v>2019</v>
      </c>
      <c r="Z139" s="937">
        <v>2020</v>
      </c>
      <c r="AA139" s="594" t="s">
        <v>192</v>
      </c>
      <c r="AB139" s="594" t="s">
        <v>193</v>
      </c>
      <c r="AC139" s="594" t="s">
        <v>194</v>
      </c>
      <c r="AD139" s="594" t="s">
        <v>195</v>
      </c>
      <c r="AE139" s="594" t="s">
        <v>196</v>
      </c>
      <c r="AF139" s="586"/>
      <c r="AG139" s="586"/>
      <c r="AH139" s="586"/>
      <c r="AI139" s="662"/>
      <c r="AJ139" s="662"/>
      <c r="AK139" s="662"/>
      <c r="AL139" s="662"/>
      <c r="AM139" s="662"/>
    </row>
    <row r="140" spans="1:39" ht="22.8" x14ac:dyDescent="0.4">
      <c r="A140" s="544" t="s">
        <v>311</v>
      </c>
      <c r="B140" s="625"/>
      <c r="C140" s="625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662"/>
      <c r="P140" s="662"/>
      <c r="Q140" s="662"/>
      <c r="R140" s="662"/>
      <c r="S140" s="662"/>
      <c r="T140" s="626"/>
      <c r="U140" s="626"/>
      <c r="V140" s="626"/>
      <c r="W140" s="586"/>
      <c r="X140" s="586"/>
      <c r="Y140" s="586"/>
      <c r="Z140" s="586"/>
      <c r="AA140" s="684">
        <v>0.08</v>
      </c>
      <c r="AB140" s="684">
        <v>0.1</v>
      </c>
      <c r="AC140" s="684">
        <v>0.13</v>
      </c>
      <c r="AD140" s="684">
        <v>0.13</v>
      </c>
      <c r="AE140" s="684">
        <v>0.13</v>
      </c>
      <c r="AF140" s="586"/>
      <c r="AG140" s="586"/>
      <c r="AH140" s="586"/>
      <c r="AI140" s="662"/>
      <c r="AJ140" s="662"/>
      <c r="AK140" s="662"/>
      <c r="AL140" s="662"/>
      <c r="AM140" s="662"/>
    </row>
    <row r="141" spans="1:39" ht="15.6" x14ac:dyDescent="0.3">
      <c r="A141" s="627" t="s">
        <v>312</v>
      </c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1261" t="s">
        <v>280</v>
      </c>
      <c r="M141" s="1261"/>
      <c r="N141" s="1261"/>
      <c r="O141" s="1262" t="s">
        <v>281</v>
      </c>
      <c r="P141" s="1262"/>
      <c r="Q141" s="1262"/>
      <c r="R141" s="1262"/>
      <c r="S141" s="1262"/>
      <c r="T141" s="586"/>
      <c r="U141" s="586"/>
      <c r="V141" s="586"/>
      <c r="W141" s="586"/>
      <c r="X141" s="586"/>
      <c r="Y141" s="586"/>
      <c r="Z141" s="586"/>
      <c r="AA141" s="586">
        <f>(O190-O174-O187)/AA140</f>
        <v>9830.4206130657312</v>
      </c>
      <c r="AB141" s="586">
        <f>(P190-P174-P187)/AB140</f>
        <v>8390.9611654017135</v>
      </c>
      <c r="AC141" s="586">
        <f>(Q190-Q174-Q187)/AC140</f>
        <v>7629.1046014937574</v>
      </c>
      <c r="AD141" s="586">
        <f>(R190-R174-R187)/AD140</f>
        <v>9736.4146067499387</v>
      </c>
      <c r="AE141" s="586">
        <f>(S190-S174-S187)/AE140</f>
        <v>12897.812592762415</v>
      </c>
      <c r="AF141" s="586"/>
      <c r="AG141" s="586"/>
      <c r="AH141" s="586"/>
      <c r="AI141" s="662"/>
      <c r="AJ141" s="662"/>
      <c r="AK141" s="662"/>
      <c r="AL141" s="662"/>
      <c r="AM141" s="662"/>
    </row>
    <row r="142" spans="1:39" ht="15.6" x14ac:dyDescent="0.3">
      <c r="A142" s="668"/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669"/>
      <c r="M142" s="587"/>
      <c r="N142" s="587"/>
      <c r="O142" s="629"/>
      <c r="P142" s="629"/>
      <c r="Q142" s="629"/>
      <c r="R142" s="629"/>
      <c r="S142" s="629"/>
      <c r="T142" s="586"/>
      <c r="U142" s="586"/>
      <c r="V142" s="586"/>
      <c r="W142" s="586"/>
      <c r="X142" s="586"/>
      <c r="Y142" s="586"/>
      <c r="Z142" s="586"/>
      <c r="AA142" s="586"/>
      <c r="AB142" s="586"/>
      <c r="AC142" s="586"/>
      <c r="AD142" s="586"/>
      <c r="AE142" s="586"/>
      <c r="AF142" s="586"/>
      <c r="AG142" s="586"/>
      <c r="AH142" s="586"/>
      <c r="AI142" s="662"/>
      <c r="AJ142" s="662"/>
      <c r="AK142" s="662"/>
      <c r="AL142" s="662"/>
      <c r="AM142" s="662"/>
    </row>
    <row r="143" spans="1:39" ht="15.6" x14ac:dyDescent="0.25">
      <c r="A143" s="590" t="s">
        <v>24</v>
      </c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91">
        <v>2018</v>
      </c>
      <c r="M143" s="592">
        <v>2019</v>
      </c>
      <c r="N143" s="593">
        <v>2020</v>
      </c>
      <c r="O143" s="594" t="s">
        <v>192</v>
      </c>
      <c r="P143" s="594" t="s">
        <v>193</v>
      </c>
      <c r="Q143" s="594" t="s">
        <v>194</v>
      </c>
      <c r="R143" s="594" t="s">
        <v>195</v>
      </c>
      <c r="S143" s="594" t="s">
        <v>196</v>
      </c>
      <c r="T143" s="586"/>
      <c r="U143" s="586"/>
      <c r="V143" s="586"/>
      <c r="W143" s="586"/>
      <c r="X143" s="586"/>
      <c r="Y143" s="586"/>
      <c r="Z143" s="586"/>
      <c r="AA143" s="586"/>
      <c r="AB143" s="586"/>
      <c r="AC143" s="586"/>
      <c r="AD143" s="586"/>
      <c r="AE143" s="586"/>
      <c r="AF143" s="586"/>
      <c r="AG143" s="586"/>
      <c r="AH143" s="586"/>
      <c r="AI143" s="662"/>
      <c r="AJ143" s="662"/>
      <c r="AK143" s="662"/>
      <c r="AL143" s="662"/>
      <c r="AM143" s="662"/>
    </row>
    <row r="144" spans="1:39" ht="15.6" x14ac:dyDescent="0.3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95"/>
      <c r="M144" s="670"/>
      <c r="N144" s="627"/>
      <c r="O144" s="671"/>
      <c r="P144" s="655"/>
      <c r="Q144" s="655"/>
      <c r="R144" s="655"/>
      <c r="S144" s="655"/>
      <c r="T144" s="626"/>
      <c r="U144" s="626"/>
      <c r="V144" s="626"/>
      <c r="W144" s="586"/>
      <c r="X144" s="586"/>
      <c r="Y144" s="586"/>
      <c r="Z144" s="586"/>
      <c r="AA144" s="586"/>
      <c r="AB144" s="586"/>
      <c r="AC144" s="586"/>
      <c r="AD144" s="586"/>
      <c r="AE144" s="586"/>
      <c r="AF144" s="586"/>
      <c r="AG144" s="586"/>
      <c r="AH144" s="586"/>
      <c r="AI144" s="662"/>
      <c r="AJ144" s="662"/>
      <c r="AK144" s="662"/>
      <c r="AL144" s="662"/>
      <c r="AM144" s="662"/>
    </row>
    <row r="145" spans="1:39" ht="15.6" x14ac:dyDescent="0.3">
      <c r="A145" s="627" t="s">
        <v>6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672">
        <v>14918</v>
      </c>
      <c r="M145" s="596">
        <v>15840</v>
      </c>
      <c r="N145" s="597">
        <v>11751</v>
      </c>
      <c r="O145" s="938">
        <f>'Forecasting development (final)'!K22</f>
        <v>11892.012000000001</v>
      </c>
      <c r="P145" s="938">
        <f>'Forecasting development (final)'!L22</f>
        <v>12580.6206</v>
      </c>
      <c r="Q145" s="938">
        <f>'Forecasting development (final)'!M22</f>
        <v>13838.682660000002</v>
      </c>
      <c r="R145" s="938">
        <f>'Forecasting development (final)'!N22</f>
        <v>15499.324579200003</v>
      </c>
      <c r="S145" s="938">
        <f>'Forecasting development (final)'!O22</f>
        <v>17824.223266080004</v>
      </c>
      <c r="T145" s="626"/>
      <c r="U145" s="626"/>
      <c r="V145" s="626"/>
      <c r="W145" s="586"/>
      <c r="X145" s="811">
        <f>'backup file'!K19</f>
        <v>11892.012000000001</v>
      </c>
      <c r="Y145" s="586"/>
      <c r="Z145" s="586"/>
      <c r="AA145" s="586"/>
      <c r="AB145" s="586"/>
      <c r="AC145" s="586"/>
      <c r="AD145" s="586"/>
      <c r="AE145" s="586"/>
      <c r="AF145" s="586"/>
      <c r="AG145" s="586"/>
      <c r="AH145" s="586"/>
      <c r="AI145" s="662"/>
      <c r="AJ145" s="662"/>
      <c r="AK145" s="662"/>
      <c r="AL145" s="662"/>
      <c r="AM145" s="662"/>
    </row>
    <row r="146" spans="1:39" x14ac:dyDescent="0.25">
      <c r="A146" s="526" t="s">
        <v>284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15">
        <f>L145/L145</f>
        <v>1</v>
      </c>
      <c r="M146" s="515">
        <f>M145/M145</f>
        <v>1</v>
      </c>
      <c r="N146" s="515">
        <f>N145/N145</f>
        <v>1</v>
      </c>
      <c r="O146" s="515">
        <f t="shared" ref="O146:S146" si="81">O145/O145</f>
        <v>1</v>
      </c>
      <c r="P146" s="515">
        <f t="shared" si="81"/>
        <v>1</v>
      </c>
      <c r="Q146" s="515">
        <f t="shared" si="81"/>
        <v>1</v>
      </c>
      <c r="R146" s="515">
        <f t="shared" si="81"/>
        <v>1</v>
      </c>
      <c r="S146" s="515">
        <f t="shared" si="81"/>
        <v>1</v>
      </c>
      <c r="T146" s="626"/>
      <c r="U146" s="626"/>
      <c r="V146" s="626"/>
      <c r="W146" s="586"/>
      <c r="X146" s="586"/>
      <c r="Y146" s="586"/>
      <c r="Z146" s="586"/>
      <c r="AA146" s="586"/>
      <c r="AB146" s="586"/>
      <c r="AC146" s="586"/>
      <c r="AD146" s="586"/>
      <c r="AE146" s="586"/>
      <c r="AF146" s="586"/>
      <c r="AG146" s="586"/>
      <c r="AH146" s="586"/>
      <c r="AI146" s="662"/>
      <c r="AJ146" s="662"/>
      <c r="AK146" s="662"/>
      <c r="AL146" s="662"/>
      <c r="AM146" s="662"/>
    </row>
    <row r="147" spans="1:39" x14ac:dyDescent="0.25">
      <c r="A147" s="526" t="s">
        <v>285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16"/>
      <c r="M147" s="516">
        <f>(M145-L145)/L145</f>
        <v>6.1804531438530631E-2</v>
      </c>
      <c r="N147" s="516">
        <f>(N145-M145)/M145</f>
        <v>-0.25814393939393937</v>
      </c>
      <c r="O147" s="516">
        <f t="shared" ref="O147:S147" si="82">(O145-N145)/N145</f>
        <v>1.2000000000000054E-2</v>
      </c>
      <c r="P147" s="516">
        <f t="shared" si="82"/>
        <v>5.7905138339920913E-2</v>
      </c>
      <c r="Q147" s="516">
        <f t="shared" si="82"/>
        <v>0.10000000000000016</v>
      </c>
      <c r="R147" s="516">
        <f t="shared" si="82"/>
        <v>0.12000000000000006</v>
      </c>
      <c r="S147" s="516">
        <f t="shared" si="82"/>
        <v>0.15</v>
      </c>
      <c r="T147" s="626"/>
      <c r="U147" s="626"/>
      <c r="V147" s="626"/>
      <c r="W147" s="586"/>
      <c r="X147" s="586"/>
      <c r="Y147" s="586"/>
      <c r="Z147" s="586"/>
      <c r="AA147" s="586"/>
      <c r="AB147" s="586"/>
      <c r="AC147" s="586"/>
      <c r="AD147" s="586"/>
      <c r="AE147" s="586"/>
      <c r="AF147" s="586"/>
      <c r="AG147" s="586"/>
      <c r="AH147" s="586"/>
      <c r="AI147" s="662"/>
      <c r="AJ147" s="662"/>
      <c r="AK147" s="662"/>
      <c r="AL147" s="662"/>
      <c r="AM147" s="662"/>
    </row>
    <row r="148" spans="1:39" ht="15" x14ac:dyDescent="0.25">
      <c r="A148" s="673" t="s">
        <v>9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95">
        <v>17</v>
      </c>
      <c r="M148" s="596">
        <v>50</v>
      </c>
      <c r="N148" s="597">
        <v>17</v>
      </c>
      <c r="O148" s="598">
        <v>28</v>
      </c>
      <c r="P148" s="598">
        <f>P145*P149</f>
        <v>18.870930900000001</v>
      </c>
      <c r="Q148" s="598">
        <f t="shared" ref="Q148:S148" si="83">Q145*Q149</f>
        <v>20.758023990000005</v>
      </c>
      <c r="R148" s="598">
        <f t="shared" si="83"/>
        <v>23.248986868800007</v>
      </c>
      <c r="S148" s="598">
        <f t="shared" si="83"/>
        <v>26.736334899120006</v>
      </c>
      <c r="T148" s="626"/>
      <c r="U148" s="626"/>
      <c r="V148" s="626"/>
      <c r="W148" s="586"/>
      <c r="X148" s="586"/>
      <c r="Y148" s="586"/>
      <c r="Z148" s="586"/>
      <c r="AA148" s="586"/>
      <c r="AB148" s="586"/>
      <c r="AC148" s="586"/>
      <c r="AD148" s="586"/>
      <c r="AE148" s="586"/>
      <c r="AF148" s="586"/>
      <c r="AG148" s="586"/>
      <c r="AH148" s="586"/>
      <c r="AI148" s="662"/>
      <c r="AJ148" s="662"/>
      <c r="AK148" s="662"/>
      <c r="AL148" s="662"/>
      <c r="AM148" s="662"/>
    </row>
    <row r="149" spans="1:39" x14ac:dyDescent="0.25">
      <c r="A149" s="526" t="s">
        <v>284</v>
      </c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15">
        <f>L148/L145</f>
        <v>1.1395629440943825E-3</v>
      </c>
      <c r="M149" s="515">
        <f>M148/M145</f>
        <v>3.1565656565656565E-3</v>
      </c>
      <c r="N149" s="515">
        <f>N148/N145</f>
        <v>1.4466853884775764E-3</v>
      </c>
      <c r="O149" s="515">
        <f>O148/O145</f>
        <v>2.3545216738765484E-3</v>
      </c>
      <c r="P149" s="515">
        <v>1.5E-3</v>
      </c>
      <c r="Q149" s="515">
        <v>1.5E-3</v>
      </c>
      <c r="R149" s="515">
        <v>1.5E-3</v>
      </c>
      <c r="S149" s="515">
        <v>1.5E-3</v>
      </c>
      <c r="T149" s="626"/>
      <c r="U149" s="626"/>
      <c r="V149" s="626"/>
      <c r="W149" s="586"/>
      <c r="X149" s="586"/>
      <c r="Y149" s="586"/>
      <c r="Z149" s="586"/>
      <c r="AA149" s="586"/>
      <c r="AB149" s="586"/>
      <c r="AC149" s="586"/>
      <c r="AD149" s="586"/>
      <c r="AE149" s="586"/>
      <c r="AF149" s="586"/>
      <c r="AG149" s="586"/>
      <c r="AH149" s="586"/>
      <c r="AI149" s="662"/>
      <c r="AJ149" s="662"/>
      <c r="AK149" s="662"/>
      <c r="AL149" s="662"/>
      <c r="AM149" s="662"/>
    </row>
    <row r="150" spans="1:39" x14ac:dyDescent="0.25">
      <c r="A150" s="526" t="s">
        <v>285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16"/>
      <c r="M150" s="516">
        <f>(M148-L148)/L148</f>
        <v>1.9411764705882353</v>
      </c>
      <c r="N150" s="516">
        <f>(N148-M148)/M148</f>
        <v>-0.66</v>
      </c>
      <c r="O150" s="516">
        <f t="shared" ref="O150:S150" si="84">(O148-N148)/N148</f>
        <v>0.6470588235294118</v>
      </c>
      <c r="P150" s="516">
        <f t="shared" si="84"/>
        <v>-0.32603818214285712</v>
      </c>
      <c r="Q150" s="516">
        <f t="shared" si="84"/>
        <v>0.10000000000000021</v>
      </c>
      <c r="R150" s="516">
        <f t="shared" si="84"/>
        <v>0.12000000000000004</v>
      </c>
      <c r="S150" s="516">
        <f t="shared" si="84"/>
        <v>0.14999999999999994</v>
      </c>
      <c r="T150" s="626"/>
      <c r="U150" s="626"/>
      <c r="V150" s="626"/>
      <c r="W150" s="586"/>
      <c r="X150" s="586"/>
      <c r="Y150" s="586"/>
      <c r="Z150" s="586"/>
      <c r="AA150" s="586"/>
      <c r="AB150" s="586"/>
      <c r="AC150" s="586"/>
      <c r="AD150" s="586"/>
      <c r="AE150" s="586"/>
      <c r="AF150" s="586"/>
      <c r="AG150" s="586"/>
      <c r="AH150" s="586"/>
      <c r="AI150" s="662"/>
      <c r="AJ150" s="662"/>
      <c r="AK150" s="662"/>
      <c r="AL150" s="662"/>
      <c r="AM150" s="662"/>
    </row>
    <row r="151" spans="1:39" ht="15" x14ac:dyDescent="0.25">
      <c r="A151" s="673" t="s">
        <v>10</v>
      </c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95">
        <v>-9</v>
      </c>
      <c r="M151" s="596">
        <v>-52</v>
      </c>
      <c r="N151" s="597">
        <v>-38</v>
      </c>
      <c r="O151" s="598">
        <f>N151*(1+O153)</f>
        <v>-26.599999999999998</v>
      </c>
      <c r="P151" s="598">
        <f t="shared" ref="P151:S151" si="85">O151*(1+P153)</f>
        <v>-29.26</v>
      </c>
      <c r="Q151" s="598">
        <f t="shared" si="85"/>
        <v>-32.186000000000007</v>
      </c>
      <c r="R151" s="598">
        <f t="shared" si="85"/>
        <v>-35.404600000000009</v>
      </c>
      <c r="S151" s="598">
        <f t="shared" si="85"/>
        <v>-38.945060000000012</v>
      </c>
      <c r="T151" s="626"/>
      <c r="U151" s="626"/>
      <c r="V151" s="626"/>
      <c r="W151" s="586"/>
      <c r="X151" s="586"/>
      <c r="Y151" s="586"/>
      <c r="Z151" s="586"/>
      <c r="AA151" s="586"/>
      <c r="AB151" s="586"/>
      <c r="AC151" s="586"/>
      <c r="AD151" s="586"/>
      <c r="AE151" s="586"/>
      <c r="AF151" s="586"/>
      <c r="AG151" s="586"/>
      <c r="AH151" s="586"/>
      <c r="AI151" s="662"/>
      <c r="AJ151" s="662"/>
      <c r="AK151" s="662"/>
      <c r="AL151" s="662"/>
      <c r="AM151" s="662"/>
    </row>
    <row r="152" spans="1:39" x14ac:dyDescent="0.25">
      <c r="A152" s="526" t="s">
        <v>284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15">
        <f>L151/L145</f>
        <v>-6.0329802922643784E-4</v>
      </c>
      <c r="M152" s="515">
        <f>M151/M145</f>
        <v>-3.2828282828282827E-3</v>
      </c>
      <c r="N152" s="515">
        <f>N151/N145</f>
        <v>-3.2337673389498767E-3</v>
      </c>
      <c r="O152" s="515">
        <f>O151/O145</f>
        <v>-2.2367955901827206E-3</v>
      </c>
      <c r="P152" s="515">
        <f t="shared" ref="P152:S152" si="86">P151/P145</f>
        <v>-2.3257994124709558E-3</v>
      </c>
      <c r="Q152" s="515">
        <f t="shared" si="86"/>
        <v>-2.3257994124709558E-3</v>
      </c>
      <c r="R152" s="515">
        <f t="shared" si="86"/>
        <v>-2.2842672801054028E-3</v>
      </c>
      <c r="S152" s="515">
        <f t="shared" si="86"/>
        <v>-2.1849513114051682E-3</v>
      </c>
      <c r="T152" s="626"/>
      <c r="U152" s="626"/>
      <c r="V152" s="626"/>
      <c r="W152" s="586"/>
      <c r="X152" s="586"/>
      <c r="Y152" s="586"/>
      <c r="Z152" s="586"/>
      <c r="AA152" s="586"/>
      <c r="AB152" s="586"/>
      <c r="AC152" s="586"/>
      <c r="AD152" s="586"/>
      <c r="AE152" s="586"/>
      <c r="AF152" s="586"/>
      <c r="AG152" s="586"/>
      <c r="AH152" s="586"/>
      <c r="AI152" s="662"/>
      <c r="AJ152" s="662"/>
      <c r="AK152" s="662"/>
      <c r="AL152" s="662"/>
      <c r="AM152" s="662"/>
    </row>
    <row r="153" spans="1:39" x14ac:dyDescent="0.25">
      <c r="A153" s="526" t="s">
        <v>285</v>
      </c>
      <c r="B153" s="587"/>
      <c r="C153" s="587"/>
      <c r="D153" s="587"/>
      <c r="E153" s="587"/>
      <c r="F153" s="587"/>
      <c r="G153" s="587"/>
      <c r="H153" s="587"/>
      <c r="I153" s="587"/>
      <c r="J153" s="587"/>
      <c r="K153" s="587"/>
      <c r="L153" s="516"/>
      <c r="M153" s="516">
        <f>(M151-L151)/L151</f>
        <v>4.7777777777777777</v>
      </c>
      <c r="N153" s="516">
        <f>(N151-M151)/M151</f>
        <v>-0.26923076923076922</v>
      </c>
      <c r="O153" s="516">
        <f>'backup file'!K30</f>
        <v>-0.3</v>
      </c>
      <c r="P153" s="516">
        <f>'backup file'!L30</f>
        <v>0.1</v>
      </c>
      <c r="Q153" s="516">
        <f>'backup file'!M30</f>
        <v>0.1</v>
      </c>
      <c r="R153" s="516">
        <f>'backup file'!N30</f>
        <v>0.1</v>
      </c>
      <c r="S153" s="516">
        <f>'backup file'!O30</f>
        <v>0.1</v>
      </c>
      <c r="T153" s="732"/>
      <c r="U153" s="732"/>
      <c r="V153" s="732"/>
      <c r="W153" s="586"/>
      <c r="X153" s="586"/>
      <c r="Y153" s="586"/>
      <c r="Z153" s="586"/>
      <c r="AA153" s="586"/>
      <c r="AB153" s="586"/>
      <c r="AC153" s="586"/>
      <c r="AD153" s="586"/>
      <c r="AE153" s="586"/>
      <c r="AF153" s="586"/>
      <c r="AG153" s="586"/>
      <c r="AH153" s="586"/>
      <c r="AI153" s="662"/>
      <c r="AJ153" s="662"/>
      <c r="AK153" s="662"/>
      <c r="AL153" s="662"/>
      <c r="AM153" s="662"/>
    </row>
    <row r="154" spans="1:39" ht="15" x14ac:dyDescent="0.25">
      <c r="A154" s="674" t="s">
        <v>313</v>
      </c>
      <c r="B154" s="587"/>
      <c r="C154" s="587"/>
      <c r="D154" s="587"/>
      <c r="E154" s="587"/>
      <c r="F154" s="587"/>
      <c r="G154" s="587"/>
      <c r="H154" s="587"/>
      <c r="I154" s="682"/>
      <c r="J154" s="682"/>
      <c r="K154" s="682"/>
      <c r="L154" s="672">
        <v>-12462</v>
      </c>
      <c r="M154" s="596">
        <v>-12238</v>
      </c>
      <c r="N154" s="597">
        <v>-9253</v>
      </c>
      <c r="O154" s="598">
        <f>O145*O155</f>
        <v>-9363.7702487999995</v>
      </c>
      <c r="P154" s="598">
        <f t="shared" ref="P154:S154" si="87">P145*P155</f>
        <v>-9905.9806604400001</v>
      </c>
      <c r="Q154" s="598">
        <f t="shared" si="87"/>
        <v>-10896.578726484002</v>
      </c>
      <c r="R154" s="598">
        <f t="shared" si="87"/>
        <v>-12204.168173662083</v>
      </c>
      <c r="S154" s="598">
        <f t="shared" si="87"/>
        <v>-14034.793399711394</v>
      </c>
      <c r="T154" s="626"/>
      <c r="U154" s="626"/>
      <c r="V154" s="626"/>
      <c r="W154" s="586"/>
      <c r="X154" s="586"/>
      <c r="Y154" s="586"/>
      <c r="Z154" s="586"/>
      <c r="AA154" s="586"/>
      <c r="AB154" s="586"/>
      <c r="AC154" s="586"/>
      <c r="AD154" s="586"/>
      <c r="AE154" s="586"/>
      <c r="AF154" s="586"/>
      <c r="AG154" s="586"/>
      <c r="AH154" s="586"/>
      <c r="AI154" s="662"/>
      <c r="AJ154" s="662"/>
      <c r="AK154" s="662"/>
      <c r="AL154" s="662"/>
      <c r="AM154" s="662"/>
    </row>
    <row r="155" spans="1:39" x14ac:dyDescent="0.25">
      <c r="A155" s="526" t="s">
        <v>284</v>
      </c>
      <c r="B155" s="587"/>
      <c r="C155" s="587"/>
      <c r="D155" s="587"/>
      <c r="E155" s="587"/>
      <c r="F155" s="587"/>
      <c r="G155" s="587"/>
      <c r="H155" s="587"/>
      <c r="I155" s="587"/>
      <c r="J155" s="682"/>
      <c r="K155" s="587"/>
      <c r="L155" s="515">
        <f>L154/L145</f>
        <v>-0.83536667113554097</v>
      </c>
      <c r="M155" s="515">
        <f>M154/M145</f>
        <v>-0.77260101010101012</v>
      </c>
      <c r="N155" s="515">
        <f>N154/N145</f>
        <v>-0.78742234703429492</v>
      </c>
      <c r="O155" s="768">
        <v>-0.78739999999999999</v>
      </c>
      <c r="P155" s="768">
        <v>-0.78739999999999999</v>
      </c>
      <c r="Q155" s="768">
        <v>-0.78739999999999999</v>
      </c>
      <c r="R155" s="768">
        <v>-0.78739999999999999</v>
      </c>
      <c r="S155" s="768">
        <v>-0.78739999999999999</v>
      </c>
      <c r="T155" s="626"/>
      <c r="U155" s="626"/>
      <c r="V155" s="626"/>
      <c r="W155" s="586"/>
      <c r="X155" s="586"/>
      <c r="Y155" s="586"/>
      <c r="Z155" s="586"/>
      <c r="AA155" s="586"/>
      <c r="AB155" s="586"/>
      <c r="AC155" s="586"/>
      <c r="AD155" s="586"/>
      <c r="AE155" s="586"/>
      <c r="AF155" s="586"/>
      <c r="AG155" s="586"/>
      <c r="AH155" s="586"/>
      <c r="AI155" s="662"/>
      <c r="AJ155" s="662"/>
      <c r="AK155" s="662"/>
      <c r="AL155" s="662"/>
      <c r="AM155" s="662"/>
    </row>
    <row r="156" spans="1:39" x14ac:dyDescent="0.25">
      <c r="A156" s="526" t="s">
        <v>285</v>
      </c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16"/>
      <c r="M156" s="516">
        <f>(M154-L154)/L154</f>
        <v>-1.7974642914459958E-2</v>
      </c>
      <c r="N156" s="516">
        <f>(N154-M154)/M154</f>
        <v>-0.24391240398757966</v>
      </c>
      <c r="O156" s="516">
        <f t="shared" ref="O156:S156" si="88">(O154-N154)/N154</f>
        <v>1.1971279455311741E-2</v>
      </c>
      <c r="P156" s="516">
        <f t="shared" si="88"/>
        <v>5.790513833992101E-2</v>
      </c>
      <c r="Q156" s="516">
        <f t="shared" si="88"/>
        <v>0.10000000000000019</v>
      </c>
      <c r="R156" s="516">
        <f t="shared" si="88"/>
        <v>0.12000000000000009</v>
      </c>
      <c r="S156" s="516">
        <f t="shared" si="88"/>
        <v>0.14999999999999988</v>
      </c>
      <c r="T156" s="626"/>
      <c r="U156" s="626"/>
      <c r="V156" s="626"/>
      <c r="W156" s="586"/>
      <c r="X156" s="586"/>
      <c r="Y156" s="586"/>
      <c r="Z156" s="586"/>
      <c r="AA156" s="586"/>
      <c r="AB156" s="586"/>
      <c r="AC156" s="586"/>
      <c r="AD156" s="586"/>
      <c r="AE156" s="586"/>
      <c r="AF156" s="586"/>
      <c r="AG156" s="586"/>
      <c r="AH156" s="586"/>
      <c r="AI156" s="662"/>
      <c r="AJ156" s="662"/>
      <c r="AK156" s="662"/>
      <c r="AL156" s="662"/>
      <c r="AM156" s="662"/>
    </row>
    <row r="157" spans="1:39" ht="15" x14ac:dyDescent="0.25">
      <c r="A157" s="674" t="s">
        <v>11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95">
        <v>-400</v>
      </c>
      <c r="M157" s="596">
        <v>-395</v>
      </c>
      <c r="N157" s="597">
        <v>-431</v>
      </c>
      <c r="O157" s="598">
        <f>N157*(1+O159)</f>
        <v>-439.62</v>
      </c>
      <c r="P157" s="598">
        <f>O157*(1+P159)</f>
        <v>-448.41239999999999</v>
      </c>
      <c r="Q157" s="598">
        <f t="shared" ref="Q157:S157" si="89">P157*(1+Q159)</f>
        <v>-470.83302000000003</v>
      </c>
      <c r="R157" s="598">
        <f t="shared" si="89"/>
        <v>-494.37467100000003</v>
      </c>
      <c r="S157" s="598">
        <f t="shared" si="89"/>
        <v>-519.09340455000006</v>
      </c>
      <c r="T157" s="626"/>
      <c r="U157" s="626"/>
      <c r="V157" s="626"/>
      <c r="W157" s="586"/>
      <c r="X157" s="586"/>
      <c r="Y157" s="586"/>
      <c r="Z157" s="586"/>
      <c r="AA157" s="586"/>
      <c r="AB157" s="586"/>
      <c r="AC157" s="586"/>
      <c r="AD157" s="586"/>
      <c r="AE157" s="586"/>
      <c r="AF157" s="586"/>
      <c r="AG157" s="586"/>
      <c r="AH157" s="586"/>
      <c r="AI157" s="662"/>
      <c r="AJ157" s="662"/>
      <c r="AK157" s="662"/>
      <c r="AL157" s="662"/>
      <c r="AM157" s="662"/>
    </row>
    <row r="158" spans="1:39" x14ac:dyDescent="0.25">
      <c r="A158" s="526" t="s">
        <v>284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15">
        <f>L157/L145</f>
        <v>-2.6813245743397239E-2</v>
      </c>
      <c r="M158" s="515">
        <f>M157/M145</f>
        <v>-2.4936868686868688E-2</v>
      </c>
      <c r="N158" s="515">
        <f>N157/N145</f>
        <v>-3.6677729554931496E-2</v>
      </c>
      <c r="O158" s="515">
        <f t="shared" ref="O158:S158" si="90">O157/O145</f>
        <v>-3.6967672081057432E-2</v>
      </c>
      <c r="P158" s="515">
        <f t="shared" si="90"/>
        <v>-3.5643106509387935E-2</v>
      </c>
      <c r="Q158" s="515">
        <f t="shared" si="90"/>
        <v>-3.4022965304415759E-2</v>
      </c>
      <c r="R158" s="515">
        <f t="shared" si="90"/>
        <v>-3.1896529972889769E-2</v>
      </c>
      <c r="S158" s="515">
        <f t="shared" si="90"/>
        <v>-2.9122918670899358E-2</v>
      </c>
      <c r="T158" s="626"/>
      <c r="U158" s="626"/>
      <c r="V158" s="626"/>
      <c r="W158" s="586"/>
      <c r="X158" s="586"/>
      <c r="Y158" s="586"/>
      <c r="Z158" s="586"/>
      <c r="AA158" s="586"/>
      <c r="AB158" s="586"/>
      <c r="AC158" s="586"/>
      <c r="AD158" s="586"/>
      <c r="AE158" s="586"/>
      <c r="AF158" s="586"/>
      <c r="AG158" s="586"/>
      <c r="AH158" s="586"/>
      <c r="AI158" s="662"/>
      <c r="AJ158" s="662"/>
      <c r="AK158" s="662"/>
      <c r="AL158" s="662"/>
      <c r="AM158" s="662"/>
    </row>
    <row r="159" spans="1:39" x14ac:dyDescent="0.25">
      <c r="A159" s="526" t="s">
        <v>285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16"/>
      <c r="M159" s="516">
        <f>(M157-L157)/L157</f>
        <v>-1.2500000000000001E-2</v>
      </c>
      <c r="N159" s="516">
        <f>(N157-M157)/M157</f>
        <v>9.1139240506329114E-2</v>
      </c>
      <c r="O159" s="733">
        <v>0.02</v>
      </c>
      <c r="P159" s="733">
        <v>0.02</v>
      </c>
      <c r="Q159" s="733">
        <v>0.05</v>
      </c>
      <c r="R159" s="733">
        <v>0.05</v>
      </c>
      <c r="S159" s="733">
        <v>0.05</v>
      </c>
      <c r="T159" s="626"/>
      <c r="U159" s="626"/>
      <c r="V159" s="626"/>
      <c r="W159" s="586"/>
      <c r="X159" s="586"/>
      <c r="Y159" s="586"/>
      <c r="Z159" s="586"/>
      <c r="AA159" s="586"/>
      <c r="AB159" s="586"/>
      <c r="AC159" s="586"/>
      <c r="AD159" s="586"/>
      <c r="AE159" s="586"/>
      <c r="AF159" s="586"/>
      <c r="AG159" s="586"/>
      <c r="AH159" s="586"/>
      <c r="AI159" s="662"/>
      <c r="AJ159" s="662"/>
      <c r="AK159" s="662"/>
      <c r="AL159" s="662"/>
      <c r="AM159" s="662"/>
    </row>
    <row r="160" spans="1:39" ht="15" x14ac:dyDescent="0.25">
      <c r="A160" s="674" t="s">
        <v>12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95">
        <v>-614</v>
      </c>
      <c r="M160" s="596">
        <v>-502</v>
      </c>
      <c r="N160" s="597">
        <v>-680</v>
      </c>
      <c r="O160" s="598">
        <f>-'Forecasting development (final)'!K55</f>
        <v>-744.4</v>
      </c>
      <c r="P160" s="598">
        <f>-'Forecasting development (final)'!L55</f>
        <v>-789.64</v>
      </c>
      <c r="Q160" s="598">
        <f>-'Forecasting development (final)'!M55</f>
        <v>-851.904</v>
      </c>
      <c r="R160" s="598">
        <f>-'Forecasting development (final)'!N55</f>
        <v>-876.39440000000013</v>
      </c>
      <c r="S160" s="598">
        <f>-'Forecasting development (final)'!O55</f>
        <v>-903.33384000000012</v>
      </c>
      <c r="T160" s="626"/>
      <c r="U160" s="626"/>
      <c r="V160" s="626"/>
      <c r="W160" s="810">
        <f>-'backup file'!K48</f>
        <v>-809.4</v>
      </c>
      <c r="X160" s="586"/>
      <c r="Y160" s="586"/>
      <c r="Z160" s="586"/>
      <c r="AA160" s="586"/>
      <c r="AB160" s="586"/>
      <c r="AC160" s="586"/>
      <c r="AD160" s="586"/>
      <c r="AE160" s="586"/>
      <c r="AF160" s="586"/>
      <c r="AG160" s="586"/>
      <c r="AH160" s="586"/>
      <c r="AI160" s="662"/>
      <c r="AJ160" s="662"/>
      <c r="AK160" s="662"/>
      <c r="AL160" s="662"/>
      <c r="AM160" s="662"/>
    </row>
    <row r="161" spans="1:39" x14ac:dyDescent="0.25">
      <c r="A161" s="526" t="s">
        <v>284</v>
      </c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15">
        <f>L160/L145</f>
        <v>-4.1158332216114764E-2</v>
      </c>
      <c r="M161" s="515">
        <f>M160/M145</f>
        <v>-3.1691919191919195E-2</v>
      </c>
      <c r="N161" s="515">
        <f>N160/N145</f>
        <v>-5.7867415539103052E-2</v>
      </c>
      <c r="O161" s="515">
        <f t="shared" ref="O161:S161" si="91">O160/O145</f>
        <v>-6.2596640501203657E-2</v>
      </c>
      <c r="P161" s="515">
        <f t="shared" si="91"/>
        <v>-6.2766378949540846E-2</v>
      </c>
      <c r="Q161" s="515">
        <f t="shared" si="91"/>
        <v>-6.155961668680969E-2</v>
      </c>
      <c r="R161" s="515">
        <f t="shared" si="91"/>
        <v>-5.6544038130288334E-2</v>
      </c>
      <c r="S161" s="515">
        <f t="shared" si="91"/>
        <v>-5.0680123701046187E-2</v>
      </c>
      <c r="T161" s="626"/>
      <c r="U161" s="626"/>
      <c r="V161" s="626"/>
      <c r="W161" s="586"/>
      <c r="X161" s="586"/>
      <c r="Y161" s="586"/>
      <c r="Z161" s="586"/>
      <c r="AA161" s="586"/>
      <c r="AB161" s="586"/>
      <c r="AC161" s="586"/>
      <c r="AD161" s="586"/>
      <c r="AE161" s="586"/>
      <c r="AF161" s="586"/>
      <c r="AG161" s="586"/>
      <c r="AH161" s="586"/>
      <c r="AI161" s="662"/>
      <c r="AJ161" s="662"/>
      <c r="AK161" s="662"/>
      <c r="AL161" s="662"/>
      <c r="AM161" s="662"/>
    </row>
    <row r="162" spans="1:39" x14ac:dyDescent="0.25">
      <c r="A162" s="526" t="s">
        <v>285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16"/>
      <c r="M162" s="516">
        <f>(M160-L160)/L160</f>
        <v>-0.18241042345276873</v>
      </c>
      <c r="N162" s="516">
        <f>(N160-M160)/M160</f>
        <v>0.35458167330677293</v>
      </c>
      <c r="O162" s="516">
        <f t="shared" ref="O162:S162" si="92">(O160-N160)/N160</f>
        <v>9.470588235294114E-2</v>
      </c>
      <c r="P162" s="516">
        <f t="shared" si="92"/>
        <v>6.0773777538957567E-2</v>
      </c>
      <c r="Q162" s="516">
        <f t="shared" si="92"/>
        <v>7.8851122030292306E-2</v>
      </c>
      <c r="R162" s="516">
        <f t="shared" si="92"/>
        <v>2.874784013222163E-2</v>
      </c>
      <c r="S162" s="516">
        <f t="shared" si="92"/>
        <v>3.0738945844473661E-2</v>
      </c>
      <c r="T162" s="626"/>
      <c r="U162" s="626"/>
      <c r="V162" s="626"/>
      <c r="W162" s="586"/>
      <c r="X162" s="586"/>
      <c r="Y162" s="586"/>
      <c r="Z162" s="586"/>
      <c r="AA162" s="586"/>
      <c r="AB162" s="586"/>
      <c r="AC162" s="586"/>
      <c r="AD162" s="586"/>
      <c r="AE162" s="586"/>
      <c r="AF162" s="586"/>
      <c r="AG162" s="586"/>
      <c r="AH162" s="586"/>
      <c r="AI162" s="662"/>
      <c r="AJ162" s="662"/>
      <c r="AK162" s="662"/>
      <c r="AL162" s="662"/>
      <c r="AM162" s="662"/>
    </row>
    <row r="163" spans="1:39" s="1079" customFormat="1" ht="15" x14ac:dyDescent="0.25">
      <c r="A163" s="1081" t="s">
        <v>13</v>
      </c>
      <c r="B163" s="1082"/>
      <c r="C163" s="1082"/>
      <c r="D163" s="1082"/>
      <c r="E163" s="1082"/>
      <c r="F163" s="1082"/>
      <c r="G163" s="1082"/>
      <c r="H163" s="1082"/>
      <c r="I163" s="1082"/>
      <c r="J163" s="1082"/>
      <c r="K163" s="1082"/>
      <c r="L163" s="675">
        <v>-429</v>
      </c>
      <c r="M163" s="677">
        <v>-474</v>
      </c>
      <c r="N163" s="677">
        <v>-538</v>
      </c>
      <c r="O163" s="1083">
        <f>N163*(1+O165)</f>
        <v>-564.9</v>
      </c>
      <c r="P163" s="1083">
        <f t="shared" ref="P163:S163" si="93">O163*(1+P165)</f>
        <v>-593.14499999999998</v>
      </c>
      <c r="Q163" s="1083">
        <f t="shared" si="93"/>
        <v>-622.80224999999996</v>
      </c>
      <c r="R163" s="1083">
        <f t="shared" si="93"/>
        <v>-653.94236249999994</v>
      </c>
      <c r="S163" s="1083">
        <f t="shared" si="93"/>
        <v>-686.63948062499992</v>
      </c>
      <c r="T163" s="66"/>
      <c r="U163" s="66"/>
      <c r="V163" s="66"/>
      <c r="W163" s="1079" t="s">
        <v>314</v>
      </c>
      <c r="Z163" s="1084">
        <f>L163/L121</f>
        <v>-0.2202258726899384</v>
      </c>
      <c r="AA163" s="1084">
        <f>M163/M121</f>
        <v>-0.20510601471224579</v>
      </c>
      <c r="AB163" s="1084">
        <f>N163/N121</f>
        <v>-0.23943035157988429</v>
      </c>
      <c r="AC163" s="1084">
        <f>O163/O121</f>
        <v>-0.24070541130393344</v>
      </c>
      <c r="AI163" s="1080"/>
      <c r="AJ163" s="1080"/>
      <c r="AK163" s="1080"/>
      <c r="AL163" s="1080"/>
      <c r="AM163" s="1080"/>
    </row>
    <row r="164" spans="1:39" x14ac:dyDescent="0.25">
      <c r="A164" s="526" t="s">
        <v>284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15">
        <f>L163/L145</f>
        <v>-2.8757206059793539E-2</v>
      </c>
      <c r="M164" s="515">
        <f t="shared" ref="M164" si="94">M163/M145</f>
        <v>-2.9924242424242423E-2</v>
      </c>
      <c r="N164" s="515">
        <f>N163/N145</f>
        <v>-4.5783337588290361E-2</v>
      </c>
      <c r="O164" s="515">
        <f t="shared" ref="O164:R164" si="95">O163/O145</f>
        <v>-4.7502474770459359E-2</v>
      </c>
      <c r="P164" s="515">
        <f t="shared" si="95"/>
        <v>-4.7147515123379523E-2</v>
      </c>
      <c r="Q164" s="515">
        <f t="shared" si="95"/>
        <v>-4.5004446254134994E-2</v>
      </c>
      <c r="R164" s="515">
        <f t="shared" si="95"/>
        <v>-4.2191668363251549E-2</v>
      </c>
      <c r="S164" s="515">
        <f>S163/S145</f>
        <v>-3.8522827636012287E-2</v>
      </c>
      <c r="T164" s="586" t="s">
        <v>315</v>
      </c>
      <c r="U164" s="586"/>
      <c r="V164" s="586"/>
      <c r="W164" s="586"/>
      <c r="X164" s="586"/>
      <c r="Y164" s="586"/>
      <c r="Z164" s="719">
        <f>L163/L129</f>
        <v>-0.1244199535962877</v>
      </c>
      <c r="AA164" s="719">
        <f>M163/M129</f>
        <v>-0.12241735537190082</v>
      </c>
      <c r="AB164" s="719">
        <f>N163/N129</f>
        <v>-0.13844570252187338</v>
      </c>
      <c r="AC164" s="586"/>
      <c r="AD164" s="586"/>
      <c r="AE164" s="586"/>
      <c r="AF164" s="586"/>
      <c r="AG164" s="586"/>
      <c r="AH164" s="586"/>
      <c r="AI164" s="662"/>
      <c r="AJ164" s="662"/>
      <c r="AK164" s="662"/>
      <c r="AL164" s="662"/>
      <c r="AM164" s="662"/>
    </row>
    <row r="165" spans="1:39" x14ac:dyDescent="0.25">
      <c r="A165" s="526" t="s">
        <v>285</v>
      </c>
      <c r="B165" s="587"/>
      <c r="C165" s="587"/>
      <c r="D165" s="587"/>
      <c r="E165" s="587"/>
      <c r="F165" s="587"/>
      <c r="G165" s="587"/>
      <c r="H165" s="587"/>
      <c r="I165" s="587"/>
      <c r="J165" s="587"/>
      <c r="K165" s="587"/>
      <c r="L165" s="516"/>
      <c r="M165" s="516">
        <f>(M163-L163)/L163</f>
        <v>0.1048951048951049</v>
      </c>
      <c r="N165" s="516">
        <f>(N163-M163)/M163</f>
        <v>0.13502109704641349</v>
      </c>
      <c r="O165" s="516">
        <f>5%</f>
        <v>0.05</v>
      </c>
      <c r="P165" s="516">
        <f>5%</f>
        <v>0.05</v>
      </c>
      <c r="Q165" s="516">
        <f>5%</f>
        <v>0.05</v>
      </c>
      <c r="R165" s="516">
        <f>5%</f>
        <v>0.05</v>
      </c>
      <c r="S165" s="516">
        <f>5%</f>
        <v>0.05</v>
      </c>
      <c r="T165" s="586"/>
      <c r="U165" s="586"/>
      <c r="V165" s="586"/>
      <c r="W165" s="586"/>
      <c r="X165" s="586"/>
      <c r="Y165" s="586"/>
      <c r="Z165" s="586"/>
      <c r="AA165" s="586"/>
      <c r="AB165" s="586"/>
      <c r="AC165" s="586"/>
      <c r="AD165" s="586"/>
      <c r="AE165" s="586"/>
      <c r="AF165" s="586"/>
      <c r="AG165" s="586"/>
      <c r="AH165" s="586"/>
      <c r="AI165" s="662"/>
      <c r="AJ165" s="662"/>
      <c r="AK165" s="662"/>
      <c r="AL165" s="662"/>
      <c r="AM165" s="662"/>
    </row>
    <row r="166" spans="1:39" s="1079" customFormat="1" ht="15" x14ac:dyDescent="0.25">
      <c r="A166" s="607" t="s">
        <v>258</v>
      </c>
      <c r="B166" s="1076"/>
      <c r="C166" s="1076"/>
      <c r="D166" s="1076"/>
      <c r="E166" s="1076"/>
      <c r="F166" s="1076"/>
      <c r="G166" s="1076"/>
      <c r="H166" s="1076"/>
      <c r="I166" s="1076"/>
      <c r="J166" s="1077"/>
      <c r="K166" s="1076"/>
      <c r="L166" s="672">
        <v>1022</v>
      </c>
      <c r="M166" s="597">
        <v>2229</v>
      </c>
      <c r="N166" s="597">
        <v>828</v>
      </c>
      <c r="O166" s="1078">
        <f>O145+O148+O151+O154+O157+O160+O163</f>
        <v>780.72175120000077</v>
      </c>
      <c r="P166" s="1078">
        <f>P145+P148+P151+P154+P157+P160+P163</f>
        <v>833.05347046000043</v>
      </c>
      <c r="Q166" s="1078">
        <f t="shared" ref="Q166:S166" si="96">Q145+Q148+Q151+Q154+Q157+Q160+Q163</f>
        <v>985.1366875060005</v>
      </c>
      <c r="R166" s="1078">
        <f t="shared" si="96"/>
        <v>1258.2893589067212</v>
      </c>
      <c r="S166" s="1078">
        <f t="shared" si="96"/>
        <v>1668.1544160927278</v>
      </c>
      <c r="AI166" s="1080"/>
      <c r="AJ166" s="1080"/>
      <c r="AK166" s="1080"/>
      <c r="AL166" s="1080"/>
      <c r="AM166" s="1080"/>
    </row>
    <row r="167" spans="1:39" x14ac:dyDescent="0.25">
      <c r="A167" s="526" t="s">
        <v>284</v>
      </c>
      <c r="B167" s="587"/>
      <c r="C167" s="587"/>
      <c r="D167" s="587"/>
      <c r="E167" s="587"/>
      <c r="F167" s="587"/>
      <c r="G167" s="587"/>
      <c r="H167" s="587"/>
      <c r="I167" s="587"/>
      <c r="J167" s="587"/>
      <c r="K167" s="587"/>
      <c r="L167" s="508">
        <f>L166/L145</f>
        <v>6.8507842874379943E-2</v>
      </c>
      <c r="M167" s="508">
        <f t="shared" ref="M167:S167" si="97">M166/M145</f>
        <v>0.14071969696969697</v>
      </c>
      <c r="N167" s="508">
        <f t="shared" si="97"/>
        <v>7.0462088332907832E-2</v>
      </c>
      <c r="O167" s="508">
        <f>O166/O145</f>
        <v>6.5650938730973427E-2</v>
      </c>
      <c r="P167" s="508">
        <f t="shared" si="97"/>
        <v>6.6217200005220758E-2</v>
      </c>
      <c r="Q167" s="508">
        <f t="shared" si="97"/>
        <v>7.1187172342168606E-2</v>
      </c>
      <c r="R167" s="508">
        <f t="shared" si="97"/>
        <v>8.1183496253464979E-2</v>
      </c>
      <c r="S167" s="508">
        <f t="shared" si="97"/>
        <v>9.3589178680636959E-2</v>
      </c>
      <c r="T167" s="586"/>
      <c r="U167" s="586"/>
      <c r="V167" s="586"/>
      <c r="W167" s="586"/>
      <c r="X167" s="586"/>
      <c r="Y167" s="586"/>
      <c r="Z167" s="586"/>
      <c r="AA167" s="586"/>
      <c r="AB167" s="586"/>
      <c r="AC167" s="586"/>
      <c r="AD167" s="586"/>
      <c r="AE167" s="586"/>
      <c r="AF167" s="586"/>
      <c r="AG167" s="586"/>
      <c r="AH167" s="586"/>
      <c r="AI167" s="662"/>
      <c r="AJ167" s="662"/>
      <c r="AK167" s="662"/>
      <c r="AL167" s="662"/>
      <c r="AM167" s="662"/>
    </row>
    <row r="168" spans="1:39" x14ac:dyDescent="0.25">
      <c r="A168" s="526" t="s">
        <v>285</v>
      </c>
      <c r="B168" s="587"/>
      <c r="C168" s="587"/>
      <c r="D168" s="587"/>
      <c r="E168" s="587"/>
      <c r="F168" s="587"/>
      <c r="G168" s="587"/>
      <c r="H168" s="587"/>
      <c r="I168" s="587"/>
      <c r="J168" s="587"/>
      <c r="K168" s="587"/>
      <c r="L168" s="516"/>
      <c r="M168" s="516">
        <f>(M166-L166)/L166</f>
        <v>1.1810176125244618</v>
      </c>
      <c r="N168" s="516">
        <f>(N166-M166)/M166</f>
        <v>-0.62853297442799461</v>
      </c>
      <c r="O168" s="516">
        <f>(O166-N166)/N166</f>
        <v>-5.7099334299515983E-2</v>
      </c>
      <c r="P168" s="516">
        <f>(P166-O166)/O166</f>
        <v>6.7029923502917269E-2</v>
      </c>
      <c r="Q168" s="516">
        <f t="shared" ref="Q168:S168" si="98">(Q166-P166)/P166</f>
        <v>0.18256117096783939</v>
      </c>
      <c r="R168" s="516">
        <f t="shared" si="98"/>
        <v>0.27727387972144413</v>
      </c>
      <c r="S168" s="516">
        <f t="shared" si="98"/>
        <v>0.32573195845995434</v>
      </c>
      <c r="T168" s="732"/>
      <c r="U168" s="732"/>
      <c r="V168" s="732"/>
      <c r="W168" s="586"/>
      <c r="X168" s="586"/>
      <c r="Y168" s="586"/>
      <c r="Z168" s="586"/>
      <c r="AA168" s="586"/>
      <c r="AB168" s="586"/>
      <c r="AC168" s="586"/>
      <c r="AD168" s="586"/>
      <c r="AE168" s="586"/>
      <c r="AF168" s="586"/>
      <c r="AG168" s="586"/>
      <c r="AH168" s="586"/>
      <c r="AI168" s="662"/>
      <c r="AJ168" s="662"/>
      <c r="AK168" s="662"/>
      <c r="AL168" s="662"/>
      <c r="AM168" s="662"/>
    </row>
    <row r="169" spans="1:39" ht="15" x14ac:dyDescent="0.25">
      <c r="A169" s="587"/>
      <c r="B169" s="587"/>
      <c r="C169" s="587"/>
      <c r="D169" s="587"/>
      <c r="E169" s="587"/>
      <c r="F169" s="587"/>
      <c r="G169" s="587"/>
      <c r="H169" s="587"/>
      <c r="I169" s="587"/>
      <c r="J169" s="587"/>
      <c r="K169" s="587"/>
      <c r="L169" s="679"/>
      <c r="M169" s="673"/>
      <c r="N169" s="673"/>
      <c r="O169" s="655"/>
      <c r="P169" s="655"/>
      <c r="Q169" s="655"/>
      <c r="R169" s="655"/>
      <c r="S169" s="655"/>
      <c r="T169" s="586"/>
      <c r="U169" s="586"/>
      <c r="V169" s="586"/>
      <c r="W169" s="586"/>
      <c r="X169" s="586"/>
      <c r="Y169" s="586"/>
      <c r="Z169" s="586"/>
      <c r="AA169" s="586"/>
      <c r="AB169" s="586"/>
      <c r="AC169" s="586"/>
      <c r="AD169" s="586"/>
      <c r="AE169" s="586"/>
      <c r="AF169" s="586"/>
      <c r="AG169" s="586"/>
      <c r="AH169" s="586"/>
      <c r="AI169" s="662"/>
      <c r="AJ169" s="662"/>
      <c r="AK169" s="662"/>
      <c r="AL169" s="662"/>
      <c r="AM169" s="662"/>
    </row>
    <row r="170" spans="1:39" ht="15.6" x14ac:dyDescent="0.3">
      <c r="A170" s="680" t="s">
        <v>316</v>
      </c>
      <c r="B170" s="587"/>
      <c r="C170" s="587"/>
      <c r="D170" s="587"/>
      <c r="E170" s="587"/>
      <c r="F170" s="587"/>
      <c r="G170" s="587"/>
      <c r="H170" s="587"/>
      <c r="I170" s="587"/>
      <c r="J170" s="587"/>
      <c r="K170" s="587"/>
      <c r="L170" s="595"/>
      <c r="M170" s="596"/>
      <c r="N170" s="597"/>
      <c r="O170" s="939"/>
      <c r="P170" s="939"/>
      <c r="Q170" s="939"/>
      <c r="R170" s="655"/>
      <c r="S170" s="655"/>
      <c r="T170" s="586"/>
      <c r="U170" s="586"/>
      <c r="V170" s="586"/>
      <c r="W170" s="586"/>
      <c r="X170" s="586"/>
      <c r="Y170" s="586"/>
      <c r="Z170" s="586"/>
      <c r="AA170" s="586"/>
      <c r="AB170" s="586"/>
      <c r="AC170" s="586"/>
      <c r="AD170" s="586"/>
      <c r="AE170" s="586"/>
      <c r="AF170" s="586"/>
      <c r="AG170" s="586"/>
      <c r="AH170" s="586"/>
      <c r="AI170" s="662"/>
      <c r="AJ170" s="662"/>
      <c r="AK170" s="662"/>
      <c r="AL170" s="662"/>
      <c r="AM170" s="662"/>
    </row>
    <row r="171" spans="1:39" ht="15" x14ac:dyDescent="0.25">
      <c r="A171" s="673" t="s">
        <v>317</v>
      </c>
      <c r="B171" s="587"/>
      <c r="C171" s="587"/>
      <c r="D171" s="587"/>
      <c r="E171" s="587"/>
      <c r="F171" s="587"/>
      <c r="G171" s="587"/>
      <c r="H171" s="587"/>
      <c r="I171" s="587"/>
      <c r="J171" s="587"/>
      <c r="K171" s="587"/>
      <c r="L171" s="595">
        <v>7</v>
      </c>
      <c r="M171" s="596">
        <v>10</v>
      </c>
      <c r="N171" s="597">
        <v>4</v>
      </c>
      <c r="O171" s="598">
        <f>O145*O172</f>
        <v>5.7118978452577798</v>
      </c>
      <c r="P171" s="598">
        <f t="shared" ref="P171:S171" si="99">P145*P172</f>
        <v>6.0426460801709281</v>
      </c>
      <c r="Q171" s="598">
        <f t="shared" si="99"/>
        <v>6.6469106881880213</v>
      </c>
      <c r="R171" s="598">
        <f t="shared" si="99"/>
        <v>7.4445399707705846</v>
      </c>
      <c r="S171" s="598">
        <f t="shared" si="99"/>
        <v>8.5612209663861716</v>
      </c>
      <c r="T171" s="586"/>
      <c r="U171" s="586"/>
      <c r="V171" s="586"/>
      <c r="W171" s="586"/>
      <c r="X171" s="719"/>
      <c r="Y171" s="719"/>
      <c r="Z171" s="719"/>
      <c r="AA171" s="719"/>
      <c r="AB171" s="719"/>
      <c r="AC171" s="719"/>
      <c r="AD171" s="719"/>
      <c r="AE171" s="719"/>
      <c r="AF171" s="586"/>
      <c r="AG171" s="586"/>
      <c r="AH171" s="586"/>
      <c r="AI171" s="662"/>
      <c r="AJ171" s="662"/>
      <c r="AK171" s="662"/>
      <c r="AL171" s="662"/>
      <c r="AM171" s="662"/>
    </row>
    <row r="172" spans="1:39" x14ac:dyDescent="0.25">
      <c r="A172" s="526" t="s">
        <v>284</v>
      </c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15">
        <f>L171/L145</f>
        <v>4.6923180050945166E-4</v>
      </c>
      <c r="M172" s="515">
        <f>M171/M145</f>
        <v>6.3131313131313137E-4</v>
      </c>
      <c r="N172" s="515">
        <f t="shared" ref="N172" si="100">N171/N145</f>
        <v>3.4039656199472384E-4</v>
      </c>
      <c r="O172" s="731">
        <f>$W$172</f>
        <v>4.8031383127243561E-4</v>
      </c>
      <c r="P172" s="731">
        <f t="shared" ref="P172:S172" si="101">$W$172</f>
        <v>4.8031383127243561E-4</v>
      </c>
      <c r="Q172" s="731">
        <f t="shared" si="101"/>
        <v>4.8031383127243561E-4</v>
      </c>
      <c r="R172" s="731">
        <f t="shared" si="101"/>
        <v>4.8031383127243561E-4</v>
      </c>
      <c r="S172" s="731">
        <f t="shared" si="101"/>
        <v>4.8031383127243561E-4</v>
      </c>
      <c r="T172" s="586" t="s">
        <v>318</v>
      </c>
      <c r="U172" s="586"/>
      <c r="V172" s="586"/>
      <c r="W172" s="681">
        <f>AVERAGE(L172:N172)</f>
        <v>4.8031383127243561E-4</v>
      </c>
      <c r="X172" s="586"/>
      <c r="Y172" s="586"/>
      <c r="Z172" s="586"/>
      <c r="AA172" s="586"/>
      <c r="AB172" s="586"/>
      <c r="AC172" s="586"/>
      <c r="AD172" s="586"/>
      <c r="AE172" s="586"/>
      <c r="AF172" s="586"/>
      <c r="AG172" s="586"/>
      <c r="AH172" s="586">
        <v>2019</v>
      </c>
      <c r="AI172" s="586">
        <v>2020</v>
      </c>
      <c r="AJ172" s="662"/>
      <c r="AK172" s="662"/>
      <c r="AL172" s="662"/>
      <c r="AM172" s="662"/>
    </row>
    <row r="173" spans="1:39" x14ac:dyDescent="0.25">
      <c r="A173" s="526" t="s">
        <v>285</v>
      </c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16"/>
      <c r="M173" s="516">
        <f t="shared" ref="M173:S173" si="102">(M171-L171)/L171</f>
        <v>0.42857142857142855</v>
      </c>
      <c r="N173" s="516">
        <f t="shared" si="102"/>
        <v>-0.6</v>
      </c>
      <c r="O173" s="516">
        <f t="shared" si="102"/>
        <v>0.42797446131444494</v>
      </c>
      <c r="P173" s="516">
        <f t="shared" si="102"/>
        <v>5.7905138339920982E-2</v>
      </c>
      <c r="Q173" s="516">
        <f t="shared" si="102"/>
        <v>0.10000000000000007</v>
      </c>
      <c r="R173" s="516">
        <f t="shared" si="102"/>
        <v>0.12000000000000011</v>
      </c>
      <c r="S173" s="516">
        <f t="shared" si="102"/>
        <v>0.14999999999999991</v>
      </c>
      <c r="T173" s="586"/>
      <c r="U173" s="586"/>
      <c r="V173" s="586"/>
      <c r="W173" s="586"/>
      <c r="X173" s="586"/>
      <c r="Y173" s="586"/>
      <c r="Z173" s="586"/>
      <c r="AA173" s="586"/>
      <c r="AB173" s="586"/>
      <c r="AC173" s="586"/>
      <c r="AD173" s="586" t="s">
        <v>319</v>
      </c>
      <c r="AE173" s="586"/>
      <c r="AF173" s="586"/>
      <c r="AG173" s="586"/>
      <c r="AH173" s="586">
        <v>-191</v>
      </c>
      <c r="AI173" s="586">
        <v>-265</v>
      </c>
      <c r="AJ173" s="662"/>
      <c r="AK173" s="662"/>
      <c r="AL173" s="662"/>
      <c r="AM173" s="662"/>
    </row>
    <row r="174" spans="1:39" ht="15" x14ac:dyDescent="0.25">
      <c r="A174" s="673" t="s">
        <v>320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95">
        <v>-48</v>
      </c>
      <c r="M174" s="596">
        <v>-109</v>
      </c>
      <c r="N174" s="597">
        <v>-45</v>
      </c>
      <c r="O174" s="598">
        <f>-1.9%*O129</f>
        <v>-79.976549900000009</v>
      </c>
      <c r="P174" s="598">
        <f t="shared" ref="P174:S174" si="103">-1.9%*P129</f>
        <v>-89.418691111969991</v>
      </c>
      <c r="Q174" s="598">
        <f t="shared" si="103"/>
        <v>-103.23517655291359</v>
      </c>
      <c r="R174" s="598">
        <f t="shared" si="103"/>
        <v>-119.83292121708436</v>
      </c>
      <c r="S174" s="598">
        <f t="shared" si="103"/>
        <v>-141.29301657532002</v>
      </c>
      <c r="T174" s="586"/>
      <c r="U174" s="586"/>
      <c r="V174" s="586"/>
      <c r="W174" s="719">
        <f>L174/L129</f>
        <v>-1.3921113689095127E-2</v>
      </c>
      <c r="X174" s="719">
        <f>M174/M129</f>
        <v>-2.8150826446280992E-2</v>
      </c>
      <c r="Y174" s="719">
        <f>N174/N129</f>
        <v>-1.1580030880082347E-2</v>
      </c>
      <c r="Z174" s="719">
        <f>O174/O129</f>
        <v>-1.9E-2</v>
      </c>
      <c r="AA174" s="719">
        <f>P174/P129</f>
        <v>-1.9E-2</v>
      </c>
      <c r="AB174" s="586" t="s">
        <v>321</v>
      </c>
      <c r="AC174" s="586"/>
      <c r="AD174" s="586"/>
      <c r="AE174" s="586"/>
      <c r="AF174" s="586"/>
      <c r="AG174" s="586"/>
      <c r="AH174" s="586">
        <f>M174/AH173</f>
        <v>0.5706806282722513</v>
      </c>
      <c r="AI174" s="586">
        <f>N174/AI173</f>
        <v>0.16981132075471697</v>
      </c>
      <c r="AJ174" s="662"/>
      <c r="AK174" s="662"/>
      <c r="AL174" s="662"/>
      <c r="AM174" s="662"/>
    </row>
    <row r="175" spans="1:39" x14ac:dyDescent="0.25">
      <c r="A175" s="526" t="s">
        <v>284</v>
      </c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15">
        <f>L174/L145</f>
        <v>-3.2175894892076686E-3</v>
      </c>
      <c r="M175" s="515">
        <f t="shared" ref="M175" si="104">M174/M145</f>
        <v>-6.8813131313131314E-3</v>
      </c>
      <c r="N175" s="515">
        <f>N174/N145</f>
        <v>-3.8294613224406433E-3</v>
      </c>
      <c r="O175" s="515">
        <f t="shared" ref="O175:S175" si="105">O174/O145</f>
        <v>-6.7252328621935469E-3</v>
      </c>
      <c r="P175" s="515">
        <f t="shared" si="105"/>
        <v>-7.1076534262522776E-3</v>
      </c>
      <c r="Q175" s="515">
        <f t="shared" si="105"/>
        <v>-7.4598991167930699E-3</v>
      </c>
      <c r="R175" s="515">
        <f t="shared" si="105"/>
        <v>-7.731493111506252E-3</v>
      </c>
      <c r="S175" s="515">
        <f t="shared" si="105"/>
        <v>-7.9270223709666261E-3</v>
      </c>
      <c r="T175" s="586"/>
      <c r="U175" s="586"/>
      <c r="V175" s="586"/>
      <c r="W175" s="681">
        <f>L174/L121</f>
        <v>-2.4640657084188913E-2</v>
      </c>
      <c r="X175" s="681">
        <f>M174/M121</f>
        <v>-4.7165729121592385E-2</v>
      </c>
      <c r="Y175" s="681">
        <f>N174/N121</f>
        <v>-2.0026702269692925E-2</v>
      </c>
      <c r="Z175" s="681">
        <f>O174/O121</f>
        <v>-3.4078223293236079E-2</v>
      </c>
      <c r="AA175" s="681">
        <f>P174/P121</f>
        <v>-3.5069205077052149E-2</v>
      </c>
      <c r="AB175" s="586"/>
      <c r="AC175" s="586"/>
      <c r="AD175" s="586"/>
      <c r="AE175" s="586"/>
      <c r="AF175" s="586"/>
      <c r="AG175" s="586"/>
      <c r="AH175" s="586"/>
      <c r="AI175" s="662"/>
      <c r="AJ175" s="662"/>
      <c r="AK175" s="662"/>
      <c r="AL175" s="662"/>
      <c r="AM175" s="662"/>
    </row>
    <row r="176" spans="1:39" x14ac:dyDescent="0.25">
      <c r="A176" s="526" t="s">
        <v>285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16"/>
      <c r="M176" s="516">
        <f t="shared" ref="M176:N176" si="106">(M174-L174)/L174</f>
        <v>1.2708333333333333</v>
      </c>
      <c r="N176" s="516">
        <f t="shared" si="106"/>
        <v>-0.58715596330275233</v>
      </c>
      <c r="O176" s="516">
        <f t="shared" ref="O176" si="107">(O174-N174)/N174</f>
        <v>0.77725666444444463</v>
      </c>
      <c r="P176" s="516">
        <f t="shared" ref="P176" si="108">(P174-O174)/O174</f>
        <v>0.11806137203687979</v>
      </c>
      <c r="Q176" s="516">
        <f t="shared" ref="Q176" si="109">(Q174-P174)/P174</f>
        <v>0.15451451222477194</v>
      </c>
      <c r="R176" s="516">
        <f t="shared" ref="R176" si="110">(R174-Q174)/Q174</f>
        <v>0.1607760573321976</v>
      </c>
      <c r="S176" s="516">
        <f t="shared" ref="S176" si="111">(S174-R174)/R174</f>
        <v>0.17908347005377129</v>
      </c>
      <c r="T176" s="586"/>
      <c r="U176" s="586"/>
      <c r="V176" s="586"/>
      <c r="W176" s="586"/>
      <c r="X176" s="586"/>
      <c r="Y176" s="586"/>
      <c r="Z176" s="586"/>
      <c r="AA176" s="586"/>
      <c r="AB176" s="586"/>
      <c r="AC176" s="586"/>
      <c r="AD176" s="586"/>
      <c r="AE176" s="586"/>
      <c r="AF176" s="586"/>
      <c r="AG176" s="586"/>
      <c r="AH176" s="586"/>
      <c r="AI176" s="662"/>
      <c r="AJ176" s="662"/>
      <c r="AK176" s="662"/>
      <c r="AL176" s="662"/>
      <c r="AM176" s="662"/>
    </row>
    <row r="177" spans="1:39" ht="15" x14ac:dyDescent="0.25">
      <c r="A177" s="600" t="s">
        <v>322</v>
      </c>
      <c r="B177" s="589"/>
      <c r="C177" s="589"/>
      <c r="D177" s="589"/>
      <c r="E177" s="589"/>
      <c r="F177" s="589"/>
      <c r="G177" s="589"/>
      <c r="H177" s="589"/>
      <c r="I177" s="589"/>
      <c r="J177" s="589"/>
      <c r="K177" s="589"/>
      <c r="L177" s="675">
        <v>-34</v>
      </c>
      <c r="M177" s="676">
        <v>-64</v>
      </c>
      <c r="N177" s="677">
        <v>0</v>
      </c>
      <c r="O177" s="678">
        <v>0</v>
      </c>
      <c r="P177" s="678">
        <v>0</v>
      </c>
      <c r="Q177" s="678">
        <v>0</v>
      </c>
      <c r="R177" s="678">
        <v>0</v>
      </c>
      <c r="S177" s="678">
        <v>0</v>
      </c>
      <c r="T177" s="586"/>
      <c r="U177" s="586"/>
      <c r="V177" s="586"/>
      <c r="W177" s="586"/>
      <c r="X177" s="681">
        <f>AVERAGE(W174:Y174)</f>
        <v>-1.7883990338486155E-2</v>
      </c>
      <c r="Y177" s="586"/>
      <c r="Z177" s="586"/>
      <c r="AA177" s="586"/>
      <c r="AB177" s="586"/>
      <c r="AC177" s="586"/>
      <c r="AD177" s="586"/>
      <c r="AE177" s="586"/>
      <c r="AF177" s="586"/>
      <c r="AG177" s="586"/>
      <c r="AH177" s="586"/>
      <c r="AI177" s="662"/>
      <c r="AJ177" s="662"/>
      <c r="AK177" s="662"/>
      <c r="AL177" s="662"/>
      <c r="AM177" s="662"/>
    </row>
    <row r="178" spans="1:39" x14ac:dyDescent="0.25">
      <c r="A178" s="526" t="s">
        <v>284</v>
      </c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15">
        <f>L177/L145</f>
        <v>-2.2791258881887651E-3</v>
      </c>
      <c r="M178" s="515">
        <f t="shared" ref="M178:S178" si="112">M177/M145</f>
        <v>-4.0404040404040404E-3</v>
      </c>
      <c r="N178" s="515">
        <f t="shared" si="112"/>
        <v>0</v>
      </c>
      <c r="O178" s="515">
        <f t="shared" si="112"/>
        <v>0</v>
      </c>
      <c r="P178" s="515">
        <f t="shared" si="112"/>
        <v>0</v>
      </c>
      <c r="Q178" s="515">
        <f t="shared" si="112"/>
        <v>0</v>
      </c>
      <c r="R178" s="515">
        <f t="shared" si="112"/>
        <v>0</v>
      </c>
      <c r="S178" s="515">
        <f t="shared" si="112"/>
        <v>0</v>
      </c>
      <c r="T178" s="586"/>
      <c r="U178" s="586"/>
      <c r="V178" s="586"/>
      <c r="W178" s="586"/>
      <c r="X178" s="586"/>
      <c r="Y178" s="586"/>
      <c r="Z178" s="586"/>
      <c r="AA178" s="586"/>
      <c r="AB178" s="586"/>
      <c r="AC178" s="586"/>
      <c r="AD178" s="586"/>
      <c r="AE178" s="586"/>
      <c r="AF178" s="586"/>
      <c r="AG178" s="586"/>
      <c r="AH178" s="586"/>
      <c r="AI178" s="662"/>
      <c r="AJ178" s="662"/>
      <c r="AK178" s="662"/>
      <c r="AL178" s="662"/>
      <c r="AM178" s="662"/>
    </row>
    <row r="179" spans="1:39" x14ac:dyDescent="0.25">
      <c r="A179" s="526" t="s">
        <v>285</v>
      </c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16"/>
      <c r="M179" s="516">
        <f>(M177-L177)/L177</f>
        <v>0.88235294117647056</v>
      </c>
      <c r="N179" s="516">
        <f>(N177-M177)/M177</f>
        <v>-1</v>
      </c>
      <c r="O179" s="516"/>
      <c r="P179" s="516"/>
      <c r="Q179" s="516"/>
      <c r="R179" s="516"/>
      <c r="S179" s="516"/>
      <c r="T179" s="586"/>
      <c r="U179" s="586"/>
      <c r="V179" s="586"/>
      <c r="W179" s="586"/>
      <c r="X179" s="586"/>
      <c r="Y179" s="586"/>
      <c r="Z179" s="586"/>
      <c r="AA179" s="586"/>
      <c r="AB179" s="586"/>
      <c r="AC179" s="586"/>
      <c r="AD179" s="586"/>
      <c r="AE179" s="586"/>
      <c r="AF179" s="586"/>
      <c r="AG179" s="586"/>
      <c r="AH179" s="586"/>
      <c r="AI179" s="662"/>
      <c r="AJ179" s="662"/>
      <c r="AK179" s="662"/>
      <c r="AL179" s="662"/>
      <c r="AM179" s="662"/>
    </row>
    <row r="180" spans="1:39" ht="15.6" x14ac:dyDescent="0.3">
      <c r="A180" s="627" t="s">
        <v>323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95">
        <v>-75</v>
      </c>
      <c r="M180" s="596">
        <v>-163</v>
      </c>
      <c r="N180" s="597">
        <v>-41</v>
      </c>
      <c r="O180" s="598">
        <f>O171+O174+O177</f>
        <v>-74.264652054742228</v>
      </c>
      <c r="P180" s="598">
        <f t="shared" ref="P180:S180" si="113">P171+P174+P177</f>
        <v>-83.376045031799066</v>
      </c>
      <c r="Q180" s="598">
        <f t="shared" si="113"/>
        <v>-96.588265864725571</v>
      </c>
      <c r="R180" s="598">
        <f t="shared" si="113"/>
        <v>-112.38838124631377</v>
      </c>
      <c r="S180" s="598">
        <f t="shared" si="113"/>
        <v>-132.73179560893385</v>
      </c>
      <c r="T180" s="586" t="s">
        <v>324</v>
      </c>
      <c r="U180" s="586"/>
      <c r="V180" s="586"/>
      <c r="W180" s="586"/>
      <c r="X180" s="586"/>
      <c r="Y180" s="586"/>
      <c r="Z180" s="586"/>
      <c r="AA180" s="586"/>
      <c r="AB180" s="586"/>
      <c r="AC180" s="586"/>
      <c r="AD180" s="586"/>
      <c r="AE180" s="586"/>
      <c r="AF180" s="586"/>
      <c r="AG180" s="586"/>
      <c r="AH180" s="586"/>
      <c r="AI180" s="662"/>
      <c r="AJ180" s="662"/>
      <c r="AK180" s="662"/>
      <c r="AL180" s="662"/>
      <c r="AM180" s="662"/>
    </row>
    <row r="181" spans="1:39" x14ac:dyDescent="0.25">
      <c r="A181" s="526" t="s">
        <v>284</v>
      </c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08">
        <f>L180/L145</f>
        <v>-5.0274835768869819E-3</v>
      </c>
      <c r="M181" s="508">
        <f t="shared" ref="M181:S181" si="114">M180/M145</f>
        <v>-1.0290404040404041E-2</v>
      </c>
      <c r="N181" s="508">
        <f t="shared" si="114"/>
        <v>-3.4890647604459194E-3</v>
      </c>
      <c r="O181" s="508">
        <f t="shared" si="114"/>
        <v>-6.244919030921111E-3</v>
      </c>
      <c r="P181" s="508">
        <f t="shared" si="114"/>
        <v>-6.6273395949798426E-3</v>
      </c>
      <c r="Q181" s="508">
        <f t="shared" si="114"/>
        <v>-6.9795852855206349E-3</v>
      </c>
      <c r="R181" s="508">
        <f t="shared" si="114"/>
        <v>-7.2511792802338161E-3</v>
      </c>
      <c r="S181" s="508">
        <f t="shared" si="114"/>
        <v>-7.446708539694191E-3</v>
      </c>
      <c r="T181" s="586"/>
      <c r="U181" s="586"/>
      <c r="V181" s="586"/>
      <c r="W181" s="734">
        <f>(L174+L177+L180)/L121</f>
        <v>-8.0595482546201233E-2</v>
      </c>
      <c r="X181" s="734">
        <f>(M174+M177+M180)/M121</f>
        <v>-0.14539160536564258</v>
      </c>
      <c r="Y181" s="734">
        <f>(N174+N177+N180)/N121</f>
        <v>-3.8273253226524258E-2</v>
      </c>
      <c r="Z181" s="734">
        <f>(O174+O177+O180)/O121</f>
        <v>-6.5722591532181435E-2</v>
      </c>
      <c r="AA181" s="586"/>
      <c r="AB181" s="586"/>
      <c r="AC181" s="586"/>
      <c r="AD181" s="586"/>
      <c r="AE181" s="586"/>
      <c r="AF181" s="586"/>
      <c r="AG181" s="586"/>
      <c r="AH181" s="586"/>
      <c r="AI181" s="662"/>
      <c r="AJ181" s="662"/>
      <c r="AK181" s="662"/>
      <c r="AL181" s="662"/>
      <c r="AM181" s="662"/>
    </row>
    <row r="182" spans="1:39" x14ac:dyDescent="0.25">
      <c r="A182" s="526" t="s">
        <v>285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16"/>
      <c r="M182" s="516">
        <f>(M180-L180)/L180</f>
        <v>1.1733333333333333</v>
      </c>
      <c r="N182" s="516">
        <f>(N180-M180)/M180</f>
        <v>-0.74846625766871167</v>
      </c>
      <c r="O182" s="516">
        <f t="shared" ref="O182:S182" si="115">(O180-N180)/N180</f>
        <v>0.81133297694493245</v>
      </c>
      <c r="P182" s="516">
        <f t="shared" si="115"/>
        <v>0.12268815277476308</v>
      </c>
      <c r="Q182" s="516">
        <f t="shared" si="115"/>
        <v>0.15846543006312488</v>
      </c>
      <c r="R182" s="516">
        <f t="shared" si="115"/>
        <v>0.16358214157935788</v>
      </c>
      <c r="S182" s="516">
        <f t="shared" si="115"/>
        <v>0.18100994192660216</v>
      </c>
      <c r="T182" s="586"/>
      <c r="U182" s="586"/>
      <c r="V182" s="586"/>
      <c r="W182" s="586"/>
      <c r="X182" s="586"/>
      <c r="Y182" s="586"/>
      <c r="Z182" s="586"/>
      <c r="AA182" s="586"/>
      <c r="AB182" s="586"/>
      <c r="AC182" s="586"/>
      <c r="AD182" s="586"/>
      <c r="AE182" s="586"/>
      <c r="AF182" s="586"/>
      <c r="AG182" s="586"/>
      <c r="AH182" s="586"/>
      <c r="AI182" s="662"/>
      <c r="AJ182" s="662"/>
      <c r="AK182" s="662"/>
      <c r="AL182" s="662"/>
      <c r="AM182" s="662"/>
    </row>
    <row r="183" spans="1:39" ht="15" x14ac:dyDescent="0.25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673"/>
      <c r="M183" s="673"/>
      <c r="N183" s="673"/>
      <c r="O183" s="655"/>
      <c r="P183" s="655"/>
      <c r="Q183" s="655"/>
      <c r="R183" s="655"/>
      <c r="S183" s="655"/>
      <c r="T183" s="586"/>
      <c r="U183" s="586"/>
      <c r="V183" s="586"/>
      <c r="W183" s="586"/>
      <c r="X183" s="586"/>
      <c r="Y183" s="586"/>
      <c r="Z183" s="586"/>
      <c r="AA183" s="586"/>
      <c r="AB183" s="586"/>
      <c r="AC183" s="586"/>
      <c r="AD183" s="586"/>
      <c r="AE183" s="586"/>
      <c r="AF183" s="586"/>
      <c r="AG183" s="586"/>
      <c r="AH183" s="586"/>
      <c r="AI183" s="662"/>
      <c r="AJ183" s="662"/>
      <c r="AK183" s="662"/>
      <c r="AL183" s="662"/>
      <c r="AM183" s="662"/>
    </row>
    <row r="184" spans="1:39" s="1079" customFormat="1" ht="15" x14ac:dyDescent="0.25">
      <c r="A184" s="607" t="s">
        <v>75</v>
      </c>
      <c r="B184" s="1076"/>
      <c r="C184" s="1076"/>
      <c r="D184" s="1076" t="s">
        <v>325</v>
      </c>
      <c r="E184" s="1076"/>
      <c r="F184" s="1076"/>
      <c r="G184" s="1076"/>
      <c r="H184" s="1076"/>
      <c r="I184" s="1076"/>
      <c r="J184" s="1076"/>
      <c r="K184" s="1077"/>
      <c r="L184" s="595">
        <v>947</v>
      </c>
      <c r="M184" s="597">
        <v>2067</v>
      </c>
      <c r="N184" s="597">
        <v>786</v>
      </c>
      <c r="O184" s="1078">
        <f>O166+O180</f>
        <v>706.45709914525855</v>
      </c>
      <c r="P184" s="1078">
        <f t="shared" ref="P184:S184" si="116">P166+P180</f>
        <v>749.67742542820133</v>
      </c>
      <c r="Q184" s="1078">
        <f t="shared" si="116"/>
        <v>888.5484216412749</v>
      </c>
      <c r="R184" s="1078">
        <f t="shared" si="116"/>
        <v>1145.9009776604075</v>
      </c>
      <c r="S184" s="1078">
        <f t="shared" si="116"/>
        <v>1535.4226204837939</v>
      </c>
      <c r="T184" s="1079" t="s">
        <v>326</v>
      </c>
      <c r="AI184" s="1080"/>
      <c r="AJ184" s="1080"/>
      <c r="AK184" s="1080"/>
      <c r="AL184" s="1080"/>
      <c r="AM184" s="1080"/>
    </row>
    <row r="185" spans="1:39" x14ac:dyDescent="0.25">
      <c r="A185" s="526" t="s">
        <v>284</v>
      </c>
      <c r="B185" s="587"/>
      <c r="C185" s="587"/>
      <c r="D185" s="587"/>
      <c r="E185" s="661"/>
      <c r="F185" s="587"/>
      <c r="G185" s="587"/>
      <c r="H185" s="587"/>
      <c r="I185" s="587"/>
      <c r="J185" s="587"/>
      <c r="K185" s="587"/>
      <c r="L185" s="515">
        <f>L184/L145</f>
        <v>6.3480359297492961E-2</v>
      </c>
      <c r="M185" s="515">
        <f t="shared" ref="M185:N185" si="117">M184/M145</f>
        <v>0.13049242424242424</v>
      </c>
      <c r="N185" s="515">
        <f t="shared" si="117"/>
        <v>6.688792443196323E-2</v>
      </c>
      <c r="O185" s="515">
        <f t="shared" ref="O185:S185" si="118">O184/O145</f>
        <v>5.9406019700052312E-2</v>
      </c>
      <c r="P185" s="515">
        <f t="shared" si="118"/>
        <v>5.9589860410240919E-2</v>
      </c>
      <c r="Q185" s="515">
        <f t="shared" si="118"/>
        <v>6.4207587056647974E-2</v>
      </c>
      <c r="R185" s="515">
        <f t="shared" si="118"/>
        <v>7.3932316973231174E-2</v>
      </c>
      <c r="S185" s="515">
        <f t="shared" si="118"/>
        <v>8.6142470140942756E-2</v>
      </c>
      <c r="T185" s="588"/>
      <c r="U185" s="588"/>
      <c r="V185" s="588"/>
      <c r="W185" s="588"/>
      <c r="X185" s="588"/>
      <c r="Y185" s="588"/>
      <c r="Z185" s="588"/>
      <c r="AA185" s="588"/>
      <c r="AB185" s="588"/>
      <c r="AC185" s="586"/>
      <c r="AD185" s="586"/>
      <c r="AE185" s="586"/>
      <c r="AF185" s="586"/>
      <c r="AG185" s="586"/>
      <c r="AH185" s="586"/>
      <c r="AI185" s="662"/>
      <c r="AJ185" s="662"/>
      <c r="AK185" s="662"/>
      <c r="AL185" s="662"/>
      <c r="AM185" s="662"/>
    </row>
    <row r="186" spans="1:39" x14ac:dyDescent="0.25">
      <c r="A186" s="526" t="s">
        <v>285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16"/>
      <c r="M186" s="516">
        <f>(M184-L184)/L184</f>
        <v>1.1826821541710666</v>
      </c>
      <c r="N186" s="516">
        <f>(N184-M184)/M184</f>
        <v>-0.61973875181422355</v>
      </c>
      <c r="O186" s="516">
        <f t="shared" ref="O186:S186" si="119">(O184-N184)/N184</f>
        <v>-0.101199619408068</v>
      </c>
      <c r="P186" s="516">
        <f t="shared" si="119"/>
        <v>6.117898218481347E-2</v>
      </c>
      <c r="Q186" s="516">
        <f t="shared" si="119"/>
        <v>0.18524100033258054</v>
      </c>
      <c r="R186" s="516">
        <f t="shared" si="119"/>
        <v>0.28963256222296357</v>
      </c>
      <c r="S186" s="516">
        <f t="shared" si="119"/>
        <v>0.33992609345588914</v>
      </c>
      <c r="T186" s="586"/>
      <c r="U186" s="586"/>
      <c r="V186" s="586"/>
      <c r="W186" s="586"/>
      <c r="X186" s="586"/>
      <c r="Y186" s="586"/>
      <c r="Z186" s="586"/>
      <c r="AA186" s="586"/>
      <c r="AB186" s="586"/>
      <c r="AC186" s="586"/>
      <c r="AD186" s="586"/>
      <c r="AE186" s="586"/>
      <c r="AF186" s="586"/>
      <c r="AG186" s="586"/>
      <c r="AH186" s="586"/>
      <c r="AI186" s="662"/>
      <c r="AJ186" s="662"/>
      <c r="AK186" s="662"/>
      <c r="AL186" s="662"/>
      <c r="AM186" s="662"/>
    </row>
    <row r="187" spans="1:39" ht="15" x14ac:dyDescent="0.25">
      <c r="A187" s="683" t="s">
        <v>327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95">
        <v>-172</v>
      </c>
      <c r="M187" s="596">
        <v>-278</v>
      </c>
      <c r="N187" s="597">
        <v>-72</v>
      </c>
      <c r="O187" s="598">
        <f>-O184*$X$188</f>
        <v>-141.2914198290517</v>
      </c>
      <c r="P187" s="598">
        <f>-P184*$X$188</f>
        <v>-149.93548508564027</v>
      </c>
      <c r="Q187" s="598">
        <f>-Q184*$X$188</f>
        <v>-177.70968432825498</v>
      </c>
      <c r="R187" s="598">
        <f>-R184*$X$188</f>
        <v>-229.18019553208151</v>
      </c>
      <c r="S187" s="598">
        <f>-S184*$X$188</f>
        <v>-307.0845240967588</v>
      </c>
      <c r="T187" s="586"/>
      <c r="U187" s="586"/>
      <c r="V187" s="586"/>
      <c r="W187" s="586"/>
      <c r="X187" s="586"/>
      <c r="Y187" s="586"/>
      <c r="Z187" s="586"/>
      <c r="AA187" s="586"/>
      <c r="AB187" s="586"/>
      <c r="AC187" s="586"/>
      <c r="AD187" s="586"/>
      <c r="AE187" s="586"/>
      <c r="AF187" s="586"/>
      <c r="AG187" s="586"/>
      <c r="AH187" s="586"/>
      <c r="AI187" s="662"/>
      <c r="AJ187" s="662"/>
      <c r="AK187" s="662"/>
      <c r="AL187" s="662"/>
      <c r="AM187" s="662"/>
    </row>
    <row r="188" spans="1:39" x14ac:dyDescent="0.25">
      <c r="A188" s="526" t="s">
        <v>284</v>
      </c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15">
        <f>L187/L145</f>
        <v>-1.1529695669660812E-2</v>
      </c>
      <c r="M188" s="515">
        <f t="shared" ref="M188:N188" si="120">M187/M145</f>
        <v>-1.7550505050505049E-2</v>
      </c>
      <c r="N188" s="515">
        <f t="shared" si="120"/>
        <v>-6.1271381159050294E-3</v>
      </c>
      <c r="O188" s="515">
        <f t="shared" ref="O188:S188" si="121">O187/O145</f>
        <v>-1.1881203940010462E-2</v>
      </c>
      <c r="P188" s="515">
        <f t="shared" si="121"/>
        <v>-1.1917972082048183E-2</v>
      </c>
      <c r="Q188" s="515">
        <f t="shared" si="121"/>
        <v>-1.2841517411329596E-2</v>
      </c>
      <c r="R188" s="515">
        <f t="shared" si="121"/>
        <v>-1.4786463394646236E-2</v>
      </c>
      <c r="S188" s="515">
        <f t="shared" si="121"/>
        <v>-1.7228494028188553E-2</v>
      </c>
      <c r="T188" s="586" t="s">
        <v>328</v>
      </c>
      <c r="U188" s="586"/>
      <c r="V188" s="586"/>
      <c r="W188" s="586"/>
      <c r="X188" s="684">
        <v>0.2</v>
      </c>
      <c r="Y188" s="586"/>
      <c r="Z188" s="586" t="s">
        <v>329</v>
      </c>
      <c r="AA188" s="586"/>
      <c r="AB188" s="586"/>
      <c r="AC188" s="586"/>
      <c r="AD188" s="586"/>
      <c r="AE188" s="586"/>
      <c r="AF188" s="586"/>
      <c r="AG188" s="586"/>
      <c r="AH188" s="586"/>
      <c r="AI188" s="662"/>
      <c r="AJ188" s="662"/>
      <c r="AK188" s="662"/>
      <c r="AL188" s="662"/>
      <c r="AM188" s="662"/>
    </row>
    <row r="189" spans="1:39" x14ac:dyDescent="0.25">
      <c r="A189" s="526" t="s">
        <v>285</v>
      </c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31"/>
      <c r="M189" s="531">
        <f>(M187-L187)/L187</f>
        <v>0.61627906976744184</v>
      </c>
      <c r="N189" s="531">
        <f>(N187-M187)/M187</f>
        <v>-0.74100719424460426</v>
      </c>
      <c r="O189" s="531">
        <f t="shared" ref="O189:S189" si="122">(O187-N187)/N187</f>
        <v>0.96238083095905147</v>
      </c>
      <c r="P189" s="531">
        <f t="shared" si="122"/>
        <v>6.1178982184813518E-2</v>
      </c>
      <c r="Q189" s="531">
        <f t="shared" si="122"/>
        <v>0.18524100033258054</v>
      </c>
      <c r="R189" s="531">
        <f t="shared" si="122"/>
        <v>0.28963256222296363</v>
      </c>
      <c r="S189" s="531">
        <f t="shared" si="122"/>
        <v>0.33992609345588914</v>
      </c>
      <c r="T189" s="586">
        <f>L187/L184</f>
        <v>-0.18162618796198521</v>
      </c>
      <c r="U189" s="586"/>
      <c r="V189" s="586"/>
      <c r="W189" s="586">
        <f>M187/M184</f>
        <v>-0.13449443638122882</v>
      </c>
      <c r="X189" s="586">
        <f>N187/N184</f>
        <v>-9.1603053435114504E-2</v>
      </c>
      <c r="Y189" s="586"/>
      <c r="Z189" s="586"/>
      <c r="AA189" s="586"/>
      <c r="AB189" s="586"/>
      <c r="AC189" s="586"/>
      <c r="AD189" s="586"/>
      <c r="AE189" s="586"/>
      <c r="AF189" s="586"/>
      <c r="AG189" s="586"/>
      <c r="AH189" s="586"/>
      <c r="AI189" s="662"/>
      <c r="AJ189" s="662"/>
      <c r="AK189" s="662"/>
      <c r="AL189" s="662"/>
      <c r="AM189" s="662"/>
    </row>
    <row r="190" spans="1:39" ht="16.2" thickBot="1" x14ac:dyDescent="0.35">
      <c r="A190" s="685" t="s">
        <v>330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86">
        <v>775</v>
      </c>
      <c r="M190" s="687">
        <v>1789</v>
      </c>
      <c r="N190" s="688">
        <v>714</v>
      </c>
      <c r="O190" s="689">
        <f>O184+O187</f>
        <v>565.16567931620682</v>
      </c>
      <c r="P190" s="689">
        <f t="shared" ref="P190:S190" si="123">P184+P187</f>
        <v>599.74194034256107</v>
      </c>
      <c r="Q190" s="689">
        <f t="shared" si="123"/>
        <v>710.83873731301992</v>
      </c>
      <c r="R190" s="689">
        <f t="shared" si="123"/>
        <v>916.72078212832605</v>
      </c>
      <c r="S190" s="689">
        <f t="shared" si="123"/>
        <v>1228.3380963870352</v>
      </c>
      <c r="T190" s="586" t="s">
        <v>331</v>
      </c>
      <c r="U190" s="586"/>
      <c r="V190" s="586"/>
      <c r="W190" s="586"/>
      <c r="X190" s="586"/>
      <c r="Y190" s="586"/>
      <c r="Z190" s="586"/>
      <c r="AA190" s="586"/>
      <c r="AB190" s="586"/>
      <c r="AC190" s="586"/>
      <c r="AD190" s="586"/>
      <c r="AE190" s="586"/>
      <c r="AF190" s="586"/>
      <c r="AG190" s="586"/>
      <c r="AH190" s="586"/>
      <c r="AI190" s="662"/>
      <c r="AJ190" s="662"/>
      <c r="AK190" s="662"/>
      <c r="AL190" s="662"/>
      <c r="AM190" s="662"/>
    </row>
    <row r="191" spans="1:39" ht="14.4" thickTop="1" x14ac:dyDescent="0.25">
      <c r="A191" s="526" t="s">
        <v>284</v>
      </c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08">
        <f>L190/L145</f>
        <v>5.1950663627832148E-2</v>
      </c>
      <c r="M191" s="508">
        <f t="shared" ref="M191:N191" si="124">M190/M145</f>
        <v>0.11294191919191919</v>
      </c>
      <c r="N191" s="508">
        <f t="shared" si="124"/>
        <v>6.0760786316058205E-2</v>
      </c>
      <c r="O191" s="508">
        <f t="shared" ref="O191:S191" si="125">O190/O145</f>
        <v>4.7524815760041847E-2</v>
      </c>
      <c r="P191" s="508">
        <f t="shared" si="125"/>
        <v>4.7671888328192732E-2</v>
      </c>
      <c r="Q191" s="508">
        <f t="shared" si="125"/>
        <v>5.1366069645318382E-2</v>
      </c>
      <c r="R191" s="508">
        <f t="shared" si="125"/>
        <v>5.9145853578584942E-2</v>
      </c>
      <c r="S191" s="508">
        <f t="shared" si="125"/>
        <v>6.8913976112754211E-2</v>
      </c>
      <c r="T191" s="586"/>
      <c r="U191" s="586"/>
      <c r="V191" s="586"/>
      <c r="W191" s="586"/>
      <c r="X191" s="586"/>
      <c r="Y191" s="586"/>
      <c r="Z191" s="586"/>
      <c r="AA191" s="586"/>
      <c r="AB191" s="586"/>
      <c r="AC191" s="586"/>
      <c r="AD191" s="586"/>
      <c r="AE191" s="586"/>
      <c r="AF191" s="586"/>
      <c r="AG191" s="586"/>
      <c r="AH191" s="586"/>
      <c r="AI191" s="662"/>
      <c r="AJ191" s="662"/>
      <c r="AK191" s="662"/>
      <c r="AL191" s="662"/>
      <c r="AM191" s="662"/>
    </row>
    <row r="192" spans="1:39" x14ac:dyDescent="0.25">
      <c r="A192" s="526" t="s">
        <v>285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16"/>
      <c r="M192" s="516">
        <f>(M190-L190)/L190</f>
        <v>1.3083870967741935</v>
      </c>
      <c r="N192" s="516">
        <f>(N190-M190)/M190</f>
        <v>-0.60089435438792627</v>
      </c>
      <c r="O192" s="516">
        <f t="shared" ref="O192:S192" si="126">(O190-N190)/N190</f>
        <v>-0.2084514295291221</v>
      </c>
      <c r="P192" s="516">
        <f t="shared" si="126"/>
        <v>6.1178982184813518E-2</v>
      </c>
      <c r="Q192" s="516">
        <f t="shared" si="126"/>
        <v>0.18524100033258054</v>
      </c>
      <c r="R192" s="516">
        <f t="shared" si="126"/>
        <v>0.28963256222296363</v>
      </c>
      <c r="S192" s="516">
        <f t="shared" si="126"/>
        <v>0.33992609345588914</v>
      </c>
      <c r="T192" s="586"/>
      <c r="U192" s="586"/>
      <c r="V192" s="586"/>
      <c r="W192" s="586"/>
      <c r="X192" s="586"/>
      <c r="Y192" s="586"/>
      <c r="Z192" s="586"/>
      <c r="AA192" s="586"/>
      <c r="AB192" s="586"/>
      <c r="AC192" s="586"/>
      <c r="AD192" s="586"/>
      <c r="AE192" s="586"/>
      <c r="AF192" s="586"/>
      <c r="AG192" s="586"/>
      <c r="AH192" s="586"/>
      <c r="AI192" s="662"/>
      <c r="AJ192" s="662"/>
      <c r="AK192" s="662"/>
      <c r="AL192" s="662"/>
      <c r="AM192" s="662"/>
    </row>
    <row r="193" spans="1:39" ht="15" x14ac:dyDescent="0.25">
      <c r="A193" s="587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673"/>
      <c r="M193" s="673"/>
      <c r="N193" s="673"/>
      <c r="O193" s="655"/>
      <c r="P193" s="655"/>
      <c r="Q193" s="655"/>
      <c r="R193" s="655"/>
      <c r="S193" s="655"/>
      <c r="T193" s="586"/>
      <c r="U193" s="586"/>
      <c r="V193" s="586"/>
      <c r="W193" s="586"/>
      <c r="X193" s="586"/>
      <c r="Y193" s="586"/>
      <c r="Z193" s="586"/>
      <c r="AA193" s="586"/>
      <c r="AB193" s="586"/>
      <c r="AC193" s="586"/>
      <c r="AD193" s="586"/>
      <c r="AE193" s="586"/>
      <c r="AF193" s="586"/>
      <c r="AG193" s="586"/>
      <c r="AH193" s="586"/>
      <c r="AI193" s="662"/>
      <c r="AJ193" s="662"/>
      <c r="AK193" s="662"/>
      <c r="AL193" s="662"/>
      <c r="AM193" s="662"/>
    </row>
    <row r="194" spans="1:39" ht="15.6" x14ac:dyDescent="0.3">
      <c r="A194" s="627" t="s">
        <v>332</v>
      </c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95"/>
      <c r="M194" s="828"/>
      <c r="N194" s="826"/>
      <c r="O194" s="598"/>
      <c r="P194" s="655"/>
      <c r="Q194" s="655"/>
      <c r="R194" s="655"/>
      <c r="S194" s="655"/>
      <c r="T194" s="586"/>
      <c r="U194" s="586"/>
      <c r="V194" s="586"/>
      <c r="W194" s="586"/>
      <c r="X194" s="586"/>
      <c r="Y194" s="586"/>
      <c r="Z194" s="586"/>
      <c r="AA194" s="586"/>
      <c r="AB194" s="586"/>
      <c r="AC194" s="586"/>
      <c r="AD194" s="586"/>
      <c r="AE194" s="586"/>
      <c r="AF194" s="586"/>
      <c r="AG194" s="586"/>
      <c r="AH194" s="586"/>
      <c r="AI194" s="662"/>
      <c r="AJ194" s="662"/>
      <c r="AK194" s="662"/>
      <c r="AL194" s="662"/>
      <c r="AM194" s="662"/>
    </row>
    <row r="195" spans="1:39" ht="15" x14ac:dyDescent="0.25">
      <c r="A195" s="673" t="s">
        <v>20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95">
        <v>775</v>
      </c>
      <c r="M195" s="596">
        <v>1788</v>
      </c>
      <c r="N195" s="597">
        <v>712</v>
      </c>
      <c r="O195" s="598">
        <f>O190-O198</f>
        <v>563.16567931620682</v>
      </c>
      <c r="P195" s="598">
        <f t="shared" ref="P195:S195" si="127">P190-P198</f>
        <v>597.74194034256107</v>
      </c>
      <c r="Q195" s="598">
        <f t="shared" si="127"/>
        <v>708.83873731301992</v>
      </c>
      <c r="R195" s="598">
        <f t="shared" si="127"/>
        <v>914.72078212832605</v>
      </c>
      <c r="S195" s="598">
        <f t="shared" si="127"/>
        <v>1226.3380963870352</v>
      </c>
      <c r="T195" s="586"/>
      <c r="U195" s="586"/>
      <c r="V195" s="586"/>
      <c r="W195" s="586"/>
      <c r="X195" s="586"/>
      <c r="Y195" s="586"/>
      <c r="Z195" s="586"/>
      <c r="AA195" s="586"/>
      <c r="AB195" s="586"/>
      <c r="AC195" s="586"/>
      <c r="AD195" s="586"/>
      <c r="AE195" s="586"/>
      <c r="AF195" s="586"/>
      <c r="AG195" s="586"/>
      <c r="AH195" s="586"/>
      <c r="AI195" s="662"/>
      <c r="AJ195" s="662"/>
      <c r="AK195" s="662"/>
      <c r="AL195" s="662"/>
      <c r="AM195" s="662"/>
    </row>
    <row r="196" spans="1:39" ht="11.25" customHeight="1" x14ac:dyDescent="0.25">
      <c r="A196" s="526" t="s">
        <v>284</v>
      </c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15">
        <f>L195/L190</f>
        <v>1</v>
      </c>
      <c r="M196" s="515">
        <f t="shared" ref="M196:S196" si="128">M195/M190</f>
        <v>0.99944102850754613</v>
      </c>
      <c r="N196" s="515">
        <f t="shared" si="128"/>
        <v>0.99719887955182074</v>
      </c>
      <c r="O196" s="515">
        <f t="shared" si="128"/>
        <v>0.99646121469651205</v>
      </c>
      <c r="P196" s="515">
        <f t="shared" si="128"/>
        <v>0.99666523238501936</v>
      </c>
      <c r="Q196" s="515">
        <f t="shared" si="128"/>
        <v>0.99718642232757315</v>
      </c>
      <c r="R196" s="515">
        <f t="shared" si="128"/>
        <v>0.9978183106143218</v>
      </c>
      <c r="S196" s="515">
        <f t="shared" si="128"/>
        <v>0.99837178378991687</v>
      </c>
      <c r="T196" s="586"/>
      <c r="U196" s="586"/>
      <c r="V196" s="586"/>
      <c r="W196" s="586"/>
      <c r="X196" s="586"/>
      <c r="Y196" s="586"/>
      <c r="Z196" s="586"/>
      <c r="AA196" s="586"/>
      <c r="AB196" s="586"/>
      <c r="AC196" s="586"/>
      <c r="AD196" s="586"/>
      <c r="AE196" s="586"/>
      <c r="AF196" s="586"/>
      <c r="AG196" s="586"/>
      <c r="AH196" s="586"/>
      <c r="AI196" s="662"/>
      <c r="AJ196" s="662"/>
      <c r="AK196" s="662"/>
      <c r="AL196" s="662"/>
      <c r="AM196" s="662"/>
    </row>
    <row r="197" spans="1:39" ht="23.25" customHeight="1" x14ac:dyDescent="0.25">
      <c r="A197" s="526" t="s">
        <v>285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16"/>
      <c r="M197" s="516">
        <f>(M195-L195)/L195</f>
        <v>1.3070967741935484</v>
      </c>
      <c r="N197" s="516">
        <f>(N195-M195)/M195</f>
        <v>-0.60178970917225949</v>
      </c>
      <c r="O197" s="516">
        <f t="shared" ref="O197:S197" si="129">(O195-N195)/N195</f>
        <v>-0.20903696725251852</v>
      </c>
      <c r="P197" s="516">
        <f t="shared" si="129"/>
        <v>6.139625033318185E-2</v>
      </c>
      <c r="Q197" s="516">
        <f t="shared" si="129"/>
        <v>0.18586080291904927</v>
      </c>
      <c r="R197" s="516">
        <f t="shared" si="129"/>
        <v>0.29044976519728433</v>
      </c>
      <c r="S197" s="516">
        <f t="shared" si="129"/>
        <v>0.3406693281130595</v>
      </c>
      <c r="T197" s="732"/>
      <c r="U197" s="732"/>
      <c r="V197" s="732"/>
      <c r="W197" s="1263" t="s">
        <v>333</v>
      </c>
      <c r="X197" s="1263"/>
      <c r="Y197" s="1263"/>
      <c r="Z197" s="1263"/>
      <c r="AA197" s="1263"/>
      <c r="AB197" s="1263"/>
      <c r="AC197" s="1263"/>
      <c r="AD197" s="1263"/>
      <c r="AE197" s="1263"/>
      <c r="AF197" s="1263"/>
      <c r="AG197" s="1263"/>
      <c r="AH197" s="1263"/>
      <c r="AI197" s="1263"/>
      <c r="AJ197" s="1263"/>
      <c r="AK197" s="662"/>
      <c r="AL197" s="662"/>
      <c r="AM197" s="662"/>
    </row>
    <row r="198" spans="1:39" ht="28.5" customHeight="1" x14ac:dyDescent="0.25">
      <c r="A198" s="683" t="s">
        <v>302</v>
      </c>
      <c r="B198" s="587"/>
      <c r="C198" s="587"/>
      <c r="D198" s="587"/>
      <c r="E198" s="587"/>
      <c r="F198" s="587"/>
      <c r="G198" s="587"/>
      <c r="H198" s="587"/>
      <c r="I198" s="587"/>
      <c r="J198" s="587"/>
      <c r="K198" s="587"/>
      <c r="L198" s="595">
        <v>0</v>
      </c>
      <c r="M198" s="596">
        <v>1</v>
      </c>
      <c r="N198" s="597">
        <v>2</v>
      </c>
      <c r="O198" s="598">
        <v>2</v>
      </c>
      <c r="P198" s="598">
        <v>2</v>
      </c>
      <c r="Q198" s="598">
        <v>2</v>
      </c>
      <c r="R198" s="598">
        <v>2</v>
      </c>
      <c r="S198" s="598">
        <v>2</v>
      </c>
      <c r="T198" s="586"/>
      <c r="U198" s="586"/>
      <c r="V198" s="586"/>
      <c r="W198" s="1263"/>
      <c r="X198" s="1263"/>
      <c r="Y198" s="1263"/>
      <c r="Z198" s="1263"/>
      <c r="AA198" s="1263"/>
      <c r="AB198" s="1263"/>
      <c r="AC198" s="1263"/>
      <c r="AD198" s="1263"/>
      <c r="AE198" s="1263"/>
      <c r="AF198" s="1263"/>
      <c r="AG198" s="1263"/>
      <c r="AH198" s="1263"/>
      <c r="AI198" s="1263"/>
      <c r="AJ198" s="1263"/>
      <c r="AK198" s="662"/>
      <c r="AL198" s="662"/>
      <c r="AM198" s="662"/>
    </row>
    <row r="199" spans="1:39" x14ac:dyDescent="0.25">
      <c r="A199" s="526" t="s">
        <v>284</v>
      </c>
      <c r="B199" s="587"/>
      <c r="C199" s="587"/>
      <c r="D199" s="587"/>
      <c r="E199" s="587"/>
      <c r="F199" s="587"/>
      <c r="G199" s="587"/>
      <c r="H199" s="587"/>
      <c r="I199" s="587"/>
      <c r="J199" s="587"/>
      <c r="K199" s="587"/>
      <c r="L199" s="515">
        <f>L198/L190</f>
        <v>0</v>
      </c>
      <c r="M199" s="515">
        <f t="shared" ref="M199" si="130">M198/M190</f>
        <v>5.5897149245388487E-4</v>
      </c>
      <c r="N199" s="515">
        <f>N198/N190</f>
        <v>2.8011204481792717E-3</v>
      </c>
      <c r="O199" s="515">
        <f t="shared" ref="O199:S199" si="131">O198/O190</f>
        <v>3.5387853034879917E-3</v>
      </c>
      <c r="P199" s="515">
        <f t="shared" si="131"/>
        <v>3.3347676149806005E-3</v>
      </c>
      <c r="Q199" s="515">
        <f t="shared" si="131"/>
        <v>2.8135776724268393E-3</v>
      </c>
      <c r="R199" s="515">
        <f t="shared" si="131"/>
        <v>2.1816893856782147E-3</v>
      </c>
      <c r="S199" s="515">
        <f t="shared" si="131"/>
        <v>1.6282162100831098E-3</v>
      </c>
      <c r="T199" s="586"/>
      <c r="U199" s="586"/>
      <c r="V199" s="586"/>
      <c r="W199" s="1263"/>
      <c r="X199" s="1263"/>
      <c r="Y199" s="1263"/>
      <c r="Z199" s="1263"/>
      <c r="AA199" s="1263"/>
      <c r="AB199" s="1263"/>
      <c r="AC199" s="1263"/>
      <c r="AD199" s="1263"/>
      <c r="AE199" s="1263"/>
      <c r="AF199" s="1263"/>
      <c r="AG199" s="1263"/>
      <c r="AH199" s="1263"/>
      <c r="AI199" s="1263"/>
      <c r="AJ199" s="1263"/>
      <c r="AK199" s="662"/>
      <c r="AL199" s="662"/>
      <c r="AM199" s="662"/>
    </row>
    <row r="200" spans="1:39" x14ac:dyDescent="0.25">
      <c r="A200" s="526" t="s">
        <v>285</v>
      </c>
      <c r="B200" s="589"/>
      <c r="C200" s="589"/>
      <c r="D200" s="589"/>
      <c r="E200" s="589"/>
      <c r="F200" s="589"/>
      <c r="G200" s="589"/>
      <c r="H200" s="589"/>
      <c r="I200" s="589"/>
      <c r="J200" s="589"/>
      <c r="K200" s="589"/>
      <c r="L200" s="531"/>
      <c r="M200" s="531"/>
      <c r="N200" s="531">
        <f>(N198-M198)/M198</f>
        <v>1</v>
      </c>
      <c r="O200" s="531">
        <f t="shared" ref="O200:S200" si="132">(O198-N198)/N198</f>
        <v>0</v>
      </c>
      <c r="P200" s="531">
        <f t="shared" si="132"/>
        <v>0</v>
      </c>
      <c r="Q200" s="531">
        <f t="shared" si="132"/>
        <v>0</v>
      </c>
      <c r="R200" s="531">
        <f t="shared" si="132"/>
        <v>0</v>
      </c>
      <c r="S200" s="531">
        <f t="shared" si="132"/>
        <v>0</v>
      </c>
      <c r="T200" s="586"/>
      <c r="U200" s="586"/>
      <c r="V200" s="586"/>
      <c r="W200" s="586"/>
      <c r="X200" s="586"/>
      <c r="Y200" s="586"/>
      <c r="Z200" s="586"/>
      <c r="AA200" s="586"/>
      <c r="AB200" s="586"/>
      <c r="AC200" s="586"/>
      <c r="AD200" s="586"/>
      <c r="AE200" s="586"/>
      <c r="AF200" s="586"/>
      <c r="AG200" s="586"/>
      <c r="AH200" s="586"/>
      <c r="AI200" s="662"/>
      <c r="AJ200" s="662"/>
      <c r="AK200" s="662"/>
      <c r="AL200" s="662"/>
      <c r="AM200" s="662"/>
    </row>
    <row r="201" spans="1:39" ht="15" x14ac:dyDescent="0.25">
      <c r="A201" s="690"/>
      <c r="B201" s="652"/>
      <c r="C201" s="652"/>
      <c r="D201" s="652"/>
      <c r="E201" s="652"/>
      <c r="F201" s="652"/>
      <c r="G201" s="652"/>
      <c r="H201" s="652"/>
      <c r="I201" s="652"/>
      <c r="J201" s="652"/>
      <c r="K201" s="652"/>
      <c r="L201" s="686">
        <v>775</v>
      </c>
      <c r="M201" s="687">
        <v>1789</v>
      </c>
      <c r="N201" s="688">
        <v>714</v>
      </c>
      <c r="O201" s="689">
        <f>O195+O198</f>
        <v>565.16567931620682</v>
      </c>
      <c r="P201" s="689">
        <f t="shared" ref="P201:S201" si="133">P195+P198</f>
        <v>599.74194034256107</v>
      </c>
      <c r="Q201" s="689">
        <f t="shared" si="133"/>
        <v>710.83873731301992</v>
      </c>
      <c r="R201" s="689">
        <f t="shared" si="133"/>
        <v>916.72078212832605</v>
      </c>
      <c r="S201" s="689">
        <f t="shared" si="133"/>
        <v>1228.3380963870352</v>
      </c>
      <c r="T201" s="586"/>
      <c r="U201" s="586"/>
      <c r="V201" s="586"/>
      <c r="W201" s="586"/>
      <c r="X201" s="586"/>
      <c r="Y201" s="586"/>
      <c r="Z201" s="586"/>
      <c r="AA201" s="586"/>
      <c r="AB201" s="586"/>
      <c r="AC201" s="586"/>
      <c r="AD201" s="586"/>
      <c r="AE201" s="586"/>
      <c r="AF201" s="586"/>
      <c r="AG201" s="586"/>
      <c r="AH201" s="586"/>
      <c r="AI201" s="662"/>
      <c r="AJ201" s="662"/>
      <c r="AK201" s="662"/>
      <c r="AL201" s="662"/>
      <c r="AM201" s="662"/>
    </row>
    <row r="202" spans="1:39" x14ac:dyDescent="0.25">
      <c r="A202" s="526" t="s">
        <v>284</v>
      </c>
      <c r="B202" s="587"/>
      <c r="C202" s="587"/>
      <c r="D202" s="587"/>
      <c r="E202" s="587"/>
      <c r="F202" s="587"/>
      <c r="G202" s="587"/>
      <c r="H202" s="587"/>
      <c r="I202" s="587"/>
      <c r="J202" s="587"/>
      <c r="K202" s="587"/>
      <c r="L202" s="508">
        <f>L201/L145</f>
        <v>5.1950663627832148E-2</v>
      </c>
      <c r="M202" s="508">
        <f t="shared" ref="M202:N202" si="134">M201/M145</f>
        <v>0.11294191919191919</v>
      </c>
      <c r="N202" s="508">
        <f t="shared" si="134"/>
        <v>6.0760786316058205E-2</v>
      </c>
      <c r="O202" s="598"/>
      <c r="P202" s="655"/>
      <c r="Q202" s="655"/>
      <c r="R202" s="655"/>
      <c r="S202" s="655"/>
      <c r="T202" s="586"/>
      <c r="U202" s="586"/>
      <c r="V202" s="586"/>
      <c r="W202" s="586"/>
      <c r="X202" s="586"/>
      <c r="Y202" s="586"/>
      <c r="Z202" s="586"/>
      <c r="AA202" s="586"/>
      <c r="AB202" s="586"/>
      <c r="AC202" s="586"/>
      <c r="AD202" s="586"/>
      <c r="AE202" s="586"/>
      <c r="AF202" s="586"/>
      <c r="AG202" s="586"/>
      <c r="AH202" s="586"/>
      <c r="AI202" s="662"/>
      <c r="AJ202" s="662"/>
      <c r="AK202" s="662"/>
      <c r="AL202" s="662"/>
      <c r="AM202" s="662"/>
    </row>
    <row r="203" spans="1:39" x14ac:dyDescent="0.25">
      <c r="A203" s="526" t="s">
        <v>285</v>
      </c>
      <c r="B203" s="587"/>
      <c r="C203" s="587"/>
      <c r="D203" s="587"/>
      <c r="E203" s="587"/>
      <c r="F203" s="587"/>
      <c r="G203" s="587"/>
      <c r="H203" s="587"/>
      <c r="I203" s="587"/>
      <c r="J203" s="587"/>
      <c r="K203" s="587"/>
      <c r="L203" s="509"/>
      <c r="M203" s="532">
        <f>(M201-L201)/L201</f>
        <v>1.3083870967741935</v>
      </c>
      <c r="N203" s="532">
        <f>(N201-M201)/M201</f>
        <v>-0.60089435438792627</v>
      </c>
      <c r="O203" s="655"/>
      <c r="P203" s="655"/>
      <c r="Q203" s="655"/>
      <c r="R203" s="655"/>
      <c r="S203" s="655"/>
      <c r="T203" s="586"/>
      <c r="U203" s="586"/>
      <c r="V203" s="586"/>
      <c r="W203" s="586"/>
      <c r="X203" s="586"/>
      <c r="Y203" s="586"/>
      <c r="Z203" s="586"/>
      <c r="AA203" s="586"/>
      <c r="AB203" s="586"/>
      <c r="AC203" s="586"/>
      <c r="AD203" s="586"/>
      <c r="AE203" s="586"/>
      <c r="AF203" s="586"/>
      <c r="AG203" s="586"/>
      <c r="AH203" s="586"/>
      <c r="AI203" s="662"/>
      <c r="AJ203" s="662"/>
      <c r="AK203" s="662"/>
      <c r="AL203" s="662"/>
      <c r="AM203" s="662"/>
    </row>
    <row r="204" spans="1:39" ht="15" x14ac:dyDescent="0.25">
      <c r="A204" s="587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691"/>
      <c r="M204" s="692"/>
      <c r="N204" s="693"/>
      <c r="O204" s="694"/>
      <c r="P204" s="655"/>
      <c r="Q204" s="655"/>
      <c r="R204" s="655"/>
      <c r="S204" s="655"/>
      <c r="T204" s="586"/>
      <c r="U204" s="586"/>
      <c r="V204" s="586"/>
      <c r="W204" s="586"/>
      <c r="X204" s="586"/>
      <c r="Y204" s="586"/>
      <c r="Z204" s="586"/>
      <c r="AA204" s="586"/>
      <c r="AB204" s="586"/>
      <c r="AC204" s="586"/>
      <c r="AD204" s="586"/>
      <c r="AE204" s="586"/>
      <c r="AF204" s="586"/>
      <c r="AG204" s="586"/>
      <c r="AH204" s="586"/>
      <c r="AI204" s="662"/>
      <c r="AJ204" s="662"/>
      <c r="AK204" s="662"/>
      <c r="AL204" s="662"/>
      <c r="AM204" s="662"/>
    </row>
    <row r="205" spans="1:39" ht="15" x14ac:dyDescent="0.25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673"/>
      <c r="M205" s="673"/>
      <c r="N205" s="673"/>
      <c r="O205" s="655"/>
      <c r="P205" s="655"/>
      <c r="Q205" s="655"/>
      <c r="R205" s="655"/>
      <c r="S205" s="655"/>
      <c r="T205" s="586"/>
      <c r="U205" s="586"/>
      <c r="V205" s="586"/>
      <c r="W205" s="586"/>
      <c r="X205" s="586"/>
      <c r="Y205" s="586"/>
      <c r="Z205" s="586"/>
      <c r="AA205" s="586"/>
      <c r="AB205" s="586"/>
      <c r="AC205" s="586"/>
      <c r="AD205" s="586"/>
      <c r="AE205" s="586"/>
      <c r="AF205" s="586"/>
      <c r="AG205" s="586"/>
      <c r="AH205" s="586"/>
      <c r="AI205" s="662"/>
      <c r="AJ205" s="662"/>
      <c r="AK205" s="662"/>
      <c r="AL205" s="662"/>
      <c r="AM205" s="662"/>
    </row>
    <row r="206" spans="1:39" ht="15" x14ac:dyDescent="0.25">
      <c r="A206" s="587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673"/>
      <c r="M206" s="673"/>
      <c r="N206" s="673"/>
      <c r="O206" s="655"/>
      <c r="P206" s="655"/>
      <c r="Q206" s="655"/>
      <c r="R206" s="655"/>
      <c r="S206" s="655"/>
      <c r="T206" s="586"/>
      <c r="U206" s="586"/>
      <c r="V206" s="586"/>
      <c r="W206" s="586"/>
      <c r="X206" s="586"/>
      <c r="Y206" s="586"/>
      <c r="Z206" s="586"/>
      <c r="AA206" s="586"/>
      <c r="AB206" s="586"/>
      <c r="AC206" s="586"/>
      <c r="AD206" s="586"/>
      <c r="AE206" s="586"/>
      <c r="AF206" s="586"/>
      <c r="AG206" s="586"/>
      <c r="AH206" s="586"/>
      <c r="AI206" s="662"/>
      <c r="AJ206" s="662"/>
      <c r="AK206" s="662"/>
      <c r="AL206" s="662"/>
      <c r="AM206" s="662"/>
    </row>
    <row r="207" spans="1:39" ht="15" x14ac:dyDescent="0.25">
      <c r="A207" s="673" t="s">
        <v>334</v>
      </c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95">
        <v>1.01</v>
      </c>
      <c r="M207" s="695">
        <v>2.33</v>
      </c>
      <c r="N207" s="696">
        <v>0.93</v>
      </c>
      <c r="O207" s="697"/>
      <c r="P207" s="655"/>
      <c r="Q207" s="655"/>
      <c r="R207" s="655"/>
      <c r="S207" s="655"/>
      <c r="T207" s="586"/>
      <c r="U207" s="586"/>
      <c r="V207" s="586"/>
      <c r="W207" s="586"/>
      <c r="X207" s="586"/>
      <c r="Y207" s="586"/>
      <c r="Z207" s="586"/>
      <c r="AA207" s="586"/>
      <c r="AB207" s="586"/>
      <c r="AC207" s="586"/>
      <c r="AD207" s="586"/>
      <c r="AE207" s="586"/>
      <c r="AF207" s="586"/>
      <c r="AG207" s="586"/>
      <c r="AH207" s="586"/>
      <c r="AI207" s="662"/>
      <c r="AJ207" s="662"/>
      <c r="AK207" s="662"/>
      <c r="AL207" s="662"/>
      <c r="AM207" s="662"/>
    </row>
    <row r="208" spans="1:39" x14ac:dyDescent="0.25">
      <c r="A208" s="526" t="s">
        <v>284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15">
        <f>L207/L145</f>
        <v>6.770344550207803E-5</v>
      </c>
      <c r="M208" s="515">
        <f t="shared" ref="M208:N208" si="135">M207/M145</f>
        <v>1.4709595959595961E-4</v>
      </c>
      <c r="N208" s="515">
        <f t="shared" si="135"/>
        <v>7.9142200663773299E-5</v>
      </c>
      <c r="O208" s="655"/>
      <c r="P208" s="655"/>
      <c r="Q208" s="655"/>
      <c r="R208" s="655"/>
      <c r="S208" s="655"/>
      <c r="T208" s="586"/>
      <c r="U208" s="586"/>
      <c r="V208" s="586"/>
      <c r="W208" s="586"/>
      <c r="X208" s="586"/>
      <c r="Y208" s="586"/>
      <c r="Z208" s="586"/>
      <c r="AA208" s="586"/>
      <c r="AB208" s="586"/>
      <c r="AC208" s="586"/>
      <c r="AD208" s="586"/>
      <c r="AE208" s="586"/>
      <c r="AF208" s="586"/>
      <c r="AG208" s="586"/>
      <c r="AH208" s="586"/>
      <c r="AI208" s="662"/>
      <c r="AJ208" s="662"/>
      <c r="AK208" s="662"/>
      <c r="AL208" s="662"/>
      <c r="AM208" s="662"/>
    </row>
    <row r="209" spans="1:39" x14ac:dyDescent="0.25">
      <c r="A209" s="526" t="s">
        <v>285</v>
      </c>
      <c r="B209" s="587"/>
      <c r="C209" s="587"/>
      <c r="D209" s="587"/>
      <c r="E209" s="587"/>
      <c r="F209" s="587"/>
      <c r="G209" s="587"/>
      <c r="H209" s="587"/>
      <c r="I209" s="587"/>
      <c r="J209" s="587"/>
      <c r="K209" s="587"/>
      <c r="L209" s="516"/>
      <c r="M209" s="516">
        <f>(M207-L207)/L207</f>
        <v>1.306930693069307</v>
      </c>
      <c r="N209" s="516">
        <f>(N207-M207)/M207</f>
        <v>-0.60085836909871237</v>
      </c>
      <c r="O209" s="655"/>
      <c r="P209" s="655"/>
      <c r="Q209" s="655"/>
      <c r="R209" s="655"/>
      <c r="S209" s="655"/>
      <c r="T209" s="586"/>
      <c r="U209" s="586"/>
      <c r="V209" s="586"/>
      <c r="W209" s="586"/>
      <c r="X209" s="586"/>
      <c r="Y209" s="586"/>
      <c r="Z209" s="586"/>
      <c r="AA209" s="586"/>
      <c r="AB209" s="586"/>
      <c r="AC209" s="586"/>
      <c r="AD209" s="586"/>
      <c r="AE209" s="586"/>
      <c r="AF209" s="586"/>
      <c r="AG209" s="586"/>
      <c r="AH209" s="586"/>
      <c r="AI209" s="662"/>
      <c r="AJ209" s="662"/>
      <c r="AK209" s="662"/>
      <c r="AL209" s="662"/>
      <c r="AM209" s="662"/>
    </row>
    <row r="210" spans="1:39" ht="15" x14ac:dyDescent="0.25">
      <c r="A210" s="673" t="s">
        <v>335</v>
      </c>
      <c r="B210" s="587"/>
      <c r="C210" s="587"/>
      <c r="D210" s="587"/>
      <c r="E210" s="587"/>
      <c r="F210" s="587"/>
      <c r="G210" s="587"/>
      <c r="H210" s="587"/>
      <c r="I210" s="587"/>
      <c r="J210" s="587"/>
      <c r="K210" s="587"/>
      <c r="L210" s="595">
        <v>1.01</v>
      </c>
      <c r="M210" s="695">
        <v>2.3199999999999998</v>
      </c>
      <c r="N210" s="696">
        <v>0.93</v>
      </c>
      <c r="O210" s="697"/>
      <c r="P210" s="655"/>
      <c r="Q210" s="655"/>
      <c r="R210" s="655"/>
      <c r="S210" s="655"/>
      <c r="T210" s="586"/>
      <c r="U210" s="586"/>
      <c r="V210" s="586"/>
      <c r="W210" s="586"/>
      <c r="X210" s="586"/>
      <c r="Y210" s="586"/>
      <c r="Z210" s="586"/>
      <c r="AA210" s="586"/>
      <c r="AB210" s="586"/>
      <c r="AC210" s="586"/>
      <c r="AD210" s="586"/>
      <c r="AE210" s="586"/>
      <c r="AF210" s="586"/>
      <c r="AG210" s="586"/>
      <c r="AH210" s="586"/>
      <c r="AI210" s="662"/>
      <c r="AJ210" s="662"/>
      <c r="AK210" s="662"/>
      <c r="AL210" s="662"/>
      <c r="AM210" s="662"/>
    </row>
    <row r="211" spans="1:39" x14ac:dyDescent="0.25">
      <c r="A211" s="526" t="s">
        <v>284</v>
      </c>
      <c r="B211" s="587"/>
      <c r="C211" s="587"/>
      <c r="D211" s="587"/>
      <c r="E211" s="587"/>
      <c r="F211" s="587"/>
      <c r="G211" s="587"/>
      <c r="H211" s="587"/>
      <c r="I211" s="587"/>
      <c r="J211" s="587"/>
      <c r="K211" s="587"/>
      <c r="L211" s="508">
        <f>L210/L145</f>
        <v>6.770344550207803E-5</v>
      </c>
      <c r="M211" s="508">
        <f t="shared" ref="M211:N211" si="136">M210/M145</f>
        <v>1.4646464646464645E-4</v>
      </c>
      <c r="N211" s="508">
        <f t="shared" si="136"/>
        <v>7.9142200663773299E-5</v>
      </c>
      <c r="O211" s="698"/>
      <c r="P211" s="655"/>
      <c r="Q211" s="655"/>
      <c r="R211" s="655"/>
      <c r="S211" s="655"/>
      <c r="T211" s="586"/>
      <c r="U211" s="586"/>
      <c r="V211" s="586"/>
      <c r="W211" s="586"/>
      <c r="X211" s="586"/>
      <c r="Y211" s="586"/>
      <c r="Z211" s="586"/>
      <c r="AA211" s="586"/>
      <c r="AB211" s="586"/>
      <c r="AC211" s="586"/>
      <c r="AD211" s="586"/>
      <c r="AE211" s="586"/>
      <c r="AF211" s="586"/>
      <c r="AG211" s="586"/>
      <c r="AH211" s="586"/>
      <c r="AI211" s="662"/>
      <c r="AJ211" s="662"/>
      <c r="AK211" s="662"/>
      <c r="AL211" s="662"/>
      <c r="AM211" s="662"/>
    </row>
    <row r="212" spans="1:39" x14ac:dyDescent="0.25">
      <c r="A212" s="526" t="s">
        <v>285</v>
      </c>
      <c r="B212" s="587"/>
      <c r="C212" s="587"/>
      <c r="D212" s="587"/>
      <c r="E212" s="587"/>
      <c r="F212" s="587"/>
      <c r="G212" s="587"/>
      <c r="H212" s="587"/>
      <c r="I212" s="587"/>
      <c r="J212" s="587"/>
      <c r="K212" s="587"/>
      <c r="L212" s="516"/>
      <c r="M212" s="516">
        <f>(M210-L210)/L210</f>
        <v>1.2970297029702968</v>
      </c>
      <c r="N212" s="516">
        <f>(N210-M210)/M210</f>
        <v>-0.59913793103448265</v>
      </c>
      <c r="O212" s="655"/>
      <c r="P212" s="655"/>
      <c r="Q212" s="655"/>
      <c r="R212" s="655"/>
      <c r="S212" s="655"/>
      <c r="T212" s="586"/>
      <c r="U212" s="586"/>
      <c r="V212" s="586"/>
      <c r="W212" s="586"/>
      <c r="X212" s="586"/>
      <c r="Y212" s="586"/>
      <c r="Z212" s="586"/>
      <c r="AA212" s="586"/>
      <c r="AB212" s="586"/>
      <c r="AC212" s="586"/>
      <c r="AD212" s="586"/>
      <c r="AE212" s="586"/>
      <c r="AF212" s="586"/>
      <c r="AG212" s="586"/>
      <c r="AH212" s="586"/>
      <c r="AI212" s="662"/>
      <c r="AJ212" s="662"/>
      <c r="AK212" s="662"/>
      <c r="AL212" s="662"/>
      <c r="AM212" s="662"/>
    </row>
    <row r="213" spans="1:39" ht="15" x14ac:dyDescent="0.25">
      <c r="A213" s="587"/>
      <c r="B213" s="587"/>
      <c r="C213" s="587"/>
      <c r="D213" s="587"/>
      <c r="E213" s="587"/>
      <c r="F213" s="587"/>
      <c r="G213" s="587"/>
      <c r="H213" s="587"/>
      <c r="I213" s="587"/>
      <c r="J213" s="587"/>
      <c r="K213" s="587"/>
      <c r="L213" s="673"/>
      <c r="M213" s="673"/>
      <c r="N213" s="673"/>
      <c r="O213" s="655"/>
      <c r="P213" s="655"/>
      <c r="Q213" s="655"/>
      <c r="R213" s="655"/>
      <c r="S213" s="655"/>
      <c r="T213" s="586"/>
      <c r="U213" s="586"/>
      <c r="V213" s="586"/>
      <c r="W213" s="586"/>
      <c r="X213" s="586"/>
      <c r="Y213" s="586"/>
      <c r="Z213" s="586"/>
      <c r="AA213" s="586"/>
      <c r="AB213" s="586"/>
      <c r="AC213" s="586"/>
      <c r="AD213" s="586"/>
      <c r="AE213" s="586"/>
      <c r="AF213" s="586"/>
      <c r="AG213" s="586"/>
      <c r="AH213" s="586"/>
      <c r="AI213" s="662"/>
      <c r="AJ213" s="662"/>
      <c r="AK213" s="662"/>
      <c r="AL213" s="662"/>
      <c r="AM213" s="662"/>
    </row>
    <row r="214" spans="1:39" ht="15.6" x14ac:dyDescent="0.3">
      <c r="A214" s="627" t="s">
        <v>336</v>
      </c>
      <c r="B214" s="587"/>
      <c r="C214" s="587"/>
      <c r="D214" s="587"/>
      <c r="E214" s="587"/>
      <c r="F214" s="587"/>
      <c r="G214" s="587"/>
      <c r="H214" s="587"/>
      <c r="I214" s="587"/>
      <c r="J214" s="587"/>
      <c r="K214" s="587"/>
      <c r="L214" s="595"/>
      <c r="M214" s="679"/>
      <c r="N214" s="634"/>
      <c r="O214" s="698"/>
      <c r="P214" s="655"/>
      <c r="Q214" s="655"/>
      <c r="R214" s="655"/>
      <c r="S214" s="655"/>
      <c r="T214" s="586"/>
      <c r="U214" s="586"/>
      <c r="V214" s="586"/>
      <c r="W214" s="586"/>
      <c r="X214" s="586"/>
      <c r="Y214" s="586"/>
      <c r="Z214" s="586"/>
      <c r="AA214" s="586"/>
      <c r="AB214" s="586"/>
      <c r="AC214" s="586"/>
      <c r="AD214" s="586"/>
      <c r="AE214" s="586"/>
      <c r="AF214" s="586"/>
      <c r="AG214" s="586"/>
      <c r="AH214" s="586"/>
      <c r="AI214" s="662"/>
      <c r="AJ214" s="662"/>
      <c r="AK214" s="662"/>
      <c r="AL214" s="662"/>
      <c r="AM214" s="662"/>
    </row>
    <row r="215" spans="1:39" ht="15.6" x14ac:dyDescent="0.3">
      <c r="A215" s="668"/>
      <c r="B215" s="587"/>
      <c r="C215" s="587"/>
      <c r="D215" s="587"/>
      <c r="E215" s="587"/>
      <c r="F215" s="587"/>
      <c r="G215" s="587"/>
      <c r="H215" s="587"/>
      <c r="I215" s="587"/>
      <c r="J215" s="587"/>
      <c r="K215" s="587"/>
      <c r="L215" s="595"/>
      <c r="M215" s="699"/>
      <c r="N215" s="607"/>
      <c r="O215" s="700"/>
      <c r="P215" s="655"/>
      <c r="Q215" s="655"/>
      <c r="R215" s="655"/>
      <c r="S215" s="655"/>
      <c r="T215" s="586"/>
      <c r="U215" s="586"/>
      <c r="V215" s="586"/>
      <c r="W215" s="586"/>
      <c r="X215" s="586"/>
      <c r="Y215" s="586"/>
      <c r="Z215" s="586"/>
      <c r="AA215" s="586"/>
      <c r="AB215" s="586"/>
      <c r="AC215" s="586"/>
      <c r="AD215" s="586"/>
      <c r="AE215" s="586"/>
      <c r="AF215" s="586"/>
      <c r="AG215" s="586"/>
      <c r="AH215" s="586"/>
      <c r="AI215" s="662"/>
      <c r="AJ215" s="662"/>
      <c r="AK215" s="662"/>
      <c r="AL215" s="662"/>
      <c r="AM215" s="662"/>
    </row>
    <row r="216" spans="1:39" ht="15.6" x14ac:dyDescent="0.25">
      <c r="A216" s="701" t="s">
        <v>24</v>
      </c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702"/>
      <c r="M216" s="703"/>
      <c r="N216" s="703"/>
      <c r="O216" s="704"/>
      <c r="P216" s="645"/>
      <c r="Q216" s="645"/>
      <c r="R216" s="645"/>
      <c r="S216" s="645"/>
      <c r="T216" s="586"/>
      <c r="U216" s="586"/>
      <c r="V216" s="586"/>
      <c r="W216" s="586"/>
      <c r="X216" s="586"/>
      <c r="Y216" s="586"/>
      <c r="Z216" s="586"/>
      <c r="AA216" s="586"/>
      <c r="AB216" s="586"/>
      <c r="AC216" s="586"/>
      <c r="AD216" s="586"/>
      <c r="AE216" s="586"/>
      <c r="AF216" s="586"/>
      <c r="AG216" s="586"/>
      <c r="AH216" s="586"/>
      <c r="AI216" s="662"/>
      <c r="AJ216" s="662"/>
      <c r="AK216" s="662"/>
      <c r="AL216" s="662"/>
      <c r="AM216" s="662"/>
    </row>
    <row r="217" spans="1:39" ht="15.6" x14ac:dyDescent="0.25">
      <c r="A217" s="705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95"/>
      <c r="M217" s="706"/>
      <c r="N217" s="707"/>
      <c r="O217" s="708"/>
      <c r="P217" s="655"/>
      <c r="Q217" s="655"/>
      <c r="R217" s="655"/>
      <c r="S217" s="655"/>
      <c r="T217" s="586"/>
      <c r="U217" s="586"/>
      <c r="V217" s="586"/>
      <c r="W217" s="586"/>
      <c r="X217" s="586"/>
      <c r="Y217" s="586"/>
      <c r="Z217" s="586"/>
      <c r="AA217" s="586"/>
      <c r="AB217" s="586"/>
      <c r="AC217" s="586"/>
      <c r="AD217" s="586"/>
      <c r="AE217" s="586"/>
      <c r="AF217" s="586"/>
      <c r="AG217" s="586"/>
      <c r="AH217" s="586"/>
      <c r="AI217" s="662"/>
      <c r="AJ217" s="662"/>
      <c r="AK217" s="662"/>
      <c r="AL217" s="662"/>
      <c r="AM217" s="662"/>
    </row>
    <row r="218" spans="1:39" ht="15.6" x14ac:dyDescent="0.25">
      <c r="A218" s="705" t="s">
        <v>330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95">
        <v>775</v>
      </c>
      <c r="M218" s="596">
        <v>1789</v>
      </c>
      <c r="N218" s="634">
        <v>714</v>
      </c>
      <c r="O218" s="598">
        <f>O190</f>
        <v>565.16567931620682</v>
      </c>
      <c r="P218" s="598">
        <f t="shared" ref="P218:S218" si="137">P190</f>
        <v>599.74194034256107</v>
      </c>
      <c r="Q218" s="598">
        <f t="shared" si="137"/>
        <v>710.83873731301992</v>
      </c>
      <c r="R218" s="598">
        <f t="shared" si="137"/>
        <v>916.72078212832605</v>
      </c>
      <c r="S218" s="598">
        <f t="shared" si="137"/>
        <v>1228.3380963870352</v>
      </c>
      <c r="T218" s="586"/>
      <c r="U218" s="586"/>
      <c r="V218" s="586"/>
      <c r="W218" s="586"/>
      <c r="X218" s="586"/>
      <c r="Y218" s="586"/>
      <c r="Z218" s="586"/>
      <c r="AA218" s="586"/>
      <c r="AB218" s="586"/>
      <c r="AC218" s="586"/>
      <c r="AD218" s="586"/>
      <c r="AE218" s="586"/>
      <c r="AF218" s="586"/>
      <c r="AG218" s="586"/>
      <c r="AH218" s="586"/>
      <c r="AI218" s="662"/>
      <c r="AJ218" s="662"/>
      <c r="AK218" s="662"/>
      <c r="AL218" s="662"/>
      <c r="AM218" s="662"/>
    </row>
    <row r="219" spans="1:39" x14ac:dyDescent="0.25">
      <c r="A219" s="526" t="s">
        <v>284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15">
        <f>L218/L145</f>
        <v>5.1950663627832148E-2</v>
      </c>
      <c r="M219" s="515">
        <f t="shared" ref="M219:N219" si="138">M218/M145</f>
        <v>0.11294191919191919</v>
      </c>
      <c r="N219" s="515">
        <f t="shared" si="138"/>
        <v>6.0760786316058205E-2</v>
      </c>
      <c r="O219" s="515">
        <f t="shared" ref="O219:S219" si="139">O218/O145</f>
        <v>4.7524815760041847E-2</v>
      </c>
      <c r="P219" s="515">
        <f t="shared" si="139"/>
        <v>4.7671888328192732E-2</v>
      </c>
      <c r="Q219" s="515">
        <f t="shared" si="139"/>
        <v>5.1366069645318382E-2</v>
      </c>
      <c r="R219" s="515">
        <f t="shared" si="139"/>
        <v>5.9145853578584942E-2</v>
      </c>
      <c r="S219" s="515">
        <f t="shared" si="139"/>
        <v>6.8913976112754211E-2</v>
      </c>
      <c r="T219" s="586"/>
      <c r="U219" s="586"/>
      <c r="V219" s="586"/>
      <c r="W219" s="681">
        <f>AVERAGE(L219:N219)</f>
        <v>7.5217789711936503E-2</v>
      </c>
      <c r="X219" s="586"/>
      <c r="Y219" s="586"/>
      <c r="Z219" s="586"/>
      <c r="AA219" s="586"/>
      <c r="AB219" s="586"/>
      <c r="AC219" s="586"/>
      <c r="AD219" s="586"/>
      <c r="AE219" s="586"/>
      <c r="AF219" s="586"/>
      <c r="AG219" s="586"/>
      <c r="AH219" s="586"/>
      <c r="AI219" s="662"/>
      <c r="AJ219" s="662"/>
      <c r="AK219" s="662"/>
      <c r="AL219" s="662"/>
      <c r="AM219" s="662"/>
    </row>
    <row r="220" spans="1:39" x14ac:dyDescent="0.25">
      <c r="A220" s="526" t="s">
        <v>285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16"/>
      <c r="M220" s="516">
        <f>(M218-L218)/L218</f>
        <v>1.3083870967741935</v>
      </c>
      <c r="N220" s="516">
        <f>(N218-M218)/M218</f>
        <v>-0.60089435438792627</v>
      </c>
      <c r="O220" s="516">
        <f t="shared" ref="O220:S220" si="140">(O218-N218)/N218</f>
        <v>-0.2084514295291221</v>
      </c>
      <c r="P220" s="516">
        <f t="shared" si="140"/>
        <v>6.1178982184813518E-2</v>
      </c>
      <c r="Q220" s="516">
        <f t="shared" si="140"/>
        <v>0.18524100033258054</v>
      </c>
      <c r="R220" s="516">
        <f t="shared" si="140"/>
        <v>0.28963256222296363</v>
      </c>
      <c r="S220" s="516">
        <f t="shared" si="140"/>
        <v>0.33992609345588914</v>
      </c>
      <c r="T220" s="586"/>
      <c r="U220" s="586"/>
      <c r="V220" s="586"/>
      <c r="W220" s="586"/>
      <c r="X220" s="586"/>
      <c r="Y220" s="586"/>
      <c r="Z220" s="586"/>
      <c r="AA220" s="586"/>
      <c r="AB220" s="586"/>
      <c r="AC220" s="586"/>
      <c r="AD220" s="586"/>
      <c r="AE220" s="586"/>
      <c r="AF220" s="586"/>
      <c r="AG220" s="586"/>
      <c r="AH220" s="586"/>
      <c r="AI220" s="662"/>
      <c r="AJ220" s="662"/>
      <c r="AK220" s="662"/>
      <c r="AL220" s="662"/>
      <c r="AM220" s="662"/>
    </row>
    <row r="221" spans="1:39" ht="15.6" x14ac:dyDescent="0.25">
      <c r="A221" s="705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95"/>
      <c r="M221" s="709"/>
      <c r="N221" s="710"/>
      <c r="O221" s="711"/>
      <c r="P221" s="655"/>
      <c r="Q221" s="655"/>
      <c r="R221" s="655"/>
      <c r="S221" s="655"/>
      <c r="T221" s="586"/>
      <c r="U221" s="586"/>
      <c r="V221" s="586"/>
      <c r="W221" s="586"/>
      <c r="X221" s="586"/>
      <c r="Y221" s="586"/>
      <c r="Z221" s="586"/>
      <c r="AA221" s="586"/>
      <c r="AB221" s="586"/>
      <c r="AC221" s="586"/>
      <c r="AD221" s="586"/>
      <c r="AE221" s="586"/>
      <c r="AF221" s="586"/>
      <c r="AG221" s="586"/>
      <c r="AH221" s="586"/>
      <c r="AI221" s="662"/>
      <c r="AJ221" s="662"/>
      <c r="AK221" s="662"/>
      <c r="AL221" s="662"/>
      <c r="AM221" s="662"/>
    </row>
    <row r="222" spans="1:39" ht="15.6" x14ac:dyDescent="0.25">
      <c r="A222" s="705" t="s">
        <v>337</v>
      </c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95"/>
      <c r="M222" s="709"/>
      <c r="N222" s="710"/>
      <c r="O222" s="711"/>
      <c r="P222" s="655"/>
      <c r="Q222" s="655"/>
      <c r="R222" s="655"/>
      <c r="S222" s="655"/>
      <c r="T222" s="586"/>
      <c r="U222" s="586"/>
      <c r="V222" s="586"/>
      <c r="W222" s="586"/>
      <c r="X222" s="586"/>
      <c r="Y222" s="586"/>
      <c r="Z222" s="586"/>
      <c r="AA222" s="586"/>
      <c r="AB222" s="586"/>
      <c r="AC222" s="586"/>
      <c r="AD222" s="586"/>
      <c r="AE222" s="586"/>
      <c r="AF222" s="586"/>
      <c r="AG222" s="586"/>
      <c r="AH222" s="586"/>
      <c r="AI222" s="662"/>
      <c r="AJ222" s="662"/>
      <c r="AK222" s="662"/>
      <c r="AL222" s="662"/>
      <c r="AM222" s="662"/>
    </row>
    <row r="223" spans="1:39" ht="15.6" x14ac:dyDescent="0.25">
      <c r="A223" s="705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95"/>
      <c r="M223" s="709"/>
      <c r="N223" s="710"/>
      <c r="O223" s="711"/>
      <c r="P223" s="655"/>
      <c r="Q223" s="655"/>
      <c r="R223" s="655"/>
      <c r="S223" s="655"/>
      <c r="T223" s="586"/>
      <c r="U223" s="586"/>
      <c r="V223" s="586"/>
      <c r="W223" s="586"/>
      <c r="X223" s="586"/>
      <c r="Y223" s="586"/>
      <c r="Z223" s="586"/>
      <c r="AA223" s="586"/>
      <c r="AB223" s="586"/>
      <c r="AC223" s="586"/>
      <c r="AD223" s="586"/>
      <c r="AE223" s="586"/>
      <c r="AF223" s="586"/>
      <c r="AG223" s="586"/>
      <c r="AH223" s="586"/>
      <c r="AI223" s="662"/>
      <c r="AJ223" s="662"/>
      <c r="AK223" s="662"/>
      <c r="AL223" s="662"/>
      <c r="AM223" s="662"/>
    </row>
    <row r="224" spans="1:39" ht="15.6" x14ac:dyDescent="0.25">
      <c r="A224" s="705" t="s">
        <v>338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95"/>
      <c r="M224" s="709"/>
      <c r="N224" s="710"/>
      <c r="O224" s="711"/>
      <c r="P224" s="655"/>
      <c r="Q224" s="655"/>
      <c r="R224" s="655"/>
      <c r="S224" s="655"/>
      <c r="T224" s="586"/>
      <c r="U224" s="586"/>
      <c r="V224" s="586"/>
      <c r="W224" s="586"/>
      <c r="X224" s="586"/>
      <c r="Y224" s="586"/>
      <c r="Z224" s="586"/>
      <c r="AA224" s="586"/>
      <c r="AB224" s="586"/>
      <c r="AC224" s="586"/>
      <c r="AD224" s="586"/>
      <c r="AE224" s="586"/>
      <c r="AF224" s="586"/>
      <c r="AG224" s="586"/>
      <c r="AH224" s="586"/>
      <c r="AI224" s="662"/>
      <c r="AJ224" s="662"/>
      <c r="AK224" s="662"/>
      <c r="AL224" s="662"/>
      <c r="AM224" s="662"/>
    </row>
    <row r="225" spans="1:39" ht="15" x14ac:dyDescent="0.25">
      <c r="A225" s="712" t="s">
        <v>339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95">
        <v>4</v>
      </c>
      <c r="M225" s="596">
        <v>8</v>
      </c>
      <c r="N225" s="634">
        <v>-6</v>
      </c>
      <c r="O225" s="598"/>
      <c r="P225" s="655"/>
      <c r="Q225" s="655"/>
      <c r="R225" s="655"/>
      <c r="S225" s="655"/>
      <c r="T225" s="586"/>
      <c r="U225" s="586"/>
      <c r="V225" s="586"/>
      <c r="W225" s="586"/>
      <c r="X225" s="586"/>
      <c r="Y225" s="586"/>
      <c r="Z225" s="586"/>
      <c r="AA225" s="586"/>
      <c r="AB225" s="586"/>
      <c r="AC225" s="586"/>
      <c r="AD225" s="586"/>
      <c r="AE225" s="586"/>
      <c r="AF225" s="586"/>
      <c r="AG225" s="586"/>
      <c r="AH225" s="586"/>
      <c r="AI225" s="662"/>
      <c r="AJ225" s="662"/>
      <c r="AK225" s="662"/>
      <c r="AL225" s="662"/>
      <c r="AM225" s="662"/>
    </row>
    <row r="226" spans="1:39" x14ac:dyDescent="0.25">
      <c r="A226" s="526" t="s">
        <v>284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15">
        <f>L225/L145</f>
        <v>2.681324574339724E-4</v>
      </c>
      <c r="M226" s="515">
        <f t="shared" ref="M226:N226" si="141">M225/M145</f>
        <v>5.0505050505050505E-4</v>
      </c>
      <c r="N226" s="515">
        <f t="shared" si="141"/>
        <v>-5.1059484299208582E-4</v>
      </c>
      <c r="O226" s="655"/>
      <c r="P226" s="655"/>
      <c r="Q226" s="655"/>
      <c r="R226" s="655"/>
      <c r="S226" s="655"/>
      <c r="T226" s="586"/>
      <c r="U226" s="586"/>
      <c r="V226" s="586"/>
      <c r="W226" s="586"/>
      <c r="X226" s="586"/>
      <c r="Y226" s="586"/>
      <c r="Z226" s="586"/>
      <c r="AA226" s="586"/>
      <c r="AB226" s="586"/>
      <c r="AC226" s="586"/>
      <c r="AD226" s="586"/>
      <c r="AE226" s="586"/>
      <c r="AF226" s="586"/>
      <c r="AG226" s="586"/>
      <c r="AH226" s="586"/>
      <c r="AI226" s="662"/>
      <c r="AJ226" s="662"/>
      <c r="AK226" s="662"/>
      <c r="AL226" s="662"/>
      <c r="AM226" s="662"/>
    </row>
    <row r="227" spans="1:39" x14ac:dyDescent="0.25">
      <c r="A227" s="526" t="s">
        <v>285</v>
      </c>
      <c r="B227" s="587"/>
      <c r="C227" s="587"/>
      <c r="D227" s="587"/>
      <c r="E227" s="587"/>
      <c r="F227" s="587"/>
      <c r="G227" s="587"/>
      <c r="H227" s="587"/>
      <c r="I227" s="587"/>
      <c r="J227" s="587"/>
      <c r="K227" s="587"/>
      <c r="L227" s="516"/>
      <c r="M227" s="516">
        <f>(M225-L225)/L225</f>
        <v>1</v>
      </c>
      <c r="N227" s="516">
        <f>(N225-M225)/M225</f>
        <v>-1.75</v>
      </c>
      <c r="O227" s="655"/>
      <c r="P227" s="655"/>
      <c r="Q227" s="655"/>
      <c r="R227" s="655"/>
      <c r="S227" s="655"/>
      <c r="T227" s="586"/>
      <c r="U227" s="586"/>
      <c r="V227" s="586"/>
      <c r="W227" s="586"/>
      <c r="X227" s="586"/>
      <c r="Y227" s="586"/>
      <c r="Z227" s="586"/>
      <c r="AA227" s="586"/>
      <c r="AB227" s="586"/>
      <c r="AC227" s="586"/>
      <c r="AD227" s="586"/>
      <c r="AE227" s="586"/>
      <c r="AF227" s="586"/>
      <c r="AG227" s="586"/>
      <c r="AH227" s="586"/>
      <c r="AI227" s="662"/>
      <c r="AJ227" s="662"/>
      <c r="AK227" s="662"/>
      <c r="AL227" s="662"/>
      <c r="AM227" s="662"/>
    </row>
    <row r="228" spans="1:39" ht="15" x14ac:dyDescent="0.25">
      <c r="A228" s="712" t="s">
        <v>340</v>
      </c>
      <c r="B228" s="587"/>
      <c r="C228" s="587"/>
      <c r="D228" s="587"/>
      <c r="E228" s="587"/>
      <c r="F228" s="587"/>
      <c r="G228" s="587"/>
      <c r="H228" s="587"/>
      <c r="I228" s="587"/>
      <c r="J228" s="587"/>
      <c r="K228" s="587"/>
      <c r="L228" s="595">
        <v>0</v>
      </c>
      <c r="M228" s="596">
        <v>0</v>
      </c>
      <c r="N228" s="634">
        <v>5</v>
      </c>
      <c r="O228" s="598"/>
      <c r="P228" s="655"/>
      <c r="Q228" s="655"/>
      <c r="R228" s="655"/>
      <c r="S228" s="655"/>
      <c r="T228" s="586"/>
      <c r="U228" s="586"/>
      <c r="V228" s="586"/>
      <c r="W228" s="586"/>
      <c r="X228" s="586"/>
      <c r="Y228" s="586"/>
      <c r="Z228" s="586"/>
      <c r="AA228" s="586"/>
      <c r="AB228" s="586"/>
      <c r="AC228" s="586"/>
      <c r="AD228" s="586"/>
      <c r="AE228" s="586"/>
      <c r="AF228" s="586"/>
      <c r="AG228" s="586"/>
      <c r="AH228" s="586"/>
      <c r="AI228" s="662"/>
      <c r="AJ228" s="662"/>
      <c r="AK228" s="662"/>
      <c r="AL228" s="662"/>
      <c r="AM228" s="662"/>
    </row>
    <row r="229" spans="1:39" x14ac:dyDescent="0.25">
      <c r="A229" s="526" t="s">
        <v>284</v>
      </c>
      <c r="B229" s="587"/>
      <c r="C229" s="587"/>
      <c r="D229" s="587"/>
      <c r="E229" s="587"/>
      <c r="F229" s="587"/>
      <c r="G229" s="587"/>
      <c r="H229" s="587"/>
      <c r="I229" s="587"/>
      <c r="J229" s="587"/>
      <c r="K229" s="587"/>
      <c r="L229" s="515">
        <f>L228/L145</f>
        <v>0</v>
      </c>
      <c r="M229" s="515">
        <f t="shared" ref="M229:N229" si="142">M228/M145</f>
        <v>0</v>
      </c>
      <c r="N229" s="515">
        <f t="shared" si="142"/>
        <v>4.2549570249340483E-4</v>
      </c>
      <c r="O229" s="655"/>
      <c r="P229" s="655"/>
      <c r="Q229" s="655"/>
      <c r="R229" s="655"/>
      <c r="S229" s="655"/>
      <c r="T229" s="586"/>
      <c r="U229" s="586"/>
      <c r="V229" s="586"/>
      <c r="W229" s="586"/>
      <c r="X229" s="586"/>
      <c r="Y229" s="586"/>
      <c r="Z229" s="586"/>
      <c r="AA229" s="586"/>
      <c r="AB229" s="586"/>
      <c r="AC229" s="586"/>
      <c r="AD229" s="586"/>
      <c r="AE229" s="586"/>
      <c r="AF229" s="586"/>
      <c r="AG229" s="586"/>
      <c r="AH229" s="586"/>
      <c r="AI229" s="662"/>
      <c r="AJ229" s="662"/>
      <c r="AK229" s="662"/>
      <c r="AL229" s="662"/>
      <c r="AM229" s="662"/>
    </row>
    <row r="230" spans="1:39" x14ac:dyDescent="0.25">
      <c r="A230" s="526" t="s">
        <v>285</v>
      </c>
      <c r="B230" s="587"/>
      <c r="C230" s="587"/>
      <c r="D230" s="587"/>
      <c r="E230" s="587"/>
      <c r="F230" s="587"/>
      <c r="G230" s="587"/>
      <c r="H230" s="587"/>
      <c r="I230" s="587"/>
      <c r="J230" s="587"/>
      <c r="K230" s="587"/>
      <c r="L230" s="516"/>
      <c r="M230" s="516"/>
      <c r="N230" s="516"/>
      <c r="O230" s="655"/>
      <c r="P230" s="655"/>
      <c r="Q230" s="655"/>
      <c r="R230" s="655"/>
      <c r="S230" s="655"/>
      <c r="T230" s="586"/>
      <c r="U230" s="586"/>
      <c r="V230" s="586"/>
      <c r="W230" s="586"/>
      <c r="X230" s="586"/>
      <c r="Y230" s="586"/>
      <c r="Z230" s="586"/>
      <c r="AA230" s="586"/>
      <c r="AB230" s="586"/>
      <c r="AC230" s="586"/>
      <c r="AD230" s="586"/>
      <c r="AE230" s="586"/>
      <c r="AF230" s="586"/>
      <c r="AG230" s="586"/>
      <c r="AH230" s="586"/>
      <c r="AI230" s="662"/>
      <c r="AJ230" s="662"/>
      <c r="AK230" s="662"/>
      <c r="AL230" s="662"/>
      <c r="AM230" s="662"/>
    </row>
    <row r="231" spans="1:39" ht="15.6" x14ac:dyDescent="0.25">
      <c r="A231" s="705"/>
      <c r="B231" s="587"/>
      <c r="C231" s="587"/>
      <c r="D231" s="587"/>
      <c r="E231" s="587"/>
      <c r="F231" s="587"/>
      <c r="G231" s="587"/>
      <c r="H231" s="587"/>
      <c r="I231" s="587"/>
      <c r="J231" s="587"/>
      <c r="K231" s="587"/>
      <c r="L231" s="595"/>
      <c r="M231" s="709"/>
      <c r="N231" s="710"/>
      <c r="O231" s="711"/>
      <c r="P231" s="655"/>
      <c r="Q231" s="655"/>
      <c r="R231" s="655"/>
      <c r="S231" s="655"/>
      <c r="T231" s="586"/>
      <c r="U231" s="586"/>
      <c r="V231" s="586"/>
      <c r="W231" s="586"/>
      <c r="X231" s="586"/>
      <c r="Y231" s="586"/>
      <c r="Z231" s="586"/>
      <c r="AA231" s="586"/>
      <c r="AB231" s="586"/>
      <c r="AC231" s="586"/>
      <c r="AD231" s="586"/>
      <c r="AE231" s="586"/>
      <c r="AF231" s="586"/>
      <c r="AG231" s="586"/>
      <c r="AH231" s="586"/>
      <c r="AI231" s="662"/>
      <c r="AJ231" s="662"/>
      <c r="AK231" s="662"/>
      <c r="AL231" s="662"/>
      <c r="AM231" s="662"/>
    </row>
    <row r="232" spans="1:39" ht="15.6" x14ac:dyDescent="0.3">
      <c r="A232" s="627" t="s">
        <v>341</v>
      </c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673"/>
      <c r="M232" s="709"/>
      <c r="N232" s="710"/>
      <c r="O232" s="711"/>
      <c r="P232" s="655"/>
      <c r="Q232" s="655"/>
      <c r="R232" s="655"/>
      <c r="S232" s="655"/>
      <c r="T232" s="586"/>
      <c r="U232" s="586"/>
      <c r="V232" s="586"/>
      <c r="W232" s="586"/>
      <c r="X232" s="586"/>
      <c r="Y232" s="586"/>
      <c r="Z232" s="586"/>
      <c r="AA232" s="586"/>
      <c r="AB232" s="586"/>
      <c r="AC232" s="586"/>
      <c r="AD232" s="586"/>
      <c r="AE232" s="586"/>
      <c r="AF232" s="586"/>
      <c r="AG232" s="586"/>
      <c r="AH232" s="586"/>
      <c r="AI232" s="662"/>
      <c r="AJ232" s="662"/>
      <c r="AK232" s="662"/>
      <c r="AL232" s="662"/>
      <c r="AM232" s="662"/>
    </row>
    <row r="233" spans="1:39" ht="15" x14ac:dyDescent="0.25">
      <c r="A233" s="673" t="s">
        <v>342</v>
      </c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95">
        <v>-16</v>
      </c>
      <c r="M233" s="596">
        <v>45</v>
      </c>
      <c r="N233" s="634">
        <v>4</v>
      </c>
      <c r="O233" s="598"/>
      <c r="P233" s="655"/>
      <c r="Q233" s="655"/>
      <c r="R233" s="655"/>
      <c r="S233" s="655"/>
      <c r="T233" s="586"/>
      <c r="U233" s="586"/>
      <c r="V233" s="586"/>
      <c r="W233" s="586"/>
      <c r="X233" s="586"/>
      <c r="Y233" s="586"/>
      <c r="Z233" s="586"/>
      <c r="AA233" s="586"/>
      <c r="AB233" s="586"/>
      <c r="AC233" s="586"/>
      <c r="AD233" s="586"/>
      <c r="AE233" s="586"/>
      <c r="AF233" s="586"/>
      <c r="AG233" s="586"/>
      <c r="AH233" s="586"/>
      <c r="AI233" s="662"/>
      <c r="AJ233" s="662"/>
      <c r="AK233" s="662"/>
      <c r="AL233" s="662"/>
      <c r="AM233" s="662"/>
    </row>
    <row r="234" spans="1:39" x14ac:dyDescent="0.25">
      <c r="A234" s="526" t="s">
        <v>284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15">
        <f>L233/L145</f>
        <v>-1.0725298297358896E-3</v>
      </c>
      <c r="M234" s="515">
        <f t="shared" ref="M234:N234" si="143">M233/M145</f>
        <v>2.840909090909091E-3</v>
      </c>
      <c r="N234" s="515">
        <f t="shared" si="143"/>
        <v>3.4039656199472384E-4</v>
      </c>
      <c r="O234" s="655"/>
      <c r="P234" s="655"/>
      <c r="Q234" s="655"/>
      <c r="R234" s="655"/>
      <c r="S234" s="655"/>
      <c r="T234" s="586"/>
      <c r="U234" s="586"/>
      <c r="V234" s="586"/>
      <c r="W234" s="586"/>
      <c r="X234" s="586"/>
      <c r="Y234" s="586"/>
      <c r="Z234" s="586"/>
      <c r="AA234" s="586"/>
      <c r="AB234" s="586"/>
      <c r="AC234" s="586"/>
      <c r="AD234" s="586"/>
      <c r="AE234" s="586"/>
      <c r="AF234" s="586"/>
      <c r="AG234" s="586"/>
      <c r="AH234" s="586"/>
      <c r="AI234" s="662"/>
      <c r="AJ234" s="662"/>
      <c r="AK234" s="662"/>
      <c r="AL234" s="662"/>
      <c r="AM234" s="662"/>
    </row>
    <row r="235" spans="1:39" x14ac:dyDescent="0.25">
      <c r="A235" s="526" t="s">
        <v>285</v>
      </c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16"/>
      <c r="M235" s="516">
        <f>(M233-L233)/L233</f>
        <v>-3.8125</v>
      </c>
      <c r="N235" s="516">
        <f>(N233-M233)/M233</f>
        <v>-0.91111111111111109</v>
      </c>
      <c r="O235" s="655"/>
      <c r="P235" s="655"/>
      <c r="Q235" s="655"/>
      <c r="R235" s="655"/>
      <c r="S235" s="655"/>
      <c r="T235" s="586"/>
      <c r="U235" s="586"/>
      <c r="V235" s="586"/>
      <c r="W235" s="586"/>
      <c r="X235" s="586"/>
      <c r="Y235" s="586"/>
      <c r="Z235" s="586"/>
      <c r="AA235" s="586"/>
      <c r="AB235" s="586"/>
      <c r="AC235" s="586"/>
      <c r="AD235" s="586"/>
      <c r="AE235" s="586"/>
      <c r="AF235" s="586"/>
      <c r="AG235" s="586"/>
      <c r="AH235" s="586"/>
      <c r="AI235" s="662"/>
      <c r="AJ235" s="662"/>
      <c r="AK235" s="662"/>
      <c r="AL235" s="662"/>
      <c r="AM235" s="662"/>
    </row>
    <row r="236" spans="1:39" ht="15" x14ac:dyDescent="0.25">
      <c r="A236" s="673" t="s">
        <v>343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95"/>
      <c r="M236" s="596"/>
      <c r="N236" s="634"/>
      <c r="O236" s="713"/>
      <c r="P236" s="655"/>
      <c r="Q236" s="655"/>
      <c r="R236" s="655"/>
      <c r="S236" s="655"/>
      <c r="T236" s="586"/>
      <c r="U236" s="586"/>
      <c r="V236" s="586"/>
      <c r="W236" s="586"/>
      <c r="X236" s="586"/>
      <c r="Y236" s="586"/>
      <c r="Z236" s="586"/>
      <c r="AA236" s="586"/>
      <c r="AB236" s="586"/>
      <c r="AC236" s="586"/>
      <c r="AD236" s="586"/>
      <c r="AE236" s="586"/>
      <c r="AF236" s="586"/>
      <c r="AG236" s="586"/>
      <c r="AH236" s="586"/>
      <c r="AI236" s="662"/>
      <c r="AJ236" s="662"/>
      <c r="AK236" s="662"/>
      <c r="AL236" s="662"/>
      <c r="AM236" s="662"/>
    </row>
    <row r="237" spans="1:39" ht="15" x14ac:dyDescent="0.25">
      <c r="A237" s="714" t="s">
        <v>344</v>
      </c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95">
        <v>-53</v>
      </c>
      <c r="M237" s="596">
        <v>-26</v>
      </c>
      <c r="N237" s="634">
        <v>73</v>
      </c>
      <c r="O237" s="598"/>
      <c r="P237" s="655"/>
      <c r="Q237" s="655"/>
      <c r="R237" s="655"/>
      <c r="S237" s="655"/>
      <c r="T237" s="586"/>
      <c r="U237" s="586"/>
      <c r="V237" s="586"/>
      <c r="W237" s="586"/>
      <c r="X237" s="586"/>
      <c r="Y237" s="586"/>
      <c r="Z237" s="586"/>
      <c r="AA237" s="586"/>
      <c r="AB237" s="586"/>
      <c r="AC237" s="586"/>
      <c r="AD237" s="586"/>
      <c r="AE237" s="586"/>
      <c r="AF237" s="586"/>
      <c r="AG237" s="586"/>
      <c r="AH237" s="586"/>
      <c r="AI237" s="662"/>
      <c r="AJ237" s="662"/>
      <c r="AK237" s="662"/>
      <c r="AL237" s="662"/>
      <c r="AM237" s="662"/>
    </row>
    <row r="238" spans="1:39" x14ac:dyDescent="0.25">
      <c r="A238" s="526" t="s">
        <v>284</v>
      </c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15">
        <f>L237/L145</f>
        <v>-3.5527550610001341E-3</v>
      </c>
      <c r="M238" s="515">
        <f t="shared" ref="M238:N238" si="144">M237/M145</f>
        <v>-1.6414141414141414E-3</v>
      </c>
      <c r="N238" s="515">
        <f t="shared" si="144"/>
        <v>6.2122372564037106E-3</v>
      </c>
      <c r="O238" s="655"/>
      <c r="P238" s="655"/>
      <c r="Q238" s="655"/>
      <c r="R238" s="655"/>
      <c r="S238" s="655"/>
      <c r="T238" s="586"/>
      <c r="U238" s="586"/>
      <c r="V238" s="586"/>
      <c r="W238" s="586"/>
      <c r="X238" s="586"/>
      <c r="Y238" s="586"/>
      <c r="Z238" s="586"/>
      <c r="AA238" s="586"/>
      <c r="AB238" s="586"/>
      <c r="AC238" s="586"/>
      <c r="AD238" s="586"/>
      <c r="AE238" s="586"/>
      <c r="AF238" s="586"/>
      <c r="AG238" s="586"/>
      <c r="AH238" s="586"/>
      <c r="AI238" s="662"/>
      <c r="AJ238" s="662"/>
      <c r="AK238" s="662"/>
      <c r="AL238" s="662"/>
      <c r="AM238" s="662"/>
    </row>
    <row r="239" spans="1:39" x14ac:dyDescent="0.25">
      <c r="A239" s="526" t="s">
        <v>285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16"/>
      <c r="M239" s="516">
        <f>(M237-L237)/L237</f>
        <v>-0.50943396226415094</v>
      </c>
      <c r="N239" s="516">
        <f>(N237-M237)/M237</f>
        <v>-3.8076923076923075</v>
      </c>
      <c r="O239" s="655"/>
      <c r="P239" s="655"/>
      <c r="Q239" s="655"/>
      <c r="R239" s="655"/>
      <c r="S239" s="655"/>
      <c r="T239" s="586"/>
      <c r="U239" s="586"/>
      <c r="V239" s="586"/>
      <c r="W239" s="586"/>
      <c r="X239" s="586"/>
      <c r="Y239" s="586"/>
      <c r="Z239" s="586"/>
      <c r="AA239" s="586"/>
      <c r="AB239" s="586"/>
      <c r="AC239" s="586"/>
      <c r="AD239" s="586"/>
      <c r="AE239" s="586"/>
      <c r="AF239" s="586"/>
      <c r="AG239" s="586"/>
      <c r="AH239" s="586"/>
      <c r="AI239" s="662"/>
      <c r="AJ239" s="662"/>
      <c r="AK239" s="662"/>
      <c r="AL239" s="662"/>
      <c r="AM239" s="662"/>
    </row>
    <row r="240" spans="1:39" ht="15" x14ac:dyDescent="0.25">
      <c r="A240" s="714" t="s">
        <v>345</v>
      </c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95">
        <v>7</v>
      </c>
      <c r="M240" s="596">
        <v>66</v>
      </c>
      <c r="N240" s="634">
        <v>-12</v>
      </c>
      <c r="O240" s="598"/>
      <c r="P240" s="655"/>
      <c r="Q240" s="655"/>
      <c r="R240" s="655"/>
      <c r="S240" s="655"/>
      <c r="T240" s="586"/>
      <c r="U240" s="586"/>
      <c r="V240" s="586"/>
      <c r="W240" s="586"/>
      <c r="X240" s="586"/>
      <c r="Y240" s="586"/>
      <c r="Z240" s="586"/>
      <c r="AA240" s="586"/>
      <c r="AB240" s="586"/>
      <c r="AC240" s="586"/>
      <c r="AD240" s="586"/>
      <c r="AE240" s="586"/>
      <c r="AF240" s="586"/>
      <c r="AG240" s="586"/>
      <c r="AH240" s="586"/>
      <c r="AI240" s="662"/>
      <c r="AJ240" s="662"/>
      <c r="AK240" s="662"/>
      <c r="AL240" s="662"/>
      <c r="AM240" s="662"/>
    </row>
    <row r="241" spans="1:39" x14ac:dyDescent="0.25">
      <c r="A241" s="526" t="s">
        <v>284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15">
        <f>L240/L145</f>
        <v>4.6923180050945166E-4</v>
      </c>
      <c r="M241" s="515">
        <f t="shared" ref="M241:N241" si="145">M240/M145</f>
        <v>4.1666666666666666E-3</v>
      </c>
      <c r="N241" s="515">
        <f t="shared" si="145"/>
        <v>-1.0211896859841716E-3</v>
      </c>
      <c r="O241" s="655"/>
      <c r="P241" s="655"/>
      <c r="Q241" s="655"/>
      <c r="R241" s="655"/>
      <c r="S241" s="655"/>
      <c r="T241" s="586"/>
      <c r="U241" s="586"/>
      <c r="V241" s="586"/>
      <c r="W241" s="586"/>
      <c r="X241" s="586"/>
      <c r="Y241" s="586"/>
      <c r="Z241" s="586"/>
      <c r="AA241" s="586"/>
      <c r="AB241" s="586"/>
      <c r="AC241" s="586"/>
      <c r="AD241" s="586"/>
      <c r="AE241" s="586"/>
      <c r="AF241" s="586"/>
      <c r="AG241" s="586"/>
      <c r="AH241" s="586"/>
      <c r="AI241" s="662"/>
      <c r="AJ241" s="662"/>
      <c r="AK241" s="662"/>
      <c r="AL241" s="662"/>
      <c r="AM241" s="662"/>
    </row>
    <row r="242" spans="1:39" x14ac:dyDescent="0.25">
      <c r="A242" s="526" t="s">
        <v>285</v>
      </c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16"/>
      <c r="M242" s="516">
        <f>(M240-L240)/L240</f>
        <v>8.4285714285714288</v>
      </c>
      <c r="N242" s="516">
        <f>(N240-M240)/M240</f>
        <v>-1.1818181818181819</v>
      </c>
      <c r="O242" s="655"/>
      <c r="P242" s="655"/>
      <c r="Q242" s="655"/>
      <c r="R242" s="655"/>
      <c r="S242" s="655"/>
      <c r="T242" s="586"/>
      <c r="U242" s="586"/>
      <c r="V242" s="586"/>
      <c r="W242" s="586"/>
      <c r="X242" s="586"/>
      <c r="Y242" s="586"/>
      <c r="Z242" s="586"/>
      <c r="AA242" s="586"/>
      <c r="AB242" s="586"/>
      <c r="AC242" s="586"/>
      <c r="AD242" s="586"/>
      <c r="AE242" s="586"/>
      <c r="AF242" s="586"/>
      <c r="AG242" s="586"/>
      <c r="AH242" s="586"/>
      <c r="AI242" s="662"/>
      <c r="AJ242" s="662"/>
      <c r="AK242" s="662"/>
      <c r="AL242" s="662"/>
      <c r="AM242" s="662"/>
    </row>
    <row r="243" spans="1:39" ht="15" x14ac:dyDescent="0.25">
      <c r="A243" s="715" t="s">
        <v>346</v>
      </c>
      <c r="B243" s="589"/>
      <c r="C243" s="589"/>
      <c r="D243" s="589"/>
      <c r="E243" s="589"/>
      <c r="F243" s="589"/>
      <c r="G243" s="589"/>
      <c r="H243" s="589"/>
      <c r="I243" s="589"/>
      <c r="J243" s="589"/>
      <c r="K243" s="589"/>
      <c r="L243" s="675">
        <v>-4</v>
      </c>
      <c r="M243" s="676">
        <v>8</v>
      </c>
      <c r="N243" s="716">
        <v>12</v>
      </c>
      <c r="O243" s="678"/>
      <c r="P243" s="645"/>
      <c r="Q243" s="645"/>
      <c r="R243" s="645"/>
      <c r="S243" s="645"/>
      <c r="T243" s="586"/>
      <c r="U243" s="586"/>
      <c r="V243" s="586"/>
      <c r="W243" s="586"/>
      <c r="X243" s="586"/>
      <c r="Y243" s="586"/>
      <c r="Z243" s="586"/>
      <c r="AA243" s="586"/>
      <c r="AB243" s="586"/>
      <c r="AC243" s="586"/>
      <c r="AD243" s="586"/>
      <c r="AE243" s="586"/>
      <c r="AF243" s="586"/>
      <c r="AG243" s="586"/>
      <c r="AH243" s="586"/>
      <c r="AI243" s="662"/>
      <c r="AJ243" s="662"/>
      <c r="AK243" s="662"/>
      <c r="AL243" s="662"/>
      <c r="AM243" s="662"/>
    </row>
    <row r="244" spans="1:39" x14ac:dyDescent="0.25">
      <c r="A244" s="526" t="s">
        <v>284</v>
      </c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15">
        <f>L243/L145</f>
        <v>-2.681324574339724E-4</v>
      </c>
      <c r="M244" s="515">
        <f t="shared" ref="M244:N244" si="146">M243/M145</f>
        <v>5.0505050505050505E-4</v>
      </c>
      <c r="N244" s="515">
        <f t="shared" si="146"/>
        <v>1.0211896859841716E-3</v>
      </c>
      <c r="O244" s="655"/>
      <c r="P244" s="655"/>
      <c r="Q244" s="655"/>
      <c r="R244" s="655"/>
      <c r="S244" s="655"/>
      <c r="T244" s="586"/>
      <c r="U244" s="586"/>
      <c r="V244" s="586"/>
      <c r="W244" s="586"/>
      <c r="X244" s="586"/>
      <c r="Y244" s="586"/>
      <c r="Z244" s="586"/>
      <c r="AA244" s="586"/>
      <c r="AB244" s="586"/>
      <c r="AC244" s="586"/>
      <c r="AD244" s="586"/>
      <c r="AE244" s="586"/>
      <c r="AF244" s="586"/>
      <c r="AG244" s="586"/>
      <c r="AH244" s="586"/>
      <c r="AI244" s="662"/>
      <c r="AJ244" s="662"/>
      <c r="AK244" s="662"/>
      <c r="AL244" s="662"/>
      <c r="AM244" s="662"/>
    </row>
    <row r="245" spans="1:39" x14ac:dyDescent="0.25">
      <c r="A245" s="526" t="s">
        <v>285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16"/>
      <c r="M245" s="516">
        <f>(M243-L243)/L243</f>
        <v>-3</v>
      </c>
      <c r="N245" s="516">
        <f>(N243-M243)/M243</f>
        <v>0.5</v>
      </c>
      <c r="O245" s="655"/>
      <c r="P245" s="655"/>
      <c r="Q245" s="655"/>
      <c r="R245" s="655"/>
      <c r="S245" s="655"/>
      <c r="T245" s="586"/>
      <c r="U245" s="586"/>
      <c r="V245" s="586"/>
      <c r="W245" s="586"/>
      <c r="X245" s="586"/>
      <c r="Y245" s="586"/>
      <c r="Z245" s="586"/>
      <c r="AA245" s="586"/>
      <c r="AB245" s="586"/>
      <c r="AC245" s="586"/>
      <c r="AD245" s="586"/>
      <c r="AE245" s="586"/>
      <c r="AF245" s="586"/>
      <c r="AG245" s="586"/>
      <c r="AH245" s="586"/>
      <c r="AI245" s="662"/>
      <c r="AJ245" s="662"/>
      <c r="AK245" s="662"/>
      <c r="AL245" s="662"/>
      <c r="AM245" s="662"/>
    </row>
    <row r="246" spans="1:39" ht="15" x14ac:dyDescent="0.25">
      <c r="A246" s="673" t="s">
        <v>247</v>
      </c>
      <c r="B246" s="587"/>
      <c r="C246" s="587"/>
      <c r="D246" s="587"/>
      <c r="E246" s="587"/>
      <c r="F246" s="587"/>
      <c r="G246" s="587"/>
      <c r="H246" s="587"/>
      <c r="I246" s="587"/>
      <c r="J246" s="587"/>
      <c r="K246" s="587"/>
      <c r="L246" s="595">
        <v>-65</v>
      </c>
      <c r="M246" s="596">
        <v>93</v>
      </c>
      <c r="N246" s="634">
        <v>77</v>
      </c>
      <c r="O246" s="598">
        <f>O233+O237+O240+O243</f>
        <v>0</v>
      </c>
      <c r="P246" s="598">
        <f t="shared" ref="P246:S246" si="147">P233+P237+P240+P243</f>
        <v>0</v>
      </c>
      <c r="Q246" s="598">
        <f t="shared" si="147"/>
        <v>0</v>
      </c>
      <c r="R246" s="598">
        <f t="shared" si="147"/>
        <v>0</v>
      </c>
      <c r="S246" s="598">
        <f t="shared" si="147"/>
        <v>0</v>
      </c>
      <c r="T246" s="586"/>
      <c r="U246" s="586"/>
      <c r="V246" s="586"/>
      <c r="W246" s="586"/>
      <c r="X246" s="586"/>
      <c r="Y246" s="586"/>
      <c r="Z246" s="586"/>
      <c r="AA246" s="586"/>
      <c r="AB246" s="586"/>
      <c r="AC246" s="586"/>
      <c r="AD246" s="586"/>
      <c r="AE246" s="586"/>
      <c r="AF246" s="586"/>
      <c r="AG246" s="586"/>
      <c r="AH246" s="586"/>
      <c r="AI246" s="662"/>
      <c r="AJ246" s="662"/>
      <c r="AK246" s="662"/>
      <c r="AL246" s="662"/>
      <c r="AM246" s="662"/>
    </row>
    <row r="247" spans="1:39" x14ac:dyDescent="0.25">
      <c r="A247" s="526" t="s">
        <v>284</v>
      </c>
      <c r="B247" s="587"/>
      <c r="C247" s="587"/>
      <c r="D247" s="587"/>
      <c r="E247" s="587"/>
      <c r="F247" s="587"/>
      <c r="G247" s="587"/>
      <c r="H247" s="587"/>
      <c r="I247" s="587"/>
      <c r="J247" s="587"/>
      <c r="K247" s="587"/>
      <c r="L247" s="515">
        <f>L246/L145</f>
        <v>-4.3571524333020509E-3</v>
      </c>
      <c r="M247" s="515">
        <f t="shared" ref="M247:N247" si="148">M246/M145</f>
        <v>5.8712121212121209E-3</v>
      </c>
      <c r="N247" s="515">
        <f t="shared" si="148"/>
        <v>6.5526338183984345E-3</v>
      </c>
      <c r="O247" s="655"/>
      <c r="P247" s="655"/>
      <c r="Q247" s="655"/>
      <c r="R247" s="655"/>
      <c r="S247" s="655"/>
      <c r="T247" s="586"/>
      <c r="U247" s="586"/>
      <c r="V247" s="586"/>
      <c r="W247" s="586"/>
      <c r="X247" s="586"/>
      <c r="Y247" s="586"/>
      <c r="Z247" s="586"/>
      <c r="AA247" s="586"/>
      <c r="AB247" s="586"/>
      <c r="AC247" s="586"/>
      <c r="AD247" s="586"/>
      <c r="AE247" s="586"/>
      <c r="AF247" s="586"/>
      <c r="AG247" s="586"/>
      <c r="AH247" s="586"/>
      <c r="AI247" s="662"/>
      <c r="AJ247" s="662"/>
      <c r="AK247" s="662"/>
      <c r="AL247" s="662"/>
      <c r="AM247" s="662"/>
    </row>
    <row r="248" spans="1:39" x14ac:dyDescent="0.25">
      <c r="A248" s="526" t="s">
        <v>285</v>
      </c>
      <c r="B248" s="587"/>
      <c r="C248" s="587"/>
      <c r="D248" s="587"/>
      <c r="E248" s="587"/>
      <c r="F248" s="587"/>
      <c r="G248" s="587"/>
      <c r="H248" s="587"/>
      <c r="I248" s="587"/>
      <c r="J248" s="587"/>
      <c r="K248" s="587"/>
      <c r="L248" s="516"/>
      <c r="M248" s="516">
        <f>(M246-L246)/L246</f>
        <v>-2.4307692307692306</v>
      </c>
      <c r="N248" s="516">
        <f>(N246-M246)/M246</f>
        <v>-0.17204301075268819</v>
      </c>
      <c r="O248" s="655"/>
      <c r="P248" s="655"/>
      <c r="Q248" s="655"/>
      <c r="R248" s="655"/>
      <c r="S248" s="655"/>
      <c r="T248" s="586"/>
      <c r="U248" s="586"/>
      <c r="V248" s="586"/>
      <c r="W248" s="586"/>
      <c r="X248" s="586"/>
      <c r="Y248" s="586"/>
      <c r="Z248" s="586"/>
      <c r="AA248" s="586"/>
      <c r="AB248" s="586"/>
      <c r="AC248" s="586"/>
      <c r="AD248" s="586"/>
      <c r="AE248" s="586"/>
      <c r="AF248" s="586"/>
      <c r="AG248" s="586"/>
      <c r="AH248" s="586"/>
      <c r="AI248" s="662"/>
      <c r="AJ248" s="662"/>
      <c r="AK248" s="662"/>
      <c r="AL248" s="662"/>
      <c r="AM248" s="662"/>
    </row>
    <row r="249" spans="1:39" ht="15" x14ac:dyDescent="0.25">
      <c r="A249" s="589"/>
      <c r="B249" s="589"/>
      <c r="C249" s="589"/>
      <c r="D249" s="589"/>
      <c r="E249" s="589"/>
      <c r="F249" s="589"/>
      <c r="G249" s="589"/>
      <c r="H249" s="589"/>
      <c r="I249" s="589"/>
      <c r="J249" s="589"/>
      <c r="K249" s="589"/>
      <c r="L249" s="675"/>
      <c r="M249" s="675"/>
      <c r="N249" s="717"/>
      <c r="O249" s="717"/>
      <c r="P249" s="645"/>
      <c r="Q249" s="645"/>
      <c r="R249" s="645"/>
      <c r="S249" s="645"/>
      <c r="T249" s="586"/>
      <c r="U249" s="586"/>
      <c r="V249" s="586"/>
      <c r="W249" s="586"/>
      <c r="X249" s="586"/>
      <c r="Y249" s="586"/>
      <c r="Z249" s="586"/>
      <c r="AA249" s="586"/>
      <c r="AB249" s="586"/>
      <c r="AC249" s="586"/>
      <c r="AD249" s="586"/>
      <c r="AE249" s="586"/>
      <c r="AF249" s="586"/>
      <c r="AG249" s="586"/>
      <c r="AH249" s="586"/>
      <c r="AI249" s="662"/>
      <c r="AJ249" s="662"/>
      <c r="AK249" s="662"/>
      <c r="AL249" s="662"/>
      <c r="AM249" s="662"/>
    </row>
    <row r="250" spans="1:39" ht="15.6" x14ac:dyDescent="0.3">
      <c r="A250" s="718" t="s">
        <v>347</v>
      </c>
      <c r="B250" s="589"/>
      <c r="C250" s="589"/>
      <c r="D250" s="589"/>
      <c r="E250" s="589"/>
      <c r="F250" s="589"/>
      <c r="G250" s="589"/>
      <c r="H250" s="589" t="s">
        <v>348</v>
      </c>
      <c r="I250" s="589"/>
      <c r="J250" s="589"/>
      <c r="K250" s="589"/>
      <c r="L250" s="675">
        <v>-61</v>
      </c>
      <c r="M250" s="676">
        <v>101</v>
      </c>
      <c r="N250" s="716">
        <v>76</v>
      </c>
      <c r="O250" s="678"/>
      <c r="P250" s="645"/>
      <c r="Q250" s="645"/>
      <c r="R250" s="645"/>
      <c r="S250" s="645"/>
      <c r="T250" s="586"/>
      <c r="U250" s="586"/>
      <c r="V250" s="586"/>
      <c r="W250" s="586"/>
      <c r="X250" s="586"/>
      <c r="Y250" s="586"/>
      <c r="Z250" s="586"/>
      <c r="AA250" s="586"/>
      <c r="AB250" s="586"/>
      <c r="AC250" s="586"/>
      <c r="AD250" s="586"/>
      <c r="AE250" s="586"/>
      <c r="AF250" s="586"/>
      <c r="AG250" s="586"/>
      <c r="AH250" s="586"/>
      <c r="AI250" s="662"/>
      <c r="AJ250" s="662"/>
      <c r="AK250" s="662"/>
      <c r="AL250" s="662"/>
      <c r="AM250" s="662"/>
    </row>
    <row r="251" spans="1:39" x14ac:dyDescent="0.25">
      <c r="A251" s="526" t="s">
        <v>284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15">
        <f>L250/L145</f>
        <v>-4.0890199758680792E-3</v>
      </c>
      <c r="M251" s="515">
        <f t="shared" ref="M251:N251" si="149">M250/M145</f>
        <v>6.3762626262626266E-3</v>
      </c>
      <c r="N251" s="515">
        <f t="shared" si="149"/>
        <v>6.4675346778997533E-3</v>
      </c>
      <c r="O251" s="655"/>
      <c r="P251" s="655"/>
      <c r="Q251" s="655"/>
      <c r="R251" s="655"/>
      <c r="S251" s="655"/>
      <c r="T251" s="586">
        <f>L250-L246</f>
        <v>4</v>
      </c>
      <c r="U251" s="586"/>
      <c r="V251" s="586"/>
      <c r="W251" s="586">
        <f>M250-M246</f>
        <v>8</v>
      </c>
      <c r="X251" s="586">
        <f>N250-N246</f>
        <v>-1</v>
      </c>
      <c r="Y251" s="586"/>
      <c r="Z251" s="586"/>
      <c r="AA251" s="586"/>
      <c r="AB251" s="586"/>
      <c r="AC251" s="586"/>
      <c r="AD251" s="586"/>
      <c r="AE251" s="586"/>
      <c r="AF251" s="586"/>
      <c r="AG251" s="586"/>
      <c r="AH251" s="586"/>
      <c r="AI251" s="662"/>
      <c r="AJ251" s="662"/>
      <c r="AK251" s="662"/>
      <c r="AL251" s="662"/>
      <c r="AM251" s="662"/>
    </row>
    <row r="252" spans="1:39" x14ac:dyDescent="0.25">
      <c r="A252" s="526" t="s">
        <v>285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16"/>
      <c r="M252" s="516">
        <f>(M250-L250)/L250</f>
        <v>-2.6557377049180326</v>
      </c>
      <c r="N252" s="516">
        <f>(N250-M250)/M250</f>
        <v>-0.24752475247524752</v>
      </c>
      <c r="O252" s="655"/>
      <c r="P252" s="655"/>
      <c r="Q252" s="655"/>
      <c r="R252" s="655"/>
      <c r="S252" s="655"/>
      <c r="T252" s="719">
        <f>T251/L246</f>
        <v>-6.1538461538461542E-2</v>
      </c>
      <c r="U252" s="719"/>
      <c r="V252" s="719"/>
      <c r="W252" s="719">
        <f>W251/M246</f>
        <v>8.6021505376344093E-2</v>
      </c>
      <c r="X252" s="719">
        <f>X251/N246</f>
        <v>-1.2987012987012988E-2</v>
      </c>
      <c r="Y252" s="586"/>
      <c r="Z252" s="586"/>
      <c r="AA252" s="586"/>
      <c r="AB252" s="586"/>
      <c r="AC252" s="586"/>
      <c r="AD252" s="586"/>
      <c r="AE252" s="586"/>
      <c r="AF252" s="586"/>
      <c r="AG252" s="586"/>
      <c r="AH252" s="586"/>
      <c r="AI252" s="662"/>
      <c r="AJ252" s="662"/>
      <c r="AK252" s="662"/>
      <c r="AL252" s="662"/>
      <c r="AM252" s="662"/>
    </row>
    <row r="253" spans="1:39" ht="15.6" x14ac:dyDescent="0.3">
      <c r="A253" s="718"/>
      <c r="B253" s="589"/>
      <c r="C253" s="589"/>
      <c r="D253" s="589"/>
      <c r="E253" s="589"/>
      <c r="F253" s="589"/>
      <c r="G253" s="589"/>
      <c r="H253" s="589"/>
      <c r="I253" s="589"/>
      <c r="J253" s="589"/>
      <c r="K253" s="589"/>
      <c r="L253" s="675"/>
      <c r="M253" s="675"/>
      <c r="N253" s="717"/>
      <c r="O253" s="717"/>
      <c r="P253" s="645"/>
      <c r="Q253" s="645"/>
      <c r="R253" s="645"/>
      <c r="S253" s="645"/>
      <c r="T253" s="586"/>
      <c r="U253" s="586"/>
      <c r="V253" s="586"/>
      <c r="W253" s="586"/>
      <c r="X253" s="586"/>
      <c r="Y253" s="586"/>
      <c r="Z253" s="586"/>
      <c r="AA253" s="586"/>
      <c r="AB253" s="586"/>
      <c r="AC253" s="586"/>
      <c r="AD253" s="586"/>
      <c r="AE253" s="586"/>
      <c r="AF253" s="586"/>
      <c r="AG253" s="586"/>
      <c r="AH253" s="586"/>
      <c r="AI253" s="662"/>
      <c r="AJ253" s="662"/>
      <c r="AK253" s="662"/>
      <c r="AL253" s="662"/>
      <c r="AM253" s="662"/>
    </row>
    <row r="254" spans="1:39" ht="15.6" x14ac:dyDescent="0.3">
      <c r="A254" s="685" t="s">
        <v>349</v>
      </c>
      <c r="B254" s="652"/>
      <c r="C254" s="652"/>
      <c r="D254" s="652"/>
      <c r="E254" s="652"/>
      <c r="F254" s="652"/>
      <c r="G254" s="652"/>
      <c r="H254" s="652"/>
      <c r="I254" s="652"/>
      <c r="J254" s="652"/>
      <c r="K254" s="652"/>
      <c r="L254" s="686">
        <v>715</v>
      </c>
      <c r="M254" s="687">
        <v>1890</v>
      </c>
      <c r="N254" s="720">
        <v>790</v>
      </c>
      <c r="O254" s="689">
        <f>O218+O250</f>
        <v>565.16567931620682</v>
      </c>
      <c r="P254" s="689">
        <f t="shared" ref="P254:S254" si="150">P218+P250</f>
        <v>599.74194034256107</v>
      </c>
      <c r="Q254" s="689">
        <f t="shared" si="150"/>
        <v>710.83873731301992</v>
      </c>
      <c r="R254" s="689">
        <f t="shared" si="150"/>
        <v>916.72078212832605</v>
      </c>
      <c r="S254" s="689">
        <f t="shared" si="150"/>
        <v>1228.3380963870352</v>
      </c>
      <c r="T254" s="586"/>
      <c r="U254" s="586"/>
      <c r="V254" s="586"/>
      <c r="W254" s="586"/>
      <c r="X254" s="586"/>
      <c r="Y254" s="586"/>
      <c r="Z254" s="586"/>
      <c r="AA254" s="586"/>
      <c r="AB254" s="586"/>
      <c r="AC254" s="586"/>
      <c r="AD254" s="586"/>
      <c r="AE254" s="586"/>
      <c r="AF254" s="586"/>
      <c r="AG254" s="586"/>
      <c r="AH254" s="586"/>
      <c r="AI254" s="662"/>
      <c r="AJ254" s="662"/>
      <c r="AK254" s="662"/>
      <c r="AL254" s="662"/>
      <c r="AM254" s="662"/>
    </row>
    <row r="255" spans="1:39" x14ac:dyDescent="0.25">
      <c r="A255" s="526" t="s">
        <v>284</v>
      </c>
      <c r="B255" s="587"/>
      <c r="C255" s="587"/>
      <c r="D255" s="587"/>
      <c r="E255" s="587"/>
      <c r="F255" s="587"/>
      <c r="G255" s="587"/>
      <c r="H255" s="587"/>
      <c r="I255" s="587"/>
      <c r="J255" s="587"/>
      <c r="K255" s="587"/>
      <c r="L255" s="515">
        <f>L254/L145</f>
        <v>4.7928676766322564E-2</v>
      </c>
      <c r="M255" s="515">
        <f t="shared" ref="M255:N255" si="151">M254/M145</f>
        <v>0.11931818181818182</v>
      </c>
      <c r="N255" s="515">
        <f t="shared" si="151"/>
        <v>6.7228320993957966E-2</v>
      </c>
      <c r="O255" s="655"/>
      <c r="P255" s="655"/>
      <c r="Q255" s="655"/>
      <c r="R255" s="655"/>
      <c r="S255" s="655"/>
      <c r="T255" s="586"/>
      <c r="U255" s="586"/>
      <c r="V255" s="586"/>
      <c r="W255" s="586"/>
      <c r="X255" s="586"/>
      <c r="Y255" s="586"/>
      <c r="Z255" s="586"/>
      <c r="AA255" s="586"/>
      <c r="AB255" s="586"/>
      <c r="AC255" s="586"/>
      <c r="AD255" s="586"/>
      <c r="AE255" s="586"/>
      <c r="AF255" s="586"/>
      <c r="AG255" s="586"/>
      <c r="AH255" s="586"/>
      <c r="AI255" s="662"/>
      <c r="AJ255" s="662"/>
      <c r="AK255" s="662"/>
      <c r="AL255" s="662"/>
      <c r="AM255" s="662"/>
    </row>
    <row r="256" spans="1:39" x14ac:dyDescent="0.25">
      <c r="A256" s="526" t="s">
        <v>285</v>
      </c>
      <c r="B256" s="587"/>
      <c r="C256" s="587"/>
      <c r="D256" s="587"/>
      <c r="E256" s="587"/>
      <c r="F256" s="587"/>
      <c r="G256" s="587"/>
      <c r="H256" s="587"/>
      <c r="I256" s="587"/>
      <c r="J256" s="587"/>
      <c r="K256" s="587"/>
      <c r="L256" s="516"/>
      <c r="M256" s="516">
        <f>(M254-L254)/L254</f>
        <v>1.6433566433566433</v>
      </c>
      <c r="N256" s="516">
        <f>(N254-M254)/M254</f>
        <v>-0.58201058201058198</v>
      </c>
      <c r="O256" s="655"/>
      <c r="P256" s="655"/>
      <c r="Q256" s="655"/>
      <c r="R256" s="655"/>
      <c r="S256" s="655"/>
      <c r="T256" s="586"/>
      <c r="U256" s="586"/>
      <c r="V256" s="586"/>
      <c r="W256" s="586"/>
      <c r="X256" s="586"/>
      <c r="Y256" s="586"/>
      <c r="Z256" s="586"/>
      <c r="AA256" s="586"/>
      <c r="AB256" s="586"/>
      <c r="AC256" s="586"/>
      <c r="AD256" s="586"/>
      <c r="AE256" s="586"/>
      <c r="AF256" s="586"/>
      <c r="AG256" s="586"/>
      <c r="AH256" s="586"/>
      <c r="AI256" s="662"/>
      <c r="AJ256" s="662"/>
      <c r="AK256" s="662"/>
      <c r="AL256" s="662"/>
      <c r="AM256" s="662"/>
    </row>
    <row r="257" spans="1:39" ht="15.6" x14ac:dyDescent="0.3">
      <c r="A257" s="627"/>
      <c r="B257" s="587"/>
      <c r="C257" s="587"/>
      <c r="D257" s="587"/>
      <c r="E257" s="587"/>
      <c r="F257" s="587"/>
      <c r="G257" s="587"/>
      <c r="H257" s="587"/>
      <c r="I257" s="587"/>
      <c r="J257" s="587"/>
      <c r="K257" s="587"/>
      <c r="L257" s="673"/>
      <c r="M257" s="596"/>
      <c r="N257" s="634"/>
      <c r="O257" s="698"/>
      <c r="P257" s="655"/>
      <c r="Q257" s="655"/>
      <c r="R257" s="655"/>
      <c r="S257" s="655"/>
      <c r="T257" s="586"/>
      <c r="U257" s="586"/>
      <c r="V257" s="586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586"/>
      <c r="AG257" s="586"/>
      <c r="AH257" s="586"/>
      <c r="AI257" s="662"/>
      <c r="AJ257" s="662"/>
      <c r="AK257" s="662"/>
      <c r="AL257" s="662"/>
      <c r="AM257" s="662"/>
    </row>
    <row r="258" spans="1:39" ht="15.6" x14ac:dyDescent="0.3">
      <c r="A258" s="627" t="s">
        <v>350</v>
      </c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673"/>
      <c r="M258" s="596"/>
      <c r="N258" s="634"/>
      <c r="O258" s="655"/>
      <c r="P258" s="655"/>
      <c r="Q258" s="655"/>
      <c r="R258" s="655"/>
      <c r="S258" s="655"/>
      <c r="T258" s="586"/>
      <c r="U258" s="586"/>
      <c r="V258" s="586"/>
      <c r="W258" s="586"/>
      <c r="X258" s="586"/>
      <c r="Y258" s="586"/>
      <c r="Z258" s="586"/>
      <c r="AA258" s="586"/>
      <c r="AB258" s="586"/>
      <c r="AC258" s="586"/>
      <c r="AD258" s="586"/>
      <c r="AE258" s="586"/>
      <c r="AF258" s="586"/>
      <c r="AG258" s="586"/>
      <c r="AH258" s="586"/>
      <c r="AI258" s="662"/>
      <c r="AJ258" s="662"/>
      <c r="AK258" s="662"/>
      <c r="AL258" s="662"/>
      <c r="AM258" s="662"/>
    </row>
    <row r="259" spans="1:39" ht="15" x14ac:dyDescent="0.25">
      <c r="A259" s="673" t="s">
        <v>20</v>
      </c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95">
        <v>714</v>
      </c>
      <c r="M259" s="596">
        <v>1890</v>
      </c>
      <c r="N259" s="634">
        <v>788</v>
      </c>
      <c r="O259" s="598"/>
      <c r="P259" s="655"/>
      <c r="Q259" s="655"/>
      <c r="R259" s="655"/>
      <c r="S259" s="655"/>
      <c r="T259" s="586"/>
      <c r="U259" s="586"/>
      <c r="V259" s="586"/>
      <c r="W259" s="586"/>
      <c r="X259" s="586"/>
      <c r="Y259" s="586"/>
      <c r="Z259" s="586"/>
      <c r="AA259" s="586"/>
      <c r="AB259" s="586"/>
      <c r="AC259" s="586"/>
      <c r="AD259" s="586"/>
      <c r="AE259" s="586"/>
      <c r="AF259" s="586"/>
      <c r="AG259" s="586"/>
      <c r="AH259" s="586"/>
      <c r="AI259" s="662"/>
      <c r="AJ259" s="662"/>
      <c r="AK259" s="662"/>
      <c r="AL259" s="662"/>
      <c r="AM259" s="662"/>
    </row>
    <row r="260" spans="1:39" x14ac:dyDescent="0.25">
      <c r="A260" s="526" t="s">
        <v>284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15">
        <f>L259/L145</f>
        <v>4.7861643651964068E-2</v>
      </c>
      <c r="M260" s="515">
        <f t="shared" ref="M260:N260" si="152">M259/M145</f>
        <v>0.11931818181818182</v>
      </c>
      <c r="N260" s="515">
        <f t="shared" si="152"/>
        <v>6.7058122712960605E-2</v>
      </c>
      <c r="O260" s="655"/>
      <c r="P260" s="655"/>
      <c r="Q260" s="655"/>
      <c r="R260" s="655"/>
      <c r="S260" s="655"/>
      <c r="T260" s="586"/>
      <c r="U260" s="586"/>
      <c r="V260" s="586"/>
      <c r="W260" s="586"/>
      <c r="X260" s="586"/>
      <c r="Y260" s="586"/>
      <c r="Z260" s="586"/>
      <c r="AA260" s="586"/>
      <c r="AB260" s="586"/>
      <c r="AC260" s="586"/>
      <c r="AD260" s="586"/>
      <c r="AE260" s="586"/>
      <c r="AF260" s="586"/>
      <c r="AG260" s="586"/>
      <c r="AH260" s="586"/>
      <c r="AI260" s="662"/>
      <c r="AJ260" s="662"/>
      <c r="AK260" s="662"/>
      <c r="AL260" s="662"/>
      <c r="AM260" s="662"/>
    </row>
    <row r="261" spans="1:39" x14ac:dyDescent="0.25">
      <c r="A261" s="526" t="s">
        <v>285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16"/>
      <c r="M261" s="516">
        <f>(M259-L259)/L259</f>
        <v>1.6470588235294117</v>
      </c>
      <c r="N261" s="516">
        <f>(N259-M259)/M259</f>
        <v>-0.58306878306878307</v>
      </c>
      <c r="O261" s="655"/>
      <c r="P261" s="655"/>
      <c r="Q261" s="655"/>
      <c r="R261" s="655"/>
      <c r="S261" s="655"/>
      <c r="T261" s="586"/>
      <c r="U261" s="586"/>
      <c r="V261" s="586"/>
      <c r="W261" s="586"/>
      <c r="X261" s="586"/>
      <c r="Y261" s="586"/>
      <c r="Z261" s="586"/>
      <c r="AA261" s="586"/>
      <c r="AB261" s="586"/>
      <c r="AC261" s="586"/>
      <c r="AD261" s="586"/>
      <c r="AE261" s="586"/>
      <c r="AF261" s="586"/>
      <c r="AG261" s="586"/>
      <c r="AH261" s="586"/>
      <c r="AI261" s="662"/>
      <c r="AJ261" s="662"/>
      <c r="AK261" s="662"/>
      <c r="AL261" s="662"/>
      <c r="AM261" s="662"/>
    </row>
    <row r="262" spans="1:39" ht="15" x14ac:dyDescent="0.25">
      <c r="A262" s="673" t="s">
        <v>302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95">
        <v>0</v>
      </c>
      <c r="M262" s="596">
        <v>1</v>
      </c>
      <c r="N262" s="634">
        <v>2</v>
      </c>
      <c r="O262" s="598"/>
      <c r="P262" s="655"/>
      <c r="Q262" s="655"/>
      <c r="R262" s="655"/>
      <c r="S262" s="655"/>
      <c r="T262" s="586"/>
      <c r="U262" s="586"/>
      <c r="V262" s="586"/>
      <c r="W262" s="586"/>
      <c r="X262" s="586"/>
      <c r="Y262" s="586"/>
      <c r="Z262" s="586"/>
      <c r="AA262" s="586"/>
      <c r="AB262" s="586"/>
      <c r="AC262" s="586"/>
      <c r="AD262" s="586"/>
      <c r="AE262" s="586"/>
      <c r="AF262" s="586"/>
      <c r="AG262" s="586"/>
      <c r="AH262" s="586"/>
      <c r="AI262" s="662"/>
      <c r="AJ262" s="662"/>
      <c r="AK262" s="662"/>
      <c r="AL262" s="662"/>
      <c r="AM262" s="662"/>
    </row>
    <row r="263" spans="1:39" x14ac:dyDescent="0.25">
      <c r="A263" s="526" t="s">
        <v>284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15">
        <f>L262/L145</f>
        <v>0</v>
      </c>
      <c r="M263" s="515">
        <f t="shared" ref="M263:N263" si="153">M262/M145</f>
        <v>6.3131313131313131E-5</v>
      </c>
      <c r="N263" s="515">
        <f t="shared" si="153"/>
        <v>1.7019828099736192E-4</v>
      </c>
      <c r="O263" s="655"/>
      <c r="P263" s="655"/>
      <c r="Q263" s="655"/>
      <c r="R263" s="655"/>
      <c r="S263" s="655"/>
      <c r="T263" s="586"/>
      <c r="U263" s="586"/>
      <c r="V263" s="586"/>
      <c r="W263" s="586"/>
      <c r="X263" s="586"/>
      <c r="Y263" s="586"/>
      <c r="Z263" s="586"/>
      <c r="AA263" s="586"/>
      <c r="AB263" s="586"/>
      <c r="AC263" s="586"/>
      <c r="AD263" s="586"/>
      <c r="AE263" s="586"/>
      <c r="AF263" s="586"/>
      <c r="AG263" s="586"/>
      <c r="AH263" s="586"/>
      <c r="AI263" s="662"/>
      <c r="AJ263" s="662"/>
      <c r="AK263" s="662"/>
      <c r="AL263" s="662"/>
      <c r="AM263" s="662"/>
    </row>
    <row r="264" spans="1:39" x14ac:dyDescent="0.25">
      <c r="A264" s="530" t="s">
        <v>285</v>
      </c>
      <c r="B264" s="589"/>
      <c r="C264" s="589"/>
      <c r="D264" s="589"/>
      <c r="E264" s="589"/>
      <c r="F264" s="589"/>
      <c r="G264" s="589"/>
      <c r="H264" s="589"/>
      <c r="I264" s="589"/>
      <c r="J264" s="589"/>
      <c r="K264" s="589"/>
      <c r="L264" s="531"/>
      <c r="M264" s="531"/>
      <c r="N264" s="531">
        <f>(N262-M262)/M262</f>
        <v>1</v>
      </c>
      <c r="O264" s="645"/>
      <c r="P264" s="645"/>
      <c r="Q264" s="645"/>
      <c r="R264" s="645"/>
      <c r="S264" s="645"/>
      <c r="T264" s="586"/>
      <c r="U264" s="586"/>
      <c r="V264" s="586"/>
      <c r="W264" s="586"/>
      <c r="X264" s="586"/>
      <c r="Y264" s="586"/>
      <c r="Z264" s="586"/>
      <c r="AA264" s="586"/>
      <c r="AB264" s="586"/>
      <c r="AC264" s="586"/>
      <c r="AD264" s="586"/>
      <c r="AE264" s="586"/>
      <c r="AF264" s="586"/>
      <c r="AG264" s="586"/>
      <c r="AH264" s="586"/>
      <c r="AI264" s="662"/>
      <c r="AJ264" s="662"/>
      <c r="AK264" s="662"/>
      <c r="AL264" s="662"/>
      <c r="AM264" s="662"/>
    </row>
    <row r="265" spans="1:39" ht="15" x14ac:dyDescent="0.25">
      <c r="A265" s="652"/>
      <c r="B265" s="652"/>
      <c r="C265" s="652"/>
      <c r="D265" s="652"/>
      <c r="E265" s="652"/>
      <c r="F265" s="652"/>
      <c r="G265" s="652"/>
      <c r="H265" s="652"/>
      <c r="I265" s="652"/>
      <c r="J265" s="652"/>
      <c r="K265" s="652"/>
      <c r="L265" s="686">
        <v>715</v>
      </c>
      <c r="M265" s="687">
        <v>1890</v>
      </c>
      <c r="N265" s="720">
        <v>790</v>
      </c>
      <c r="O265" s="689">
        <f>O254</f>
        <v>565.16567931620682</v>
      </c>
      <c r="P265" s="689">
        <f t="shared" ref="P265:S265" si="154">P254</f>
        <v>599.74194034256107</v>
      </c>
      <c r="Q265" s="689">
        <f t="shared" si="154"/>
        <v>710.83873731301992</v>
      </c>
      <c r="R265" s="689">
        <f t="shared" si="154"/>
        <v>916.72078212832605</v>
      </c>
      <c r="S265" s="689">
        <f t="shared" si="154"/>
        <v>1228.3380963870352</v>
      </c>
      <c r="T265" s="586"/>
      <c r="U265" s="586"/>
      <c r="V265" s="586"/>
      <c r="W265" s="586"/>
      <c r="X265" s="586"/>
      <c r="Y265" s="586"/>
      <c r="Z265" s="586"/>
      <c r="AA265" s="586"/>
      <c r="AB265" s="586"/>
      <c r="AC265" s="586"/>
      <c r="AD265" s="586"/>
      <c r="AE265" s="586"/>
      <c r="AF265" s="586"/>
      <c r="AG265" s="586"/>
      <c r="AH265" s="586"/>
      <c r="AI265" s="662"/>
      <c r="AJ265" s="662"/>
      <c r="AK265" s="662"/>
      <c r="AL265" s="662"/>
      <c r="AM265" s="662"/>
    </row>
    <row r="266" spans="1:39" x14ac:dyDescent="0.25">
      <c r="A266" s="526" t="s">
        <v>284</v>
      </c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15">
        <f>L265/L145</f>
        <v>4.7928676766322564E-2</v>
      </c>
      <c r="M266" s="515">
        <f t="shared" ref="M266:N266" si="155">M265/M145</f>
        <v>0.11931818181818182</v>
      </c>
      <c r="N266" s="515">
        <f t="shared" si="155"/>
        <v>6.7228320993957966E-2</v>
      </c>
      <c r="O266" s="655"/>
      <c r="P266" s="655"/>
      <c r="Q266" s="655"/>
      <c r="R266" s="655"/>
      <c r="S266" s="655"/>
      <c r="T266" s="586"/>
      <c r="U266" s="586"/>
      <c r="V266" s="586"/>
      <c r="W266" s="586"/>
      <c r="X266" s="586"/>
      <c r="Y266" s="586"/>
      <c r="Z266" s="586"/>
      <c r="AA266" s="586"/>
      <c r="AB266" s="586"/>
      <c r="AC266" s="586"/>
      <c r="AD266" s="586"/>
      <c r="AE266" s="586"/>
      <c r="AF266" s="586"/>
      <c r="AG266" s="586"/>
      <c r="AH266" s="586"/>
      <c r="AI266" s="662"/>
      <c r="AJ266" s="662"/>
      <c r="AK266" s="662"/>
      <c r="AL266" s="662"/>
      <c r="AM266" s="662"/>
    </row>
    <row r="267" spans="1:39" x14ac:dyDescent="0.25">
      <c r="A267" s="526" t="s">
        <v>285</v>
      </c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16"/>
      <c r="M267" s="516">
        <f>(M265-L265)/L265</f>
        <v>1.6433566433566433</v>
      </c>
      <c r="N267" s="516">
        <f>(N265-M265)/M265</f>
        <v>-0.58201058201058198</v>
      </c>
      <c r="O267" s="655"/>
      <c r="P267" s="655"/>
      <c r="Q267" s="655"/>
      <c r="R267" s="655"/>
      <c r="S267" s="655"/>
      <c r="T267" s="586"/>
      <c r="U267" s="586"/>
      <c r="V267" s="586"/>
      <c r="W267" s="586"/>
      <c r="X267" s="586"/>
      <c r="Y267" s="586"/>
      <c r="Z267" s="586"/>
      <c r="AA267" s="586"/>
      <c r="AB267" s="586"/>
      <c r="AC267" s="586"/>
      <c r="AD267" s="586"/>
      <c r="AE267" s="586"/>
      <c r="AF267" s="586"/>
      <c r="AG267" s="586"/>
      <c r="AH267" s="586"/>
      <c r="AI267" s="662"/>
      <c r="AJ267" s="662"/>
      <c r="AK267" s="662"/>
      <c r="AL267" s="662"/>
      <c r="AM267" s="662"/>
    </row>
    <row r="268" spans="1:39" x14ac:dyDescent="0.25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86"/>
      <c r="AB268" s="586"/>
      <c r="AC268" s="586"/>
      <c r="AD268" s="586"/>
      <c r="AE268" s="586"/>
      <c r="AF268" s="586"/>
      <c r="AG268" s="586"/>
      <c r="AH268" s="586"/>
      <c r="AI268" s="662"/>
      <c r="AJ268" s="662"/>
      <c r="AK268" s="662"/>
      <c r="AL268" s="662"/>
      <c r="AM268" s="662"/>
    </row>
    <row r="269" spans="1:39" x14ac:dyDescent="0.25">
      <c r="A269" s="586"/>
      <c r="B269" s="586"/>
      <c r="C269" s="586"/>
      <c r="D269" s="586"/>
      <c r="E269" s="586"/>
      <c r="F269" s="586"/>
      <c r="G269" s="586" t="s">
        <v>351</v>
      </c>
      <c r="H269" s="586"/>
      <c r="I269" s="586"/>
      <c r="J269" s="586" t="s">
        <v>352</v>
      </c>
      <c r="K269" s="586"/>
      <c r="L269" s="586"/>
      <c r="M269" s="586"/>
      <c r="N269" s="586" t="s">
        <v>353</v>
      </c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86"/>
      <c r="AB269" s="586"/>
      <c r="AC269" s="586"/>
      <c r="AD269" s="586"/>
      <c r="AE269" s="586"/>
      <c r="AF269" s="586"/>
      <c r="AG269" s="586"/>
      <c r="AH269" s="586"/>
      <c r="AI269" s="662"/>
      <c r="AJ269" s="662"/>
      <c r="AK269" s="662"/>
      <c r="AL269" s="662"/>
      <c r="AM269" s="662"/>
    </row>
    <row r="270" spans="1:39" x14ac:dyDescent="0.25">
      <c r="A270" s="586"/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86"/>
      <c r="AB270" s="586"/>
      <c r="AC270" s="586"/>
      <c r="AD270" s="586"/>
      <c r="AE270" s="586"/>
      <c r="AF270" s="586"/>
      <c r="AG270" s="586"/>
      <c r="AH270" s="586"/>
      <c r="AI270" s="662"/>
      <c r="AJ270" s="662"/>
      <c r="AK270" s="662"/>
      <c r="AL270" s="662"/>
      <c r="AM270" s="662"/>
    </row>
    <row r="271" spans="1:39" ht="22.8" x14ac:dyDescent="0.4">
      <c r="A271" s="544" t="s">
        <v>354</v>
      </c>
      <c r="B271" s="625"/>
      <c r="C271" s="625"/>
      <c r="D271" s="625"/>
      <c r="E271" s="625"/>
      <c r="F271" s="625"/>
      <c r="G271" s="625"/>
      <c r="H271" s="625"/>
      <c r="I271" s="62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86"/>
      <c r="AB271" s="586"/>
      <c r="AC271" s="586"/>
      <c r="AD271" s="586"/>
      <c r="AE271" s="586"/>
      <c r="AF271" s="586"/>
      <c r="AG271" s="586"/>
      <c r="AH271" s="586"/>
      <c r="AI271" s="662"/>
      <c r="AJ271" s="662"/>
      <c r="AK271" s="662"/>
      <c r="AL271" s="662"/>
      <c r="AM271" s="662"/>
    </row>
    <row r="272" spans="1:39" ht="15.6" x14ac:dyDescent="0.3">
      <c r="A272" s="29"/>
      <c r="B272" s="628"/>
      <c r="C272" s="628"/>
      <c r="D272" s="628"/>
      <c r="E272" s="628"/>
      <c r="F272" s="628"/>
      <c r="G272" s="628"/>
      <c r="H272" s="628"/>
      <c r="I272" s="587"/>
      <c r="J272" s="587"/>
      <c r="K272" s="587"/>
      <c r="L272" s="1261" t="s">
        <v>280</v>
      </c>
      <c r="M272" s="1261"/>
      <c r="N272" s="1261"/>
      <c r="O272" s="1262" t="s">
        <v>281</v>
      </c>
      <c r="P272" s="1262"/>
      <c r="Q272" s="1262"/>
      <c r="R272" s="1262"/>
      <c r="S272" s="1262"/>
      <c r="T272" s="586"/>
      <c r="U272" s="586"/>
      <c r="V272" s="586"/>
      <c r="W272" s="586"/>
      <c r="X272" s="586"/>
      <c r="Y272" s="586"/>
      <c r="Z272" s="586"/>
      <c r="AA272" s="586"/>
      <c r="AB272" s="586"/>
      <c r="AC272" s="586"/>
      <c r="AD272" s="586"/>
      <c r="AE272" s="586"/>
      <c r="AF272" s="586"/>
      <c r="AG272" s="586"/>
      <c r="AH272" s="586"/>
      <c r="AI272" s="662"/>
      <c r="AJ272" s="662"/>
      <c r="AK272" s="662"/>
      <c r="AL272" s="662"/>
      <c r="AM272" s="662"/>
    </row>
    <row r="273" spans="1:41" ht="15.6" x14ac:dyDescent="0.3">
      <c r="A273" s="29"/>
      <c r="B273" s="628"/>
      <c r="C273" s="628"/>
      <c r="D273" s="628"/>
      <c r="E273" s="628"/>
      <c r="F273" s="628"/>
      <c r="G273" s="628"/>
      <c r="H273" s="628"/>
      <c r="I273" s="587"/>
      <c r="J273" s="587"/>
      <c r="K273" s="587"/>
      <c r="L273" s="426"/>
      <c r="M273" s="40"/>
      <c r="N273" s="40"/>
      <c r="O273" s="831"/>
      <c r="P273" s="832"/>
      <c r="Q273" s="831"/>
      <c r="R273" s="833"/>
      <c r="S273" s="831"/>
      <c r="T273" s="586"/>
      <c r="U273" s="586"/>
      <c r="V273" s="586"/>
      <c r="W273" s="586"/>
      <c r="X273" s="586"/>
      <c r="Y273" s="586"/>
      <c r="Z273" s="586"/>
      <c r="AA273" s="586"/>
      <c r="AB273" s="586"/>
      <c r="AC273" s="586"/>
      <c r="AD273" s="586"/>
      <c r="AE273" s="586"/>
      <c r="AF273" s="586"/>
      <c r="AG273" s="586"/>
      <c r="AH273" s="586"/>
      <c r="AI273" s="662"/>
      <c r="AJ273" s="662"/>
      <c r="AK273" s="662"/>
      <c r="AL273" s="662"/>
      <c r="AM273" s="662"/>
      <c r="AN273" s="586"/>
      <c r="AO273" s="586"/>
    </row>
    <row r="274" spans="1:41" ht="15.6" x14ac:dyDescent="0.3">
      <c r="A274" s="34" t="s">
        <v>24</v>
      </c>
      <c r="B274" s="630"/>
      <c r="C274" s="630"/>
      <c r="D274" s="630"/>
      <c r="E274" s="630"/>
      <c r="F274" s="630"/>
      <c r="G274" s="630"/>
      <c r="H274" s="630"/>
      <c r="I274" s="589"/>
      <c r="J274" s="589"/>
      <c r="K274" s="589"/>
      <c r="L274" s="834">
        <v>2018</v>
      </c>
      <c r="M274" s="835">
        <v>2019</v>
      </c>
      <c r="N274" s="836">
        <v>2020</v>
      </c>
      <c r="O274" s="837" t="s">
        <v>192</v>
      </c>
      <c r="P274" s="837" t="s">
        <v>193</v>
      </c>
      <c r="Q274" s="837" t="s">
        <v>194</v>
      </c>
      <c r="R274" s="837" t="s">
        <v>195</v>
      </c>
      <c r="S274" s="837" t="s">
        <v>196</v>
      </c>
      <c r="T274" s="586"/>
      <c r="U274" s="586"/>
      <c r="V274" s="586"/>
      <c r="W274" s="586"/>
      <c r="X274" s="586"/>
      <c r="Y274" s="586"/>
      <c r="Z274" s="586"/>
      <c r="AA274" s="586"/>
      <c r="AB274" s="586"/>
      <c r="AC274" s="586"/>
      <c r="AD274" s="586"/>
      <c r="AE274" s="586"/>
      <c r="AF274" s="586"/>
      <c r="AG274" s="586"/>
      <c r="AH274" s="586"/>
      <c r="AI274" s="662"/>
      <c r="AJ274" s="662"/>
      <c r="AK274" s="662"/>
      <c r="AL274" s="662"/>
      <c r="AM274" s="662"/>
      <c r="AN274" s="586"/>
      <c r="AO274" s="586"/>
    </row>
    <row r="275" spans="1:41" ht="15.6" x14ac:dyDescent="0.3">
      <c r="A275" s="29" t="s">
        <v>355</v>
      </c>
      <c r="B275" s="628"/>
      <c r="C275" s="628"/>
      <c r="D275" s="628"/>
      <c r="E275" s="628"/>
      <c r="F275" s="628" t="s">
        <v>356</v>
      </c>
      <c r="G275" s="628"/>
      <c r="H275" s="628"/>
      <c r="I275" s="587"/>
      <c r="J275" s="587"/>
      <c r="K275" s="587"/>
      <c r="L275" s="426"/>
      <c r="M275" s="838"/>
      <c r="N275" s="721"/>
      <c r="O275" s="832"/>
      <c r="P275" s="832"/>
      <c r="Q275" s="722"/>
      <c r="R275" s="832"/>
      <c r="S275" s="832"/>
      <c r="T275" s="586"/>
      <c r="U275" s="586"/>
      <c r="V275" s="586"/>
      <c r="W275" s="586"/>
      <c r="X275" s="586"/>
      <c r="Y275" s="586"/>
      <c r="Z275" s="586"/>
      <c r="AA275" s="586"/>
      <c r="AB275" s="586"/>
      <c r="AC275" s="586"/>
      <c r="AD275" s="586"/>
      <c r="AE275" s="586"/>
      <c r="AF275" s="586"/>
      <c r="AG275" s="586"/>
      <c r="AH275" s="586"/>
      <c r="AI275" s="662"/>
      <c r="AJ275" s="662"/>
      <c r="AK275" s="662"/>
      <c r="AL275" s="662"/>
      <c r="AM275" s="662"/>
      <c r="AN275" s="586"/>
      <c r="AO275" s="586"/>
    </row>
    <row r="276" spans="1:41" ht="15" x14ac:dyDescent="0.25">
      <c r="A276" s="31" t="s">
        <v>75</v>
      </c>
      <c r="B276" s="628"/>
      <c r="C276" s="628"/>
      <c r="D276" s="628"/>
      <c r="E276" s="628"/>
      <c r="F276" s="628"/>
      <c r="G276" s="628"/>
      <c r="H276" s="628"/>
      <c r="I276" s="587"/>
      <c r="J276" s="587"/>
      <c r="K276" s="587"/>
      <c r="L276" s="426">
        <v>947</v>
      </c>
      <c r="M276" s="632">
        <v>2067</v>
      </c>
      <c r="N276" s="633">
        <v>786</v>
      </c>
      <c r="O276" s="839">
        <f>O184</f>
        <v>706.45709914525855</v>
      </c>
      <c r="P276" s="840">
        <f>P184</f>
        <v>749.67742542820133</v>
      </c>
      <c r="Q276" s="840">
        <f>Q184</f>
        <v>888.5484216412749</v>
      </c>
      <c r="R276" s="840">
        <f>R184</f>
        <v>1145.9009776604075</v>
      </c>
      <c r="S276" s="840">
        <f>S184</f>
        <v>1535.4226204837939</v>
      </c>
      <c r="T276" s="586"/>
      <c r="U276" s="586"/>
      <c r="V276" s="586"/>
      <c r="W276" s="586"/>
      <c r="X276" s="586"/>
      <c r="Y276" s="586"/>
      <c r="Z276" s="586"/>
      <c r="AA276" s="586"/>
      <c r="AB276" s="586"/>
      <c r="AC276" s="586"/>
      <c r="AD276" s="586"/>
      <c r="AE276" s="586"/>
      <c r="AF276" s="586"/>
      <c r="AG276" s="586"/>
      <c r="AH276" s="586"/>
      <c r="AI276" s="662"/>
      <c r="AJ276" s="662"/>
      <c r="AK276" s="662"/>
      <c r="AL276" s="662"/>
      <c r="AM276" s="662"/>
      <c r="AN276" s="586"/>
      <c r="AO276" s="586"/>
    </row>
    <row r="277" spans="1:41" ht="15" x14ac:dyDescent="0.25">
      <c r="A277" s="31" t="s">
        <v>357</v>
      </c>
      <c r="B277" s="628"/>
      <c r="C277" s="628"/>
      <c r="D277" s="628"/>
      <c r="E277" s="628"/>
      <c r="F277" s="628"/>
      <c r="G277" s="628"/>
      <c r="H277" s="628"/>
      <c r="I277" s="587"/>
      <c r="J277" s="587"/>
      <c r="K277" s="587"/>
      <c r="L277" s="426">
        <v>590</v>
      </c>
      <c r="M277" s="632">
        <v>550</v>
      </c>
      <c r="N277" s="633">
        <v>997</v>
      </c>
      <c r="O277" s="839">
        <f>O148+O151-O160</f>
        <v>745.8</v>
      </c>
      <c r="P277" s="840">
        <f>P148+P151-P160</f>
        <v>779.25093089999996</v>
      </c>
      <c r="Q277" s="840">
        <f>Q148+Q151-Q160</f>
        <v>840.47602399000004</v>
      </c>
      <c r="R277" s="840">
        <f>R148+R151-R160</f>
        <v>864.23878686880016</v>
      </c>
      <c r="S277" s="840">
        <f>S148+S151-S160</f>
        <v>891.12511489912015</v>
      </c>
      <c r="T277" s="586"/>
      <c r="U277" s="586"/>
      <c r="V277" s="586"/>
      <c r="W277" s="586">
        <v>18</v>
      </c>
      <c r="X277" s="586">
        <v>19</v>
      </c>
      <c r="Y277" s="586">
        <v>20</v>
      </c>
      <c r="Z277" s="586">
        <v>21</v>
      </c>
      <c r="AA277" s="586">
        <v>22</v>
      </c>
      <c r="AB277" s="586">
        <v>23</v>
      </c>
      <c r="AC277" s="586">
        <v>24</v>
      </c>
      <c r="AD277" s="586">
        <v>25</v>
      </c>
      <c r="AE277" s="586"/>
      <c r="AF277" s="586"/>
      <c r="AG277" s="586"/>
      <c r="AH277" s="586"/>
      <c r="AI277" s="662"/>
      <c r="AJ277" s="662"/>
      <c r="AK277" s="662"/>
      <c r="AL277" s="662"/>
      <c r="AM277" s="662"/>
      <c r="AN277" s="586"/>
      <c r="AO277" s="586"/>
    </row>
    <row r="278" spans="1:41" s="1079" customFormat="1" ht="15.6" x14ac:dyDescent="0.3">
      <c r="A278" s="640" t="s">
        <v>78</v>
      </c>
      <c r="B278" s="1089"/>
      <c r="C278" s="1089"/>
      <c r="D278" s="1089"/>
      <c r="E278" s="1089"/>
      <c r="F278" s="1089"/>
      <c r="G278" s="1089"/>
      <c r="H278" s="1089"/>
      <c r="I278" s="1082"/>
      <c r="J278" s="1082"/>
      <c r="K278" s="1082"/>
      <c r="L278" s="641">
        <v>103</v>
      </c>
      <c r="M278" s="643">
        <v>-780</v>
      </c>
      <c r="N278" s="643">
        <v>460</v>
      </c>
      <c r="O278" s="1090">
        <f>-DCF!E56</f>
        <v>408.06150175342464</v>
      </c>
      <c r="P278" s="1090">
        <f>-DCF!F56</f>
        <v>459.08012211493133</v>
      </c>
      <c r="Q278" s="1090">
        <f>-DCF!G56</f>
        <v>230.97184314402375</v>
      </c>
      <c r="R278" s="1090">
        <f>-DCF!H56</f>
        <v>393.1511758952297</v>
      </c>
      <c r="S278" s="1090">
        <f>-DCF!I56</f>
        <v>261.98332610916259</v>
      </c>
      <c r="T278" s="1071" t="s">
        <v>220</v>
      </c>
      <c r="U278" s="1071"/>
      <c r="V278" s="1071"/>
      <c r="W278" s="1071">
        <v>5471.3696168275374</v>
      </c>
      <c r="X278" s="1071">
        <v>888.76215463053882</v>
      </c>
      <c r="Y278" s="1071">
        <v>1206.7325506109396</v>
      </c>
      <c r="Z278" s="1071">
        <v>1063.3675127416559</v>
      </c>
      <c r="AA278" s="1071">
        <v>1218.4858128214655</v>
      </c>
      <c r="AB278" s="1071">
        <v>1374.9880680141791</v>
      </c>
      <c r="AC278" s="1071">
        <v>2078.5808428475343</v>
      </c>
      <c r="AI278" s="1080"/>
      <c r="AJ278" s="1080"/>
      <c r="AK278" s="1080"/>
      <c r="AL278" s="1080"/>
      <c r="AM278" s="1080"/>
    </row>
    <row r="279" spans="1:41" ht="15.6" x14ac:dyDescent="0.3">
      <c r="A279" s="663" t="s">
        <v>358</v>
      </c>
      <c r="B279" s="647"/>
      <c r="C279" s="647"/>
      <c r="D279" s="647"/>
      <c r="E279" s="647"/>
      <c r="F279" s="647"/>
      <c r="G279" s="647"/>
      <c r="H279" s="647"/>
      <c r="I279" s="587"/>
      <c r="J279" s="587"/>
      <c r="K279" s="587"/>
      <c r="L279" s="649">
        <v>1640</v>
      </c>
      <c r="M279" s="650">
        <v>1837</v>
      </c>
      <c r="N279" s="659">
        <v>2244</v>
      </c>
      <c r="O279" s="839">
        <f>SUM(O276:O278)</f>
        <v>1860.3186008986831</v>
      </c>
      <c r="P279" s="840">
        <f>SUM(P276:P278)</f>
        <v>1988.0084784431326</v>
      </c>
      <c r="Q279" s="840">
        <f>SUM(Q276:Q278)</f>
        <v>1959.9962887752986</v>
      </c>
      <c r="R279" s="840">
        <f>SUM(R276:R278)</f>
        <v>2403.2909404244374</v>
      </c>
      <c r="S279" s="840">
        <f>SUM(S276:S278)</f>
        <v>2688.5310614920768</v>
      </c>
      <c r="T279" s="586"/>
      <c r="U279" s="586"/>
      <c r="V279" s="586"/>
      <c r="W279" s="586"/>
      <c r="X279" s="586"/>
      <c r="Y279" s="586"/>
      <c r="Z279" s="586"/>
      <c r="AA279" s="586"/>
      <c r="AB279" s="586"/>
      <c r="AC279" s="586"/>
      <c r="AD279" s="586"/>
      <c r="AE279" s="586"/>
      <c r="AF279" s="586"/>
      <c r="AG279" s="586"/>
      <c r="AH279" s="586"/>
      <c r="AI279" s="662"/>
      <c r="AJ279" s="662"/>
      <c r="AK279" s="662"/>
      <c r="AL279" s="662"/>
      <c r="AM279" s="662"/>
      <c r="AN279" s="586"/>
      <c r="AO279" s="586"/>
    </row>
    <row r="280" spans="1:41" s="1079" customFormat="1" ht="15.6" x14ac:dyDescent="0.3">
      <c r="A280" s="31" t="s">
        <v>359</v>
      </c>
      <c r="B280" s="1085"/>
      <c r="C280" s="1085"/>
      <c r="D280" s="1085"/>
      <c r="E280" s="1085"/>
      <c r="F280" s="1085"/>
      <c r="G280" s="1085"/>
      <c r="H280" s="1085"/>
      <c r="I280" s="1076"/>
      <c r="J280" s="1076"/>
      <c r="K280" s="1076"/>
      <c r="L280" s="426">
        <v>-37</v>
      </c>
      <c r="M280" s="633">
        <v>-48</v>
      </c>
      <c r="N280" s="633">
        <v>-54</v>
      </c>
      <c r="O280" s="1086">
        <v>-60</v>
      </c>
      <c r="P280" s="1086">
        <v>-60</v>
      </c>
      <c r="Q280" s="1086">
        <v>-60</v>
      </c>
      <c r="R280" s="1086">
        <v>-60</v>
      </c>
      <c r="S280" s="1086">
        <v>-60</v>
      </c>
      <c r="T280" s="1087"/>
      <c r="U280" s="1087"/>
      <c r="V280" s="1087"/>
      <c r="W280" s="680" t="s">
        <v>316</v>
      </c>
      <c r="X280" s="1076"/>
      <c r="Y280" s="1076"/>
      <c r="Z280" s="1076"/>
      <c r="AA280" s="1076"/>
      <c r="AB280" s="1076"/>
      <c r="AC280" s="1076"/>
      <c r="AD280" s="1076"/>
      <c r="AE280" s="1076"/>
      <c r="AF280" s="1076"/>
      <c r="AG280" s="1076"/>
      <c r="AH280" s="595"/>
      <c r="AI280" s="597"/>
      <c r="AJ280" s="597"/>
      <c r="AK280" s="939"/>
      <c r="AL280" s="939"/>
      <c r="AM280" s="939"/>
      <c r="AN280" s="1088"/>
      <c r="AO280" s="1088"/>
    </row>
    <row r="281" spans="1:41" ht="15" x14ac:dyDescent="0.25">
      <c r="A281" s="640" t="s">
        <v>86</v>
      </c>
      <c r="B281" s="639"/>
      <c r="C281" s="639"/>
      <c r="D281" s="639"/>
      <c r="E281" s="639"/>
      <c r="F281" s="639"/>
      <c r="G281" s="639"/>
      <c r="H281" s="639"/>
      <c r="I281" s="589"/>
      <c r="J281" s="589"/>
      <c r="K281" s="589"/>
      <c r="L281" s="641">
        <v>-151</v>
      </c>
      <c r="M281" s="642">
        <v>-333</v>
      </c>
      <c r="N281" s="643">
        <v>-133</v>
      </c>
      <c r="O281" s="841">
        <f>O187</f>
        <v>-141.2914198290517</v>
      </c>
      <c r="P281" s="841">
        <f>P187</f>
        <v>-149.93548508564027</v>
      </c>
      <c r="Q281" s="841">
        <f>Q187</f>
        <v>-177.70968432825498</v>
      </c>
      <c r="R281" s="841">
        <f>R187</f>
        <v>-229.18019553208151</v>
      </c>
      <c r="S281" s="841">
        <f>S187</f>
        <v>-307.0845240967588</v>
      </c>
      <c r="T281" s="586"/>
      <c r="U281" s="586"/>
      <c r="V281" s="586"/>
      <c r="W281" s="673" t="s">
        <v>317</v>
      </c>
      <c r="X281" s="587"/>
      <c r="Y281" s="587"/>
      <c r="Z281" s="587"/>
      <c r="AA281" s="587"/>
      <c r="AB281" s="587"/>
      <c r="AC281" s="587"/>
      <c r="AD281" s="587"/>
      <c r="AE281" s="587"/>
      <c r="AF281" s="587"/>
      <c r="AG281" s="587"/>
      <c r="AH281" s="595">
        <v>7</v>
      </c>
      <c r="AI281" s="596">
        <v>10</v>
      </c>
      <c r="AJ281" s="597">
        <v>4</v>
      </c>
      <c r="AK281" s="598">
        <v>5.7118978452577798</v>
      </c>
      <c r="AL281" s="598">
        <v>6.0426460801709281</v>
      </c>
      <c r="AM281" s="598">
        <v>6.6469106881880213</v>
      </c>
      <c r="AN281" s="598">
        <v>7.4445399707705846</v>
      </c>
      <c r="AO281" s="598">
        <v>8.5612209663861716</v>
      </c>
    </row>
    <row r="282" spans="1:41" ht="15.6" x14ac:dyDescent="0.3">
      <c r="A282" s="663" t="s">
        <v>360</v>
      </c>
      <c r="B282" s="647"/>
      <c r="C282" s="647"/>
      <c r="D282" s="647"/>
      <c r="E282" s="647"/>
      <c r="F282" s="647"/>
      <c r="G282" s="647"/>
      <c r="H282" s="647"/>
      <c r="I282" s="587"/>
      <c r="J282" s="587"/>
      <c r="K282" s="587"/>
      <c r="L282" s="649">
        <v>1452</v>
      </c>
      <c r="M282" s="650">
        <v>1456</v>
      </c>
      <c r="N282" s="659">
        <v>2057</v>
      </c>
      <c r="O282" s="842">
        <f>SUM(O279:O281)</f>
        <v>1659.0271810696315</v>
      </c>
      <c r="P282" s="842">
        <f>SUM(P279:P281)</f>
        <v>1778.0729933574924</v>
      </c>
      <c r="Q282" s="843">
        <f>SUM(Q279:Q281)</f>
        <v>1722.2866044470436</v>
      </c>
      <c r="R282" s="842">
        <f>SUM(R279:R281)</f>
        <v>2114.1107448923558</v>
      </c>
      <c r="S282" s="842">
        <f>SUM(S279:S281)</f>
        <v>2321.446537395318</v>
      </c>
      <c r="T282" s="586"/>
      <c r="U282" s="586"/>
      <c r="V282" s="586"/>
      <c r="W282" s="526" t="s">
        <v>284</v>
      </c>
      <c r="X282" s="587"/>
      <c r="Y282" s="587"/>
      <c r="Z282" s="587"/>
      <c r="AA282" s="587"/>
      <c r="AB282" s="587"/>
      <c r="AC282" s="587"/>
      <c r="AD282" s="587"/>
      <c r="AE282" s="587"/>
      <c r="AF282" s="587"/>
      <c r="AG282" s="587"/>
      <c r="AH282" s="515">
        <v>4.6923180050945166E-4</v>
      </c>
      <c r="AI282" s="515">
        <v>6.3131313131313137E-4</v>
      </c>
      <c r="AJ282" s="515">
        <v>3.4039656199472384E-4</v>
      </c>
      <c r="AK282" s="731">
        <v>4.8031383127243561E-4</v>
      </c>
      <c r="AL282" s="731">
        <v>4.8031383127243561E-4</v>
      </c>
      <c r="AM282" s="731">
        <v>4.8031383127243561E-4</v>
      </c>
      <c r="AN282" s="731">
        <v>4.8031383127243561E-4</v>
      </c>
      <c r="AO282" s="731">
        <v>4.8031383127243561E-4</v>
      </c>
    </row>
    <row r="283" spans="1:41" ht="15.6" x14ac:dyDescent="0.3">
      <c r="A283" s="29"/>
      <c r="B283" s="628"/>
      <c r="C283" s="628"/>
      <c r="D283" s="628"/>
      <c r="E283" s="628"/>
      <c r="F283" s="628"/>
      <c r="G283" s="628"/>
      <c r="H283" s="628"/>
      <c r="I283" s="587"/>
      <c r="J283" s="587"/>
      <c r="K283" s="587"/>
      <c r="L283" s="40"/>
      <c r="M283" s="632"/>
      <c r="N283" s="41"/>
      <c r="O283" s="832"/>
      <c r="P283" s="832"/>
      <c r="Q283" s="723"/>
      <c r="R283" s="832"/>
      <c r="S283" s="832"/>
      <c r="T283" s="586"/>
      <c r="U283" s="586"/>
      <c r="V283" s="586"/>
      <c r="W283" s="526" t="s">
        <v>285</v>
      </c>
      <c r="X283" s="587"/>
      <c r="Y283" s="587"/>
      <c r="Z283" s="587"/>
      <c r="AA283" s="587"/>
      <c r="AB283" s="587"/>
      <c r="AC283" s="587"/>
      <c r="AD283" s="587"/>
      <c r="AE283" s="587"/>
      <c r="AF283" s="587"/>
      <c r="AG283" s="587"/>
      <c r="AH283" s="516"/>
      <c r="AI283" s="516">
        <v>0.42857142857142855</v>
      </c>
      <c r="AJ283" s="516">
        <v>-0.6</v>
      </c>
      <c r="AK283" s="516">
        <v>0.42797446131444494</v>
      </c>
      <c r="AL283" s="516">
        <v>5.7905138339920982E-2</v>
      </c>
      <c r="AM283" s="516">
        <v>0.10000000000000007</v>
      </c>
      <c r="AN283" s="516">
        <v>0.12000000000000011</v>
      </c>
      <c r="AO283" s="516">
        <v>0.14999999999999991</v>
      </c>
    </row>
    <row r="284" spans="1:41" ht="15.6" x14ac:dyDescent="0.3">
      <c r="A284" s="29" t="s">
        <v>361</v>
      </c>
      <c r="B284" s="628"/>
      <c r="C284" s="628"/>
      <c r="D284" s="628"/>
      <c r="E284" s="628"/>
      <c r="F284" s="628"/>
      <c r="G284" s="628"/>
      <c r="H284" s="628"/>
      <c r="I284" s="587"/>
      <c r="J284" s="587"/>
      <c r="K284" s="587"/>
      <c r="L284" s="427"/>
      <c r="M284" s="632"/>
      <c r="N284" s="41"/>
      <c r="O284" s="832"/>
      <c r="P284" s="832"/>
      <c r="Q284" s="723"/>
      <c r="R284" s="832"/>
      <c r="S284" s="832"/>
      <c r="T284" s="586"/>
      <c r="U284" s="586"/>
      <c r="V284" s="586"/>
      <c r="W284" s="673" t="s">
        <v>320</v>
      </c>
      <c r="X284" s="587"/>
      <c r="Y284" s="587"/>
      <c r="Z284" s="587"/>
      <c r="AA284" s="587"/>
      <c r="AB284" s="587"/>
      <c r="AC284" s="587"/>
      <c r="AD284" s="587"/>
      <c r="AE284" s="587"/>
      <c r="AF284" s="587"/>
      <c r="AG284" s="587"/>
      <c r="AH284" s="595">
        <v>-48</v>
      </c>
      <c r="AI284" s="596">
        <v>-109</v>
      </c>
      <c r="AJ284" s="597">
        <v>-45</v>
      </c>
      <c r="AK284" s="598">
        <v>-79.976549900000009</v>
      </c>
      <c r="AL284" s="598">
        <v>-89.418691111969991</v>
      </c>
      <c r="AM284" s="598">
        <v>-103.23517655291359</v>
      </c>
      <c r="AN284" s="598">
        <v>-119.83292121708436</v>
      </c>
      <c r="AO284" s="598">
        <v>-141.29301657532002</v>
      </c>
    </row>
    <row r="285" spans="1:41" s="1079" customFormat="1" ht="15.6" x14ac:dyDescent="0.3">
      <c r="A285" s="31" t="s">
        <v>362</v>
      </c>
      <c r="B285" s="1085"/>
      <c r="C285" s="1085"/>
      <c r="D285" s="1085"/>
      <c r="E285" s="1085"/>
      <c r="F285" s="1085"/>
      <c r="G285" s="1085"/>
      <c r="H285" s="1085"/>
      <c r="I285" s="1076"/>
      <c r="J285" s="1077"/>
      <c r="K285" s="1076"/>
      <c r="L285" s="1094">
        <f>-AA295</f>
        <v>-438</v>
      </c>
      <c r="M285" s="1094">
        <f t="shared" ref="M285:S285" si="156">-AB295</f>
        <v>-890</v>
      </c>
      <c r="N285" s="1094">
        <f t="shared" si="156"/>
        <v>-1197</v>
      </c>
      <c r="O285" s="1218">
        <f>-AD295</f>
        <v>-1427.15</v>
      </c>
      <c r="P285" s="1218">
        <f t="shared" si="156"/>
        <v>-1763.7375000000002</v>
      </c>
      <c r="Q285" s="1218">
        <f t="shared" si="156"/>
        <v>-1690.6147500000002</v>
      </c>
      <c r="R285" s="1218">
        <f t="shared" si="156"/>
        <v>-2217.4109625000006</v>
      </c>
      <c r="S285" s="1218">
        <f t="shared" si="156"/>
        <v>-2153.7476977500005</v>
      </c>
      <c r="W285" s="1093" t="s">
        <v>284</v>
      </c>
      <c r="X285" s="1076"/>
      <c r="Y285" s="1076"/>
      <c r="Z285" s="1076"/>
      <c r="AA285" s="1076"/>
      <c r="AB285" s="1076"/>
      <c r="AC285" s="1076"/>
      <c r="AD285" s="1076"/>
      <c r="AE285" s="1076"/>
      <c r="AF285" s="1076"/>
      <c r="AG285" s="1076"/>
      <c r="AH285" s="1095">
        <v>-3.2175894892076686E-3</v>
      </c>
      <c r="AI285" s="1095">
        <v>-6.8813131313131314E-3</v>
      </c>
      <c r="AJ285" s="1095">
        <v>-3.8294613224406433E-3</v>
      </c>
      <c r="AK285" s="1095">
        <v>-6.7252328621935469E-3</v>
      </c>
      <c r="AL285" s="1095">
        <v>-7.1076534262522776E-3</v>
      </c>
      <c r="AM285" s="1095">
        <v>-7.4598991167930699E-3</v>
      </c>
      <c r="AN285" s="1095">
        <v>-7.731493111506252E-3</v>
      </c>
      <c r="AO285" s="1095">
        <v>-7.9270223709666261E-3</v>
      </c>
    </row>
    <row r="286" spans="1:41" ht="15" x14ac:dyDescent="0.25">
      <c r="A286" s="31" t="s">
        <v>363</v>
      </c>
      <c r="B286" s="628"/>
      <c r="C286" s="628"/>
      <c r="D286" s="628"/>
      <c r="E286" s="628"/>
      <c r="F286" s="628"/>
      <c r="G286" s="628"/>
      <c r="H286" s="628"/>
      <c r="I286" s="587"/>
      <c r="J286" s="587"/>
      <c r="K286" s="587"/>
      <c r="L286" s="426">
        <v>-15</v>
      </c>
      <c r="M286" s="632">
        <v>-1</v>
      </c>
      <c r="N286" s="633">
        <v>-175</v>
      </c>
      <c r="O286" s="844">
        <v>-1</v>
      </c>
      <c r="P286" s="844">
        <v>-1</v>
      </c>
      <c r="Q286" s="844">
        <v>-1</v>
      </c>
      <c r="R286" s="844">
        <v>-1</v>
      </c>
      <c r="S286" s="844">
        <v>-1</v>
      </c>
      <c r="T286" s="586" t="s">
        <v>364</v>
      </c>
      <c r="U286" s="586"/>
      <c r="V286" s="586"/>
      <c r="W286" s="526" t="s">
        <v>285</v>
      </c>
      <c r="X286" s="587"/>
      <c r="Y286" s="587"/>
      <c r="Z286" s="587"/>
      <c r="AA286" s="587"/>
      <c r="AB286" s="587"/>
      <c r="AC286" s="587"/>
      <c r="AD286" s="587"/>
      <c r="AE286" s="587"/>
      <c r="AF286" s="587"/>
      <c r="AG286" s="587"/>
      <c r="AH286" s="516"/>
      <c r="AI286" s="516">
        <v>1.2708333333333333</v>
      </c>
      <c r="AJ286" s="516">
        <v>-0.58715596330275233</v>
      </c>
      <c r="AK286" s="516">
        <v>0.77725666444444463</v>
      </c>
      <c r="AL286" s="516">
        <v>0.11806137203687979</v>
      </c>
      <c r="AM286" s="516">
        <v>0.15451451222477194</v>
      </c>
      <c r="AN286" s="516">
        <v>0.1607760573321976</v>
      </c>
      <c r="AO286" s="516">
        <v>0.17908347005377129</v>
      </c>
    </row>
    <row r="287" spans="1:41" ht="15" x14ac:dyDescent="0.25">
      <c r="A287" s="31" t="s">
        <v>92</v>
      </c>
      <c r="B287" s="628"/>
      <c r="C287" s="628"/>
      <c r="D287" s="628"/>
      <c r="E287" s="628"/>
      <c r="F287" s="628"/>
      <c r="G287" s="628"/>
      <c r="H287" s="628"/>
      <c r="I287" s="587"/>
      <c r="J287" s="587"/>
      <c r="K287" s="587"/>
      <c r="L287" s="426">
        <f>AA299</f>
        <v>213</v>
      </c>
      <c r="M287" s="426">
        <f t="shared" ref="M287" si="157">AB299</f>
        <v>22</v>
      </c>
      <c r="N287" s="426">
        <v>56</v>
      </c>
      <c r="O287" s="827">
        <v>100</v>
      </c>
      <c r="P287" s="827">
        <v>150</v>
      </c>
      <c r="Q287" s="827">
        <v>200</v>
      </c>
      <c r="R287" s="827">
        <v>300</v>
      </c>
      <c r="S287" s="827">
        <v>400</v>
      </c>
      <c r="T287" s="586"/>
      <c r="U287" s="586"/>
      <c r="V287" s="586"/>
      <c r="W287" s="600" t="s">
        <v>322</v>
      </c>
      <c r="X287" s="589"/>
      <c r="Y287" s="589"/>
      <c r="Z287" s="589"/>
      <c r="AA287" s="589"/>
      <c r="AB287" s="589"/>
      <c r="AC287" s="589"/>
      <c r="AD287" s="589"/>
      <c r="AE287" s="589"/>
      <c r="AF287" s="589"/>
      <c r="AG287" s="589"/>
      <c r="AH287" s="675">
        <v>-34</v>
      </c>
      <c r="AI287" s="676">
        <v>-64</v>
      </c>
      <c r="AJ287" s="677">
        <v>0</v>
      </c>
      <c r="AK287" s="678">
        <v>0</v>
      </c>
      <c r="AL287" s="678">
        <v>0</v>
      </c>
      <c r="AM287" s="678">
        <v>0</v>
      </c>
      <c r="AN287" s="678">
        <v>0</v>
      </c>
      <c r="AO287" s="678">
        <v>0</v>
      </c>
    </row>
    <row r="288" spans="1:41" ht="15" x14ac:dyDescent="0.25">
      <c r="A288" s="40" t="s">
        <v>365</v>
      </c>
      <c r="B288" s="628"/>
      <c r="C288" s="628"/>
      <c r="D288" s="628"/>
      <c r="E288" s="628"/>
      <c r="F288" s="628"/>
      <c r="G288" s="628"/>
      <c r="H288" s="628"/>
      <c r="I288" s="587"/>
      <c r="J288" s="587"/>
      <c r="K288" s="587"/>
      <c r="L288" s="426">
        <v>2</v>
      </c>
      <c r="M288" s="632">
        <v>145</v>
      </c>
      <c r="N288" s="633">
        <v>-2</v>
      </c>
      <c r="O288" s="832">
        <v>100</v>
      </c>
      <c r="P288" s="832">
        <v>150</v>
      </c>
      <c r="Q288" s="832">
        <v>300</v>
      </c>
      <c r="R288" s="832">
        <v>350</v>
      </c>
      <c r="S288" s="832">
        <v>400</v>
      </c>
      <c r="T288" s="586"/>
      <c r="U288" s="586"/>
      <c r="V288" s="586"/>
      <c r="W288" s="526" t="s">
        <v>284</v>
      </c>
      <c r="X288" s="587"/>
      <c r="Y288" s="587"/>
      <c r="Z288" s="587"/>
      <c r="AA288" s="587"/>
      <c r="AB288" s="587"/>
      <c r="AC288" s="587"/>
      <c r="AD288" s="587"/>
      <c r="AE288" s="587"/>
      <c r="AF288" s="587"/>
      <c r="AG288" s="587"/>
      <c r="AH288" s="515">
        <v>-2.2791258881887651E-3</v>
      </c>
      <c r="AI288" s="515">
        <v>-4.0404040404040404E-3</v>
      </c>
      <c r="AJ288" s="515">
        <v>0</v>
      </c>
      <c r="AK288" s="515">
        <v>0</v>
      </c>
      <c r="AL288" s="515">
        <v>0</v>
      </c>
      <c r="AM288" s="515">
        <v>0</v>
      </c>
      <c r="AN288" s="515">
        <v>0</v>
      </c>
      <c r="AO288" s="515">
        <v>0</v>
      </c>
    </row>
    <row r="289" spans="1:41" ht="15" x14ac:dyDescent="0.25">
      <c r="A289" s="40" t="s">
        <v>95</v>
      </c>
      <c r="B289" s="628"/>
      <c r="C289" s="628"/>
      <c r="D289" s="628"/>
      <c r="E289" s="628"/>
      <c r="F289" s="628"/>
      <c r="G289" s="628"/>
      <c r="H289" s="628"/>
      <c r="I289" s="587"/>
      <c r="J289" s="587"/>
      <c r="K289" s="587"/>
      <c r="L289" s="426">
        <v>2</v>
      </c>
      <c r="M289" s="632">
        <v>0</v>
      </c>
      <c r="N289" s="633">
        <v>1</v>
      </c>
      <c r="O289" s="832">
        <v>1</v>
      </c>
      <c r="P289" s="832">
        <v>1</v>
      </c>
      <c r="Q289" s="832">
        <v>1</v>
      </c>
      <c r="R289" s="832">
        <v>1</v>
      </c>
      <c r="S289" s="832">
        <v>1</v>
      </c>
      <c r="T289" s="586"/>
      <c r="U289" s="586"/>
      <c r="V289" s="586"/>
      <c r="W289" s="526" t="s">
        <v>285</v>
      </c>
      <c r="X289" s="587"/>
      <c r="Y289" s="587"/>
      <c r="Z289" s="587"/>
      <c r="AA289" s="587"/>
      <c r="AB289" s="587"/>
      <c r="AC289" s="587"/>
      <c r="AD289" s="587"/>
      <c r="AE289" s="587"/>
      <c r="AF289" s="587"/>
      <c r="AG289" s="587"/>
      <c r="AH289" s="516"/>
      <c r="AI289" s="516">
        <v>0.88235294117647056</v>
      </c>
      <c r="AJ289" s="516">
        <v>-1</v>
      </c>
      <c r="AK289" s="516"/>
      <c r="AL289" s="516"/>
      <c r="AM289" s="516"/>
      <c r="AN289" s="516"/>
      <c r="AO289" s="516"/>
    </row>
    <row r="290" spans="1:41" ht="15.6" x14ac:dyDescent="0.3">
      <c r="A290" s="638" t="s">
        <v>97</v>
      </c>
      <c r="B290" s="639"/>
      <c r="C290" s="639"/>
      <c r="D290" s="639"/>
      <c r="E290" s="639"/>
      <c r="F290" s="639"/>
      <c r="G290" s="639"/>
      <c r="H290" s="639"/>
      <c r="I290" s="589"/>
      <c r="J290" s="589"/>
      <c r="K290" s="589"/>
      <c r="L290" s="641">
        <v>-191</v>
      </c>
      <c r="M290" s="642">
        <v>120</v>
      </c>
      <c r="N290" s="643">
        <v>-66</v>
      </c>
      <c r="O290" s="845">
        <v>200</v>
      </c>
      <c r="P290" s="845">
        <v>100</v>
      </c>
      <c r="Q290" s="845">
        <v>80</v>
      </c>
      <c r="R290" s="845">
        <v>80</v>
      </c>
      <c r="S290" s="845">
        <v>80</v>
      </c>
      <c r="T290" s="586"/>
      <c r="U290" s="586"/>
      <c r="V290" s="586"/>
      <c r="W290" s="627" t="s">
        <v>323</v>
      </c>
      <c r="X290" s="587"/>
      <c r="Y290" s="587"/>
      <c r="Z290" s="587"/>
      <c r="AA290" s="587"/>
      <c r="AB290" s="587"/>
      <c r="AC290" s="587"/>
      <c r="AD290" s="587"/>
      <c r="AE290" s="587"/>
      <c r="AF290" s="587"/>
      <c r="AG290" s="587"/>
      <c r="AH290" s="595">
        <v>-75</v>
      </c>
      <c r="AI290" s="596">
        <v>-163</v>
      </c>
      <c r="AJ290" s="597">
        <v>-41</v>
      </c>
      <c r="AK290" s="598">
        <v>-74.264652054742228</v>
      </c>
      <c r="AL290" s="598">
        <v>-83.376045031799066</v>
      </c>
      <c r="AM290" s="598">
        <v>-96.588265864725571</v>
      </c>
      <c r="AN290" s="598">
        <v>-112.38838124631377</v>
      </c>
      <c r="AO290" s="598">
        <v>-132.73179560893385</v>
      </c>
    </row>
    <row r="291" spans="1:41" s="1079" customFormat="1" ht="15.6" x14ac:dyDescent="0.3">
      <c r="A291" s="663" t="s">
        <v>361</v>
      </c>
      <c r="B291" s="1091"/>
      <c r="C291" s="1091"/>
      <c r="D291" s="1091"/>
      <c r="E291" s="1091"/>
      <c r="F291" s="1091"/>
      <c r="G291" s="1091"/>
      <c r="H291" s="1091"/>
      <c r="I291" s="1076"/>
      <c r="J291" s="1076"/>
      <c r="K291" s="1076"/>
      <c r="L291" s="830">
        <f>SUM(L285:L290)</f>
        <v>-427</v>
      </c>
      <c r="M291" s="830">
        <f t="shared" ref="M291:N291" si="158">SUM(M285:M290)</f>
        <v>-604</v>
      </c>
      <c r="N291" s="830">
        <f t="shared" si="158"/>
        <v>-1383</v>
      </c>
      <c r="O291" s="1092">
        <f>SUM(O285:O290)</f>
        <v>-1027.1500000000001</v>
      </c>
      <c r="P291" s="1092">
        <f t="shared" ref="P291:S291" si="159">SUM(P285:P290)</f>
        <v>-1363.7375000000002</v>
      </c>
      <c r="Q291" s="1092">
        <f t="shared" si="159"/>
        <v>-1110.6147500000002</v>
      </c>
      <c r="R291" s="1092">
        <f t="shared" si="159"/>
        <v>-1487.4109625000006</v>
      </c>
      <c r="S291" s="1092">
        <f t="shared" si="159"/>
        <v>-1273.7476977500005</v>
      </c>
      <c r="W291" s="1093" t="s">
        <v>284</v>
      </c>
      <c r="X291" s="1076"/>
      <c r="Y291" s="1076"/>
      <c r="Z291" s="1076"/>
      <c r="AA291" s="1076"/>
      <c r="AB291" s="1076"/>
      <c r="AC291" s="1076"/>
      <c r="AD291" s="1076"/>
      <c r="AE291" s="1076"/>
      <c r="AF291" s="1076"/>
      <c r="AG291" s="1076"/>
      <c r="AH291" s="508">
        <v>-5.0274835768869819E-3</v>
      </c>
      <c r="AI291" s="508">
        <v>-1.0290404040404041E-2</v>
      </c>
      <c r="AJ291" s="508">
        <v>-3.4890647604459194E-3</v>
      </c>
      <c r="AK291" s="508">
        <v>-6.244919030921111E-3</v>
      </c>
      <c r="AL291" s="508">
        <v>-6.6273395949798426E-3</v>
      </c>
      <c r="AM291" s="508">
        <v>-6.9795852855206349E-3</v>
      </c>
      <c r="AN291" s="508">
        <v>-7.2511792802338161E-3</v>
      </c>
      <c r="AO291" s="508">
        <v>-7.446708539694191E-3</v>
      </c>
    </row>
    <row r="292" spans="1:41" ht="15.6" x14ac:dyDescent="0.3">
      <c r="A292" s="628"/>
      <c r="B292" s="628"/>
      <c r="C292" s="628"/>
      <c r="D292" s="628"/>
      <c r="E292" s="628"/>
      <c r="F292" s="628"/>
      <c r="G292" s="628"/>
      <c r="H292" s="628"/>
      <c r="I292" s="587"/>
      <c r="J292" s="587"/>
      <c r="K292" s="587"/>
      <c r="L292" s="829"/>
      <c r="M292" s="632"/>
      <c r="N292" s="633"/>
      <c r="O292" s="832"/>
      <c r="P292" s="832"/>
      <c r="Q292" s="723"/>
      <c r="R292" s="832"/>
      <c r="S292" s="832"/>
      <c r="T292" s="586"/>
      <c r="U292" s="586"/>
      <c r="V292" s="586"/>
      <c r="W292" s="526" t="s">
        <v>285</v>
      </c>
      <c r="X292" s="587"/>
      <c r="Y292" s="587"/>
      <c r="Z292" s="587"/>
      <c r="AA292" s="587"/>
      <c r="AB292" s="587"/>
      <c r="AC292" s="587"/>
      <c r="AD292" s="587"/>
      <c r="AE292" s="587"/>
      <c r="AF292" s="587"/>
      <c r="AG292" s="587"/>
      <c r="AH292" s="516"/>
      <c r="AI292" s="516">
        <v>1.1733333333333333</v>
      </c>
      <c r="AJ292" s="516">
        <v>-0.74846625766871167</v>
      </c>
      <c r="AK292" s="516">
        <v>0.81133297694493245</v>
      </c>
      <c r="AL292" s="516">
        <v>0.12268815277476308</v>
      </c>
      <c r="AM292" s="516">
        <v>0.15846543006312488</v>
      </c>
      <c r="AN292" s="516">
        <v>0.16358214157935788</v>
      </c>
      <c r="AO292" s="516">
        <v>0.18100994192660216</v>
      </c>
    </row>
    <row r="293" spans="1:41" ht="15.6" x14ac:dyDescent="0.3">
      <c r="A293" s="29" t="s">
        <v>366</v>
      </c>
      <c r="B293" s="628"/>
      <c r="C293" s="628"/>
      <c r="D293" s="628"/>
      <c r="E293" s="628"/>
      <c r="F293" s="628"/>
      <c r="G293" s="628"/>
      <c r="H293" s="628"/>
      <c r="I293" s="587"/>
      <c r="J293" s="587"/>
      <c r="K293" s="587"/>
      <c r="L293" s="850">
        <f>L282+L291</f>
        <v>1025</v>
      </c>
      <c r="M293" s="850">
        <f t="shared" ref="M293" si="160">M282+M291</f>
        <v>852</v>
      </c>
      <c r="N293" s="850">
        <f>N282+N291</f>
        <v>674</v>
      </c>
      <c r="O293" s="904">
        <f>O282+O291</f>
        <v>631.87718106963143</v>
      </c>
      <c r="P293" s="904">
        <f>P282+P291</f>
        <v>414.33549335749217</v>
      </c>
      <c r="Q293" s="904">
        <f t="shared" ref="Q293:S293" si="161">Q282+Q291</f>
        <v>611.67185444704342</v>
      </c>
      <c r="R293" s="904">
        <f>R282+R291</f>
        <v>626.69978239235525</v>
      </c>
      <c r="S293" s="904">
        <f t="shared" si="161"/>
        <v>1047.6988396453175</v>
      </c>
      <c r="T293" s="586">
        <f>AVERAGE(L290:N290)</f>
        <v>-45.666666666666664</v>
      </c>
      <c r="U293" s="586"/>
      <c r="V293" s="586"/>
      <c r="W293" s="586"/>
      <c r="X293" s="586"/>
      <c r="Y293" s="586"/>
      <c r="Z293" s="586"/>
      <c r="AA293" s="586"/>
      <c r="AB293" s="586"/>
      <c r="AC293" s="586"/>
      <c r="AD293" s="586"/>
      <c r="AE293" s="586"/>
      <c r="AF293" s="586"/>
      <c r="AG293" s="586"/>
      <c r="AH293" s="586"/>
      <c r="AI293" s="734">
        <f t="shared" ref="AI293:AO293" si="162">L280/AH284</f>
        <v>0.77083333333333337</v>
      </c>
      <c r="AJ293" s="734">
        <f t="shared" si="162"/>
        <v>0.44036697247706424</v>
      </c>
      <c r="AK293" s="734">
        <f t="shared" si="162"/>
        <v>1.2</v>
      </c>
      <c r="AL293" s="734">
        <f t="shared" si="162"/>
        <v>0.750219909148644</v>
      </c>
      <c r="AM293" s="734">
        <f t="shared" si="162"/>
        <v>0.67100065158489142</v>
      </c>
      <c r="AN293" s="734">
        <f t="shared" si="162"/>
        <v>0.58119724306614395</v>
      </c>
      <c r="AO293" s="734">
        <f t="shared" si="162"/>
        <v>0.50069713222885126</v>
      </c>
    </row>
    <row r="294" spans="1:41" ht="15.6" x14ac:dyDescent="0.3">
      <c r="A294" s="29"/>
      <c r="B294" s="628"/>
      <c r="C294" s="628"/>
      <c r="D294" s="628"/>
      <c r="E294" s="628"/>
      <c r="F294" s="628"/>
      <c r="G294" s="628"/>
      <c r="H294" s="628"/>
      <c r="I294" s="587"/>
      <c r="J294" s="587"/>
      <c r="K294" s="587"/>
      <c r="L294" s="40"/>
      <c r="M294" s="724"/>
      <c r="N294" s="725"/>
      <c r="O294" s="832"/>
      <c r="P294" s="832"/>
      <c r="Q294" s="726"/>
      <c r="R294" s="832"/>
      <c r="S294" s="832"/>
      <c r="T294" s="586"/>
      <c r="U294" s="586"/>
      <c r="V294" s="586"/>
      <c r="W294" s="586"/>
      <c r="X294" s="586"/>
      <c r="Y294" s="586"/>
      <c r="Z294" s="586"/>
      <c r="AA294" s="586">
        <v>2018</v>
      </c>
      <c r="AB294" s="586">
        <v>19</v>
      </c>
      <c r="AC294" s="586">
        <v>20</v>
      </c>
      <c r="AD294" s="586">
        <v>21</v>
      </c>
      <c r="AE294" s="586">
        <v>22</v>
      </c>
      <c r="AF294" s="586">
        <v>23</v>
      </c>
      <c r="AG294" s="586">
        <v>24</v>
      </c>
      <c r="AH294" s="586">
        <v>25</v>
      </c>
      <c r="AI294" s="662"/>
      <c r="AJ294" s="662"/>
      <c r="AK294" s="662"/>
      <c r="AL294" s="662"/>
      <c r="AM294" s="662"/>
      <c r="AN294" s="586"/>
      <c r="AO294" s="586"/>
    </row>
    <row r="295" spans="1:41" ht="15.6" x14ac:dyDescent="0.3">
      <c r="A295" s="29" t="s">
        <v>367</v>
      </c>
      <c r="B295" s="628"/>
      <c r="C295" s="628"/>
      <c r="D295" s="628"/>
      <c r="E295" s="628"/>
      <c r="F295" s="628"/>
      <c r="G295" s="628"/>
      <c r="H295" s="628"/>
      <c r="I295" s="587"/>
      <c r="J295" s="587"/>
      <c r="K295" s="587"/>
      <c r="L295" s="426"/>
      <c r="M295" s="724"/>
      <c r="N295" s="725"/>
      <c r="O295" s="832"/>
      <c r="P295" s="832"/>
      <c r="Q295" s="726"/>
      <c r="R295" s="832"/>
      <c r="S295" s="832"/>
      <c r="T295" s="586"/>
      <c r="U295" s="586"/>
      <c r="V295" s="586"/>
      <c r="W295" s="586"/>
      <c r="X295" s="586"/>
      <c r="Y295" s="586" t="s">
        <v>368</v>
      </c>
      <c r="Z295" s="586"/>
      <c r="AA295" s="823">
        <f>'Forecasting development (final)'!H69</f>
        <v>438</v>
      </c>
      <c r="AB295" s="823">
        <f>'Forecasting development (final)'!I69</f>
        <v>890</v>
      </c>
      <c r="AC295" s="823">
        <f>'Forecasting development (final)'!J69</f>
        <v>1197</v>
      </c>
      <c r="AD295" s="823">
        <f>'Forecasting development (final)'!K69</f>
        <v>1427.15</v>
      </c>
      <c r="AE295" s="823">
        <f>'Forecasting development (final)'!L69</f>
        <v>1763.7375000000002</v>
      </c>
      <c r="AF295" s="823">
        <f>'Forecasting development (final)'!M69</f>
        <v>1690.6147500000002</v>
      </c>
      <c r="AG295" s="823">
        <f>'Forecasting development (final)'!N69</f>
        <v>2217.4109625000006</v>
      </c>
      <c r="AH295" s="823">
        <f>'Forecasting development (final)'!O69</f>
        <v>2153.7476977500005</v>
      </c>
      <c r="AI295" s="662"/>
      <c r="AJ295" s="662"/>
      <c r="AK295" s="662"/>
      <c r="AL295" s="662"/>
      <c r="AM295" s="662"/>
      <c r="AN295" s="586"/>
      <c r="AO295" s="586"/>
    </row>
    <row r="296" spans="1:41" ht="15" x14ac:dyDescent="0.25">
      <c r="A296" s="31" t="s">
        <v>369</v>
      </c>
      <c r="B296" s="628"/>
      <c r="C296" s="628"/>
      <c r="D296" s="628"/>
      <c r="E296" s="628"/>
      <c r="F296" s="628"/>
      <c r="G296" s="628"/>
      <c r="H296" s="628"/>
      <c r="I296" s="587"/>
      <c r="J296" s="587"/>
      <c r="K296" s="587"/>
      <c r="L296" s="426">
        <v>-82</v>
      </c>
      <c r="M296" s="632">
        <v>-213</v>
      </c>
      <c r="N296" s="633">
        <v>-177</v>
      </c>
      <c r="O296" s="636">
        <v>-50</v>
      </c>
      <c r="P296" s="832">
        <v>-50</v>
      </c>
      <c r="Q296" s="636">
        <v>-25</v>
      </c>
      <c r="R296" s="832">
        <v>-25</v>
      </c>
      <c r="S296" s="832">
        <v>-25</v>
      </c>
      <c r="T296" s="586"/>
      <c r="U296" s="586"/>
      <c r="V296" s="586"/>
      <c r="W296" s="586"/>
      <c r="X296" s="586"/>
      <c r="Y296" s="586"/>
      <c r="Z296" s="586"/>
      <c r="AA296" s="586"/>
      <c r="AB296" s="586"/>
      <c r="AC296" s="586"/>
      <c r="AD296" s="586"/>
      <c r="AE296" s="586"/>
      <c r="AF296" s="586"/>
      <c r="AG296" s="586"/>
      <c r="AH296" s="586"/>
      <c r="AI296" s="662"/>
      <c r="AJ296" s="662"/>
      <c r="AK296" s="662"/>
      <c r="AL296" s="662"/>
      <c r="AM296" s="662"/>
      <c r="AN296" s="586"/>
      <c r="AO296" s="586"/>
    </row>
    <row r="297" spans="1:41" ht="15" x14ac:dyDescent="0.25">
      <c r="A297" s="31" t="s">
        <v>103</v>
      </c>
      <c r="B297" s="628"/>
      <c r="C297" s="628"/>
      <c r="D297" s="628"/>
      <c r="E297" s="628"/>
      <c r="F297" s="628"/>
      <c r="G297" s="628"/>
      <c r="H297" s="628"/>
      <c r="I297" s="587"/>
      <c r="J297" s="587"/>
      <c r="K297" s="587"/>
      <c r="L297" s="595">
        <v>-775</v>
      </c>
      <c r="M297" s="596">
        <v>-1788</v>
      </c>
      <c r="N297" s="597">
        <v>-712</v>
      </c>
      <c r="O297" s="840">
        <f>-O195</f>
        <v>-563.16567931620682</v>
      </c>
      <c r="P297" s="840">
        <f>-P195</f>
        <v>-597.74194034256107</v>
      </c>
      <c r="Q297" s="840">
        <f>-Q195</f>
        <v>-708.83873731301992</v>
      </c>
      <c r="R297" s="840">
        <f>-R195</f>
        <v>-914.72078212832605</v>
      </c>
      <c r="S297" s="840">
        <f>-S195</f>
        <v>-1226.3380963870352</v>
      </c>
      <c r="T297" s="586"/>
      <c r="U297" s="586"/>
      <c r="V297" s="586"/>
      <c r="W297" s="586"/>
      <c r="X297" s="586"/>
      <c r="Y297" s="586" t="s">
        <v>370</v>
      </c>
      <c r="Z297" s="586"/>
      <c r="AA297" s="823">
        <f>AA295+L285</f>
        <v>0</v>
      </c>
      <c r="AB297" s="823">
        <f>AB295+M285</f>
        <v>0</v>
      </c>
      <c r="AC297" s="823">
        <f>AC295+N285</f>
        <v>0</v>
      </c>
      <c r="AD297" s="586"/>
      <c r="AE297" s="586"/>
      <c r="AF297" s="586"/>
      <c r="AG297" s="586"/>
      <c r="AH297" s="586"/>
      <c r="AI297" s="662"/>
      <c r="AJ297" s="662"/>
      <c r="AK297" s="662"/>
      <c r="AL297" s="662"/>
      <c r="AM297" s="662"/>
      <c r="AN297" s="586"/>
      <c r="AO297" s="586"/>
    </row>
    <row r="298" spans="1:41" ht="15" x14ac:dyDescent="0.25">
      <c r="A298" s="640" t="s">
        <v>104</v>
      </c>
      <c r="B298" s="639"/>
      <c r="C298" s="639"/>
      <c r="D298" s="639"/>
      <c r="E298" s="639"/>
      <c r="F298" s="639"/>
      <c r="G298" s="639"/>
      <c r="H298" s="639"/>
      <c r="I298" s="589"/>
      <c r="J298" s="589"/>
      <c r="K298" s="589"/>
      <c r="L298" s="641">
        <v>0</v>
      </c>
      <c r="M298" s="642">
        <v>-1</v>
      </c>
      <c r="N298" s="643">
        <v>-1</v>
      </c>
      <c r="O298" s="845">
        <v>-1</v>
      </c>
      <c r="P298" s="845">
        <v>-1</v>
      </c>
      <c r="Q298" s="845">
        <v>-1</v>
      </c>
      <c r="R298" s="845">
        <v>-1</v>
      </c>
      <c r="S298" s="845">
        <v>-1</v>
      </c>
      <c r="T298" s="586"/>
      <c r="U298" s="586"/>
      <c r="V298" s="586"/>
      <c r="W298" s="586"/>
      <c r="X298" s="586"/>
      <c r="Y298" s="586"/>
      <c r="Z298" s="586"/>
      <c r="AA298" s="586"/>
      <c r="AB298" s="586"/>
      <c r="AC298" s="586"/>
      <c r="AD298" s="586"/>
      <c r="AE298" s="586"/>
      <c r="AF298" s="586"/>
      <c r="AG298" s="586"/>
      <c r="AH298" s="586"/>
      <c r="AI298" s="662"/>
      <c r="AJ298" s="662"/>
      <c r="AK298" s="662"/>
      <c r="AL298" s="662"/>
      <c r="AM298" s="662"/>
      <c r="AN298" s="586"/>
      <c r="AO298" s="586"/>
    </row>
    <row r="299" spans="1:41" ht="15.6" x14ac:dyDescent="0.3">
      <c r="A299" s="663" t="s">
        <v>367</v>
      </c>
      <c r="B299" s="647"/>
      <c r="C299" s="647"/>
      <c r="D299" s="647"/>
      <c r="E299" s="647"/>
      <c r="F299" s="647"/>
      <c r="G299" s="647"/>
      <c r="H299" s="647"/>
      <c r="I299" s="587"/>
      <c r="J299" s="587"/>
      <c r="K299" s="587"/>
      <c r="L299" s="847">
        <f>SUM(L296:L298)</f>
        <v>-857</v>
      </c>
      <c r="M299" s="847">
        <f>SUM(M296:M298)</f>
        <v>-2002</v>
      </c>
      <c r="N299" s="847">
        <f>SUM(N296:N298)</f>
        <v>-890</v>
      </c>
      <c r="O299" s="832">
        <f>SUM(O296:O298)</f>
        <v>-614.16567931620682</v>
      </c>
      <c r="P299" s="832">
        <f>SUM(P296:P298)</f>
        <v>-648.74194034256107</v>
      </c>
      <c r="Q299" s="832">
        <f t="shared" ref="Q299:S299" si="163">SUM(Q296:Q298)</f>
        <v>-734.83873731301992</v>
      </c>
      <c r="R299" s="832">
        <f t="shared" si="163"/>
        <v>-940.72078212832605</v>
      </c>
      <c r="S299" s="832">
        <f t="shared" si="163"/>
        <v>-1252.3380963870352</v>
      </c>
      <c r="T299" s="40" t="s">
        <v>41</v>
      </c>
      <c r="U299" s="40"/>
      <c r="V299" s="40"/>
      <c r="W299" s="628"/>
      <c r="X299" s="628"/>
      <c r="Y299" s="628"/>
      <c r="Z299" s="628"/>
      <c r="AA299" s="426">
        <f>L19</f>
        <v>213</v>
      </c>
      <c r="AB299" s="426">
        <f t="shared" ref="AB299:AH299" si="164">M19</f>
        <v>22</v>
      </c>
      <c r="AC299" s="426">
        <f t="shared" si="164"/>
        <v>56</v>
      </c>
      <c r="AD299" s="426">
        <f t="shared" si="164"/>
        <v>50</v>
      </c>
      <c r="AE299" s="426">
        <f t="shared" si="164"/>
        <v>50</v>
      </c>
      <c r="AF299" s="426">
        <f t="shared" si="164"/>
        <v>20</v>
      </c>
      <c r="AG299" s="426">
        <f t="shared" si="164"/>
        <v>20</v>
      </c>
      <c r="AH299" s="426">
        <f t="shared" si="164"/>
        <v>20</v>
      </c>
      <c r="AI299" s="662"/>
      <c r="AJ299" s="662"/>
      <c r="AK299" s="662"/>
      <c r="AL299" s="662"/>
      <c r="AM299" s="662"/>
      <c r="AN299" s="586"/>
      <c r="AO299" s="586"/>
    </row>
    <row r="300" spans="1:41" ht="15.6" x14ac:dyDescent="0.3">
      <c r="A300" s="29"/>
      <c r="B300" s="628"/>
      <c r="C300" s="628"/>
      <c r="D300" s="628"/>
      <c r="E300" s="628"/>
      <c r="F300" s="628"/>
      <c r="G300" s="628"/>
      <c r="H300" s="628"/>
      <c r="I300" s="587"/>
      <c r="J300" s="587"/>
      <c r="K300" s="587"/>
      <c r="L300" s="426"/>
      <c r="M300" s="632"/>
      <c r="N300" s="633"/>
      <c r="O300" s="832"/>
      <c r="P300" s="832"/>
      <c r="Q300" s="723"/>
      <c r="R300" s="832"/>
      <c r="S300" s="832"/>
      <c r="T300" s="586"/>
      <c r="U300" s="586"/>
      <c r="V300" s="586"/>
      <c r="W300" s="586"/>
      <c r="X300" s="586"/>
      <c r="Y300" s="586"/>
      <c r="Z300" s="586"/>
      <c r="AA300" s="586"/>
      <c r="AB300" s="586"/>
      <c r="AC300" s="586"/>
      <c r="AD300" s="586"/>
      <c r="AE300" s="586"/>
      <c r="AF300" s="586"/>
      <c r="AG300" s="586"/>
      <c r="AH300" s="586"/>
      <c r="AI300" s="662"/>
      <c r="AJ300" s="662"/>
      <c r="AK300" s="662"/>
      <c r="AL300" s="662"/>
      <c r="AM300" s="662"/>
      <c r="AN300" s="586"/>
      <c r="AO300" s="586"/>
    </row>
    <row r="301" spans="1:41" ht="15.6" x14ac:dyDescent="0.3">
      <c r="A301" s="29" t="s">
        <v>371</v>
      </c>
      <c r="B301" s="628"/>
      <c r="C301" s="628"/>
      <c r="D301" s="628"/>
      <c r="E301" s="628"/>
      <c r="F301" s="628"/>
      <c r="G301" s="628"/>
      <c r="H301" s="628"/>
      <c r="I301" s="905"/>
      <c r="J301" s="905"/>
      <c r="K301" s="905"/>
      <c r="L301" s="850">
        <f>L293+L299</f>
        <v>168</v>
      </c>
      <c r="M301" s="632">
        <v>357</v>
      </c>
      <c r="N301" s="633">
        <v>57</v>
      </c>
      <c r="O301" s="839">
        <f>O293+O299</f>
        <v>17.711501753424614</v>
      </c>
      <c r="P301" s="839">
        <f>P293+P299</f>
        <v>-234.4064469850689</v>
      </c>
      <c r="Q301" s="839">
        <f t="shared" ref="Q301:R301" si="165">Q293+Q299</f>
        <v>-123.1668828659765</v>
      </c>
      <c r="R301" s="839">
        <f t="shared" si="165"/>
        <v>-314.0209997359708</v>
      </c>
      <c r="S301" s="839">
        <f>S293+S299</f>
        <v>-204.63925674171765</v>
      </c>
      <c r="T301" s="586"/>
      <c r="U301" s="586"/>
      <c r="V301" s="586"/>
      <c r="W301" s="586"/>
      <c r="X301" s="586"/>
      <c r="Y301" s="586" t="s">
        <v>372</v>
      </c>
      <c r="Z301" s="586"/>
      <c r="AA301" s="823">
        <f>AA295-AA299</f>
        <v>225</v>
      </c>
      <c r="AB301" s="823">
        <f t="shared" ref="AB301:AH301" si="166">AB295-AB299</f>
        <v>868</v>
      </c>
      <c r="AC301" s="823">
        <f t="shared" si="166"/>
        <v>1141</v>
      </c>
      <c r="AD301" s="823">
        <f>AD295-AD299</f>
        <v>1377.15</v>
      </c>
      <c r="AE301" s="823">
        <f t="shared" si="166"/>
        <v>1713.7375000000002</v>
      </c>
      <c r="AF301" s="823">
        <f t="shared" si="166"/>
        <v>1670.6147500000002</v>
      </c>
      <c r="AG301" s="823">
        <f t="shared" si="166"/>
        <v>2197.4109625000006</v>
      </c>
      <c r="AH301" s="823">
        <f t="shared" si="166"/>
        <v>2133.7476977500005</v>
      </c>
      <c r="AI301" s="662"/>
      <c r="AJ301" s="662"/>
      <c r="AK301" s="662"/>
      <c r="AL301" s="662"/>
      <c r="AM301" s="662"/>
      <c r="AN301" s="586"/>
      <c r="AO301" s="586"/>
    </row>
    <row r="302" spans="1:41" ht="15.6" x14ac:dyDescent="0.3">
      <c r="A302" s="29"/>
      <c r="B302" s="628"/>
      <c r="C302" s="628"/>
      <c r="D302" s="628"/>
      <c r="E302" s="628"/>
      <c r="F302" s="628"/>
      <c r="G302" s="628"/>
      <c r="H302" s="628"/>
      <c r="I302" s="587"/>
      <c r="J302" s="587"/>
      <c r="K302" s="587"/>
      <c r="L302" s="426"/>
      <c r="M302" s="632"/>
      <c r="N302" s="633"/>
      <c r="O302" s="832"/>
      <c r="P302" s="832"/>
      <c r="Q302" s="723"/>
      <c r="R302" s="832"/>
      <c r="S302" s="832"/>
      <c r="T302" s="586"/>
      <c r="U302" s="586"/>
      <c r="V302" s="586"/>
      <c r="W302" s="586"/>
      <c r="X302" s="586"/>
      <c r="Y302" s="586" t="s">
        <v>373</v>
      </c>
      <c r="Z302" s="586"/>
      <c r="AA302" s="586"/>
      <c r="AB302" s="586">
        <v>568</v>
      </c>
      <c r="AC302" s="586">
        <v>972</v>
      </c>
      <c r="AD302" s="586"/>
      <c r="AE302" s="586"/>
      <c r="AF302" s="586"/>
      <c r="AG302" s="586"/>
      <c r="AH302" s="586"/>
      <c r="AI302" s="662"/>
      <c r="AJ302" s="662"/>
      <c r="AK302" s="662"/>
      <c r="AL302" s="662"/>
      <c r="AM302" s="662"/>
      <c r="AN302" s="586"/>
      <c r="AO302" s="586"/>
    </row>
    <row r="303" spans="1:41" ht="15" x14ac:dyDescent="0.25">
      <c r="A303" s="40" t="s">
        <v>374</v>
      </c>
      <c r="B303" s="628"/>
      <c r="C303" s="628"/>
      <c r="D303" s="628"/>
      <c r="E303" s="628"/>
      <c r="F303" s="628"/>
      <c r="G303" s="628"/>
      <c r="H303" s="628"/>
      <c r="I303" s="587"/>
      <c r="J303" s="587"/>
      <c r="K303" s="587"/>
      <c r="L303" s="426">
        <v>783</v>
      </c>
      <c r="M303" s="632">
        <v>1136</v>
      </c>
      <c r="N303" s="633">
        <v>1493</v>
      </c>
      <c r="O303" s="839">
        <f>N306</f>
        <v>1552</v>
      </c>
      <c r="P303" s="840">
        <f>O306</f>
        <v>1571.7115017534247</v>
      </c>
      <c r="Q303" s="840">
        <f>P306</f>
        <v>1339.3050547683558</v>
      </c>
      <c r="R303" s="840">
        <f>Q306</f>
        <v>1218.1381719023793</v>
      </c>
      <c r="S303" s="840">
        <f>R306</f>
        <v>906.11717216640852</v>
      </c>
      <c r="T303" s="586"/>
      <c r="U303" s="586"/>
      <c r="V303" s="586"/>
      <c r="W303" s="586"/>
      <c r="X303" s="586"/>
      <c r="Y303" s="586" t="s">
        <v>375</v>
      </c>
      <c r="Z303" s="586"/>
      <c r="AA303" s="586"/>
      <c r="AB303" s="823">
        <f>AB301-AB302</f>
        <v>300</v>
      </c>
      <c r="AC303" s="823">
        <f>AC301-AC302</f>
        <v>169</v>
      </c>
      <c r="AD303" s="586">
        <v>150</v>
      </c>
      <c r="AE303" s="586">
        <v>150</v>
      </c>
      <c r="AF303" s="586">
        <v>150</v>
      </c>
      <c r="AG303" s="586">
        <v>150</v>
      </c>
      <c r="AH303" s="586">
        <v>150</v>
      </c>
      <c r="AI303" s="662"/>
      <c r="AJ303" s="662"/>
      <c r="AK303" s="662"/>
      <c r="AL303" s="662"/>
      <c r="AM303" s="662"/>
      <c r="AN303" s="586"/>
      <c r="AO303" s="586"/>
    </row>
    <row r="304" spans="1:41" ht="15" x14ac:dyDescent="0.25">
      <c r="A304" s="638" t="s">
        <v>376</v>
      </c>
      <c r="B304" s="639"/>
      <c r="C304" s="639"/>
      <c r="D304" s="639"/>
      <c r="E304" s="639"/>
      <c r="F304" s="639"/>
      <c r="G304" s="639"/>
      <c r="H304" s="639"/>
      <c r="I304" s="587"/>
      <c r="J304" s="587"/>
      <c r="K304" s="587"/>
      <c r="L304" s="641">
        <v>0</v>
      </c>
      <c r="M304" s="642">
        <v>0</v>
      </c>
      <c r="N304" s="643">
        <v>2</v>
      </c>
      <c r="O304" s="832">
        <v>2</v>
      </c>
      <c r="P304" s="832">
        <v>2</v>
      </c>
      <c r="Q304" s="636">
        <v>2</v>
      </c>
      <c r="R304" s="832">
        <v>2</v>
      </c>
      <c r="S304" s="832">
        <v>2</v>
      </c>
      <c r="T304" s="586"/>
      <c r="U304" s="586"/>
      <c r="V304" s="586"/>
      <c r="W304" s="586"/>
      <c r="X304" s="586"/>
      <c r="Y304" s="586" t="s">
        <v>377</v>
      </c>
      <c r="Z304" s="586"/>
      <c r="AA304" s="586"/>
      <c r="AB304" s="823">
        <f>AB301-AB303</f>
        <v>568</v>
      </c>
      <c r="AC304" s="823">
        <f t="shared" ref="AC304:AH304" si="167">AC301-AC303</f>
        <v>972</v>
      </c>
      <c r="AD304" s="823">
        <f t="shared" si="167"/>
        <v>1227.1500000000001</v>
      </c>
      <c r="AE304" s="823">
        <f t="shared" si="167"/>
        <v>1563.7375000000002</v>
      </c>
      <c r="AF304" s="823">
        <f t="shared" si="167"/>
        <v>1520.6147500000002</v>
      </c>
      <c r="AG304" s="823">
        <f t="shared" si="167"/>
        <v>2047.4109625000006</v>
      </c>
      <c r="AH304" s="823">
        <f t="shared" si="167"/>
        <v>1983.7476977500005</v>
      </c>
      <c r="AI304" s="662"/>
      <c r="AJ304" s="662"/>
      <c r="AK304" s="662"/>
      <c r="AL304" s="662"/>
      <c r="AM304" s="662"/>
      <c r="AN304" s="586"/>
      <c r="AO304" s="586"/>
    </row>
    <row r="305" spans="1:39" ht="15.6" x14ac:dyDescent="0.3">
      <c r="A305" s="29"/>
      <c r="B305" s="628"/>
      <c r="C305" s="628"/>
      <c r="D305" s="628"/>
      <c r="E305" s="628"/>
      <c r="F305" s="628"/>
      <c r="G305" s="628"/>
      <c r="H305" s="628"/>
      <c r="I305" s="587"/>
      <c r="J305" s="587"/>
      <c r="K305" s="587"/>
      <c r="L305" s="426"/>
      <c r="M305" s="632"/>
      <c r="N305" s="633"/>
      <c r="O305" s="832"/>
      <c r="P305" s="832"/>
      <c r="Q305" s="723"/>
      <c r="R305" s="832"/>
      <c r="S305" s="832"/>
      <c r="T305" s="586"/>
      <c r="U305" s="586"/>
      <c r="V305" s="586"/>
      <c r="W305" s="586"/>
      <c r="X305" s="586"/>
      <c r="Y305" s="586"/>
      <c r="Z305" s="586"/>
      <c r="AA305" s="586"/>
      <c r="AB305" s="586"/>
      <c r="AC305" s="586"/>
      <c r="AD305" s="586"/>
      <c r="AE305" s="586"/>
      <c r="AF305" s="586"/>
      <c r="AG305" s="586"/>
      <c r="AH305" s="586"/>
      <c r="AI305" s="662"/>
      <c r="AJ305" s="662"/>
      <c r="AK305" s="662"/>
      <c r="AL305" s="662"/>
      <c r="AM305" s="662"/>
    </row>
    <row r="306" spans="1:39" ht="18.600000000000001" thickBot="1" x14ac:dyDescent="0.3">
      <c r="A306" s="727" t="s">
        <v>378</v>
      </c>
      <c r="B306" s="651"/>
      <c r="C306" s="651"/>
      <c r="D306" s="651"/>
      <c r="E306" s="651"/>
      <c r="F306" s="651"/>
      <c r="G306" s="651"/>
      <c r="H306" s="651"/>
      <c r="I306" s="652"/>
      <c r="J306" s="652"/>
      <c r="K306" s="652"/>
      <c r="L306" s="429">
        <v>1136</v>
      </c>
      <c r="M306" s="653">
        <v>1493</v>
      </c>
      <c r="N306" s="654">
        <v>1552</v>
      </c>
      <c r="O306" s="848">
        <f>O301+O303+O304</f>
        <v>1571.7115017534247</v>
      </c>
      <c r="P306" s="848">
        <f>P301+P303+P304</f>
        <v>1339.3050547683558</v>
      </c>
      <c r="Q306" s="848">
        <f>Q301+Q303+Q304</f>
        <v>1218.1381719023793</v>
      </c>
      <c r="R306" s="848">
        <f>R301+R303+R304</f>
        <v>906.11717216640852</v>
      </c>
      <c r="S306" s="848">
        <f>S301+S303+S304</f>
        <v>703.47791542469088</v>
      </c>
      <c r="T306" s="586"/>
      <c r="U306" s="586"/>
      <c r="V306" s="586"/>
      <c r="W306" s="586"/>
      <c r="X306" s="586"/>
      <c r="Y306" s="586"/>
      <c r="Z306" s="586"/>
      <c r="AA306" s="586"/>
      <c r="AB306" s="586"/>
      <c r="AC306" s="586"/>
      <c r="AD306" s="586"/>
      <c r="AE306" s="586"/>
      <c r="AF306" s="586"/>
      <c r="AG306" s="586"/>
      <c r="AH306" s="586"/>
      <c r="AI306" s="662"/>
      <c r="AJ306" s="662"/>
      <c r="AK306" s="662"/>
      <c r="AL306" s="662"/>
      <c r="AM306" s="586"/>
    </row>
    <row r="307" spans="1:39" ht="16.2" thickTop="1" x14ac:dyDescent="0.3">
      <c r="A307" s="728" t="s">
        <v>379</v>
      </c>
      <c r="B307" s="626"/>
      <c r="C307" s="626"/>
      <c r="D307" s="626"/>
      <c r="E307" s="626"/>
      <c r="F307" s="626"/>
      <c r="G307" s="626"/>
      <c r="H307" s="626"/>
      <c r="I307" s="626"/>
      <c r="J307" s="626"/>
      <c r="K307" s="626"/>
      <c r="L307" s="729"/>
      <c r="M307" s="729"/>
      <c r="N307" s="196"/>
      <c r="O307" s="196"/>
      <c r="P307" s="730"/>
      <c r="Q307" s="586"/>
      <c r="R307" s="586"/>
      <c r="S307" s="586"/>
      <c r="T307" s="586"/>
      <c r="U307" s="586"/>
      <c r="V307" s="586"/>
      <c r="W307" s="586"/>
      <c r="X307" s="586"/>
      <c r="Y307" s="586"/>
      <c r="Z307" s="586"/>
      <c r="AA307" s="586"/>
      <c r="AB307" s="586"/>
      <c r="AC307" s="586"/>
      <c r="AD307" s="586"/>
      <c r="AE307" s="586"/>
      <c r="AF307" s="586"/>
      <c r="AG307" s="586"/>
      <c r="AH307" s="586"/>
      <c r="AI307" s="662"/>
      <c r="AJ307" s="662"/>
      <c r="AK307" s="662"/>
      <c r="AL307" s="662"/>
      <c r="AM307" s="662"/>
    </row>
    <row r="308" spans="1:39" ht="15" x14ac:dyDescent="0.25">
      <c r="A308" s="1213"/>
      <c r="B308" s="729"/>
      <c r="C308" s="729"/>
      <c r="D308" s="729"/>
      <c r="E308" s="729"/>
      <c r="F308" s="729"/>
      <c r="G308" s="729"/>
      <c r="H308" s="13"/>
      <c r="I308" s="626"/>
      <c r="J308" s="626"/>
      <c r="K308" s="626"/>
      <c r="L308" s="493"/>
      <c r="M308" s="360"/>
      <c r="N308" s="360"/>
      <c r="O308" s="1214"/>
      <c r="P308" s="1214"/>
      <c r="Q308" s="1214"/>
      <c r="R308" s="1214"/>
      <c r="S308" s="1214"/>
      <c r="T308" s="586"/>
      <c r="U308" s="586"/>
      <c r="V308" s="586"/>
      <c r="W308" s="586"/>
      <c r="X308" s="586"/>
      <c r="Y308" s="586"/>
      <c r="Z308" s="586"/>
      <c r="AA308" s="586"/>
      <c r="AB308" s="586"/>
      <c r="AC308" s="586"/>
      <c r="AD308" s="586"/>
      <c r="AE308" s="586"/>
      <c r="AF308" s="586"/>
      <c r="AG308" s="586"/>
      <c r="AH308" s="586"/>
      <c r="AI308" s="662"/>
      <c r="AJ308" s="662"/>
      <c r="AK308" s="662"/>
      <c r="AL308" s="662"/>
      <c r="AM308" s="662"/>
    </row>
    <row r="309" spans="1:39" ht="15.6" x14ac:dyDescent="0.3">
      <c r="A309" s="626"/>
      <c r="B309" s="626"/>
      <c r="C309" s="1215"/>
      <c r="D309" s="1216"/>
      <c r="E309" s="1216"/>
      <c r="F309" s="626"/>
      <c r="G309" s="626"/>
      <c r="H309" s="626"/>
      <c r="I309" s="626"/>
      <c r="J309" s="626"/>
      <c r="K309" s="626"/>
      <c r="L309" s="1217"/>
      <c r="M309" s="626"/>
      <c r="N309" s="626"/>
      <c r="O309" s="626"/>
      <c r="P309" s="626"/>
      <c r="Q309" s="626"/>
      <c r="R309" s="626"/>
      <c r="S309" s="626"/>
      <c r="T309" s="586"/>
      <c r="U309" s="586"/>
      <c r="V309" s="586"/>
      <c r="W309" s="586"/>
      <c r="X309" s="586"/>
      <c r="Y309" s="586"/>
      <c r="Z309" s="586"/>
      <c r="AA309" s="586"/>
      <c r="AB309" s="586"/>
      <c r="AC309" s="586"/>
      <c r="AD309" s="586"/>
      <c r="AE309" s="586"/>
      <c r="AF309" s="586"/>
      <c r="AG309" s="586"/>
      <c r="AH309" s="586"/>
      <c r="AI309" s="662"/>
      <c r="AJ309" s="662"/>
      <c r="AK309" s="662"/>
      <c r="AL309" s="662"/>
      <c r="AM309" s="662"/>
    </row>
    <row r="310" spans="1:39" x14ac:dyDescent="0.25">
      <c r="A310" s="626"/>
      <c r="B310" s="626"/>
      <c r="C310" s="626"/>
      <c r="D310" s="626"/>
      <c r="E310" s="626"/>
      <c r="F310" s="626"/>
      <c r="G310" s="626"/>
      <c r="H310" s="626"/>
      <c r="I310" s="626"/>
      <c r="J310" s="626"/>
      <c r="K310" s="626"/>
      <c r="L310" s="626"/>
      <c r="M310" s="626"/>
      <c r="N310" s="626"/>
      <c r="O310" s="626"/>
      <c r="P310" s="626"/>
      <c r="Q310" s="626"/>
      <c r="R310" s="626"/>
      <c r="S310" s="626"/>
      <c r="T310" s="586"/>
      <c r="U310" s="586"/>
      <c r="V310" s="586"/>
      <c r="W310" s="586"/>
      <c r="X310" s="586"/>
      <c r="Y310" s="586"/>
      <c r="Z310" s="586"/>
      <c r="AA310" s="586"/>
      <c r="AB310" s="586"/>
      <c r="AC310" s="586"/>
      <c r="AD310" s="586"/>
      <c r="AE310" s="586"/>
      <c r="AF310" s="586"/>
      <c r="AG310" s="586"/>
      <c r="AH310" s="586"/>
      <c r="AI310" s="662"/>
      <c r="AJ310" s="662"/>
      <c r="AK310" s="662"/>
      <c r="AL310" s="662"/>
      <c r="AM310" s="662"/>
    </row>
    <row r="311" spans="1:39" ht="14.4" thickBot="1" x14ac:dyDescent="0.3">
      <c r="A311" s="586"/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86"/>
      <c r="AB311" s="586"/>
      <c r="AC311" s="586"/>
      <c r="AD311" s="586"/>
      <c r="AE311" s="586"/>
      <c r="AF311" s="586"/>
      <c r="AG311" s="586"/>
      <c r="AH311" s="586"/>
      <c r="AI311" s="662"/>
      <c r="AJ311" s="662"/>
      <c r="AK311" s="662"/>
      <c r="AL311" s="662"/>
      <c r="AM311" s="662"/>
    </row>
    <row r="312" spans="1:39" x14ac:dyDescent="0.25">
      <c r="A312" s="586"/>
      <c r="B312" s="586"/>
      <c r="C312" s="586"/>
      <c r="D312" s="586"/>
      <c r="E312" s="586"/>
      <c r="F312" s="586"/>
      <c r="G312" s="586"/>
      <c r="H312" s="586"/>
      <c r="I312" s="586"/>
      <c r="J312" s="586"/>
      <c r="K312" s="586"/>
      <c r="L312" s="586"/>
      <c r="M312" s="586"/>
      <c r="N312" s="586"/>
      <c r="O312" s="586"/>
      <c r="P312" s="586"/>
      <c r="Q312" s="586"/>
      <c r="R312" s="586"/>
      <c r="S312" s="586"/>
      <c r="T312" s="825" t="s">
        <v>380</v>
      </c>
      <c r="U312" s="940"/>
      <c r="V312" s="940"/>
      <c r="W312" s="940"/>
      <c r="X312" s="940"/>
      <c r="Y312" s="940"/>
      <c r="Z312" s="940"/>
      <c r="AA312" s="940"/>
      <c r="AB312" s="940"/>
      <c r="AC312" s="940"/>
      <c r="AD312" s="940"/>
      <c r="AE312" s="940"/>
      <c r="AF312" s="941"/>
      <c r="AG312" s="586"/>
      <c r="AH312" s="586"/>
      <c r="AI312" s="662"/>
      <c r="AJ312" s="662"/>
      <c r="AK312" s="662"/>
      <c r="AL312" s="662"/>
      <c r="AM312" s="662"/>
    </row>
    <row r="313" spans="1:39" x14ac:dyDescent="0.25">
      <c r="A313" s="586"/>
      <c r="B313" s="586"/>
      <c r="C313" s="586"/>
      <c r="D313" s="586"/>
      <c r="E313" s="586"/>
      <c r="F313" s="586"/>
      <c r="G313" s="586"/>
      <c r="H313" s="586"/>
      <c r="I313" s="586"/>
      <c r="J313" s="586"/>
      <c r="K313" s="942"/>
      <c r="L313" s="586"/>
      <c r="M313" s="586"/>
      <c r="N313" s="586"/>
      <c r="O313" s="586"/>
      <c r="P313" s="586"/>
      <c r="Q313" s="586"/>
      <c r="R313" s="586"/>
      <c r="S313" s="586"/>
      <c r="T313" s="943">
        <v>1</v>
      </c>
      <c r="U313" s="662" t="s">
        <v>381</v>
      </c>
      <c r="V313" s="662"/>
      <c r="W313" s="662"/>
      <c r="X313" s="662"/>
      <c r="Y313" s="662"/>
      <c r="Z313" s="662"/>
      <c r="AA313" s="662"/>
      <c r="AB313" s="662"/>
      <c r="AC313" s="662"/>
      <c r="AD313" s="662"/>
      <c r="AE313" s="662"/>
      <c r="AF313" s="944"/>
      <c r="AG313" s="586"/>
      <c r="AH313" s="586"/>
      <c r="AI313" s="662"/>
      <c r="AJ313" s="662"/>
      <c r="AK313" s="662"/>
      <c r="AL313" s="662"/>
      <c r="AM313" s="662"/>
    </row>
    <row r="314" spans="1:39" x14ac:dyDescent="0.25">
      <c r="A314" s="586"/>
      <c r="B314" s="586"/>
      <c r="C314" s="586"/>
      <c r="D314" s="586"/>
      <c r="E314" s="586"/>
      <c r="F314" s="586"/>
      <c r="G314" s="586"/>
      <c r="H314" s="586"/>
      <c r="I314" s="586"/>
      <c r="J314" s="586"/>
      <c r="K314" s="586"/>
      <c r="L314" s="586"/>
      <c r="M314" s="586"/>
      <c r="N314" s="586"/>
      <c r="O314" s="586"/>
      <c r="P314" s="586"/>
      <c r="Q314" s="586"/>
      <c r="R314" s="586"/>
      <c r="S314" s="586"/>
      <c r="T314" s="943"/>
      <c r="U314" s="662"/>
      <c r="V314" s="662"/>
      <c r="W314" s="662"/>
      <c r="X314" s="662"/>
      <c r="Y314" s="662"/>
      <c r="Z314" s="662"/>
      <c r="AA314" s="662"/>
      <c r="AB314" s="662"/>
      <c r="AC314" s="662"/>
      <c r="AD314" s="662"/>
      <c r="AE314" s="662"/>
      <c r="AF314" s="944"/>
      <c r="AG314" s="586"/>
      <c r="AH314" s="586"/>
      <c r="AI314" s="662"/>
      <c r="AJ314" s="662"/>
      <c r="AK314" s="662"/>
      <c r="AL314" s="662"/>
      <c r="AM314" s="662"/>
    </row>
    <row r="315" spans="1:39" x14ac:dyDescent="0.25">
      <c r="A315" s="58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86"/>
      <c r="P315" s="586"/>
      <c r="Q315" s="586"/>
      <c r="R315" s="586"/>
      <c r="S315" s="586"/>
      <c r="T315" s="943"/>
      <c r="U315" s="662"/>
      <c r="V315" s="662"/>
      <c r="W315" s="662"/>
      <c r="X315" s="662"/>
      <c r="Y315" s="662"/>
      <c r="Z315" s="662"/>
      <c r="AA315" s="662"/>
      <c r="AB315" s="662"/>
      <c r="AC315" s="662"/>
      <c r="AD315" s="662"/>
      <c r="AE315" s="662"/>
      <c r="AF315" s="944"/>
      <c r="AG315" s="586"/>
      <c r="AH315" s="586"/>
      <c r="AI315" s="662"/>
      <c r="AJ315" s="662"/>
      <c r="AK315" s="662"/>
      <c r="AL315" s="662"/>
      <c r="AM315" s="662"/>
    </row>
    <row r="316" spans="1:39" x14ac:dyDescent="0.25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6"/>
      <c r="P316" s="586"/>
      <c r="Q316" s="586"/>
      <c r="R316" s="586"/>
      <c r="S316" s="586"/>
      <c r="T316" s="943"/>
      <c r="U316" s="662"/>
      <c r="V316" s="662"/>
      <c r="W316" s="662"/>
      <c r="X316" s="662"/>
      <c r="Y316" s="662"/>
      <c r="Z316" s="662"/>
      <c r="AA316" s="662"/>
      <c r="AB316" s="662"/>
      <c r="AC316" s="662"/>
      <c r="AD316" s="662"/>
      <c r="AE316" s="662"/>
      <c r="AF316" s="944"/>
      <c r="AG316" s="586"/>
      <c r="AH316" s="586"/>
      <c r="AI316" s="662"/>
      <c r="AJ316" s="662"/>
      <c r="AK316" s="662"/>
      <c r="AL316" s="662"/>
      <c r="AM316" s="662"/>
    </row>
    <row r="317" spans="1:39" x14ac:dyDescent="0.25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943"/>
      <c r="U317" s="662"/>
      <c r="V317" s="662"/>
      <c r="W317" s="662"/>
      <c r="X317" s="662"/>
      <c r="Y317" s="662"/>
      <c r="Z317" s="662"/>
      <c r="AA317" s="662"/>
      <c r="AB317" s="662"/>
      <c r="AC317" s="662"/>
      <c r="AD317" s="662"/>
      <c r="AE317" s="662"/>
      <c r="AF317" s="944"/>
      <c r="AG317" s="586"/>
      <c r="AH317" s="586"/>
      <c r="AI317" s="662"/>
      <c r="AJ317" s="662"/>
      <c r="AK317" s="662"/>
      <c r="AL317" s="662"/>
      <c r="AM317" s="662"/>
    </row>
    <row r="318" spans="1:39" x14ac:dyDescent="0.25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943"/>
      <c r="U318" s="662"/>
      <c r="V318" s="662"/>
      <c r="W318" s="662"/>
      <c r="X318" s="662"/>
      <c r="Y318" s="662"/>
      <c r="Z318" s="662"/>
      <c r="AA318" s="662"/>
      <c r="AB318" s="662"/>
      <c r="AC318" s="662"/>
      <c r="AD318" s="662"/>
      <c r="AE318" s="662"/>
      <c r="AF318" s="944"/>
      <c r="AG318" s="586"/>
      <c r="AH318" s="586"/>
      <c r="AI318" s="662"/>
      <c r="AJ318" s="662"/>
      <c r="AK318" s="662"/>
      <c r="AL318" s="662"/>
      <c r="AM318" s="662"/>
    </row>
    <row r="319" spans="1:39" x14ac:dyDescent="0.25">
      <c r="A319" s="586"/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943"/>
      <c r="U319" s="662"/>
      <c r="V319" s="662"/>
      <c r="W319" s="662"/>
      <c r="X319" s="662"/>
      <c r="Y319" s="662"/>
      <c r="Z319" s="662"/>
      <c r="AA319" s="662"/>
      <c r="AB319" s="662"/>
      <c r="AC319" s="662"/>
      <c r="AD319" s="662"/>
      <c r="AE319" s="662"/>
      <c r="AF319" s="944"/>
      <c r="AG319" s="586"/>
      <c r="AH319" s="586"/>
      <c r="AI319" s="662"/>
      <c r="AJ319" s="662"/>
      <c r="AK319" s="662"/>
      <c r="AL319" s="662"/>
      <c r="AM319" s="662"/>
    </row>
    <row r="320" spans="1:39" x14ac:dyDescent="0.25">
      <c r="A320" s="586"/>
      <c r="B320" s="586"/>
      <c r="C320" s="586"/>
      <c r="D320" s="586"/>
      <c r="E320" s="586"/>
      <c r="F320" s="586"/>
      <c r="G320" s="586"/>
      <c r="H320" s="586"/>
      <c r="I320" s="586"/>
      <c r="J320" s="586"/>
      <c r="K320" s="586"/>
      <c r="L320" s="586"/>
      <c r="M320" s="586"/>
      <c r="N320" s="586"/>
      <c r="O320" s="586"/>
      <c r="P320" s="586"/>
      <c r="Q320" s="586"/>
      <c r="R320" s="586"/>
      <c r="S320" s="586"/>
      <c r="T320" s="943"/>
      <c r="U320" s="662"/>
      <c r="V320" s="662"/>
      <c r="W320" s="662"/>
      <c r="X320" s="662"/>
      <c r="Y320" s="662"/>
      <c r="Z320" s="662"/>
      <c r="AA320" s="662"/>
      <c r="AB320" s="662"/>
      <c r="AC320" s="662"/>
      <c r="AD320" s="662"/>
      <c r="AE320" s="662"/>
      <c r="AF320" s="944"/>
      <c r="AG320" s="586"/>
      <c r="AH320" s="586"/>
      <c r="AI320" s="662"/>
      <c r="AJ320" s="662"/>
      <c r="AK320" s="662"/>
      <c r="AL320" s="662"/>
      <c r="AM320" s="662"/>
    </row>
    <row r="321" spans="11:32" x14ac:dyDescent="0.25">
      <c r="K321" s="586"/>
      <c r="L321" s="586"/>
      <c r="M321" s="586"/>
      <c r="N321" s="586"/>
      <c r="O321" s="586"/>
      <c r="P321" s="586"/>
      <c r="Q321" s="586"/>
      <c r="R321" s="586"/>
      <c r="S321" s="586"/>
      <c r="T321" s="943"/>
      <c r="U321" s="662"/>
      <c r="V321" s="662"/>
      <c r="W321" s="662"/>
      <c r="X321" s="662"/>
      <c r="Y321" s="662"/>
      <c r="Z321" s="662"/>
      <c r="AA321" s="662"/>
      <c r="AB321" s="662"/>
      <c r="AC321" s="662"/>
      <c r="AD321" s="662"/>
      <c r="AE321" s="662"/>
      <c r="AF321" s="944"/>
    </row>
    <row r="322" spans="11:32" x14ac:dyDescent="0.25">
      <c r="K322" s="586"/>
      <c r="L322" s="586"/>
      <c r="M322" s="586"/>
      <c r="N322" s="586"/>
      <c r="O322" s="586"/>
      <c r="P322" s="586"/>
      <c r="Q322" s="586"/>
      <c r="R322" s="586"/>
      <c r="S322" s="586"/>
      <c r="T322" s="943"/>
      <c r="U322" s="662"/>
      <c r="V322" s="662"/>
      <c r="W322" s="662"/>
      <c r="X322" s="662"/>
      <c r="Y322" s="662"/>
      <c r="Z322" s="662"/>
      <c r="AA322" s="662"/>
      <c r="AB322" s="662"/>
      <c r="AC322" s="662"/>
      <c r="AD322" s="662"/>
      <c r="AE322" s="662"/>
      <c r="AF322" s="944"/>
    </row>
    <row r="323" spans="11:32" x14ac:dyDescent="0.25">
      <c r="K323" s="586"/>
      <c r="L323" s="586"/>
      <c r="M323" s="586"/>
      <c r="N323" s="586"/>
      <c r="O323" s="586"/>
      <c r="P323" s="586"/>
      <c r="Q323" s="586"/>
      <c r="R323" s="586"/>
      <c r="S323" s="586"/>
      <c r="T323" s="943"/>
      <c r="U323" s="662"/>
      <c r="V323" s="662"/>
      <c r="W323" s="662"/>
      <c r="X323" s="662"/>
      <c r="Y323" s="662"/>
      <c r="Z323" s="662"/>
      <c r="AA323" s="662"/>
      <c r="AB323" s="662"/>
      <c r="AC323" s="662"/>
      <c r="AD323" s="662"/>
      <c r="AE323" s="662"/>
      <c r="AF323" s="944"/>
    </row>
    <row r="324" spans="11:32" x14ac:dyDescent="0.25">
      <c r="K324" s="586"/>
      <c r="L324" s="860"/>
      <c r="M324" s="586"/>
      <c r="N324" s="586"/>
      <c r="O324" s="586"/>
      <c r="P324" s="586"/>
      <c r="Q324" s="586"/>
      <c r="R324" s="586"/>
      <c r="S324" s="586"/>
      <c r="T324" s="943"/>
      <c r="U324" s="662"/>
      <c r="V324" s="662"/>
      <c r="W324" s="662"/>
      <c r="X324" s="662"/>
      <c r="Y324" s="662"/>
      <c r="Z324" s="662"/>
      <c r="AA324" s="662"/>
      <c r="AB324" s="662"/>
      <c r="AC324" s="662"/>
      <c r="AD324" s="662"/>
      <c r="AE324" s="662"/>
      <c r="AF324" s="944"/>
    </row>
    <row r="325" spans="11:32" x14ac:dyDescent="0.25">
      <c r="K325" s="586"/>
      <c r="L325" s="586"/>
      <c r="M325" s="586"/>
      <c r="N325" s="586"/>
      <c r="O325" s="586"/>
      <c r="P325" s="586"/>
      <c r="Q325" s="586"/>
      <c r="R325" s="586"/>
      <c r="S325" s="586"/>
      <c r="T325" s="943"/>
      <c r="U325" s="662"/>
      <c r="V325" s="662"/>
      <c r="W325" s="662"/>
      <c r="X325" s="662"/>
      <c r="Y325" s="662"/>
      <c r="Z325" s="662"/>
      <c r="AA325" s="662"/>
      <c r="AB325" s="662"/>
      <c r="AC325" s="662"/>
      <c r="AD325" s="662"/>
      <c r="AE325" s="662"/>
      <c r="AF325" s="944"/>
    </row>
    <row r="326" spans="11:32" x14ac:dyDescent="0.25">
      <c r="K326" s="586"/>
      <c r="L326" s="860"/>
      <c r="M326" s="586"/>
      <c r="N326" s="586"/>
      <c r="O326" s="586"/>
      <c r="P326" s="586"/>
      <c r="Q326" s="586"/>
      <c r="R326" s="586"/>
      <c r="S326" s="586"/>
      <c r="T326" s="943"/>
      <c r="U326" s="662"/>
      <c r="V326" s="662"/>
      <c r="W326" s="662"/>
      <c r="X326" s="662"/>
      <c r="Y326" s="662"/>
      <c r="Z326" s="662"/>
      <c r="AA326" s="662"/>
      <c r="AB326" s="662"/>
      <c r="AC326" s="662"/>
      <c r="AD326" s="662"/>
      <c r="AE326" s="662"/>
      <c r="AF326" s="944"/>
    </row>
    <row r="327" spans="11:32" x14ac:dyDescent="0.25">
      <c r="K327" s="586"/>
      <c r="L327" s="586"/>
      <c r="M327" s="586"/>
      <c r="N327" s="586"/>
      <c r="O327" s="586"/>
      <c r="P327" s="586"/>
      <c r="Q327" s="586"/>
      <c r="R327" s="586"/>
      <c r="S327" s="586"/>
      <c r="T327" s="943"/>
      <c r="U327" s="662"/>
      <c r="V327" s="662"/>
      <c r="W327" s="662"/>
      <c r="X327" s="662"/>
      <c r="Y327" s="662"/>
      <c r="Z327" s="662"/>
      <c r="AA327" s="662"/>
      <c r="AB327" s="662"/>
      <c r="AC327" s="662"/>
      <c r="AD327" s="662"/>
      <c r="AE327" s="662"/>
      <c r="AF327" s="944"/>
    </row>
    <row r="328" spans="11:32" x14ac:dyDescent="0.25">
      <c r="K328" s="586"/>
      <c r="L328" s="586"/>
      <c r="M328" s="586"/>
      <c r="N328" s="586"/>
      <c r="O328" s="586"/>
      <c r="P328" s="586"/>
      <c r="Q328" s="586"/>
      <c r="R328" s="586"/>
      <c r="S328" s="586"/>
      <c r="T328" s="943"/>
      <c r="U328" s="662"/>
      <c r="V328" s="662"/>
      <c r="W328" s="662"/>
      <c r="X328" s="662"/>
      <c r="Y328" s="662"/>
      <c r="Z328" s="662"/>
      <c r="AA328" s="662"/>
      <c r="AB328" s="662"/>
      <c r="AC328" s="662"/>
      <c r="AD328" s="662"/>
      <c r="AE328" s="662"/>
      <c r="AF328" s="944"/>
    </row>
    <row r="329" spans="11:32" x14ac:dyDescent="0.25">
      <c r="K329" s="586"/>
      <c r="L329" s="586"/>
      <c r="M329" s="586"/>
      <c r="N329" s="586"/>
      <c r="O329" s="586"/>
      <c r="P329" s="586"/>
      <c r="Q329" s="586"/>
      <c r="R329" s="586"/>
      <c r="S329" s="586"/>
      <c r="T329" s="943"/>
      <c r="U329" s="662"/>
      <c r="V329" s="662"/>
      <c r="W329" s="662"/>
      <c r="X329" s="662"/>
      <c r="Y329" s="662"/>
      <c r="Z329" s="662"/>
      <c r="AA329" s="662"/>
      <c r="AB329" s="662"/>
      <c r="AC329" s="662"/>
      <c r="AD329" s="662"/>
      <c r="AE329" s="662"/>
      <c r="AF329" s="944"/>
    </row>
    <row r="330" spans="11:32" x14ac:dyDescent="0.25">
      <c r="K330" s="586"/>
      <c r="L330" s="586"/>
      <c r="M330" s="586"/>
      <c r="N330" s="586"/>
      <c r="O330" s="586"/>
      <c r="P330" s="586"/>
      <c r="Q330" s="586"/>
      <c r="R330" s="586"/>
      <c r="S330" s="586"/>
      <c r="T330" s="943"/>
      <c r="U330" s="662"/>
      <c r="V330" s="662"/>
      <c r="W330" s="662"/>
      <c r="X330" s="662"/>
      <c r="Y330" s="662"/>
      <c r="Z330" s="662"/>
      <c r="AA330" s="662"/>
      <c r="AB330" s="662"/>
      <c r="AC330" s="662"/>
      <c r="AD330" s="662"/>
      <c r="AE330" s="662"/>
      <c r="AF330" s="944"/>
    </row>
    <row r="331" spans="11:32" x14ac:dyDescent="0.25">
      <c r="K331" s="586"/>
      <c r="L331" s="586"/>
      <c r="M331" s="586"/>
      <c r="N331" s="586"/>
      <c r="O331" s="586"/>
      <c r="P331" s="586"/>
      <c r="Q331" s="586"/>
      <c r="R331" s="586"/>
      <c r="S331" s="586"/>
      <c r="T331" s="943"/>
      <c r="U331" s="662"/>
      <c r="V331" s="662"/>
      <c r="W331" s="662"/>
      <c r="X331" s="662"/>
      <c r="Y331" s="662"/>
      <c r="Z331" s="662"/>
      <c r="AA331" s="662"/>
      <c r="AB331" s="662"/>
      <c r="AC331" s="662"/>
      <c r="AD331" s="662"/>
      <c r="AE331" s="662"/>
      <c r="AF331" s="944"/>
    </row>
    <row r="332" spans="11:32" x14ac:dyDescent="0.25">
      <c r="K332" s="586"/>
      <c r="L332" s="586"/>
      <c r="M332" s="586"/>
      <c r="N332" s="586"/>
      <c r="O332" s="586"/>
      <c r="P332" s="586"/>
      <c r="Q332" s="586"/>
      <c r="R332" s="586"/>
      <c r="S332" s="586"/>
      <c r="T332" s="943"/>
      <c r="U332" s="662"/>
      <c r="V332" s="662"/>
      <c r="W332" s="662"/>
      <c r="X332" s="662"/>
      <c r="Y332" s="662"/>
      <c r="Z332" s="662"/>
      <c r="AA332" s="662"/>
      <c r="AB332" s="662"/>
      <c r="AC332" s="662"/>
      <c r="AD332" s="662"/>
      <c r="AE332" s="662"/>
      <c r="AF332" s="944"/>
    </row>
    <row r="333" spans="11:32" x14ac:dyDescent="0.25">
      <c r="K333" s="586"/>
      <c r="L333" s="586"/>
      <c r="M333" s="586"/>
      <c r="N333" s="586"/>
      <c r="O333" s="586"/>
      <c r="P333" s="586"/>
      <c r="Q333" s="586"/>
      <c r="R333" s="586"/>
      <c r="S333" s="586"/>
      <c r="T333" s="943"/>
      <c r="U333" s="662"/>
      <c r="V333" s="662"/>
      <c r="W333" s="662"/>
      <c r="X333" s="662"/>
      <c r="Y333" s="662"/>
      <c r="Z333" s="662"/>
      <c r="AA333" s="662"/>
      <c r="AB333" s="662"/>
      <c r="AC333" s="662"/>
      <c r="AD333" s="662"/>
      <c r="AE333" s="662"/>
      <c r="AF333" s="944"/>
    </row>
    <row r="334" spans="11:32" x14ac:dyDescent="0.25">
      <c r="K334" s="586"/>
      <c r="L334" s="586"/>
      <c r="M334" s="586"/>
      <c r="N334" s="586"/>
      <c r="O334" s="586"/>
      <c r="P334" s="586"/>
      <c r="Q334" s="586"/>
      <c r="R334" s="586"/>
      <c r="S334" s="586"/>
      <c r="T334" s="943">
        <v>2</v>
      </c>
      <c r="U334" s="662"/>
      <c r="V334" s="662"/>
      <c r="W334" s="662"/>
      <c r="X334" s="662"/>
      <c r="Y334" s="662"/>
      <c r="Z334" s="662"/>
      <c r="AA334" s="662"/>
      <c r="AB334" s="662"/>
      <c r="AC334" s="662"/>
      <c r="AD334" s="662"/>
      <c r="AE334" s="662"/>
      <c r="AF334" s="944"/>
    </row>
    <row r="335" spans="11:32" x14ac:dyDescent="0.25">
      <c r="K335" s="586"/>
      <c r="L335" s="586"/>
      <c r="M335" s="586"/>
      <c r="N335" s="586"/>
      <c r="O335" s="586"/>
      <c r="P335" s="586"/>
      <c r="Q335" s="586"/>
      <c r="R335" s="586"/>
      <c r="S335" s="586"/>
      <c r="T335" s="943"/>
      <c r="U335" s="662"/>
      <c r="V335" s="662"/>
      <c r="W335" s="662"/>
      <c r="X335" s="662"/>
      <c r="Y335" s="662"/>
      <c r="Z335" s="662"/>
      <c r="AA335" s="662"/>
      <c r="AB335" s="662"/>
      <c r="AC335" s="662"/>
      <c r="AD335" s="662"/>
      <c r="AE335" s="662"/>
      <c r="AF335" s="944"/>
    </row>
    <row r="336" spans="11:32" x14ac:dyDescent="0.25">
      <c r="K336" s="586"/>
      <c r="L336" s="586"/>
      <c r="M336" s="586"/>
      <c r="N336" s="586"/>
      <c r="O336" s="586"/>
      <c r="P336" s="586"/>
      <c r="Q336" s="586"/>
      <c r="R336" s="586"/>
      <c r="S336" s="586"/>
      <c r="T336" s="943"/>
      <c r="U336" s="662"/>
      <c r="V336" s="662"/>
      <c r="W336" s="662"/>
      <c r="X336" s="662"/>
      <c r="Y336" s="662"/>
      <c r="Z336" s="662"/>
      <c r="AA336" s="662"/>
      <c r="AB336" s="662"/>
      <c r="AC336" s="662"/>
      <c r="AD336" s="662"/>
      <c r="AE336" s="662"/>
      <c r="AF336" s="944"/>
    </row>
    <row r="337" spans="12:32" x14ac:dyDescent="0.25">
      <c r="L337" s="586"/>
      <c r="M337" s="586"/>
      <c r="N337" s="586"/>
      <c r="O337" s="586"/>
      <c r="P337" s="586"/>
      <c r="Q337" s="586"/>
      <c r="R337" s="586"/>
      <c r="S337" s="586"/>
      <c r="T337" s="943"/>
      <c r="U337" s="662"/>
      <c r="V337" s="662"/>
      <c r="W337" s="662"/>
      <c r="X337" s="662"/>
      <c r="Y337" s="662"/>
      <c r="Z337" s="662"/>
      <c r="AA337" s="662"/>
      <c r="AB337" s="662"/>
      <c r="AC337" s="662"/>
      <c r="AD337" s="662"/>
      <c r="AE337" s="662"/>
      <c r="AF337" s="944"/>
    </row>
    <row r="338" spans="12:32" x14ac:dyDescent="0.25">
      <c r="L338" s="586"/>
      <c r="M338" s="586"/>
      <c r="N338" s="586"/>
      <c r="O338" s="586"/>
      <c r="P338" s="586"/>
      <c r="Q338" s="586"/>
      <c r="R338" s="586"/>
      <c r="S338" s="586"/>
      <c r="T338" s="943"/>
      <c r="U338" s="662"/>
      <c r="V338" s="662"/>
      <c r="W338" s="662"/>
      <c r="X338" s="662"/>
      <c r="Y338" s="662"/>
      <c r="Z338" s="662"/>
      <c r="AA338" s="662"/>
      <c r="AB338" s="662"/>
      <c r="AC338" s="662"/>
      <c r="AD338" s="662"/>
      <c r="AE338" s="662"/>
      <c r="AF338" s="944"/>
    </row>
    <row r="339" spans="12:32" x14ac:dyDescent="0.25">
      <c r="L339" s="586"/>
      <c r="M339" s="586"/>
      <c r="N339" s="586"/>
      <c r="O339" s="586"/>
      <c r="P339" s="586"/>
      <c r="Q339" s="586"/>
      <c r="R339" s="586"/>
      <c r="S339" s="586"/>
      <c r="T339" s="943"/>
      <c r="U339" s="662"/>
      <c r="V339" s="662"/>
      <c r="W339" s="662"/>
      <c r="X339" s="662"/>
      <c r="Y339" s="662"/>
      <c r="Z339" s="662"/>
      <c r="AA339" s="662"/>
      <c r="AB339" s="662"/>
      <c r="AC339" s="662"/>
      <c r="AD339" s="662"/>
      <c r="AE339" s="662"/>
      <c r="AF339" s="944"/>
    </row>
    <row r="340" spans="12:32" x14ac:dyDescent="0.25">
      <c r="L340" s="586"/>
      <c r="M340" s="586"/>
      <c r="N340" s="586"/>
      <c r="O340" s="586"/>
      <c r="P340" s="586"/>
      <c r="Q340" s="586"/>
      <c r="R340" s="586"/>
      <c r="S340" s="586"/>
      <c r="T340" s="943"/>
      <c r="U340" s="662"/>
      <c r="V340" s="662"/>
      <c r="W340" s="662"/>
      <c r="X340" s="662"/>
      <c r="Y340" s="662"/>
      <c r="Z340" s="662"/>
      <c r="AA340" s="662"/>
      <c r="AB340" s="662"/>
      <c r="AC340" s="662"/>
      <c r="AD340" s="662"/>
      <c r="AE340" s="662"/>
      <c r="AF340" s="944"/>
    </row>
    <row r="341" spans="12:32" x14ac:dyDescent="0.25">
      <c r="L341" s="586"/>
      <c r="M341" s="586"/>
      <c r="N341" s="586"/>
      <c r="O341" s="586"/>
      <c r="P341" s="586"/>
      <c r="Q341" s="586"/>
      <c r="R341" s="586"/>
      <c r="S341" s="586"/>
      <c r="T341" s="943"/>
      <c r="U341" s="662"/>
      <c r="V341" s="662"/>
      <c r="W341" s="662"/>
      <c r="X341" s="662"/>
      <c r="Y341" s="662"/>
      <c r="Z341" s="662"/>
      <c r="AA341" s="662"/>
      <c r="AB341" s="662"/>
      <c r="AC341" s="662"/>
      <c r="AD341" s="662"/>
      <c r="AE341" s="662"/>
      <c r="AF341" s="944"/>
    </row>
    <row r="342" spans="12:32" x14ac:dyDescent="0.25">
      <c r="L342" s="586"/>
      <c r="M342" s="586"/>
      <c r="N342" s="586"/>
      <c r="O342" s="586"/>
      <c r="P342" s="586"/>
      <c r="Q342" s="586"/>
      <c r="R342" s="586"/>
      <c r="S342" s="586"/>
      <c r="T342" s="943"/>
      <c r="U342" s="662"/>
      <c r="V342" s="662"/>
      <c r="W342" s="662"/>
      <c r="X342" s="662"/>
      <c r="Y342" s="662"/>
      <c r="Z342" s="662"/>
      <c r="AA342" s="662"/>
      <c r="AB342" s="662"/>
      <c r="AC342" s="662"/>
      <c r="AD342" s="662"/>
      <c r="AE342" s="662"/>
      <c r="AF342" s="944"/>
    </row>
    <row r="343" spans="12:32" x14ac:dyDescent="0.25">
      <c r="L343" s="586"/>
      <c r="M343" s="586"/>
      <c r="N343" s="586"/>
      <c r="O343" s="586"/>
      <c r="P343" s="586"/>
      <c r="Q343" s="586"/>
      <c r="R343" s="586"/>
      <c r="S343" s="586"/>
      <c r="T343" s="943"/>
      <c r="U343" s="662"/>
      <c r="V343" s="662"/>
      <c r="W343" s="662"/>
      <c r="X343" s="662"/>
      <c r="Y343" s="662"/>
      <c r="Z343" s="662"/>
      <c r="AA343" s="662"/>
      <c r="AB343" s="662"/>
      <c r="AC343" s="662"/>
      <c r="AD343" s="662"/>
      <c r="AE343" s="662"/>
      <c r="AF343" s="944"/>
    </row>
    <row r="344" spans="12:32" x14ac:dyDescent="0.25">
      <c r="L344" s="586"/>
      <c r="M344" s="586"/>
      <c r="N344" s="586"/>
      <c r="O344" s="586"/>
      <c r="P344" s="586"/>
      <c r="Q344" s="586"/>
      <c r="R344" s="586"/>
      <c r="S344" s="586"/>
      <c r="T344" s="943"/>
      <c r="U344" s="662"/>
      <c r="V344" s="662"/>
      <c r="W344" s="662"/>
      <c r="X344" s="662"/>
      <c r="Y344" s="662"/>
      <c r="Z344" s="662"/>
      <c r="AA344" s="662"/>
      <c r="AB344" s="662"/>
      <c r="AC344" s="662"/>
      <c r="AD344" s="662"/>
      <c r="AE344" s="662"/>
      <c r="AF344" s="944"/>
    </row>
    <row r="345" spans="12:32" x14ac:dyDescent="0.25">
      <c r="L345" s="586"/>
      <c r="M345" s="586"/>
      <c r="N345" s="586"/>
      <c r="O345" s="586"/>
      <c r="P345" s="586"/>
      <c r="Q345" s="586"/>
      <c r="R345" s="586"/>
      <c r="S345" s="586"/>
      <c r="T345" s="943"/>
      <c r="U345" s="662"/>
      <c r="V345" s="662"/>
      <c r="W345" s="662"/>
      <c r="X345" s="662"/>
      <c r="Y345" s="662"/>
      <c r="Z345" s="662"/>
      <c r="AA345" s="662"/>
      <c r="AB345" s="662"/>
      <c r="AC345" s="662"/>
      <c r="AD345" s="662"/>
      <c r="AE345" s="662"/>
      <c r="AF345" s="944"/>
    </row>
    <row r="346" spans="12:32" x14ac:dyDescent="0.25">
      <c r="L346" s="586"/>
      <c r="M346" s="586"/>
      <c r="N346" s="586"/>
      <c r="O346" s="586"/>
      <c r="P346" s="586"/>
      <c r="Q346" s="586"/>
      <c r="R346" s="586"/>
      <c r="S346" s="586"/>
      <c r="T346" s="943"/>
      <c r="U346" s="662"/>
      <c r="V346" s="662"/>
      <c r="W346" s="662"/>
      <c r="X346" s="662"/>
      <c r="Y346" s="662"/>
      <c r="Z346" s="662"/>
      <c r="AA346" s="662"/>
      <c r="AB346" s="662"/>
      <c r="AC346" s="662"/>
      <c r="AD346" s="662"/>
      <c r="AE346" s="662"/>
      <c r="AF346" s="944"/>
    </row>
    <row r="347" spans="12:32" x14ac:dyDescent="0.25">
      <c r="L347" s="586"/>
      <c r="M347" s="586"/>
      <c r="N347" s="586"/>
      <c r="O347" s="586"/>
      <c r="P347" s="586"/>
      <c r="Q347" s="586"/>
      <c r="R347" s="586"/>
      <c r="S347" s="586"/>
      <c r="T347" s="943"/>
      <c r="U347" s="662"/>
      <c r="V347" s="662"/>
      <c r="W347" s="662"/>
      <c r="X347" s="662"/>
      <c r="Y347" s="662"/>
      <c r="Z347" s="662"/>
      <c r="AA347" s="662"/>
      <c r="AB347" s="662"/>
      <c r="AC347" s="662"/>
      <c r="AD347" s="662"/>
      <c r="AE347" s="662"/>
      <c r="AF347" s="944"/>
    </row>
    <row r="348" spans="12:32" x14ac:dyDescent="0.25">
      <c r="L348" s="586"/>
      <c r="M348" s="586"/>
      <c r="N348" s="586"/>
      <c r="O348" s="586"/>
      <c r="P348" s="586"/>
      <c r="Q348" s="586"/>
      <c r="R348" s="586"/>
      <c r="S348" s="586"/>
      <c r="T348" s="943"/>
      <c r="U348" s="662"/>
      <c r="V348" s="662"/>
      <c r="W348" s="662"/>
      <c r="X348" s="662"/>
      <c r="Y348" s="662"/>
      <c r="Z348" s="662"/>
      <c r="AA348" s="662"/>
      <c r="AB348" s="662"/>
      <c r="AC348" s="662"/>
      <c r="AD348" s="662"/>
      <c r="AE348" s="662"/>
      <c r="AF348" s="944"/>
    </row>
    <row r="349" spans="12:32" x14ac:dyDescent="0.25">
      <c r="L349" s="586"/>
      <c r="M349" s="586"/>
      <c r="N349" s="586"/>
      <c r="O349" s="586"/>
      <c r="P349" s="586"/>
      <c r="Q349" s="586"/>
      <c r="R349" s="586"/>
      <c r="S349" s="586"/>
      <c r="T349" s="943"/>
      <c r="U349" s="662"/>
      <c r="V349" s="662"/>
      <c r="W349" s="662"/>
      <c r="X349" s="662"/>
      <c r="Y349" s="662"/>
      <c r="Z349" s="662"/>
      <c r="AA349" s="662"/>
      <c r="AB349" s="662"/>
      <c r="AC349" s="662"/>
      <c r="AD349" s="662"/>
      <c r="AE349" s="662"/>
      <c r="AF349" s="944"/>
    </row>
    <row r="350" spans="12:32" x14ac:dyDescent="0.25">
      <c r="L350" s="586"/>
      <c r="M350" s="586"/>
      <c r="N350" s="586"/>
      <c r="O350" s="586"/>
      <c r="P350" s="586"/>
      <c r="Q350" s="586"/>
      <c r="R350" s="586"/>
      <c r="S350" s="586"/>
      <c r="T350" s="943"/>
      <c r="U350" s="662"/>
      <c r="V350" s="662"/>
      <c r="W350" s="662"/>
      <c r="X350" s="662"/>
      <c r="Y350" s="662"/>
      <c r="Z350" s="662"/>
      <c r="AA350" s="662"/>
      <c r="AB350" s="662"/>
      <c r="AC350" s="662"/>
      <c r="AD350" s="662"/>
      <c r="AE350" s="662"/>
      <c r="AF350" s="944"/>
    </row>
    <row r="351" spans="12:32" x14ac:dyDescent="0.25">
      <c r="L351" s="586"/>
      <c r="M351" s="586"/>
      <c r="N351" s="586"/>
      <c r="O351" s="586"/>
      <c r="P351" s="586"/>
      <c r="Q351" s="586"/>
      <c r="R351" s="586"/>
      <c r="S351" s="586"/>
      <c r="T351" s="943"/>
      <c r="U351" s="662"/>
      <c r="V351" s="662"/>
      <c r="W351" s="662"/>
      <c r="X351" s="662"/>
      <c r="Y351" s="662"/>
      <c r="Z351" s="662"/>
      <c r="AA351" s="662"/>
      <c r="AB351" s="662"/>
      <c r="AC351" s="662"/>
      <c r="AD351" s="662"/>
      <c r="AE351" s="662"/>
      <c r="AF351" s="944"/>
    </row>
    <row r="352" spans="12:32" x14ac:dyDescent="0.25">
      <c r="L352" s="586"/>
      <c r="M352" s="586"/>
      <c r="N352" s="586"/>
      <c r="O352" s="586"/>
      <c r="P352" s="586"/>
      <c r="Q352" s="586"/>
      <c r="R352" s="586"/>
      <c r="S352" s="586"/>
      <c r="T352" s="943"/>
      <c r="U352" s="662"/>
      <c r="V352" s="662"/>
      <c r="W352" s="662"/>
      <c r="X352" s="662"/>
      <c r="Y352" s="662"/>
      <c r="Z352" s="662"/>
      <c r="AA352" s="662"/>
      <c r="AB352" s="662"/>
      <c r="AC352" s="662"/>
      <c r="AD352" s="662"/>
      <c r="AE352" s="662"/>
      <c r="AF352" s="944"/>
    </row>
    <row r="353" spans="1:32" x14ac:dyDescent="0.25">
      <c r="A353" s="58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86"/>
      <c r="P353" s="586"/>
      <c r="Q353" s="586"/>
      <c r="R353" s="586"/>
      <c r="S353" s="586"/>
      <c r="T353" s="943"/>
      <c r="U353" s="662"/>
      <c r="V353" s="662"/>
      <c r="W353" s="662"/>
      <c r="X353" s="662"/>
      <c r="Y353" s="662"/>
      <c r="Z353" s="662"/>
      <c r="AA353" s="662"/>
      <c r="AB353" s="662"/>
      <c r="AC353" s="662"/>
      <c r="AD353" s="662"/>
      <c r="AE353" s="662"/>
      <c r="AF353" s="944"/>
    </row>
    <row r="354" spans="1:32" x14ac:dyDescent="0.25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86"/>
      <c r="P354" s="586"/>
      <c r="Q354" s="586"/>
      <c r="R354" s="586"/>
      <c r="S354" s="586"/>
      <c r="T354" s="943"/>
      <c r="U354" s="662"/>
      <c r="V354" s="662"/>
      <c r="W354" s="662"/>
      <c r="X354" s="662"/>
      <c r="Y354" s="662"/>
      <c r="Z354" s="662"/>
      <c r="AA354" s="662"/>
      <c r="AB354" s="662"/>
      <c r="AC354" s="662"/>
      <c r="AD354" s="662"/>
      <c r="AE354" s="662"/>
      <c r="AF354" s="944"/>
    </row>
    <row r="355" spans="1:32" x14ac:dyDescent="0.25">
      <c r="A355" s="586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943"/>
      <c r="U355" s="662"/>
      <c r="V355" s="662"/>
      <c r="W355" s="662"/>
      <c r="X355" s="662"/>
      <c r="Y355" s="662"/>
      <c r="Z355" s="662"/>
      <c r="AA355" s="662"/>
      <c r="AB355" s="662"/>
      <c r="AC355" s="662"/>
      <c r="AD355" s="662"/>
      <c r="AE355" s="662"/>
      <c r="AF355" s="944"/>
    </row>
    <row r="356" spans="1:32" x14ac:dyDescent="0.25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6"/>
      <c r="P356" s="586"/>
      <c r="Q356" s="586"/>
      <c r="R356" s="586"/>
      <c r="S356" s="586"/>
      <c r="T356" s="943"/>
      <c r="U356" s="662"/>
      <c r="V356" s="662"/>
      <c r="W356" s="662"/>
      <c r="X356" s="662"/>
      <c r="Y356" s="662"/>
      <c r="Z356" s="662"/>
      <c r="AA356" s="662"/>
      <c r="AB356" s="662"/>
      <c r="AC356" s="662"/>
      <c r="AD356" s="662"/>
      <c r="AE356" s="662"/>
      <c r="AF356" s="944"/>
    </row>
    <row r="357" spans="1:32" x14ac:dyDescent="0.25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943"/>
      <c r="U357" s="662"/>
      <c r="V357" s="662"/>
      <c r="W357" s="662"/>
      <c r="X357" s="662"/>
      <c r="Y357" s="662"/>
      <c r="Z357" s="662"/>
      <c r="AA357" s="662"/>
      <c r="AB357" s="662"/>
      <c r="AC357" s="662"/>
      <c r="AD357" s="662"/>
      <c r="AE357" s="662"/>
      <c r="AF357" s="944"/>
    </row>
    <row r="358" spans="1:32" x14ac:dyDescent="0.25">
      <c r="A358" s="58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943"/>
      <c r="U358" s="662"/>
      <c r="V358" s="662"/>
      <c r="W358" s="662"/>
      <c r="X358" s="662"/>
      <c r="Y358" s="662"/>
      <c r="Z358" s="662"/>
      <c r="AA358" s="662"/>
      <c r="AB358" s="662"/>
      <c r="AC358" s="662"/>
      <c r="AD358" s="662"/>
      <c r="AE358" s="662"/>
      <c r="AF358" s="944"/>
    </row>
    <row r="359" spans="1:32" x14ac:dyDescent="0.25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86"/>
      <c r="P359" s="586"/>
      <c r="Q359" s="586"/>
      <c r="R359" s="586"/>
      <c r="S359" s="586"/>
      <c r="T359" s="943"/>
      <c r="U359" s="662"/>
      <c r="V359" s="662"/>
      <c r="W359" s="662"/>
      <c r="X359" s="662"/>
      <c r="Y359" s="662"/>
      <c r="Z359" s="662"/>
      <c r="AA359" s="662"/>
      <c r="AB359" s="662"/>
      <c r="AC359" s="662"/>
      <c r="AD359" s="662"/>
      <c r="AE359" s="662"/>
      <c r="AF359" s="944"/>
    </row>
    <row r="360" spans="1:32" x14ac:dyDescent="0.25">
      <c r="A360" s="586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943"/>
      <c r="U360" s="662"/>
      <c r="V360" s="662"/>
      <c r="W360" s="662"/>
      <c r="X360" s="662"/>
      <c r="Y360" s="662"/>
      <c r="Z360" s="662"/>
      <c r="AA360" s="662"/>
      <c r="AB360" s="662"/>
      <c r="AC360" s="662"/>
      <c r="AD360" s="662"/>
      <c r="AE360" s="662"/>
      <c r="AF360" s="944"/>
    </row>
    <row r="361" spans="1:32" x14ac:dyDescent="0.25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6"/>
      <c r="P361" s="586"/>
      <c r="Q361" s="586"/>
      <c r="R361" s="586"/>
      <c r="S361" s="586"/>
      <c r="T361" s="943"/>
      <c r="U361" s="662"/>
      <c r="V361" s="662"/>
      <c r="W361" s="662"/>
      <c r="X361" s="662"/>
      <c r="Y361" s="662"/>
      <c r="Z361" s="662"/>
      <c r="AA361" s="662"/>
      <c r="AB361" s="662"/>
      <c r="AC361" s="662"/>
      <c r="AD361" s="662"/>
      <c r="AE361" s="662"/>
      <c r="AF361" s="944"/>
    </row>
    <row r="362" spans="1:32" x14ac:dyDescent="0.25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943"/>
      <c r="U362" s="662"/>
      <c r="V362" s="662"/>
      <c r="W362" s="662"/>
      <c r="X362" s="662"/>
      <c r="Y362" s="662"/>
      <c r="Z362" s="662"/>
      <c r="AA362" s="662"/>
      <c r="AB362" s="662"/>
      <c r="AC362" s="662"/>
      <c r="AD362" s="662"/>
      <c r="AE362" s="662"/>
      <c r="AF362" s="944"/>
    </row>
    <row r="363" spans="1:32" x14ac:dyDescent="0.25">
      <c r="A363" s="58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943"/>
      <c r="U363" s="662"/>
      <c r="V363" s="662"/>
      <c r="W363" s="662"/>
      <c r="X363" s="662"/>
      <c r="Y363" s="662"/>
      <c r="Z363" s="662"/>
      <c r="AA363" s="662"/>
      <c r="AB363" s="662"/>
      <c r="AC363" s="662"/>
      <c r="AD363" s="662"/>
      <c r="AE363" s="662"/>
      <c r="AF363" s="944"/>
    </row>
    <row r="364" spans="1:32" x14ac:dyDescent="0.25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86"/>
      <c r="P364" s="586"/>
      <c r="Q364" s="586"/>
      <c r="R364" s="586"/>
      <c r="S364" s="586"/>
      <c r="T364" s="943"/>
      <c r="U364" s="662"/>
      <c r="V364" s="662"/>
      <c r="W364" s="662"/>
      <c r="X364" s="662"/>
      <c r="Y364" s="662"/>
      <c r="Z364" s="662"/>
      <c r="AA364" s="662"/>
      <c r="AB364" s="662"/>
      <c r="AC364" s="662"/>
      <c r="AD364" s="662"/>
      <c r="AE364" s="662"/>
      <c r="AF364" s="944"/>
    </row>
    <row r="365" spans="1:32" x14ac:dyDescent="0.25">
      <c r="A365" s="586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943"/>
      <c r="U365" s="662"/>
      <c r="V365" s="662"/>
      <c r="W365" s="662"/>
      <c r="X365" s="662"/>
      <c r="Y365" s="662"/>
      <c r="Z365" s="662"/>
      <c r="AA365" s="662"/>
      <c r="AB365" s="662"/>
      <c r="AC365" s="662"/>
      <c r="AD365" s="662"/>
      <c r="AE365" s="662"/>
      <c r="AF365" s="944"/>
    </row>
    <row r="366" spans="1:32" x14ac:dyDescent="0.25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6"/>
      <c r="P366" s="586"/>
      <c r="Q366" s="586"/>
      <c r="R366" s="586"/>
      <c r="S366" s="586"/>
      <c r="T366" s="943"/>
      <c r="U366" s="662"/>
      <c r="V366" s="662"/>
      <c r="W366" s="662"/>
      <c r="X366" s="662"/>
      <c r="Y366" s="662"/>
      <c r="Z366" s="662"/>
      <c r="AA366" s="662"/>
      <c r="AB366" s="662"/>
      <c r="AC366" s="662"/>
      <c r="AD366" s="662"/>
      <c r="AE366" s="662"/>
      <c r="AF366" s="944"/>
    </row>
    <row r="367" spans="1:32" x14ac:dyDescent="0.25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943"/>
      <c r="U367" s="662"/>
      <c r="V367" s="662"/>
      <c r="W367" s="662"/>
      <c r="X367" s="662"/>
      <c r="Y367" s="662"/>
      <c r="Z367" s="662"/>
      <c r="AA367" s="662"/>
      <c r="AB367" s="662"/>
      <c r="AC367" s="662"/>
      <c r="AD367" s="662"/>
      <c r="AE367" s="662"/>
      <c r="AF367" s="944"/>
    </row>
    <row r="368" spans="1:32" x14ac:dyDescent="0.25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943"/>
      <c r="U368" s="662"/>
      <c r="V368" s="662"/>
      <c r="W368" s="662"/>
      <c r="X368" s="662"/>
      <c r="Y368" s="662"/>
      <c r="Z368" s="662"/>
      <c r="AA368" s="662"/>
      <c r="AB368" s="662"/>
      <c r="AC368" s="662"/>
      <c r="AD368" s="662"/>
      <c r="AE368" s="662"/>
      <c r="AF368" s="944"/>
    </row>
    <row r="369" spans="1:32" x14ac:dyDescent="0.25">
      <c r="A369" s="586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943"/>
      <c r="U369" s="662"/>
      <c r="V369" s="662"/>
      <c r="W369" s="662"/>
      <c r="X369" s="662"/>
      <c r="Y369" s="662"/>
      <c r="Z369" s="662"/>
      <c r="AA369" s="662"/>
      <c r="AB369" s="662"/>
      <c r="AC369" s="662"/>
      <c r="AD369" s="662"/>
      <c r="AE369" s="662"/>
      <c r="AF369" s="944"/>
    </row>
    <row r="370" spans="1:32" x14ac:dyDescent="0.25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943"/>
      <c r="U370" s="662"/>
      <c r="V370" s="662"/>
      <c r="W370" s="662"/>
      <c r="X370" s="662"/>
      <c r="Y370" s="662"/>
      <c r="Z370" s="662"/>
      <c r="AA370" s="662"/>
      <c r="AB370" s="662"/>
      <c r="AC370" s="662"/>
      <c r="AD370" s="662"/>
      <c r="AE370" s="662"/>
      <c r="AF370" s="944"/>
    </row>
    <row r="371" spans="1:32" ht="14.4" thickBot="1" x14ac:dyDescent="0.3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945"/>
      <c r="U371" s="946"/>
      <c r="V371" s="946"/>
      <c r="W371" s="946"/>
      <c r="X371" s="946"/>
      <c r="Y371" s="946"/>
      <c r="Z371" s="946"/>
      <c r="AA371" s="946"/>
      <c r="AB371" s="946"/>
      <c r="AC371" s="946"/>
      <c r="AD371" s="946"/>
      <c r="AE371" s="946"/>
      <c r="AF371" s="947"/>
    </row>
    <row r="373" spans="1:32" x14ac:dyDescent="0.25">
      <c r="A373" s="586" t="s">
        <v>382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86"/>
      <c r="AB373" s="586"/>
      <c r="AC373" s="586"/>
      <c r="AD373" s="586"/>
      <c r="AE373" s="586"/>
      <c r="AF373" s="586"/>
    </row>
    <row r="375" spans="1:32" ht="22.8" x14ac:dyDescent="0.4">
      <c r="A375" s="544" t="s">
        <v>354</v>
      </c>
      <c r="B375" s="625"/>
      <c r="C375" s="625"/>
      <c r="D375" s="625"/>
      <c r="E375" s="625"/>
      <c r="F375" s="625"/>
      <c r="G375" s="625"/>
      <c r="H375" s="625"/>
      <c r="I375" s="626"/>
      <c r="J375" s="586"/>
      <c r="K375" s="586"/>
      <c r="L375" s="586"/>
      <c r="M375" s="586"/>
      <c r="N375" s="586"/>
      <c r="O375" s="586"/>
      <c r="P375" s="586"/>
      <c r="Q375" s="586"/>
      <c r="R375" s="586"/>
      <c r="S375" s="586"/>
      <c r="T375" s="586"/>
      <c r="U375" s="586"/>
      <c r="V375" s="586"/>
      <c r="W375" s="586"/>
      <c r="X375" s="586"/>
      <c r="Y375" s="586"/>
      <c r="Z375" s="586"/>
      <c r="AA375" s="586"/>
      <c r="AB375" s="586"/>
      <c r="AC375" s="586"/>
      <c r="AD375" s="586"/>
      <c r="AE375" s="586"/>
      <c r="AF375" s="586"/>
    </row>
    <row r="376" spans="1:32" ht="15.6" x14ac:dyDescent="0.3">
      <c r="A376" s="29"/>
      <c r="B376" s="628"/>
      <c r="C376" s="628"/>
      <c r="D376" s="628"/>
      <c r="E376" s="628"/>
      <c r="F376" s="628"/>
      <c r="G376" s="628"/>
      <c r="H376" s="628"/>
      <c r="I376" s="587"/>
      <c r="J376" s="587"/>
      <c r="K376" s="587"/>
      <c r="L376" s="1261" t="s">
        <v>280</v>
      </c>
      <c r="M376" s="1261"/>
      <c r="N376" s="1261"/>
      <c r="O376" s="1262" t="s">
        <v>281</v>
      </c>
      <c r="P376" s="1262"/>
      <c r="Q376" s="1262"/>
      <c r="R376" s="1262"/>
      <c r="S376" s="1262"/>
      <c r="T376" s="586"/>
      <c r="U376" s="586"/>
      <c r="V376" s="586"/>
      <c r="W376" s="586"/>
      <c r="X376" s="586"/>
      <c r="Y376" s="586"/>
      <c r="Z376" s="586"/>
      <c r="AA376" s="586"/>
      <c r="AB376" s="586"/>
      <c r="AC376" s="586"/>
      <c r="AD376" s="586"/>
      <c r="AE376" s="586"/>
      <c r="AF376" s="586"/>
    </row>
    <row r="377" spans="1:32" ht="15.6" x14ac:dyDescent="0.3">
      <c r="A377" s="29"/>
      <c r="B377" s="628"/>
      <c r="C377" s="628"/>
      <c r="D377" s="628"/>
      <c r="E377" s="628"/>
      <c r="F377" s="628"/>
      <c r="G377" s="628"/>
      <c r="H377" s="628"/>
      <c r="I377" s="587"/>
      <c r="J377" s="587"/>
      <c r="K377" s="587"/>
      <c r="L377" s="426"/>
      <c r="M377" s="40"/>
      <c r="N377" s="40"/>
      <c r="O377" s="831"/>
      <c r="P377" s="832"/>
      <c r="Q377" s="831"/>
      <c r="R377" s="833"/>
      <c r="S377" s="831"/>
      <c r="T377" s="586"/>
      <c r="U377" s="586"/>
      <c r="V377" s="586"/>
      <c r="W377" s="586"/>
      <c r="X377" s="586"/>
      <c r="Y377" s="586"/>
      <c r="Z377" s="586"/>
      <c r="AA377" s="586"/>
      <c r="AB377" s="586"/>
      <c r="AC377" s="586"/>
      <c r="AD377" s="586"/>
      <c r="AE377" s="586"/>
      <c r="AF377" s="586"/>
    </row>
    <row r="378" spans="1:32" ht="15.6" x14ac:dyDescent="0.3">
      <c r="A378" s="34" t="s">
        <v>24</v>
      </c>
      <c r="B378" s="630"/>
      <c r="C378" s="630"/>
      <c r="D378" s="630"/>
      <c r="E378" s="630"/>
      <c r="F378" s="630"/>
      <c r="G378" s="630"/>
      <c r="H378" s="630"/>
      <c r="I378" s="589"/>
      <c r="J378" s="589"/>
      <c r="K378" s="589"/>
      <c r="L378" s="834">
        <v>2018</v>
      </c>
      <c r="M378" s="835">
        <v>2019</v>
      </c>
      <c r="N378" s="836">
        <v>2020</v>
      </c>
      <c r="O378" s="837" t="s">
        <v>192</v>
      </c>
      <c r="P378" s="837" t="s">
        <v>193</v>
      </c>
      <c r="Q378" s="837" t="s">
        <v>194</v>
      </c>
      <c r="R378" s="837" t="s">
        <v>195</v>
      </c>
      <c r="S378" s="837" t="s">
        <v>196</v>
      </c>
      <c r="T378" s="586"/>
      <c r="U378" s="586"/>
      <c r="V378" s="586"/>
      <c r="W378" s="586"/>
      <c r="X378" s="586"/>
      <c r="Y378" s="586"/>
      <c r="Z378" s="586"/>
      <c r="AA378" s="586"/>
      <c r="AB378" s="586"/>
      <c r="AC378" s="586"/>
      <c r="AD378" s="586"/>
      <c r="AE378" s="586"/>
      <c r="AF378" s="586"/>
    </row>
    <row r="379" spans="1:32" ht="15.6" x14ac:dyDescent="0.3">
      <c r="A379" s="29" t="s">
        <v>355</v>
      </c>
      <c r="B379" s="628"/>
      <c r="C379" s="628"/>
      <c r="D379" s="628"/>
      <c r="E379" s="628"/>
      <c r="F379" s="628" t="s">
        <v>356</v>
      </c>
      <c r="G379" s="628"/>
      <c r="H379" s="628"/>
      <c r="I379" s="587"/>
      <c r="J379" s="587"/>
      <c r="K379" s="587"/>
      <c r="L379" s="426"/>
      <c r="M379" s="838"/>
      <c r="N379" s="721"/>
      <c r="O379" s="832"/>
      <c r="P379" s="832"/>
      <c r="Q379" s="722"/>
      <c r="R379" s="832"/>
      <c r="S379" s="832"/>
      <c r="T379" s="586"/>
      <c r="U379" s="586"/>
      <c r="V379" s="586"/>
      <c r="W379" s="586"/>
      <c r="X379" s="586"/>
      <c r="Y379" s="586"/>
      <c r="Z379" s="586"/>
      <c r="AA379" s="586"/>
      <c r="AB379" s="586"/>
      <c r="AC379" s="586"/>
      <c r="AD379" s="586"/>
      <c r="AE379" s="586"/>
      <c r="AF379" s="586"/>
    </row>
    <row r="380" spans="1:32" ht="15" x14ac:dyDescent="0.25">
      <c r="A380" s="31" t="s">
        <v>75</v>
      </c>
      <c r="B380" s="628"/>
      <c r="C380" s="628"/>
      <c r="D380" s="628"/>
      <c r="E380" s="628"/>
      <c r="F380" s="628"/>
      <c r="G380" s="628"/>
      <c r="H380" s="628"/>
      <c r="I380" s="587"/>
      <c r="J380" s="587"/>
      <c r="K380" s="587"/>
      <c r="L380" s="426">
        <v>947</v>
      </c>
      <c r="M380" s="632">
        <v>2067</v>
      </c>
      <c r="N380" s="633">
        <v>786</v>
      </c>
      <c r="O380" s="839">
        <f>O288</f>
        <v>100</v>
      </c>
      <c r="P380" s="840">
        <f>P288</f>
        <v>150</v>
      </c>
      <c r="Q380" s="840">
        <f>Q288</f>
        <v>300</v>
      </c>
      <c r="R380" s="840">
        <f>R288</f>
        <v>350</v>
      </c>
      <c r="S380" s="840">
        <f>S288</f>
        <v>400</v>
      </c>
      <c r="T380" s="586"/>
      <c r="U380" s="586"/>
      <c r="V380" s="586"/>
      <c r="W380" s="586"/>
      <c r="X380" s="586"/>
      <c r="Y380" s="586"/>
      <c r="Z380" s="586"/>
      <c r="AA380" s="586"/>
      <c r="AB380" s="586"/>
      <c r="AC380" s="586"/>
      <c r="AD380" s="586"/>
      <c r="AE380" s="586"/>
      <c r="AF380" s="586"/>
    </row>
    <row r="381" spans="1:32" ht="15" x14ac:dyDescent="0.25">
      <c r="A381" s="31" t="s">
        <v>357</v>
      </c>
      <c r="B381" s="628"/>
      <c r="C381" s="628"/>
      <c r="D381" s="628"/>
      <c r="E381" s="628"/>
      <c r="F381" s="628"/>
      <c r="G381" s="628"/>
      <c r="H381" s="628"/>
      <c r="I381" s="587"/>
      <c r="J381" s="587"/>
      <c r="K381" s="587"/>
      <c r="L381" s="426">
        <v>590</v>
      </c>
      <c r="M381" s="632">
        <v>550</v>
      </c>
      <c r="N381" s="633">
        <v>997</v>
      </c>
      <c r="O381" s="839">
        <f>O252+O255-O264</f>
        <v>0</v>
      </c>
      <c r="P381" s="840">
        <f>P252+P255-P264</f>
        <v>0</v>
      </c>
      <c r="Q381" s="840">
        <f>Q252+Q255-Q264</f>
        <v>0</v>
      </c>
      <c r="R381" s="840">
        <f>R252+R255-R264</f>
        <v>0</v>
      </c>
      <c r="S381" s="840">
        <f>S252+S255-S264</f>
        <v>0</v>
      </c>
      <c r="T381" s="586"/>
      <c r="U381" s="586"/>
      <c r="V381" s="586"/>
      <c r="W381" s="586"/>
      <c r="X381" s="586"/>
      <c r="Y381" s="586"/>
      <c r="Z381" s="586"/>
      <c r="AA381" s="586"/>
      <c r="AB381" s="586"/>
      <c r="AC381" s="586"/>
      <c r="AD381" s="586"/>
      <c r="AE381" s="586"/>
      <c r="AF381" s="586"/>
    </row>
    <row r="382" spans="1:32" ht="15" x14ac:dyDescent="0.25">
      <c r="A382" s="746" t="s">
        <v>78</v>
      </c>
      <c r="B382" s="639"/>
      <c r="C382" s="639"/>
      <c r="D382" s="639"/>
      <c r="E382" s="639"/>
      <c r="F382" s="639"/>
      <c r="G382" s="639"/>
      <c r="H382" s="639"/>
      <c r="I382" s="589"/>
      <c r="J382" s="589"/>
      <c r="K382" s="589"/>
      <c r="L382" s="641">
        <v>103</v>
      </c>
      <c r="M382" s="642">
        <v>-780</v>
      </c>
      <c r="N382" s="643">
        <v>460</v>
      </c>
      <c r="O382" s="841">
        <f>-DCF!E160</f>
        <v>0</v>
      </c>
      <c r="P382" s="841">
        <f>-DCF!F160</f>
        <v>0</v>
      </c>
      <c r="Q382" s="841">
        <f>-DCF!G160</f>
        <v>0</v>
      </c>
      <c r="R382" s="841">
        <f>-DCF!H160</f>
        <v>0</v>
      </c>
      <c r="S382" s="841">
        <f>-DCF!I160</f>
        <v>0</v>
      </c>
      <c r="T382" s="586"/>
      <c r="U382" s="586"/>
      <c r="V382" s="586"/>
      <c r="W382" s="586"/>
      <c r="X382" s="586"/>
      <c r="Y382" s="586"/>
      <c r="Z382" s="586"/>
      <c r="AA382" s="586"/>
      <c r="AB382" s="586"/>
      <c r="AC382" s="586"/>
      <c r="AD382" s="586"/>
      <c r="AE382" s="586"/>
      <c r="AF382" s="586"/>
    </row>
    <row r="383" spans="1:32" ht="15.6" x14ac:dyDescent="0.3">
      <c r="A383" s="663" t="s">
        <v>358</v>
      </c>
      <c r="B383" s="647"/>
      <c r="C383" s="647"/>
      <c r="D383" s="647"/>
      <c r="E383" s="647"/>
      <c r="F383" s="647"/>
      <c r="G383" s="647"/>
      <c r="H383" s="647"/>
      <c r="I383" s="587"/>
      <c r="J383" s="587"/>
      <c r="K383" s="587"/>
      <c r="L383" s="649">
        <v>1640</v>
      </c>
      <c r="M383" s="650">
        <v>1837</v>
      </c>
      <c r="N383" s="659">
        <v>2244</v>
      </c>
      <c r="O383" s="839">
        <f>SUM(O380:O382)</f>
        <v>100</v>
      </c>
      <c r="P383" s="840">
        <f>SUM(P380:P382)</f>
        <v>150</v>
      </c>
      <c r="Q383" s="840">
        <f>SUM(Q380:Q382)</f>
        <v>300</v>
      </c>
      <c r="R383" s="840">
        <f>SUM(R380:R382)</f>
        <v>350</v>
      </c>
      <c r="S383" s="840">
        <f>SUM(S380:S382)</f>
        <v>400</v>
      </c>
      <c r="T383" s="586"/>
      <c r="U383" s="586"/>
      <c r="V383" s="586"/>
      <c r="W383" s="586"/>
      <c r="X383" s="586"/>
      <c r="Y383" s="586"/>
      <c r="Z383" s="586"/>
      <c r="AA383" s="586"/>
      <c r="AB383" s="586"/>
      <c r="AC383" s="586"/>
      <c r="AD383" s="586"/>
      <c r="AE383" s="586"/>
      <c r="AF383" s="586"/>
    </row>
    <row r="384" spans="1:32" ht="15" x14ac:dyDescent="0.25">
      <c r="A384" s="747" t="s">
        <v>359</v>
      </c>
      <c r="B384" s="628"/>
      <c r="C384" s="628"/>
      <c r="D384" s="628"/>
      <c r="E384" s="628"/>
      <c r="F384" s="628"/>
      <c r="G384" s="628"/>
      <c r="H384" s="628"/>
      <c r="I384" s="587"/>
      <c r="J384" s="587"/>
      <c r="K384" s="587"/>
      <c r="L384" s="426">
        <v>-37</v>
      </c>
      <c r="M384" s="632">
        <v>-48</v>
      </c>
      <c r="N384" s="633">
        <v>-54</v>
      </c>
      <c r="O384" s="839">
        <v>-60</v>
      </c>
      <c r="P384" s="839">
        <v>-60</v>
      </c>
      <c r="Q384" s="839">
        <v>-60</v>
      </c>
      <c r="R384" s="839">
        <v>-60</v>
      </c>
      <c r="S384" s="839">
        <v>-60</v>
      </c>
      <c r="T384" s="586"/>
      <c r="U384" s="586"/>
      <c r="V384" s="586"/>
      <c r="W384" s="586"/>
      <c r="X384" s="586"/>
      <c r="Y384" s="586"/>
      <c r="Z384" s="586"/>
      <c r="AA384" s="586"/>
      <c r="AB384" s="586"/>
      <c r="AC384" s="586"/>
      <c r="AD384" s="586"/>
      <c r="AE384" s="586"/>
      <c r="AF384" s="586"/>
    </row>
    <row r="385" spans="1:19" ht="15" x14ac:dyDescent="0.25">
      <c r="A385" s="640" t="s">
        <v>86</v>
      </c>
      <c r="B385" s="639"/>
      <c r="C385" s="639"/>
      <c r="D385" s="639"/>
      <c r="E385" s="639"/>
      <c r="F385" s="639"/>
      <c r="G385" s="639"/>
      <c r="H385" s="639"/>
      <c r="I385" s="589"/>
      <c r="J385" s="589"/>
      <c r="K385" s="589"/>
      <c r="L385" s="641">
        <v>-151</v>
      </c>
      <c r="M385" s="642">
        <v>-333</v>
      </c>
      <c r="N385" s="643">
        <v>-133</v>
      </c>
      <c r="O385" s="841">
        <f>O291</f>
        <v>-1027.1500000000001</v>
      </c>
      <c r="P385" s="841">
        <f>P291</f>
        <v>-1363.7375000000002</v>
      </c>
      <c r="Q385" s="841">
        <f>Q291</f>
        <v>-1110.6147500000002</v>
      </c>
      <c r="R385" s="841">
        <f>R291</f>
        <v>-1487.4109625000006</v>
      </c>
      <c r="S385" s="841">
        <f>S291</f>
        <v>-1273.7476977500005</v>
      </c>
    </row>
    <row r="386" spans="1:19" ht="15.6" x14ac:dyDescent="0.3">
      <c r="A386" s="663" t="s">
        <v>360</v>
      </c>
      <c r="B386" s="647"/>
      <c r="C386" s="647"/>
      <c r="D386" s="647"/>
      <c r="E386" s="647"/>
      <c r="F386" s="647"/>
      <c r="G386" s="647"/>
      <c r="H386" s="647"/>
      <c r="I386" s="587"/>
      <c r="J386" s="587"/>
      <c r="K386" s="587"/>
      <c r="L386" s="649">
        <v>1452</v>
      </c>
      <c r="M386" s="650">
        <v>1456</v>
      </c>
      <c r="N386" s="659">
        <v>2057</v>
      </c>
      <c r="O386" s="842">
        <f>SUM(O383:O385)</f>
        <v>-987.15000000000009</v>
      </c>
      <c r="P386" s="842">
        <f>SUM(P383:P385)</f>
        <v>-1273.7375000000002</v>
      </c>
      <c r="Q386" s="843">
        <f>SUM(Q383:Q385)</f>
        <v>-870.61475000000019</v>
      </c>
      <c r="R386" s="842">
        <f>SUM(R383:R385)</f>
        <v>-1197.4109625000006</v>
      </c>
      <c r="S386" s="842">
        <f>SUM(S383:S385)</f>
        <v>-933.7476977500005</v>
      </c>
    </row>
    <row r="387" spans="1:19" ht="15.6" x14ac:dyDescent="0.3">
      <c r="A387" s="29"/>
      <c r="B387" s="628"/>
      <c r="C387" s="628"/>
      <c r="D387" s="628"/>
      <c r="E387" s="628"/>
      <c r="F387" s="628"/>
      <c r="G387" s="628"/>
      <c r="H387" s="628"/>
      <c r="I387" s="587"/>
      <c r="J387" s="587"/>
      <c r="K387" s="587"/>
      <c r="L387" s="40"/>
      <c r="M387" s="632"/>
      <c r="N387" s="41"/>
      <c r="O387" s="832"/>
      <c r="P387" s="832"/>
      <c r="Q387" s="723"/>
      <c r="R387" s="832"/>
      <c r="S387" s="832"/>
    </row>
    <row r="388" spans="1:19" ht="15.6" x14ac:dyDescent="0.3">
      <c r="A388" s="29" t="s">
        <v>361</v>
      </c>
      <c r="B388" s="628"/>
      <c r="C388" s="628"/>
      <c r="D388" s="628"/>
      <c r="E388" s="628"/>
      <c r="F388" s="628"/>
      <c r="G388" s="628"/>
      <c r="H388" s="628"/>
      <c r="I388" s="587"/>
      <c r="J388" s="587"/>
      <c r="K388" s="587"/>
      <c r="L388" s="427"/>
      <c r="M388" s="632"/>
      <c r="N388" s="41"/>
      <c r="O388" s="832"/>
      <c r="P388" s="832"/>
      <c r="Q388" s="723"/>
      <c r="R388" s="832"/>
      <c r="S388" s="832"/>
    </row>
    <row r="389" spans="1:19" ht="15.6" x14ac:dyDescent="0.3">
      <c r="A389" s="31" t="s">
        <v>362</v>
      </c>
      <c r="B389" s="628"/>
      <c r="C389" s="628"/>
      <c r="D389" s="628"/>
      <c r="E389" s="628"/>
      <c r="F389" s="628"/>
      <c r="G389" s="628"/>
      <c r="H389" s="628"/>
      <c r="I389" s="587"/>
      <c r="J389" s="682"/>
      <c r="K389" s="587"/>
      <c r="L389" s="824">
        <f>-AA399</f>
        <v>0</v>
      </c>
      <c r="M389" s="824">
        <f t="shared" ref="M389" si="168">-AB399</f>
        <v>0</v>
      </c>
      <c r="N389" s="824">
        <f t="shared" ref="N389" si="169">-AC399</f>
        <v>0</v>
      </c>
      <c r="O389" s="824">
        <f t="shared" ref="O389" si="170">-AD399</f>
        <v>0</v>
      </c>
      <c r="P389" s="824">
        <f t="shared" ref="P389" si="171">-AE399</f>
        <v>0</v>
      </c>
      <c r="Q389" s="824">
        <f t="shared" ref="Q389" si="172">-AF399</f>
        <v>0</v>
      </c>
      <c r="R389" s="824">
        <f t="shared" ref="R389" si="173">-AG399</f>
        <v>0</v>
      </c>
      <c r="S389" s="824">
        <f t="shared" ref="S389" si="174">-AH399</f>
        <v>0</v>
      </c>
    </row>
    <row r="390" spans="1:19" ht="15" x14ac:dyDescent="0.25">
      <c r="A390" s="31" t="s">
        <v>363</v>
      </c>
      <c r="B390" s="628"/>
      <c r="C390" s="628"/>
      <c r="D390" s="628"/>
      <c r="E390" s="628"/>
      <c r="F390" s="628"/>
      <c r="G390" s="628"/>
      <c r="H390" s="628"/>
      <c r="I390" s="587"/>
      <c r="J390" s="587"/>
      <c r="K390" s="587"/>
      <c r="L390" s="426">
        <v>-15</v>
      </c>
      <c r="M390" s="632">
        <v>-1</v>
      </c>
      <c r="N390" s="633">
        <v>-175</v>
      </c>
      <c r="O390" s="844">
        <v>-100</v>
      </c>
      <c r="P390" s="844">
        <v>-100</v>
      </c>
      <c r="Q390" s="844">
        <v>-50</v>
      </c>
      <c r="R390" s="844">
        <v>-50</v>
      </c>
      <c r="S390" s="844">
        <v>-50</v>
      </c>
    </row>
    <row r="391" spans="1:19" ht="15" x14ac:dyDescent="0.25">
      <c r="A391" s="31" t="s">
        <v>92</v>
      </c>
      <c r="B391" s="628"/>
      <c r="C391" s="628"/>
      <c r="D391" s="628"/>
      <c r="E391" s="628"/>
      <c r="F391" s="628"/>
      <c r="G391" s="628"/>
      <c r="H391" s="628"/>
      <c r="I391" s="587"/>
      <c r="J391" s="587"/>
      <c r="K391" s="587"/>
      <c r="L391" s="426">
        <f>AA403</f>
        <v>0</v>
      </c>
      <c r="M391" s="426">
        <f t="shared" ref="M391" si="175">AB403</f>
        <v>0</v>
      </c>
      <c r="N391" s="426">
        <v>56</v>
      </c>
      <c r="O391" s="827">
        <f t="shared" ref="O391" si="176">AD403</f>
        <v>0</v>
      </c>
      <c r="P391" s="827">
        <f t="shared" ref="P391" si="177">AE403</f>
        <v>0</v>
      </c>
      <c r="Q391" s="827">
        <f t="shared" ref="Q391" si="178">AF403</f>
        <v>0</v>
      </c>
      <c r="R391" s="827">
        <f t="shared" ref="R391" si="179">AG403</f>
        <v>0</v>
      </c>
      <c r="S391" s="827">
        <f t="shared" ref="S391" si="180">AH403</f>
        <v>0</v>
      </c>
    </row>
    <row r="392" spans="1:19" ht="15" x14ac:dyDescent="0.25">
      <c r="A392" s="40" t="s">
        <v>365</v>
      </c>
      <c r="B392" s="628"/>
      <c r="C392" s="628"/>
      <c r="D392" s="628"/>
      <c r="E392" s="628"/>
      <c r="F392" s="628"/>
      <c r="G392" s="628"/>
      <c r="H392" s="628"/>
      <c r="I392" s="587"/>
      <c r="J392" s="587"/>
      <c r="K392" s="587"/>
      <c r="L392" s="426">
        <v>2</v>
      </c>
      <c r="M392" s="632">
        <v>145</v>
      </c>
      <c r="N392" s="633">
        <v>-2</v>
      </c>
      <c r="O392" s="832">
        <v>100</v>
      </c>
      <c r="P392" s="832">
        <v>100</v>
      </c>
      <c r="Q392" s="832">
        <v>100</v>
      </c>
      <c r="R392" s="832">
        <v>100</v>
      </c>
      <c r="S392" s="832">
        <v>100</v>
      </c>
    </row>
    <row r="393" spans="1:19" ht="15" x14ac:dyDescent="0.25">
      <c r="A393" s="40" t="s">
        <v>95</v>
      </c>
      <c r="B393" s="628"/>
      <c r="C393" s="628"/>
      <c r="D393" s="628"/>
      <c r="E393" s="628"/>
      <c r="F393" s="628"/>
      <c r="G393" s="628"/>
      <c r="H393" s="628"/>
      <c r="I393" s="587"/>
      <c r="J393" s="587"/>
      <c r="K393" s="587"/>
      <c r="L393" s="426">
        <v>2</v>
      </c>
      <c r="M393" s="632">
        <v>0</v>
      </c>
      <c r="N393" s="633">
        <v>1</v>
      </c>
      <c r="O393" s="832">
        <v>1</v>
      </c>
      <c r="P393" s="832">
        <v>1</v>
      </c>
      <c r="Q393" s="832">
        <v>1</v>
      </c>
      <c r="R393" s="832">
        <v>1</v>
      </c>
      <c r="S393" s="832">
        <v>1</v>
      </c>
    </row>
    <row r="394" spans="1:19" ht="15" x14ac:dyDescent="0.25">
      <c r="A394" s="638" t="s">
        <v>97</v>
      </c>
      <c r="B394" s="639"/>
      <c r="C394" s="639"/>
      <c r="D394" s="639"/>
      <c r="E394" s="639"/>
      <c r="F394" s="639"/>
      <c r="G394" s="639"/>
      <c r="H394" s="639"/>
      <c r="I394" s="589"/>
      <c r="J394" s="589"/>
      <c r="K394" s="589"/>
      <c r="L394" s="641">
        <v>-191</v>
      </c>
      <c r="M394" s="642">
        <v>120</v>
      </c>
      <c r="N394" s="643">
        <v>-66</v>
      </c>
      <c r="O394" s="845">
        <v>-50</v>
      </c>
      <c r="P394" s="845">
        <v>-50</v>
      </c>
      <c r="Q394" s="845">
        <v>-50</v>
      </c>
      <c r="R394" s="845">
        <v>-50</v>
      </c>
      <c r="S394" s="845">
        <v>-50</v>
      </c>
    </row>
    <row r="395" spans="1:19" ht="15.6" x14ac:dyDescent="0.3">
      <c r="A395" s="748" t="s">
        <v>361</v>
      </c>
      <c r="B395" s="647"/>
      <c r="C395" s="647"/>
      <c r="D395" s="647"/>
      <c r="E395" s="647"/>
      <c r="F395" s="647"/>
      <c r="G395" s="647"/>
      <c r="H395" s="647"/>
      <c r="I395" s="587"/>
      <c r="J395" s="587"/>
      <c r="K395" s="587"/>
      <c r="L395" s="830">
        <f>SUM(L389:L394)</f>
        <v>-202</v>
      </c>
      <c r="M395" s="830">
        <f t="shared" ref="M395" si="181">SUM(M389:M394)</f>
        <v>264</v>
      </c>
      <c r="N395" s="830">
        <f t="shared" ref="N395" si="182">SUM(N389:N394)</f>
        <v>-186</v>
      </c>
      <c r="O395" s="846">
        <f>SUM(O389:O394)</f>
        <v>-49</v>
      </c>
      <c r="P395" s="846">
        <f t="shared" ref="P395" si="183">SUM(P389:P394)</f>
        <v>-49</v>
      </c>
      <c r="Q395" s="846">
        <f t="shared" ref="Q395" si="184">SUM(Q389:Q394)</f>
        <v>1</v>
      </c>
      <c r="R395" s="846">
        <f t="shared" ref="R395" si="185">SUM(R389:R394)</f>
        <v>1</v>
      </c>
      <c r="S395" s="846">
        <f t="shared" ref="S395" si="186">SUM(S389:S394)</f>
        <v>1</v>
      </c>
    </row>
    <row r="396" spans="1:19" ht="15.6" x14ac:dyDescent="0.3">
      <c r="A396" s="628"/>
      <c r="B396" s="628"/>
      <c r="C396" s="628"/>
      <c r="D396" s="628"/>
      <c r="E396" s="628"/>
      <c r="F396" s="628"/>
      <c r="G396" s="628"/>
      <c r="H396" s="628"/>
      <c r="I396" s="587"/>
      <c r="J396" s="587"/>
      <c r="K396" s="587"/>
      <c r="L396" s="829"/>
      <c r="M396" s="632"/>
      <c r="N396" s="633"/>
      <c r="O396" s="832"/>
      <c r="P396" s="832"/>
      <c r="Q396" s="723"/>
      <c r="R396" s="832"/>
      <c r="S396" s="832"/>
    </row>
    <row r="397" spans="1:19" ht="15.6" x14ac:dyDescent="0.3">
      <c r="A397" s="29" t="s">
        <v>366</v>
      </c>
      <c r="B397" s="628"/>
      <c r="C397" s="628"/>
      <c r="D397" s="628"/>
      <c r="E397" s="628"/>
      <c r="F397" s="628"/>
      <c r="G397" s="628"/>
      <c r="H397" s="628"/>
      <c r="I397" s="587"/>
      <c r="J397" s="587"/>
      <c r="K397" s="587"/>
      <c r="L397" s="850">
        <f>L386+L395</f>
        <v>1250</v>
      </c>
      <c r="M397" s="850">
        <f t="shared" ref="M397:N397" si="187">M386+M395</f>
        <v>1720</v>
      </c>
      <c r="N397" s="850">
        <f t="shared" si="187"/>
        <v>1871</v>
      </c>
      <c r="O397" s="839">
        <f>O386+O395</f>
        <v>-1036.1500000000001</v>
      </c>
      <c r="P397" s="839">
        <f t="shared" ref="P397:Q397" si="188">P386+P395</f>
        <v>-1322.7375000000002</v>
      </c>
      <c r="Q397" s="839">
        <f t="shared" si="188"/>
        <v>-869.61475000000019</v>
      </c>
      <c r="R397" s="839">
        <f>R386+R395</f>
        <v>-1196.4109625000006</v>
      </c>
      <c r="S397" s="839">
        <f t="shared" ref="S397" si="189">S386+S395</f>
        <v>-932.7476977500005</v>
      </c>
    </row>
    <row r="398" spans="1:19" ht="15.6" x14ac:dyDescent="0.3">
      <c r="A398" s="29"/>
      <c r="B398" s="628"/>
      <c r="C398" s="628"/>
      <c r="D398" s="628"/>
      <c r="E398" s="628"/>
      <c r="F398" s="628"/>
      <c r="G398" s="628"/>
      <c r="H398" s="628"/>
      <c r="I398" s="587"/>
      <c r="J398" s="587"/>
      <c r="K398" s="587"/>
      <c r="L398" s="40"/>
      <c r="M398" s="724"/>
      <c r="N398" s="725"/>
      <c r="O398" s="832"/>
      <c r="P398" s="832"/>
      <c r="Q398" s="726"/>
      <c r="R398" s="832"/>
      <c r="S398" s="832"/>
    </row>
    <row r="399" spans="1:19" ht="15.6" x14ac:dyDescent="0.3">
      <c r="A399" s="29" t="s">
        <v>367</v>
      </c>
      <c r="B399" s="628"/>
      <c r="C399" s="628"/>
      <c r="D399" s="628"/>
      <c r="E399" s="628"/>
      <c r="F399" s="628"/>
      <c r="G399" s="628"/>
      <c r="H399" s="628"/>
      <c r="I399" s="587"/>
      <c r="J399" s="587"/>
      <c r="K399" s="587"/>
      <c r="L399" s="426"/>
      <c r="M399" s="724"/>
      <c r="N399" s="725"/>
      <c r="O399" s="832"/>
      <c r="P399" s="832"/>
      <c r="Q399" s="726"/>
      <c r="R399" s="832"/>
      <c r="S399" s="832"/>
    </row>
    <row r="400" spans="1:19" ht="15.6" x14ac:dyDescent="0.3">
      <c r="A400" s="31" t="s">
        <v>369</v>
      </c>
      <c r="B400" s="628"/>
      <c r="C400" s="628"/>
      <c r="D400" s="628"/>
      <c r="E400" s="628"/>
      <c r="F400" s="628"/>
      <c r="G400" s="628"/>
      <c r="H400" s="628"/>
      <c r="I400" s="587"/>
      <c r="J400" s="587"/>
      <c r="K400" s="587"/>
      <c r="L400" s="426">
        <v>-82</v>
      </c>
      <c r="M400" s="632">
        <v>-213</v>
      </c>
      <c r="N400" s="633">
        <v>-177</v>
      </c>
      <c r="O400" s="832"/>
      <c r="P400" s="832"/>
      <c r="Q400" s="723"/>
      <c r="R400" s="832"/>
      <c r="S400" s="832"/>
    </row>
    <row r="401" spans="1:19" ht="15" x14ac:dyDescent="0.25">
      <c r="A401" s="31" t="s">
        <v>103</v>
      </c>
      <c r="B401" s="628"/>
      <c r="C401" s="628"/>
      <c r="D401" s="628"/>
      <c r="E401" s="628"/>
      <c r="F401" s="628"/>
      <c r="G401" s="628"/>
      <c r="H401" s="628"/>
      <c r="I401" s="587"/>
      <c r="J401" s="587"/>
      <c r="K401" s="587"/>
      <c r="L401" s="595">
        <v>-775</v>
      </c>
      <c r="M401" s="596">
        <v>-1788</v>
      </c>
      <c r="N401" s="597">
        <v>-712</v>
      </c>
      <c r="O401" s="840">
        <f>-O299</f>
        <v>614.16567931620682</v>
      </c>
      <c r="P401" s="840">
        <f>-P299</f>
        <v>648.74194034256107</v>
      </c>
      <c r="Q401" s="840">
        <f>-Q299</f>
        <v>734.83873731301992</v>
      </c>
      <c r="R401" s="840">
        <f>-R299</f>
        <v>940.72078212832605</v>
      </c>
      <c r="S401" s="840">
        <f>-S299</f>
        <v>1252.3380963870352</v>
      </c>
    </row>
    <row r="402" spans="1:19" ht="15" x14ac:dyDescent="0.25">
      <c r="A402" s="640" t="s">
        <v>104</v>
      </c>
      <c r="B402" s="639"/>
      <c r="C402" s="639"/>
      <c r="D402" s="639"/>
      <c r="E402" s="639"/>
      <c r="F402" s="639"/>
      <c r="G402" s="639"/>
      <c r="H402" s="639"/>
      <c r="I402" s="589"/>
      <c r="J402" s="589"/>
      <c r="K402" s="589"/>
      <c r="L402" s="641">
        <v>0</v>
      </c>
      <c r="M402" s="642">
        <v>-1</v>
      </c>
      <c r="N402" s="643">
        <v>-1</v>
      </c>
      <c r="O402" s="845">
        <v>-2</v>
      </c>
      <c r="P402" s="845">
        <v>-2</v>
      </c>
      <c r="Q402" s="845">
        <v>-2</v>
      </c>
      <c r="R402" s="845">
        <v>-2</v>
      </c>
      <c r="S402" s="845">
        <v>-2</v>
      </c>
    </row>
    <row r="403" spans="1:19" ht="15.6" x14ac:dyDescent="0.3">
      <c r="A403" s="663" t="s">
        <v>367</v>
      </c>
      <c r="B403" s="647"/>
      <c r="C403" s="647"/>
      <c r="D403" s="647"/>
      <c r="E403" s="647"/>
      <c r="F403" s="647"/>
      <c r="G403" s="647"/>
      <c r="H403" s="647"/>
      <c r="I403" s="587"/>
      <c r="J403" s="587"/>
      <c r="K403" s="587"/>
      <c r="L403" s="847">
        <f>SUM(L400:L402)</f>
        <v>-857</v>
      </c>
      <c r="M403" s="847">
        <f>SUM(M400:M402)</f>
        <v>-2002</v>
      </c>
      <c r="N403" s="847">
        <f>SUM(N400:N402)</f>
        <v>-890</v>
      </c>
      <c r="O403" s="832">
        <f>SUM(O400:O402)</f>
        <v>612.16567931620682</v>
      </c>
      <c r="P403" s="832">
        <f t="shared" ref="P403:S403" si="190">SUM(P400:P402)</f>
        <v>646.74194034256107</v>
      </c>
      <c r="Q403" s="832">
        <f t="shared" si="190"/>
        <v>732.83873731301992</v>
      </c>
      <c r="R403" s="832">
        <f t="shared" si="190"/>
        <v>938.72078212832605</v>
      </c>
      <c r="S403" s="832">
        <f t="shared" si="190"/>
        <v>1250.3380963870352</v>
      </c>
    </row>
    <row r="404" spans="1:19" ht="15.6" x14ac:dyDescent="0.3">
      <c r="A404" s="29"/>
      <c r="B404" s="628"/>
      <c r="C404" s="628"/>
      <c r="D404" s="628"/>
      <c r="E404" s="628"/>
      <c r="F404" s="628"/>
      <c r="G404" s="628"/>
      <c r="H404" s="628"/>
      <c r="I404" s="587"/>
      <c r="J404" s="587"/>
      <c r="K404" s="587"/>
      <c r="L404" s="426"/>
      <c r="M404" s="632"/>
      <c r="N404" s="633"/>
      <c r="O404" s="832"/>
      <c r="P404" s="832"/>
      <c r="Q404" s="723"/>
      <c r="R404" s="832"/>
      <c r="S404" s="832"/>
    </row>
    <row r="405" spans="1:19" ht="15.6" x14ac:dyDescent="0.3">
      <c r="A405" s="29" t="s">
        <v>371</v>
      </c>
      <c r="B405" s="628"/>
      <c r="C405" s="628"/>
      <c r="D405" s="628"/>
      <c r="E405" s="628"/>
      <c r="F405" s="628"/>
      <c r="G405" s="628"/>
      <c r="H405" s="628"/>
      <c r="I405" s="587"/>
      <c r="J405" s="587"/>
      <c r="K405" s="587"/>
      <c r="L405" s="850">
        <f>L397+L403</f>
        <v>393</v>
      </c>
      <c r="M405" s="632">
        <v>357</v>
      </c>
      <c r="N405" s="633">
        <v>57</v>
      </c>
      <c r="O405" s="839">
        <f>O397+O403</f>
        <v>-423.98432068379327</v>
      </c>
      <c r="P405" s="839">
        <f t="shared" ref="P405:S405" si="191">P397+P403</f>
        <v>-675.99555965743912</v>
      </c>
      <c r="Q405" s="839">
        <f t="shared" si="191"/>
        <v>-136.77601268698027</v>
      </c>
      <c r="R405" s="839">
        <f t="shared" si="191"/>
        <v>-257.6901803716745</v>
      </c>
      <c r="S405" s="839">
        <f t="shared" si="191"/>
        <v>317.5903986370347</v>
      </c>
    </row>
    <row r="406" spans="1:19" ht="15.6" x14ac:dyDescent="0.3">
      <c r="A406" s="29"/>
      <c r="B406" s="628"/>
      <c r="C406" s="628"/>
      <c r="D406" s="628"/>
      <c r="E406" s="628"/>
      <c r="F406" s="628"/>
      <c r="G406" s="628"/>
      <c r="H406" s="628"/>
      <c r="I406" s="587"/>
      <c r="J406" s="587"/>
      <c r="K406" s="587"/>
      <c r="L406" s="426"/>
      <c r="M406" s="632"/>
      <c r="N406" s="633"/>
      <c r="O406" s="832"/>
      <c r="P406" s="832"/>
      <c r="Q406" s="723"/>
      <c r="R406" s="832"/>
      <c r="S406" s="832"/>
    </row>
    <row r="407" spans="1:19" ht="15" x14ac:dyDescent="0.25">
      <c r="A407" s="40" t="s">
        <v>374</v>
      </c>
      <c r="B407" s="628"/>
      <c r="C407" s="628"/>
      <c r="D407" s="628"/>
      <c r="E407" s="628"/>
      <c r="F407" s="628"/>
      <c r="G407" s="628"/>
      <c r="H407" s="628"/>
      <c r="I407" s="587"/>
      <c r="J407" s="587"/>
      <c r="K407" s="587"/>
      <c r="L407" s="426">
        <v>783</v>
      </c>
      <c r="M407" s="632">
        <v>1136</v>
      </c>
      <c r="N407" s="633">
        <v>1493</v>
      </c>
      <c r="O407" s="839">
        <f>N410</f>
        <v>1552</v>
      </c>
      <c r="P407" s="840">
        <f>O410</f>
        <v>1128.0156793162068</v>
      </c>
      <c r="Q407" s="840">
        <f>P410</f>
        <v>452.02011965876773</v>
      </c>
      <c r="R407" s="840">
        <f>Q410</f>
        <v>315.24410697178746</v>
      </c>
      <c r="S407" s="840">
        <f>R410</f>
        <v>57.553926600112959</v>
      </c>
    </row>
    <row r="408" spans="1:19" ht="15.6" x14ac:dyDescent="0.3">
      <c r="A408" s="638" t="s">
        <v>376</v>
      </c>
      <c r="B408" s="639"/>
      <c r="C408" s="639"/>
      <c r="D408" s="639"/>
      <c r="E408" s="639"/>
      <c r="F408" s="639"/>
      <c r="G408" s="639"/>
      <c r="H408" s="639"/>
      <c r="I408" s="587"/>
      <c r="J408" s="587"/>
      <c r="K408" s="587"/>
      <c r="L408" s="641">
        <v>0</v>
      </c>
      <c r="M408" s="642">
        <v>0</v>
      </c>
      <c r="N408" s="643">
        <v>2</v>
      </c>
      <c r="O408" s="832"/>
      <c r="P408" s="832"/>
      <c r="Q408" s="723"/>
      <c r="R408" s="832"/>
      <c r="S408" s="832"/>
    </row>
    <row r="409" spans="1:19" ht="15.6" x14ac:dyDescent="0.3">
      <c r="A409" s="29"/>
      <c r="B409" s="628"/>
      <c r="C409" s="628"/>
      <c r="D409" s="628"/>
      <c r="E409" s="628"/>
      <c r="F409" s="628"/>
      <c r="G409" s="628"/>
      <c r="H409" s="628"/>
      <c r="I409" s="587"/>
      <c r="J409" s="587"/>
      <c r="K409" s="587"/>
      <c r="L409" s="426"/>
      <c r="M409" s="632"/>
      <c r="N409" s="633"/>
      <c r="O409" s="832"/>
      <c r="P409" s="832"/>
      <c r="Q409" s="723"/>
      <c r="R409" s="832"/>
      <c r="S409" s="832"/>
    </row>
    <row r="410" spans="1:19" ht="18.600000000000001" thickBot="1" x14ac:dyDescent="0.3">
      <c r="A410" s="727" t="s">
        <v>378</v>
      </c>
      <c r="B410" s="651"/>
      <c r="C410" s="651"/>
      <c r="D410" s="651"/>
      <c r="E410" s="651"/>
      <c r="F410" s="651"/>
      <c r="G410" s="651"/>
      <c r="H410" s="651"/>
      <c r="I410" s="652"/>
      <c r="J410" s="652"/>
      <c r="K410" s="652"/>
      <c r="L410" s="429">
        <v>1136</v>
      </c>
      <c r="M410" s="653">
        <v>1493</v>
      </c>
      <c r="N410" s="654">
        <v>1552</v>
      </c>
      <c r="O410" s="848">
        <f>O405+O407+O408</f>
        <v>1128.0156793162068</v>
      </c>
      <c r="P410" s="848">
        <f>P405+P407+P408</f>
        <v>452.02011965876773</v>
      </c>
      <c r="Q410" s="848">
        <f>Q405+Q407+Q408</f>
        <v>315.24410697178746</v>
      </c>
      <c r="R410" s="848">
        <f>R405+R407+R408</f>
        <v>57.553926600112959</v>
      </c>
      <c r="S410" s="848">
        <f>S405+S407+S408</f>
        <v>375.14432523714765</v>
      </c>
    </row>
    <row r="411" spans="1:19" ht="14.4" thickTop="1" x14ac:dyDescent="0.25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</row>
  </sheetData>
  <mergeCells count="12">
    <mergeCell ref="N2:O2"/>
    <mergeCell ref="L376:N376"/>
    <mergeCell ref="O376:S376"/>
    <mergeCell ref="X7:AA12"/>
    <mergeCell ref="W197:AJ199"/>
    <mergeCell ref="L7:N7"/>
    <mergeCell ref="O7:S7"/>
    <mergeCell ref="L272:N272"/>
    <mergeCell ref="O272:S272"/>
    <mergeCell ref="L141:N141"/>
    <mergeCell ref="O141:S141"/>
    <mergeCell ref="O53:S5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36A63B276FD4BBD6B1D104349026B" ma:contentTypeVersion="4" ma:contentTypeDescription="Create a new document." ma:contentTypeScope="" ma:versionID="1537f97f369406ed9c453588e10045cc">
  <xsd:schema xmlns:xsd="http://www.w3.org/2001/XMLSchema" xmlns:xs="http://www.w3.org/2001/XMLSchema" xmlns:p="http://schemas.microsoft.com/office/2006/metadata/properties" xmlns:ns2="13b25106-0ecf-489b-8c29-39b2482cb862" targetNamespace="http://schemas.microsoft.com/office/2006/metadata/properties" ma:root="true" ma:fieldsID="75bafdb61461e8ca22b57be49fc20fef" ns2:_="">
    <xsd:import namespace="13b25106-0ecf-489b-8c29-39b2482cb8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25106-0ecf-489b-8c29-39b2482cb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42D006-60BA-45C8-8310-76511C34DF79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13b25106-0ecf-489b-8c29-39b2482cb862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A09B097-4090-4139-8986-7E709600C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b25106-0ecf-489b-8c29-39b2482cb8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890337-DE65-4F0B-8936-1E281FF225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</vt:lpstr>
      <vt:lpstr>balance</vt:lpstr>
      <vt:lpstr>cash</vt:lpstr>
      <vt:lpstr>ratios</vt:lpstr>
      <vt:lpstr>share</vt:lpstr>
      <vt:lpstr>DDM model (Dividents)</vt:lpstr>
      <vt:lpstr>DCF</vt:lpstr>
      <vt:lpstr>Forecasting development (final)</vt:lpstr>
      <vt:lpstr>Forcasts</vt:lpstr>
      <vt:lpstr>Raw data</vt:lpstr>
      <vt:lpstr>backup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JIaQi Yang</cp:lastModifiedBy>
  <cp:revision/>
  <dcterms:created xsi:type="dcterms:W3CDTF">2021-03-17T10:54:11Z</dcterms:created>
  <dcterms:modified xsi:type="dcterms:W3CDTF">2021-04-06T08:10:40Z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0x0101008EA36A63B276FD4BBD6B1D104349026B</vt:lpwstr>
  </property>
</Properties>
</file>